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目次" sheetId="1" r:id="rId4"/>
    <sheet state="visible" name="新アイテム別限界値判別早見表" sheetId="2" r:id="rId5"/>
    <sheet state="visible" name="新宿1_お直し対応シート" sheetId="3" r:id="rId6"/>
    <sheet state="visible" name="新宿2_お直し対応シート" sheetId="4" r:id="rId7"/>
    <sheet state="visible" name="新宿3_お直し対応シート" sheetId="5" r:id="rId8"/>
    <sheet state="visible" name="吉祥寺_お直し対応シート" sheetId="6" r:id="rId9"/>
    <sheet state="visible" name="日本橋_お直し対応シート" sheetId="7" r:id="rId10"/>
    <sheet state="visible" name="日本橋2_お直し対応シート" sheetId="8" r:id="rId11"/>
    <sheet state="visible" name="MODI_お直し対応シート" sheetId="9" r:id="rId12"/>
    <sheet state="visible" name="MODI_お直し対応シート 2" sheetId="10" r:id="rId13"/>
    <sheet state="visible" name="表参道_お直し対応シート" sheetId="11" r:id="rId14"/>
    <sheet state="visible" name="CS確依テンプレ" sheetId="12" r:id="rId15"/>
    <sheet state="visible" name="有楽町1_お直し対応シート" sheetId="13" r:id="rId16"/>
    <sheet state="visible" name="有楽町2_お直し対応シート" sheetId="14" r:id="rId17"/>
    <sheet state="visible" name="有楽町3_お直し対応シート " sheetId="15" r:id="rId18"/>
    <sheet state="visible" name="横浜_お直し対応シート" sheetId="16" r:id="rId19"/>
    <sheet state="visible" name="横浜2_お直し対応シート" sheetId="17" r:id="rId20"/>
    <sheet state="visible" name="ウィメンズ_お直し対応シート" sheetId="18" r:id="rId21"/>
    <sheet state="visible" name="お直しシート_サポ外費用１" sheetId="19" r:id="rId22"/>
    <sheet state="visible" name="お直しシート_サポ外費用2" sheetId="20" r:id="rId23"/>
    <sheet state="visible" name="お直しシート_サポ外費用3" sheetId="21" r:id="rId24"/>
    <sheet state="visible" name="ウィメンズ_サポ外費用(作成中)" sheetId="22" r:id="rId25"/>
    <sheet state="visible" name="サポ外お直しCS確認依頼テンプレ" sheetId="23" r:id="rId26"/>
    <sheet state="visible" name="アイテム別限界値DB" sheetId="24" r:id="rId27"/>
    <sheet state="visible" name="お直し預かり票印刷用 - スーツ" sheetId="25" r:id="rId28"/>
    <sheet state="visible" name="お直し品預かり票印刷用 - シャツ" sheetId="26" r:id="rId29"/>
    <sheet state="visible" name="ビジカジ総裏" sheetId="27" r:id="rId30"/>
    <sheet state="visible" name="CS受付可能範囲" sheetId="28" r:id="rId31"/>
  </sheets>
  <definedNames>
    <definedName hidden="1" localSheetId="23" name="_xlnm._FilterDatabase">'アイテム別限界値DB'!$A$1:$N$493</definedName>
    <definedName hidden="1" localSheetId="26" name="_xlnm._FilterDatabase">'ビジカジ総裏'!$A$9:$BW$5883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16">
      <text>
        <t xml:space="preserve">着丈、-6までOKにしましょう
	-大塚雄輔Yusuke OTSUKA</t>
      </text>
    </comment>
  </commentList>
</comments>
</file>

<file path=xl/sharedStrings.xml><?xml version="1.0" encoding="utf-8"?>
<sst xmlns="http://schemas.openxmlformats.org/spreadsheetml/2006/main" count="12181" uniqueCount="394">
  <si>
    <t>お直し限界値早見表</t>
  </si>
  <si>
    <t>ビジカジ総裏判定</t>
  </si>
  <si>
    <t>ビジカジ総裏 生地替え再製作可否シート</t>
  </si>
  <si>
    <t>お直し対応シート1</t>
  </si>
  <si>
    <t>新宿</t>
  </si>
  <si>
    <t>お直し対応シート2</t>
  </si>
  <si>
    <t>OPEX原因分類定義一覧</t>
  </si>
  <si>
    <t>ポロシャツサイズわかるくん</t>
  </si>
  <si>
    <t>吉祥寺</t>
  </si>
  <si>
    <t>お直し対応シート</t>
  </si>
  <si>
    <t>その他</t>
  </si>
  <si>
    <t>CS受付可能範囲</t>
  </si>
  <si>
    <t>MODI</t>
  </si>
  <si>
    <t>関西用</t>
  </si>
  <si>
    <t>こちらのシート</t>
  </si>
  <si>
    <t>日本橋</t>
  </si>
  <si>
    <t>有楽町</t>
  </si>
  <si>
    <t>横浜</t>
  </si>
  <si>
    <t>ウィメンズ</t>
  </si>
  <si>
    <t>表参道</t>
  </si>
  <si>
    <t>新お直し入庫処理伝票</t>
  </si>
  <si>
    <t>再製作品送付伝票</t>
  </si>
  <si>
    <t>配送伝票</t>
  </si>
  <si>
    <t>縫製汚れ伝票</t>
  </si>
  <si>
    <t>お直し預かり票印刷用 - スーツ</t>
  </si>
  <si>
    <t>印刷物</t>
  </si>
  <si>
    <t>お直し品預かり票印刷用 - シャツ</t>
  </si>
  <si>
    <t xml:space="preserve">再製作：318-6372-0626
</t>
  </si>
  <si>
    <t>お客さま詳細・管理メモテンプレ</t>
  </si>
  <si>
    <t>FABRIC TOKYO 新宿 2025-11-30 お直し適用サイズ
◼︎ シャツ（対応着地：再製作）
《修正数値》
着丈 : 4 cm
《仕上がり数値》
着丈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</si>
  <si>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CS確認依頼・共有事項テンプレ</t>
  </si>
  <si>
    <t>2P / 3P / セットアップ
お直し納期判定</t>
  </si>
  <si>
    <t>袖丈・裄丈・股下は左右であっても1箇所換算
シャツバスト・AHは二つで1箇所換算。AHのみいじりたいなど、AHの数値指定は一発再製作です
過去に股下お直しをしたことがあるパンツは、股下出しができません</t>
  </si>
  <si>
    <t>緑セル以外触らないでください。
保護をかけているので編集できないはずです。
万が一編集できたらモンさんまでご一報ください。</t>
  </si>
  <si>
    <t>ジャケット / ジャコット</t>
  </si>
  <si>
    <t>↓ 税込料金 ↓</t>
  </si>
  <si>
    <t>スラックス / カジュアルパンツ</t>
  </si>
  <si>
    <t>ベスト</t>
  </si>
  <si>
    <t>チノパン</t>
  </si>
  <si>
    <t>シャツ (フォーマル / タックアウト)</t>
  </si>
  <si>
    <t>ポロシャツ</t>
  </si>
  <si>
    <t>アルスターコート</t>
  </si>
  <si>
    <t>ショートステンカラーコート</t>
  </si>
  <si>
    <t>ステンカラーコート</t>
  </si>
  <si>
    <t>チェスターコート</t>
  </si>
  <si>
    <t>トレンチコート</t>
  </si>
  <si>
    <t>フーデッドコート</t>
  </si>
  <si>
    <t>カットソー</t>
  </si>
  <si>
    <t>【お直し詳細】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</si>
  <si>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お直し
↓ 数値 ↓</t>
  </si>
  <si>
    <t>↓ DB参照結果 ↓</t>
  </si>
  <si>
    <t>仕上げプレス</t>
  </si>
  <si>
    <t>//ジャケット//</t>
  </si>
  <si>
    <t>肩巾</t>
  </si>
  <si>
    <t>パンツウエスト</t>
  </si>
  <si>
    <t>バスト</t>
  </si>
  <si>
    <t>股上</t>
  </si>
  <si>
    <t>ウエスト</t>
  </si>
  <si>
    <t>バスト(長袖)</t>
  </si>
  <si>
    <t>-1</t>
  </si>
  <si>
    <t>ウエスト / センターベント</t>
  </si>
  <si>
    <t>股下 / シングル</t>
  </si>
  <si>
    <t>着丈</t>
  </si>
  <si>
    <t>バスト(半袖)</t>
  </si>
  <si>
    <t>//パンツ//</t>
  </si>
  <si>
    <t>ウエスト / サイドベンツ</t>
  </si>
  <si>
    <t>股下 / ダブル(3.5cm以下)</t>
  </si>
  <si>
    <t>怒り肩</t>
  </si>
  <si>
    <t>股下 / ダブル</t>
  </si>
  <si>
    <t>首まわり</t>
  </si>
  <si>
    <t>裾まわり</t>
  </si>
  <si>
    <t>袖丈</t>
  </si>
  <si>
    <t>ウエスト / ノーベント</t>
  </si>
  <si>
    <t>股下 / ダブル(4cm以上)</t>
  </si>
  <si>
    <t>なで肩</t>
  </si>
  <si>
    <t>股下 / ステッチ</t>
  </si>
  <si>
    <t>ヒップ仕上がり寸</t>
  </si>
  <si>
    <t>袖丈 / 本切羽なし</t>
  </si>
  <si>
    <t>渡り巾</t>
  </si>
  <si>
    <t>反身</t>
  </si>
  <si>
    <t>裄丈 (長袖)・カフスあり</t>
  </si>
  <si>
    <t>袖丈 / 本切羽あり</t>
  </si>
  <si>
    <t>ひざ巾</t>
  </si>
  <si>
    <t>屈身</t>
  </si>
  <si>
    <t>裄丈 (長袖)</t>
  </si>
  <si>
    <t>裄丈 (長袖)・カフスなし</t>
  </si>
  <si>
    <t>着丈 / センターベント</t>
  </si>
  <si>
    <t>すそ口巾 / シングル</t>
  </si>
  <si>
    <t>カフスまわり (長袖)</t>
  </si>
  <si>
    <t>袖口まわり (半袖)</t>
  </si>
  <si>
    <t>アームホール</t>
  </si>
  <si>
    <t>//ベスト//</t>
  </si>
  <si>
    <t>着丈 / サイドベンツ</t>
  </si>
  <si>
    <t>すそ口巾 / ダブル</t>
  </si>
  <si>
    <t>着丈 / ノーベント</t>
  </si>
  <si>
    <t>出尻</t>
  </si>
  <si>
    <t>すそ口巾 / ステッチ</t>
  </si>
  <si>
    <t>アームホール(長袖)</t>
  </si>
  <si>
    <t>肩パッド</t>
  </si>
  <si>
    <t>平尻</t>
  </si>
  <si>
    <t>O脚</t>
  </si>
  <si>
    <t>アームホール(半袖)</t>
  </si>
  <si>
    <t>4</t>
  </si>
  <si>
    <t>前股上</t>
  </si>
  <si>
    <t>//チノ//</t>
  </si>
  <si>
    <t>前丈前幅</t>
  </si>
  <si>
    <t>衿ミツ出し</t>
  </si>
  <si>
    <t>衿ミツ入れ</t>
  </si>
  <si>
    <t>背巾</t>
  </si>
  <si>
    <t>//シャツ//</t>
  </si>
  <si>
    <t>けまわし</t>
  </si>
  <si>
    <t>袖逃し</t>
  </si>
  <si>
    <t>打ち合いだし</t>
  </si>
  <si>
    <t>アーム前クリ</t>
  </si>
  <si>
    <t>鎌下げ（深）</t>
  </si>
  <si>
    <t>//ポロシャツ//</t>
  </si>
  <si>
    <t>鎌下げ（浅）</t>
  </si>
  <si>
    <t>鎌上げ（浅）</t>
  </si>
  <si>
    <t>鳩胸</t>
  </si>
  <si>
    <t>前肩</t>
  </si>
  <si>
    <t>つきとり</t>
  </si>
  <si>
    <t>//アルスターコート//</t>
  </si>
  <si>
    <t>//ショートステンカラーコート//</t>
  </si>
  <si>
    <t>//ステンカラーコート//</t>
  </si>
  <si>
    <t>//チェスターコート//</t>
  </si>
  <si>
    <t>//トレンチコート//</t>
  </si>
  <si>
    <t>//フーデッドコート//</t>
  </si>
  <si>
    <t>再製作：318-6372-0626</t>
  </si>
  <si>
    <t>FABRIC TOKYO 新宿 2025-11-30 お直し適用サイズ
◼︎ パンツ（対応着地：お直し）
《修正数値》
パンツウエスト : -2 cm
《仕上がり数値》
パンツウエスト : cm
◼︎ シャツ（対応着地：再製作）
《修正数値》
バスト(長袖) : -2 cm
ウエスト : -3 cm
首まわり : -1 cm
ヒップ仕上がり寸 : -3 cm
裄丈 (長袖) : -3 cm
《仕上がり数値》
バスト(長袖) : cm
ウエスト : cm
首まわり : cm
ヒップ仕上がり寸 : cm
裄丈 (長袖)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</si>
  <si>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-2</t>
  </si>
  <si>
    <t>-3</t>
  </si>
  <si>
    <t>FABRIC TOKYO 新宿 2025-11-30 お直し適用サイズ
◼︎ パンツ（対応着地：お直し）
《修正数値》
パンツウエスト : 2 cm
《仕上がり数値》
パンツウエスト : cm
◼︎ ベスト（対応着地：お直し）
《修正数値》
バスト : -2 cm
ウエスト : -2 cm
着丈 : -1 cm
《仕上がり数値》
バスト : cm
ウエスト : cm
着丈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</si>
  <si>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2</t>
  </si>
  <si>
    <t>再製作：318-0433-8440</t>
  </si>
  <si>
    <t>FABRIC TOKYO 吉祥寺 2025-11-30 お直し適用サイズ
FABRIC TOKYO 吉祥寺 2025-11-30 お直し適用サイズ ＊スーツサイズ
FABRIC TOKYO 吉祥寺 2025-11-30 お直し適用サイズ ＊ビジネスカジュアルサイズ
◼︎ ジャケット（対応着地：お直し）
《修正数値》
バスト : -2 cm
《仕上がり数値》
バスト : cm
◼︎ ベスト（対応着地：お直し）
《修正数値》
バスト : -2 cm
《仕上がり数値》
バスト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</si>
  <si>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FABRIC TOKYO 日本橋 2025-11-30 お直し適用サイズ
FABRIC TOKYO 日本橋 2025-11-30 お直し適用サイズ ＊スーツサイズ
FABRIC TOKYO 日本橋 2025-11-30 お直し適用サイズ ＊ビジネスカジュアルサイズ
◼︎ ジャケット（対応着地：お直し）
《修正数値》
ウエスト / センターベント : 2 cm
《仕上がり数値》
ウエスト / センターベント : cm
◼︎ パンツ（対応着地：お直し）
《修正数値》
股下 / シングル : 2 cm
《仕上がり数値》
股下 / シングル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</si>
  <si>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FABRIC TOKYO 日本橋 2025-11-30 お直し適用サイズ
◼︎ パンツ（対応着地：再製作）
《修正数値》
パンツウエスト : -2 cm
股上 : 2 cm
股下 / ダブル(3.5cm以下) : 5 cm
《仕上がり数値》
パンツウエスト : cm
股上 : cm
股下 / ダブル(3.5cm以下)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</si>
  <si>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5</t>
  </si>
  <si>
    <t>渋谷MODI</t>
  </si>
  <si>
    <t>FABRIC TOKYO 渋谷MODI 2025-11-30 お直し適用サイズ
FABRIC TOKYO 渋谷MODI 2025-11-30 お直し適用サイズ ＊スーツサイズ
FABRIC TOKYO 渋谷MODI 2025-11-30 お直し適用サイズ ＊ビジネスカジュアルサイズ
◼︎ ジャケット（対応着地：お直し）
《修正数値》
着丈 / センターベント : -1 cm
《仕上がり数値》
着丈 / センターベント : cm
◼︎ パンツ（対応着地：再製作）
《修正数値》
股下 / シングル : 2 cm
渡り巾 : -6 cm
《仕上がり数値》
股下 / シングル : cm
渡り巾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</si>
  <si>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-6</t>
  </si>
  <si>
    <t>FABRIC TOKYO 渋谷MODI 2025-11-30 お直し適用サイズ
FABRIC TOKYO 渋谷MODI 2025-11-30 お直し適用サイズ ＊スーツサイズ
FABRIC TOKYO 渋谷MODI 2025-11-30 お直し適用サイズ ＊ビジネスカジュアルサイズ
◼︎ ジャケット（対応着地：お直し）
《修正数値》
袖丈 / 本切羽あり : -2.5 cm
《仕上がり数値》
袖丈 / 本切羽あり : cm
◼︎ パンツ（対応着地：お直し）
《修正数値》
股下 / ダブル(4cm以上) : -4 cm
《仕上がり数値》
股下 / ダブル(4cm以上) : cm
◼︎ シャツ（対応着地：お直し）
《修正数値》
裄丈 (長袖) : -2 cm
《仕上がり数値》
裄丈 (長袖)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</si>
  <si>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-4</t>
  </si>
  <si>
    <t>-2.5</t>
  </si>
  <si>
    <t>FABRIC TOKYO 表参道 2025-11-30 お直し適用サイズ
◼︎ パンツ（対応着地：お直し）
《修正数値》
股下 / シングル : -3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</si>
  <si>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再製作品ロジNo：4996-9838-4721</t>
  </si>
  <si>
    <t xml:space="preserve">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</si>
  <si>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再製作品ロジNo：318-7136-2810</t>
  </si>
  <si>
    <t>FABRIC TOKYO 有楽町 2025-11-30 お直し適用サイズ
◼︎ パンツ（対応着地：お直し）
《修正数値》
パンツウエスト : -2 cm
《仕上がり数値》
パンツウエスト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</si>
  <si>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FABRIC TOKYO 有楽町 2025-11-30 お直し適用サイズ
FABRIC TOKYO 有楽町 2025-11-30 お直し適用サイズ ＊スーツサイズ
FABRIC TOKYO 有楽町 2025-11-30 お直し適用サイズ ＊ビジネスカジュアルサイズ
◼︎ ジャケット（対応着地：お直し）
《修正数値》
肩巾 : 0.5 cm
バスト : 2 cm
《仕上がり数値》
肩巾 : cm
バスト : cm
◼︎ パンツ（対応着地：お直し）
《修正数値》
パンツウエスト : 2 cm
《仕上がり数値》
パンツウエスト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</si>
  <si>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0.5</t>
  </si>
  <si>
    <t>再製作：318-5409-7391</t>
  </si>
  <si>
    <t>FABRIC TOKYO 横浜 2025-11-30 お直し適用サイズ
◼︎ ステンカラーコート（対応着地：お直し）
《修正数値》
ウエスト : -4 cm
着丈 : -5 cm
裾まわり : -4 cm
《仕上がり数値》
ウエスト : cm
着丈 : cm
裾まわり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</si>
  <si>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-5</t>
  </si>
  <si>
    <t>FABRIC TOKYO 横浜 2025-11-30 お直し適用サイズ
FABRIC TOKYO 横浜 2025-11-30 お直し適用サイズ ＊スーツサイズ
FABRIC TOKYO 横浜 2025-11-30 お直し適用サイズ ＊ビジネスカジュアルサイズ
◼︎ ジャケット（対応着地：お直し）
《修正数値》
バスト : 2 cm
ウエスト / センターベント : 3 cm
袖丈 / 本切羽なし : 1.5 cm
着丈 / センターベント : 1 cm
《仕上がり数値》
バスト : cm
ウエスト / センターベント : cm
袖丈 / 本切羽なし : cm
着丈 / センターベント : cm
◼︎ パンツ（対応着地：お直し）
《修正数値》
パンツウエスト : -1 cm
《仕上がり数値》
パンツウエスト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</si>
  <si>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3</t>
  </si>
  <si>
    <t>1.5</t>
  </si>
  <si>
    <t>1</t>
  </si>
  <si>
    <t>ウィメンズお直し限界値早見表</t>
  </si>
  <si>
    <t>FABRIC TOKYO 新宿 2025-11-30 お直し適用サイズ
◼︎ パンツ（対応着地：お直し）
《修正数値》
パンツウエスト / タックなし / タック1本 : 2 cm
渡り巾 : 0.5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t>
  </si>
  <si>
    <t>袖丈・裄丈・股下は左右であっても1箇所換算
過去に股下お直しをしたことがあるパンツは、股下出しができません</t>
  </si>
  <si>
    <t>スカート</t>
  </si>
  <si>
    <t>◼︎ ジャケット</t>
  </si>
  <si>
    <t>パンツウエスト / アジャスターゴム</t>
  </si>
  <si>
    <t>パンツウエスト / タックなし / タック1本</t>
  </si>
  <si>
    <t>◼︎ パンツ</t>
  </si>
  <si>
    <t>袖丈 / スリット仕様</t>
  </si>
  <si>
    <t>ひざ巾 / 裏地あり</t>
  </si>
  <si>
    <t>◼︎ スカート</t>
  </si>
  <si>
    <t>袖丈 / 本切羽無し</t>
  </si>
  <si>
    <t>ひざ巾 / 裏地なし</t>
  </si>
  <si>
    <t>袖丈 / 本切羽有り</t>
  </si>
  <si>
    <t>すそ口巾 / 裏地あり</t>
  </si>
  <si>
    <t>すそ口巾 / 裏地なし</t>
  </si>
  <si>
    <t>股下</t>
  </si>
  <si>
    <t>必ずアイテムの縫製タグを確認し、注文詳細IDの個数を ↓「注文詳細ID数」↓ に入力してください。（単位の入力は不要です）
・お直し内容は同じでも、注文詳細IDが複数ある場合、異なる注文詳細IDの個数を入力します（送料を注文詳細IDごとに請求しているため）。
・ツーパンツの場合は、注文詳細IDが同じなので、注文詳細ID数は「1」です。</t>
  </si>
  <si>
    <t>※管理ツールからの請求方法について</t>
  </si>
  <si>
    <t>ここの列幅は200pt</t>
  </si>
  <si>
    <t>↑ ここ3つの列幅は100pt ↑　　　　↑</t>
  </si>
  <si>
    <t>お預かり方法</t>
  </si>
  <si>
    <t>配送方法</t>
  </si>
  <si>
    <t>注文詳細ID数</t>
  </si>
  <si>
    <t>配送料</t>
  </si>
  <si>
    <t>お直し費用合計（税込）</t>
  </si>
  <si>
    <t>店舗預かり</t>
  </si>
  <si>
    <t>ご自宅配送</t>
  </si>
  <si>
    <t>※お直しキャンセルになった場合、返送費用は
お客様負担の着払いになります。</t>
  </si>
  <si>
    <t>マジックミシンの料金表はこちら
ビッグママはこちら</t>
  </si>
  <si>
    <t>ここにアイテム名を記載（DBと全く同じにすること）</t>
  </si>
  <si>
    <t>着数</t>
  </si>
  <si>
    <t>↓ 1箇所納期 ↓</t>
  </si>
  <si>
    <t>↓ 税込料金↓</t>
  </si>
  <si>
    <t>着数
↓ (SP有は2) ↓</t>
  </si>
  <si>
    <t>→これは修正しなくてOK（登録アイテム名に自動対応するから）→</t>
  </si>
  <si>
    <t>6,7行目内(ここの2行)の関数はいじらないでOK（アイテム名に自動的に対応する）</t>
  </si>
  <si>
    <t>↓ 以下の関数は参照セルが正しいか必ず確認する（納期、金額の判定になる）
既存の表の関数を見れば対応の仕方がだいたいわかるはず</t>
  </si>
  <si>
    <t>肩巾（パターン限界値から -4cm~+6cmの範囲内で調整すること）</t>
  </si>
  <si>
    <t>◼︎ ベスト</t>
  </si>
  <si>
    <t>股下 / シングル（左右であっても1箇所換算）</t>
  </si>
  <si>
    <t>着丈（出しのお直しは背中取り換えになります）</t>
  </si>
  <si>
    <t>ウエスト（パターン限界値から ±4cmの範囲内で調整すること）</t>
  </si>
  <si>
    <t>ウエスト（パターン限界値から -4cm~+6cm かつドロップ16cmの範囲内で調整すること）</t>
  </si>
  <si>
    <t>股下 / ダブル(3.5cm以下)（左右であっても1箇所換算）</t>
  </si>
  <si>
    <t>股下 / ダブル（左右であっても1箇所換算）</t>
  </si>
  <si>
    <t>裾まわり（パターン限界値から ±8cmの範囲内で調整すること）</t>
  </si>
  <si>
    <t>袖丈（パターン限界値から ±20cmの範囲内で調整すること）</t>
  </si>
  <si>
    <t>◼︎ チノ</t>
  </si>
  <si>
    <t>股下 / ダブル(4cm以上)（左右であっても1箇所換算）</t>
  </si>
  <si>
    <t>股下 / ステッチ（左右であっても1箇所換算）</t>
  </si>
  <si>
    <t>着丈（パターン限界値から ±20cmの範囲内で調整すること）</t>
  </si>
  <si>
    <t>袖丈 / 本切羽なし（※左右であっても1箇所換算）</t>
  </si>
  <si>
    <t>すそ口巾</t>
  </si>
  <si>
    <t>裄丈 (長袖)・カフスあり（左右であっても1箇所換算）</t>
  </si>
  <si>
    <t>裾まわり（パターン限界値から -4cm~+3cmの範囲内で調整すること）</t>
  </si>
  <si>
    <t>◼︎ シャツ</t>
  </si>
  <si>
    <t>袖丈 / 本切羽あり（※左右であっても1箇所換算）</t>
  </si>
  <si>
    <t>裄丈 (長袖)（左右であっても1箇所換算）</t>
  </si>
  <si>
    <t>裄丈 (長袖)・カフスなし（左右であっても1箇所換算）</t>
  </si>
  <si>
    <t>◼︎ ポロシャツ</t>
  </si>
  <si>
    <t>◼︎ アルスターコート</t>
  </si>
  <si>
    <t>◼︎ ショートステンカラーコート</t>
  </si>
  <si>
    <t>◼︎ ステンカラーコート</t>
  </si>
  <si>
    <t>◼︎ チェスターコート</t>
  </si>
  <si>
    <t>◼︎ フーデッドコート</t>
  </si>
  <si>
    <t>けまわし（※逆補正を含む、補正が入っていない時のみ、お直し可）</t>
  </si>
  <si>
    <t>鎌下げ（浅）（※逆補正を含む、補正が入っていない時のみ、お直し可）</t>
  </si>
  <si>
    <t>鎌上げ（浅）（※逆補正を含む、補正が入っていない時のみ、お直し可）</t>
  </si>
  <si>
    <t>つきとり（※逆補正を含む、補正が入っていない時のみ、お直し可）</t>
  </si>
  <si>
    <t>お直し
↓箇所数 (全合計) ↓</t>
  </si>
  <si>
    <t>お直し
↓箇所数↓</t>
  </si>
  <si>
    <t>↓ ここから下の関数は参照セルが正しいか必ず確認する（納期、金額の判定になる）
既存の表の関数を見れば対応の仕方がだいたいわかるはず</t>
  </si>
  <si>
    <t>再プレスのみ</t>
  </si>
  <si>
    <t>ボタン購入のみ（配送料不要）</t>
  </si>
  <si>
    <t>ボタン購入のみ</t>
  </si>
  <si>
    <t>ボタンお直し (購入＋つけ直し)（対応NG：生地破損がおきているもの）</t>
  </si>
  <si>
    <t>ボタンお直し (購入＋つけ直し)</t>
  </si>
  <si>
    <t>緩くなったボタンの付け直し</t>
  </si>
  <si>
    <t>地糸切れ (パンク) 縫いなおし（※表地・裏地ともに破れなしの場合のみ対応可
対応NG：生地自体に破損がある場合）</t>
  </si>
  <si>
    <t>地糸切れ (パンク) 縫いなおし</t>
  </si>
  <si>
    <t>ダブルすそスナップ付け直し</t>
  </si>
  <si>
    <t>ベルトループの付け直し</t>
  </si>
  <si>
    <t>すそまつり直し (裾・裏地)（対応NG：生地破損がおきているもの）</t>
  </si>
  <si>
    <t>すそまつり直し (裾・裏地)</t>
  </si>
  <si>
    <t>すそほつれ直し (ルイス直し)（対応NG：生地破損がおきているもの）</t>
  </si>
  <si>
    <t>すそほつれ直し (ルイス直し)</t>
  </si>
  <si>
    <t>ベルトループ交換</t>
  </si>
  <si>
    <t>ベルトループ自体の破損（・共布必要
・裾がシングルの場合、過去にすそお直ししていなければ共布無しでも2本までは対応可
対応NG；生地破損がおきている。共布がなく、ダブルすそ。共布がなく、過去にすそお直しをしている。）</t>
  </si>
  <si>
    <t>ベルトループ自体の破損</t>
  </si>
  <si>
    <t>かけはぎ　縦横5㎝×5cm以内（※ 共布必要
対応NG：股ずれ等、元の生地が摩耗している場合 (繊維をつむぐことが出来ないため)）</t>
  </si>
  <si>
    <t>かけはぎ　縦横5㎝×5cm以内</t>
  </si>
  <si>
    <t>裏地ほつれ補修 （すそ裏地ほつれお直し）</t>
  </si>
  <si>
    <t xml:space="preserve">裏地ほつれ補修 </t>
  </si>
  <si>
    <t>タタキ (小) 4cm四方以内（※補修布必要。似寄り生地で対応可
対応NG：アームホール、肩周り、衿周り周辺。縫い目から破けている破損。裏地のお直し。）</t>
  </si>
  <si>
    <t>タタキ (小) 4cm四方以内</t>
  </si>
  <si>
    <t>裏地ほつれ補修 （※膝裏地裾部分のみ）</t>
  </si>
  <si>
    <t>かけはぎ　縦横5㎝×5cm以内（※ 共布必要
股ずれ等の生地が摩耗している場合、繊維をつむぐことが出来ない為、対応不可。）</t>
  </si>
  <si>
    <t>かけはぎ　縦横5㎝×5cm以内（※ 共布必要
股ずれ等の生地が摩耗している場合、繊維をつむぐことが出来ない為、対応不可。
※裾シングルの場合、縫い代で4cm×4cmまで対応可、過去に裾お直ししている場合は不可）</t>
  </si>
  <si>
    <t>タタキ (大) 4㎝四方以上（※技術的には10cm四方以上も修繕できるが、5cm×5cm以上は見た目としても、耐久性としても品質担保ができない
対応NG：アームホール、肩周り、衿周り周辺。縫い目から破けている破損。裏地のお直し。）</t>
  </si>
  <si>
    <t>タタキ (大) 4㎝四方以上</t>
  </si>
  <si>
    <t>途中で切れたクリースステッチのお直し</t>
  </si>
  <si>
    <t>タタキ (小) 4cm四方以内（補修布必要。似寄り生地で対応可）</t>
  </si>
  <si>
    <t>ファスナーのお直し（どうしても弊社でのお直しを希望の場合のみ。FT瑕疵（サポート期間内）でない限り、一次判断の時点ですべて「対応不可」）</t>
  </si>
  <si>
    <t>ファスナーのお直し</t>
  </si>
  <si>
    <t>タタキ (大) 4㎝四方以上（※技術的には10cm四方以上も修繕できるが、5cm×5cm以上は見た目としても、耐久性としても品質担保ができない）</t>
  </si>
  <si>
    <t>タタキ (大) 10㎝四方以上（※技術的には10cm四方以上も修繕できるが、5cm×5cm以上は見た目としても、耐久性としても品質担保ができない）</t>
  </si>
  <si>
    <t>タタキ (大) 10㎝四方以上</t>
  </si>
  <si>
    <t>ベルトループの付け直し（対応NG：生地破損がおきているもの）</t>
  </si>
  <si>
    <t>ベルトループ自体の破損（・共布必要
・裾がシングルの場合、過去にすそお直ししていなければ共布無しでも2本までは対応可
対応NG：生地破損がおきているもの。共布がなく、ダブルすそ。共布がなく、過去にすそお直しをしているシングルすそ。）</t>
  </si>
  <si>
    <t>サイドアジャスター修理（サポート外の場合、状況判断後、対応不可の可能性もあり）</t>
  </si>
  <si>
    <t>サイドアジャスター修理</t>
  </si>
  <si>
    <t>股擦れ防止加工後付け（後付けのお直しで行う場合、スラックスの裏地部分にかぶるような形であて布が付くような仕様となるため、着用感にやや変化が生じる場合がある。ご了承いたたけた場合のみ対応可）</t>
  </si>
  <si>
    <t>股擦れ防止加工後付け</t>
  </si>
  <si>
    <t>4998-1642-4822</t>
  </si>
  <si>
    <t>お直し判断票（スーツ用）</t>
  </si>
  <si>
    <t>対応店舗名
お名前</t>
  </si>
  <si>
    <t>TEL</t>
  </si>
  <si>
    <t>03-6384-2373</t>
  </si>
  <si>
    <t>注文詳細ID</t>
  </si>
  <si>
    <t>対応者</t>
  </si>
  <si>
    <t>仕上がり
予定日：</t>
  </si>
  <si>
    <t>配送先の変更はありませんか？</t>
  </si>
  <si>
    <t>変更配送先</t>
  </si>
  <si>
    <t>備考</t>
  </si>
  <si>
    <t>採寸対応詳細</t>
  </si>
  <si>
    <t xml:space="preserve">　全身再採寸</t>
  </si>
  <si>
    <t xml:space="preserve">　一部再採寸</t>
  </si>
  <si>
    <t xml:space="preserve">　再採寸なし</t>
  </si>
  <si>
    <t>首周り</t>
  </si>
  <si>
    <t>袖丈 右</t>
  </si>
  <si>
    <t>袖丈 左</t>
  </si>
  <si>
    <t>裄丈 右</t>
  </si>
  <si>
    <t>cm</t>
  </si>
  <si>
    <t>裄丈 左</t>
  </si>
  <si>
    <t>手首まわり</t>
  </si>
  <si>
    <t>ウエストトップ</t>
  </si>
  <si>
    <t>太もも</t>
  </si>
  <si>
    <t>膝まわり</t>
  </si>
  <si>
    <t>ふくらはぎ</t>
  </si>
  <si>
    <t>ヒップ</t>
  </si>
  <si>
    <t>＝＝＝＝＝＝＝＝＝＝＝＝＝＝＝＝＝＝＝＝＝＝＝＝＝＝＝＝＝＝＝＝＝＝＝＝＝＝＝＝＝＝＝＝＝＝＝＝＝＝＝＝＝＝＝＝＝＝＝＝＝＝＝＝＝＝＝＝＝＝＝＝＝＝＝＝＝＝＝＝＝＝＝＝＝＝＝＝＝＝＝＝＝＝＝＝＝＝＝＝＝＝＝＝＝＝＝＝＝＝＝＝＝＝＝＝＝＝＝＝</t>
  </si>
  <si>
    <t>修理内容</t>
  </si>
  <si>
    <t xml:space="preserve">　ジャケット</t>
  </si>
  <si>
    <t xml:space="preserve">　スラックス</t>
  </si>
  <si>
    <t xml:space="preserve">　ベスト</t>
  </si>
  <si>
    <t xml:space="preserve">　傷・汚れあり</t>
  </si>
  <si>
    <t>（詳細：　　　　　　　　　　　　　　　　　　　）</t>
  </si>
  <si>
    <t>ジャケット</t>
  </si>
  <si>
    <t>スラックス</t>
  </si>
  <si>
    <t>部位</t>
  </si>
  <si>
    <t>修正数値</t>
  </si>
  <si>
    <t>仕上がり数値</t>
  </si>
  <si>
    <t>追
加
補
正</t>
  </si>
  <si>
    <t>削
除
補
正</t>
  </si>
  <si>
    <t>備
考</t>
  </si>
  <si>
    <t>お直し判断票（シャツ用）</t>
  </si>
  <si>
    <t>＝＝＝＝＝＝＝＝＝＝＝＝＝＝＝＝＝＝＝＝＝＝＝＝＝＝＝＝＝＝＝＝＝＝＝＝＝＝＝＝＝＝＝＝＝＝＝＝＝＝＝＝＝＝＝＝＝＝＝＝＝＝＝＝＝＝＝＝＝＝＝＝＝＝＝＝＝＝＝＝＝＝＝＝＝＝＝＝＝＝＝＝</t>
  </si>
  <si>
    <t>（詳細：　　　　　　　　　　　　　　　　　　　　　　　　　　）</t>
  </si>
  <si>
    <t>追加補正</t>
  </si>
  <si>
    <t>削除補正</t>
  </si>
  <si>
    <t>このシートは何
ビジカジ総裏で、生地替え再製作になった場合に、裏地パターンを確認するシートです。
①生地替え前の商品の生地品番を入力
②生地替え後の商品の生地品番を入力
選んだ生地が同じ裏地パターンであれば、生地替え再製作可能です。</t>
  </si>
  <si>
    <t xml:space="preserve"> の COUNTA</t>
  </si>
  <si>
    <t>入力欄</t>
  </si>
  <si>
    <t>裏地パターン　自動表記</t>
  </si>
  <si>
    <t>①生地替え前の生地品番</t>
  </si>
  <si>
    <t>B180089</t>
  </si>
  <si>
    <t>総裏不可</t>
  </si>
  <si>
    <t>総裏可</t>
  </si>
  <si>
    <t>②生地替え後の生地品番</t>
  </si>
  <si>
    <t>A180303</t>
  </si>
  <si>
    <t>以下DB</t>
  </si>
  <si>
    <t>アイテム</t>
  </si>
  <si>
    <t>修正受付可能値</t>
  </si>
  <si>
    <t>変動可能値</t>
  </si>
  <si>
    <t>補足 ・注意点</t>
  </si>
  <si>
    <t>シャツ</t>
  </si>
  <si>
    <t>シャツの首</t>
  </si>
  <si>
    <t>仰せのまま受付
-3cm〜＋3cm</t>
  </si>
  <si>
    <t>0.5cm間隔で受付可能</t>
  </si>
  <si>
    <t>−1.5cm以上⇨ゆとりが少ないため第一ボタンを閉めた際に窮屈感を感じる恐れがございます。
＋1.5cm以上⇨ゆとりが多いため、ネクタイを閉めた際に襟元に皺がよる可能性がございます。</t>
  </si>
  <si>
    <t>カフスまわり</t>
  </si>
  <si>
    <t>制限なし
-1cm〜+1cm以上の場合、
注意はお伝えする</t>
  </si>
  <si>
    <r>
      <rPr>
        <rFont val="Arial"/>
        <b/>
        <color rgb="FF1155CC"/>
        <sz val="11.0"/>
        <u/>
      </rPr>
      <t xml:space="preserve">−1cm以上⇨ゆとりが少ないため窮屈に感じる可能性がございます
＋1cm以上⇨ゆとりが多いので手首でしっかりとカフスが止まらず裄丈が長く感じる可能性がございます。
</t>
    </r>
    <r>
      <rPr>
        <rFont val="Arial"/>
        <b/>
        <color rgb="FFFF0000"/>
        <sz val="11.0"/>
        <u/>
      </rPr>
      <t>※時計用カフスをすでに選択しているお客様には、必ず次回注文時も時計用カフスを選択するように案内すること！</t>
    </r>
    <r>
      <rPr>
        <rFont val="Arial"/>
        <b/>
        <color rgb="FF000000"/>
        <sz val="11.0"/>
        <u/>
      </rPr>
      <t xml:space="preserve">
(</t>
    </r>
    <r>
      <rPr>
        <rFont val="Arial"/>
        <b/>
        <color rgb="FF1155CC"/>
        <sz val="11.0"/>
        <u/>
      </rPr>
      <t>カスタマイズ保存機能</t>
    </r>
    <r>
      <rPr>
        <rFont val="Arial"/>
        <b/>
        <color rgb="FF1155CC"/>
        <sz val="11.0"/>
        <u/>
      </rPr>
      <t>が親切)</t>
    </r>
  </si>
  <si>
    <t>裄丈</t>
  </si>
  <si>
    <t>※制限なし</t>
  </si>
  <si>
    <t>ただ+-3.5cmになったら写真もしくは店舗に促して欲しい
→ジャケットからシャツの袖が見えすぎ（見えなくなる）になる可能性がございます。</t>
  </si>
  <si>
    <t>仰せのまま受付
-2〜＋2</t>
  </si>
  <si>
    <t>1.0cm間隔で受付可能</t>
  </si>
  <si>
    <t xml:space="preserve">再製作になるしシルエットがおかしくなるため
5cm以上は受付ない認識でいる、、、
着丈が+2cmの時はウエストを出すなど処理も必要なパターンもある
（ドロップ弱い人ほど注意）
</t>
  </si>
  <si>
    <r>
      <rPr>
        <rFont val="Arial"/>
        <b/>
        <color theme="1"/>
        <sz val="14.0"/>
      </rPr>
      <t xml:space="preserve">-2cm〜+2cm
</t>
    </r>
    <r>
      <rPr>
        <rFont val="Arial"/>
        <b/>
        <color rgb="FFFF0000"/>
        <sz val="11.0"/>
      </rPr>
      <t>これ以上は要写真</t>
    </r>
  </si>
  <si>
    <t>ドロップは16cm以下になるように注意
バストとウエストは基本セットで考える
※バストがきついよのひとはバストのみ(ドロップはみてね)</t>
  </si>
  <si>
    <t>ドロップ：
・〜16cmまでOK
・17cm〜はNG</t>
  </si>
  <si>
    <r>
      <rPr>
        <rFont val="Arial"/>
        <b/>
        <color theme="1"/>
        <sz val="14.0"/>
      </rPr>
      <t xml:space="preserve">-2cm〜+2cm
</t>
    </r>
    <r>
      <rPr>
        <rFont val="Arial"/>
        <b/>
        <color rgb="FFFF0000"/>
        <sz val="11.0"/>
      </rPr>
      <t>これ以上は要写真</t>
    </r>
  </si>
  <si>
    <t>ドロップは16cm以下になるように注意
※ウエストきついよの人はヒップ=腰回り
も連動して提案(むしろヒップだけ説もある)</t>
  </si>
  <si>
    <r>
      <rPr>
        <rFont val="Arial"/>
        <b/>
        <color theme="1"/>
        <sz val="14.0"/>
      </rPr>
      <t xml:space="preserve">-2cm〜+2cm
</t>
    </r>
    <r>
      <rPr>
        <rFont val="Arial"/>
        <b/>
        <color rgb="FFFF0000"/>
        <sz val="11.0"/>
      </rPr>
      <t>これ以上は要写真</t>
    </r>
  </si>
  <si>
    <t>ウエストより小さい仕上がり数値にならないように注意
同寸になった場合は、ヒップ仕上がり寸を＋1cmにする
ヒップヌード+3cm（新ロジック）</t>
  </si>
  <si>
    <r>
      <rPr>
        <rFont val="Arial"/>
        <b/>
        <color theme="1"/>
        <sz val="14.0"/>
      </rPr>
      <t xml:space="preserve">-1cm〜+1cm
</t>
    </r>
    <r>
      <rPr>
        <rFont val="Arial"/>
        <b/>
        <color rgb="FFFF0000"/>
        <sz val="14.0"/>
      </rPr>
      <t>これ以上は要写真</t>
    </r>
  </si>
  <si>
    <t>袖も連動
　肩というよりバストの説
肩のどこがきついなどをチェックする必要がある</t>
  </si>
  <si>
    <t>仰せのまま受付
-5cm〜＋5cm</t>
  </si>
  <si>
    <t>シャツの裄丈-肩巾÷2を計算し、袖丈サイズとしたときにシャツの方が長くなるor短くなるようであれば、そのお伝えしても良いかも</t>
  </si>
  <si>
    <r>
      <rPr>
        <rFont val="Arial"/>
        <b/>
        <color theme="1"/>
        <sz val="14.0"/>
      </rPr>
      <t>-2cm〜＋2cm</t>
    </r>
    <r>
      <rPr>
        <rFont val="Arial"/>
        <b/>
        <color theme="1"/>
        <sz val="11.0"/>
      </rPr>
      <t xml:space="preserve">
</t>
    </r>
    <r>
      <rPr>
        <rFont val="Arial"/>
        <b/>
        <color rgb="FFFF0000"/>
        <sz val="14.0"/>
      </rPr>
      <t>これ以上は要写真</t>
    </r>
  </si>
  <si>
    <r>
      <rPr>
        <rFont val="Arial"/>
        <b/>
        <color theme="1"/>
        <sz val="14.0"/>
      </rPr>
      <t xml:space="preserve">0.5cm間隔で受付可能
</t>
    </r>
    <r>
      <rPr>
        <rFont val="Arial"/>
        <b/>
        <color rgb="FFFF0000"/>
        <sz val="9.0"/>
      </rPr>
      <t>※0.5cmは変化が感じられないためこちらからはご案内していません。
その旨もお伝えした上で、お客さまからどうしてもと言われた場合のみ</t>
    </r>
  </si>
  <si>
    <t>身長からの平均基準値を参考にして、短すぎる長すぎる場合、それぞれのデメリットご案内
長い→お尻が全て隠れてしまう可能性がる
短い→お尻の出てしまうのでカジュアルな装いになる可能性がございます。
2cm以上はウエスト位置も変わるので案内注意</t>
  </si>
  <si>
    <r>
      <rPr>
        <rFont val="Arial"/>
        <b/>
        <color theme="1"/>
        <sz val="14.0"/>
      </rPr>
      <t xml:space="preserve">-2cm〜+2cm
</t>
    </r>
    <r>
      <rPr>
        <rFont val="Arial"/>
        <b/>
        <color rgb="FFFF0000"/>
        <sz val="11.0"/>
      </rPr>
      <t>これ以上は要写真</t>
    </r>
  </si>
  <si>
    <r>
      <rPr>
        <rFont val="Arial"/>
        <b/>
        <color theme="1"/>
        <sz val="11.0"/>
      </rPr>
      <t xml:space="preserve">ヌード寸からゆとり10cm以下である場合は、窮屈になる可能性があるので、ボタンを閉めた時にシワが入る可能性があること
</t>
    </r>
    <r>
      <rPr>
        <rFont val="Arial"/>
        <b/>
        <color rgb="FFFF0000"/>
        <sz val="11.0"/>
      </rPr>
      <t>ドロップ18cm以下になるように注意
※YA体かAB体にする（ビジネスカジュアルジャケット製作のパターンのため）例外 A-22〜はそのままでOK</t>
    </r>
  </si>
  <si>
    <t>ドロップ：
・〜18cmまでOK
・19cm〜はNG</t>
  </si>
  <si>
    <r>
      <rPr>
        <rFont val="Arial"/>
        <b/>
        <color theme="1"/>
        <sz val="14.0"/>
      </rPr>
      <t xml:space="preserve">-2cm〜+2cm
</t>
    </r>
    <r>
      <rPr>
        <rFont val="Arial"/>
        <b/>
        <color rgb="FFFF0000"/>
        <sz val="11.0"/>
      </rPr>
      <t>これ以上は要写真</t>
    </r>
  </si>
  <si>
    <t>2.0cm間隔で受付可能</t>
  </si>
  <si>
    <r>
      <rPr>
        <rFont val="Arial"/>
        <b/>
        <color theme="1"/>
        <sz val="11.0"/>
      </rPr>
      <t xml:space="preserve">ヌード寸からゆとり10cm以下である場合は、窮屈になる可能性があるので、ボタンを閉めた時にシワが入る可能性があること
</t>
    </r>
    <r>
      <rPr>
        <rFont val="Arial"/>
        <b/>
        <color rgb="FFFF0000"/>
        <sz val="11.0"/>
      </rPr>
      <t>ドロップ18cm以下になるように注意
※YA体かAB体にする（ビジネスカジュアルジャケット製作のパターンのため）例外 A-22〜はそのままでOK</t>
    </r>
  </si>
  <si>
    <r>
      <rPr>
        <rFont val="Arial"/>
        <b/>
        <color theme="1"/>
        <sz val="14.0"/>
      </rPr>
      <t xml:space="preserve">-1cm〜+1cm
</t>
    </r>
    <r>
      <rPr>
        <rFont val="Arial"/>
        <b/>
        <color rgb="FFFF0000"/>
        <sz val="11.0"/>
      </rPr>
      <t>(基本要写真)</t>
    </r>
  </si>
  <si>
    <r>
      <rPr>
        <rFont val="Arial"/>
        <b/>
        <color theme="1"/>
        <sz val="11.0"/>
      </rPr>
      <t xml:space="preserve">必ず写真もらおう、、、
</t>
    </r>
    <r>
      <rPr>
        <rFont val="Arial"/>
        <b/>
        <color rgb="FFFF0000"/>
        <sz val="11.0"/>
      </rPr>
      <t>※YA体かAB体にする（ビジネスカジュアルジャケット製作のパターンのため）例外 A-22〜はそのままでOK</t>
    </r>
  </si>
  <si>
    <t>-5cm〜＋4cm</t>
  </si>
  <si>
    <t>0.5cm間隔で受付可</t>
  </si>
  <si>
    <t>長くする時：裾口細いまま長くしたらだぶつく点は注意。。。</t>
  </si>
  <si>
    <r>
      <rPr>
        <rFont val="Arial"/>
        <b/>
        <color theme="1"/>
        <sz val="14.0"/>
      </rPr>
      <t xml:space="preserve">-1cm〜+1cm
</t>
    </r>
    <r>
      <rPr>
        <rFont val="Arial"/>
        <b/>
        <color rgb="FFFF0000"/>
        <sz val="11.0"/>
      </rPr>
      <t>これ以上は要写真</t>
    </r>
  </si>
  <si>
    <r>
      <rPr>
        <rFont val="Arial"/>
        <b/>
        <color rgb="FF000000"/>
        <sz val="10.0"/>
      </rPr>
      <t>お客様申告なので柔軟に対応する</t>
    </r>
    <r>
      <rPr>
        <rFont val="Arial"/>
        <b/>
        <color rgb="FF000000"/>
        <sz val="14.0"/>
      </rPr>
      <t xml:space="preserve">
-4cm〜＋4cm</t>
    </r>
  </si>
  <si>
    <t>1cm間隔で受付可能</t>
  </si>
  <si>
    <r>
      <rPr>
        <rFont val="arial"/>
        <b/>
        <color theme="1"/>
        <sz val="11.0"/>
      </rPr>
      <t xml:space="preserve">
留意点：ヒップ連動しているため、
お尻気にしている人にはヒップも多少大きく(小さく)なりますよ。とお伝えする。
</t>
    </r>
    <r>
      <rPr>
        <rFont val="arial"/>
        <b/>
        <color rgb="FFFF0000"/>
        <sz val="12.0"/>
      </rPr>
      <t>2cm以上変わると、ゲージが変わるし、ヒップ(1cm)も変わるので注意</t>
    </r>
  </si>
  <si>
    <t>わたり巾</t>
  </si>
  <si>
    <t>-1cm〜+0.5cm
※半寸</t>
  </si>
  <si>
    <t>半寸0.5cm間隔で受付可</t>
  </si>
  <si>
    <t>-1.5cm〜+1.5cm
※半寸</t>
  </si>
  <si>
    <t>膝ヌード寸で一旦受付判断する
★膝ヌード寸ゆとり8cmで細みです
細い場合留意点：ゆとりが少ないため、座った際に窮屈感を感じる恐れがございます。
（適宜）また、破損につながる場合もございますので予めご留意くださいませ。</t>
  </si>
  <si>
    <t>すそ巾</t>
  </si>
  <si>
    <t>裾 ヌード寸ふくらはぎ-1➗2を標準とする
細い場合留意点：上記より以下の数値の場合、座ると裾が上がり足に引っかかりやすく、着脱しづらい可能性がございます。
※16cmまでしかできない</t>
  </si>
  <si>
    <r>
      <rPr>
        <rFont val="Arial"/>
        <b/>
        <color theme="1"/>
        <sz val="14.0"/>
      </rPr>
      <t xml:space="preserve">ベスト
</t>
    </r>
    <r>
      <rPr>
        <rFont val="Arial"/>
        <b/>
        <color rgb="FFFF0000"/>
        <sz val="14.0"/>
      </rPr>
      <t>(基本要写真)</t>
    </r>
  </si>
  <si>
    <r>
      <rPr>
        <rFont val="Arial"/>
        <b/>
        <color theme="1"/>
        <sz val="14.0"/>
      </rPr>
      <t xml:space="preserve">-2cm〜+2cm
</t>
    </r>
    <r>
      <rPr>
        <rFont val="Arial"/>
        <b/>
        <color rgb="FFFF0000"/>
        <sz val="11.0"/>
      </rPr>
      <t>これ以上は要写真</t>
    </r>
  </si>
  <si>
    <t>※基本的に新ロジック推奨サイズを薦める
ヌード＋11ぐらいが良い（9~12）
詰める場合はパンツウエストを下回らないように</t>
  </si>
  <si>
    <r>
      <rPr>
        <rFont val="Arial"/>
        <b/>
        <color theme="1"/>
        <sz val="14.0"/>
      </rPr>
      <t xml:space="preserve">-4cm〜+2cm
</t>
    </r>
    <r>
      <rPr>
        <rFont val="Arial"/>
        <b/>
        <color rgb="FFFF0000"/>
        <sz val="11.0"/>
      </rPr>
      <t>これ以上は要写真</t>
    </r>
  </si>
  <si>
    <t>※基本的に新ロジック推奨サイズを薦める
ヌード＋5ぐらいが良い（4~6）
ドロップ値は10~12ぐらい（限界値16cm）</t>
  </si>
  <si>
    <t>背丈</t>
  </si>
  <si>
    <r>
      <rPr>
        <rFont val="Arial"/>
        <b/>
        <color theme="1"/>
        <sz val="14.0"/>
      </rPr>
      <t xml:space="preserve"> -1cm〜+0.5cm</t>
    </r>
    <r>
      <rPr>
        <rFont val="Arial"/>
        <b/>
        <color rgb="FFFF0000"/>
        <sz val="11.0"/>
      </rPr>
      <t xml:space="preserve">
これ以上は要写真</t>
    </r>
  </si>
  <si>
    <t xml:space="preserve">
ベルト隠れるぐらいが着丈の目安</t>
  </si>
  <si>
    <t>※上がり寸法 工場許容範囲表</t>
  </si>
  <si>
    <t>参考メモ：カジュアルジャケットの着丈スーツサイズより-1~2cmにすることがある
カジュアルパンツの股下：スーツサイズより-2cmぐらいにすることがある
裾巾：スーツサイズより-0.5cmぐらいにすることがある</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</si>
</sst>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411]#,##0"/>
    <numFmt numFmtId="165" formatCode="yyyy/m/d"/>
    <numFmt numFmtId="166" formatCode="m&quot;月&quot;d&quot;日 (&quot;ddd&quot;)&quot;"/>
    <numFmt numFmtId="167" formatCode="0&quot;点&quot;"/>
    <numFmt numFmtId="168" formatCode="0&quot;着&quot;"/>
    <numFmt numFmtId="169" formatCode="[$¥-411]#,##0.00"/>
    <numFmt numFmtId="170" formatCode="0&quot;箇所&quot;"/>
    <numFmt numFmtId="171" formatCode="yyyy/MM/dd"/>
    <numFmt numFmtId="172" formatCode="yyyy/mm/dd"/>
    <numFmt numFmtId="173" formatCode="&quot;¥&quot;#,##0"/>
    <numFmt numFmtId="174" formatCode="0.0"/>
  </numFmts>
  <fonts count="97">
    <font>
      <sz val="10.0"/>
      <color rgb="FF000000"/>
      <name val="Arial"/>
      <scheme val="minor"/>
    </font>
    <font>
      <b/>
      <sz val="20.0"/>
      <color theme="1"/>
      <name val="Arial"/>
      <scheme val="minor"/>
    </font>
    <font>
      <sz val="14.0"/>
      <color theme="1"/>
      <name val="Arial"/>
      <scheme val="minor"/>
    </font>
    <font>
      <u/>
      <sz val="14.0"/>
      <color rgb="FF0000FF"/>
    </font>
    <font>
      <u/>
      <sz val="14.0"/>
      <color rgb="FF0000FF"/>
    </font>
    <font>
      <sz val="14.0"/>
      <color theme="1"/>
      <name val="Arial"/>
    </font>
    <font>
      <u/>
      <sz val="14.0"/>
      <color rgb="FF0000FF"/>
      <name val="Arial"/>
    </font>
    <font>
      <u/>
      <sz val="14.0"/>
      <color rgb="FF0000FF"/>
      <name val="Arial"/>
    </font>
    <font>
      <color theme="1"/>
      <name val="Arial"/>
    </font>
    <font>
      <u/>
      <sz val="14.0"/>
      <color rgb="FF1155CC"/>
      <name val="Arial"/>
    </font>
    <font>
      <b/>
      <color theme="1"/>
      <name val="Arial"/>
    </font>
    <font>
      <b/>
      <sz val="14.0"/>
      <color theme="1"/>
      <name val="Arial"/>
    </font>
    <font/>
    <font>
      <sz val="12.0"/>
      <color rgb="FFFF0000"/>
      <name val="Arial"/>
    </font>
    <font>
      <b/>
      <sz val="11.0"/>
      <color theme="1"/>
      <name val="Arial"/>
    </font>
    <font>
      <b/>
      <sz val="11.0"/>
      <color rgb="FF20124D"/>
      <name val="Arial"/>
    </font>
    <font>
      <sz val="11.0"/>
      <color theme="1"/>
      <name val="Arial"/>
    </font>
    <font>
      <sz val="11.0"/>
      <color rgb="FF20124D"/>
      <name val="Arial"/>
    </font>
    <font>
      <sz val="11.0"/>
      <color rgb="FF1D1C1D"/>
      <name val="Arial"/>
    </font>
    <font>
      <b/>
      <sz val="11.0"/>
      <color rgb="FF1D1C1D"/>
      <name val="Arial"/>
    </font>
    <font>
      <b/>
      <u/>
      <sz val="9.0"/>
      <color rgb="FF0000FF"/>
      <name val="Arial"/>
    </font>
    <font>
      <u/>
      <color rgb="FF0000FF"/>
      <name val="Arial"/>
    </font>
    <font>
      <sz val="7.0"/>
      <color theme="1"/>
      <name val="Arial"/>
    </font>
    <font>
      <color rgb="FF000000"/>
      <name val="Arial"/>
    </font>
    <font>
      <color rgb="FF000000"/>
      <name val="Arial"/>
      <scheme val="minor"/>
    </font>
    <font>
      <sz val="24.0"/>
      <color rgb="FF000000"/>
      <name val="Arial"/>
    </font>
    <font>
      <color theme="1"/>
      <name val="Arial"/>
      <scheme val="minor"/>
    </font>
    <font>
      <b/>
      <u/>
      <color rgb="FF0000FF"/>
      <name val="Arial"/>
    </font>
    <font>
      <b/>
      <color rgb="FFFFFFFF"/>
      <name val="Arial"/>
    </font>
    <font>
      <b/>
      <sz val="18.0"/>
      <color theme="1"/>
      <name val="Arial"/>
    </font>
    <font>
      <b/>
      <sz val="11.0"/>
      <color rgb="FFFF0000"/>
      <name val="Arial"/>
    </font>
    <font>
      <b/>
      <sz val="12.0"/>
      <color rgb="FFFFFFFF"/>
      <name val="Arial"/>
    </font>
    <font>
      <b/>
      <color rgb="FF000000"/>
      <name val="Arial"/>
    </font>
    <font>
      <u/>
      <color rgb="FF0000FF"/>
    </font>
    <font>
      <color rgb="FFFFFFFF"/>
      <name val="Arial"/>
    </font>
    <font>
      <color rgb="FFFFFFFF"/>
      <name val="Arial"/>
      <scheme val="minor"/>
    </font>
    <font>
      <sz val="24.0"/>
      <color rgb="FFFFFFFF"/>
      <name val="Arial"/>
    </font>
    <font>
      <sz val="18.0"/>
      <color rgb="FFFFFFFF"/>
      <name val="Arial"/>
    </font>
    <font>
      <u/>
      <color rgb="FFFFFFFF"/>
      <name val="Arial"/>
    </font>
    <font>
      <sz val="24.0"/>
      <color theme="1"/>
      <name val="Arial"/>
      <scheme val="minor"/>
    </font>
    <font>
      <b/>
      <sz val="13.0"/>
      <color rgb="FFFF0000"/>
      <name val="Arial"/>
      <scheme val="minor"/>
    </font>
    <font>
      <b/>
      <u/>
      <sz val="16.0"/>
      <color rgb="FF0000FF"/>
    </font>
    <font>
      <sz val="14.0"/>
      <color rgb="FFFFFFFF"/>
      <name val="Arial"/>
      <scheme val="minor"/>
    </font>
    <font>
      <b/>
      <sz val="14.0"/>
      <color rgb="FFFFFFFF"/>
      <name val="Arial"/>
      <scheme val="minor"/>
    </font>
    <font>
      <sz val="10.0"/>
      <color theme="1"/>
      <name val="Arial"/>
      <scheme val="minor"/>
    </font>
    <font>
      <sz val="10.0"/>
      <color theme="1"/>
      <name val="Arial"/>
    </font>
    <font>
      <b/>
      <color theme="1"/>
      <name val="Arial"/>
      <scheme val="minor"/>
    </font>
    <font>
      <b/>
      <color rgb="FFFF0000"/>
      <name val="Arial"/>
    </font>
    <font>
      <b/>
      <sz val="10.0"/>
      <color theme="1"/>
      <name val="Arial"/>
      <scheme val="minor"/>
    </font>
    <font>
      <b/>
      <sz val="14.0"/>
      <color theme="1"/>
      <name val="Open Sans"/>
    </font>
    <font>
      <b/>
      <sz val="24.0"/>
      <color theme="1"/>
      <name val="Open Sans"/>
    </font>
    <font>
      <u/>
      <sz val="12.0"/>
      <color rgb="FF1155CC"/>
      <name val="Arial"/>
    </font>
    <font>
      <b/>
      <i/>
      <sz val="12.0"/>
      <color rgb="FFFFFFFF"/>
      <name val="Arial"/>
      <scheme val="minor"/>
    </font>
    <font>
      <b/>
      <u/>
      <sz val="12.0"/>
      <color rgb="FF1155CC"/>
      <name val="Arial"/>
    </font>
    <font>
      <b/>
      <sz val="18.0"/>
      <color rgb="FF000000"/>
      <name val="Arial"/>
    </font>
    <font>
      <b/>
      <sz val="16.0"/>
      <color rgb="FF000000"/>
      <name val="Arial"/>
    </font>
    <font>
      <b/>
      <sz val="12.0"/>
      <color rgb="FF000000"/>
      <name val="Arial"/>
    </font>
    <font>
      <sz val="7.0"/>
      <color rgb="FF000000"/>
      <name val="Arial"/>
    </font>
    <font>
      <sz val="12.0"/>
      <color rgb="FF000000"/>
      <name val="Arial"/>
    </font>
    <font>
      <sz val="16.0"/>
      <color rgb="FF000000"/>
      <name val="Arial"/>
    </font>
    <font>
      <color rgb="FFFF0000"/>
      <name val="Arial"/>
      <scheme val="minor"/>
    </font>
    <font>
      <color rgb="FFFF0000"/>
      <name val="Arial"/>
    </font>
    <font>
      <sz val="8.0"/>
      <color theme="1"/>
      <name val="Arial"/>
      <scheme val="minor"/>
    </font>
    <font>
      <color theme="1"/>
      <name val="HiraMinPro-W3"/>
    </font>
    <font>
      <b/>
      <color theme="1"/>
      <name val="HiraMinPro-W3"/>
    </font>
    <font>
      <b/>
      <sz val="12.0"/>
      <color theme="1"/>
      <name val="Arial"/>
    </font>
    <font>
      <sz val="6.0"/>
      <color theme="1"/>
      <name val="Arial"/>
      <scheme val="minor"/>
    </font>
    <font>
      <color theme="1"/>
      <name val="Roboto"/>
    </font>
    <font>
      <sz val="6.0"/>
      <color theme="1"/>
      <name val="Roboto"/>
    </font>
    <font>
      <sz val="8.0"/>
      <color theme="1"/>
      <name val="Roboto"/>
    </font>
    <font>
      <b/>
      <sz val="36.0"/>
      <color rgb="FF666666"/>
      <name val="Arial"/>
    </font>
    <font>
      <b/>
      <sz val="36.0"/>
      <color rgb="FFFFFFFF"/>
      <name val="Arial"/>
    </font>
    <font>
      <b/>
      <sz val="10.0"/>
      <color rgb="FFFFFFFF"/>
      <name val="Arial"/>
    </font>
    <font>
      <b/>
      <sz val="12.0"/>
      <color rgb="FFFFFFFF"/>
      <name val="Arial"/>
      <scheme val="minor"/>
    </font>
    <font>
      <b/>
      <sz val="12.0"/>
      <color theme="1"/>
      <name val="Arial"/>
      <scheme val="minor"/>
    </font>
    <font>
      <b/>
      <sz val="14.0"/>
      <color theme="1"/>
      <name val="Arial"/>
      <scheme val="minor"/>
    </font>
    <font>
      <b/>
      <sz val="14.0"/>
      <color rgb="FF000000"/>
      <name val="Arial"/>
    </font>
    <font>
      <b/>
      <sz val="20.0"/>
      <color rgb="FF666666"/>
      <name val="Arial"/>
    </font>
    <font>
      <b/>
      <sz val="14.0"/>
      <color rgb="FFFF0000"/>
      <name val="Arial"/>
      <scheme val="minor"/>
    </font>
    <font>
      <b/>
      <sz val="14.0"/>
      <color rgb="FF666666"/>
      <name val="Arial"/>
      <scheme val="minor"/>
    </font>
    <font>
      <sz val="9.0"/>
      <color theme="1"/>
      <name val="Arial"/>
    </font>
    <font>
      <sz val="9.0"/>
      <color rgb="FF000000"/>
      <name val="&quot;Google Sans Mono&quot;"/>
    </font>
    <font>
      <sz val="11.0"/>
      <color theme="1"/>
      <name val="Arial"/>
      <scheme val="minor"/>
    </font>
    <font>
      <sz val="20.0"/>
      <color theme="1"/>
      <name val="Arial"/>
    </font>
    <font>
      <color theme="1"/>
      <name val="Arimo"/>
    </font>
    <font>
      <b/>
      <sz val="10.0"/>
      <color theme="1"/>
      <name val="Arial"/>
    </font>
    <font>
      <b/>
      <sz val="10.0"/>
      <color rgb="FF000000"/>
      <name val="Arial"/>
    </font>
    <font>
      <b/>
      <sz val="20.0"/>
      <color rgb="FF000000"/>
      <name val="Arial"/>
    </font>
    <font>
      <sz val="12.0"/>
      <color theme="1"/>
      <name val="Arial"/>
      <scheme val="minor"/>
    </font>
    <font>
      <b/>
      <color rgb="FFFFFFFF"/>
      <name val="Arial"/>
      <scheme val="minor"/>
    </font>
    <font>
      <sz val="15.0"/>
      <color theme="1"/>
      <name val="Arial"/>
      <scheme val="minor"/>
    </font>
    <font>
      <sz val="17.0"/>
      <color theme="1"/>
      <name val="Arial"/>
      <scheme val="minor"/>
    </font>
    <font>
      <sz val="16.0"/>
      <color theme="1"/>
      <name val="Arial"/>
      <scheme val="minor"/>
    </font>
    <font>
      <b/>
      <sz val="18.0"/>
      <color rgb="FFFFFFFF"/>
      <name val="Arial"/>
    </font>
    <font>
      <b/>
      <sz val="13.0"/>
      <color rgb="FF000000"/>
      <name val="Arial"/>
    </font>
    <font>
      <b/>
      <u/>
      <sz val="11.0"/>
      <color rgb="FF1155CC"/>
      <name val="Arial"/>
    </font>
    <font>
      <u/>
      <color rgb="FF1155CC"/>
      <name val="Arial"/>
    </font>
  </fonts>
  <fills count="26">
    <fill>
      <patternFill patternType="none"/>
    </fill>
    <fill>
      <patternFill patternType="lightGray"/>
    </fill>
    <fill>
      <patternFill patternType="solid">
        <fgColor rgb="FFFFF2CC"/>
        <bgColor rgb="FFFFF2CC"/>
      </patternFill>
    </fill>
    <fill>
      <patternFill patternType="solid">
        <fgColor rgb="FFB7B7B7"/>
        <bgColor rgb="FFB7B7B7"/>
      </patternFill>
    </fill>
    <fill>
      <patternFill patternType="solid">
        <fgColor rgb="FFF4CCCC"/>
        <bgColor rgb="FFF4CCCC"/>
      </patternFill>
    </fill>
    <fill>
      <patternFill patternType="solid">
        <fgColor rgb="FFFCE5CD"/>
        <bgColor rgb="FFFCE5CD"/>
      </patternFill>
    </fill>
    <fill>
      <patternFill patternType="solid">
        <fgColor rgb="FFF9CB9C"/>
        <bgColor rgb="FFF9CB9C"/>
      </patternFill>
    </fill>
    <fill>
      <patternFill patternType="solid">
        <fgColor rgb="FFC9DAF8"/>
        <bgColor rgb="FFC9DAF8"/>
      </patternFill>
    </fill>
    <fill>
      <patternFill patternType="solid">
        <fgColor rgb="FFA4C2F4"/>
        <bgColor rgb="FFA4C2F4"/>
      </patternFill>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
      <patternFill patternType="solid">
        <fgColor rgb="FFCCCCCC"/>
        <bgColor rgb="FFCCCCCC"/>
      </patternFill>
    </fill>
    <fill>
      <patternFill patternType="solid">
        <fgColor rgb="FFEA9999"/>
        <bgColor rgb="FFEA9999"/>
      </patternFill>
    </fill>
    <fill>
      <patternFill patternType="solid">
        <fgColor rgb="FFD9EAD3"/>
        <bgColor rgb="FFD9EAD3"/>
      </patternFill>
    </fill>
    <fill>
      <patternFill patternType="solid">
        <fgColor rgb="FF666666"/>
        <bgColor rgb="FF666666"/>
      </patternFill>
    </fill>
    <fill>
      <patternFill patternType="solid">
        <fgColor rgb="FFD9D9D9"/>
        <bgColor rgb="FFD9D9D9"/>
      </patternFill>
    </fill>
    <fill>
      <patternFill patternType="solid">
        <fgColor rgb="FFEFEFEF"/>
        <bgColor rgb="FFEFEFEF"/>
      </patternFill>
    </fill>
    <fill>
      <patternFill patternType="solid">
        <fgColor rgb="FFFFFF00"/>
        <bgColor rgb="FFFFFF00"/>
      </patternFill>
    </fill>
    <fill>
      <patternFill patternType="solid">
        <fgColor rgb="FF00FF00"/>
        <bgColor rgb="FF00FF00"/>
      </patternFill>
    </fill>
    <fill>
      <patternFill patternType="solid">
        <fgColor rgb="FF9900FF"/>
        <bgColor rgb="FF9900FF"/>
      </patternFill>
    </fill>
    <fill>
      <patternFill patternType="solid">
        <fgColor rgb="FF38761D"/>
        <bgColor rgb="FF38761D"/>
      </patternFill>
    </fill>
    <fill>
      <patternFill patternType="solid">
        <fgColor rgb="FF6D9EEB"/>
        <bgColor rgb="FF6D9EEB"/>
      </patternFill>
    </fill>
    <fill>
      <patternFill patternType="solid">
        <fgColor rgb="FFCC0000"/>
        <bgColor rgb="FFCC0000"/>
      </patternFill>
    </fill>
    <fill>
      <patternFill patternType="solid">
        <fgColor rgb="FFF6B26B"/>
        <bgColor rgb="FFF6B26B"/>
      </patternFill>
    </fill>
    <fill>
      <patternFill patternType="solid">
        <fgColor rgb="FF000000"/>
        <bgColor rgb="FF000000"/>
      </patternFill>
    </fill>
  </fills>
  <borders count="56">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rder>
    <border>
      <left style="medium">
        <color rgb="FF000000"/>
      </left>
      <right style="medium">
        <color rgb="FF000000"/>
      </right>
      <top style="medium">
        <color rgb="FF000000"/>
      </top>
    </border>
    <border>
      <left style="thin">
        <color rgb="FF000000"/>
      </left>
      <right style="thin">
        <color rgb="FF434343"/>
      </right>
      <top style="thin">
        <color rgb="FF000000"/>
      </top>
    </border>
    <border>
      <left style="thick">
        <color rgb="FF000000"/>
      </left>
      <top style="thick">
        <color rgb="FF000000"/>
      </top>
    </border>
    <border>
      <right style="thick">
        <color rgb="FF000000"/>
      </right>
      <top style="thick">
        <color rgb="FF000000"/>
      </top>
    </border>
    <border>
      <left style="thick">
        <color rgb="FF000000"/>
      </left>
      <right style="thick">
        <color rgb="FF000000"/>
      </right>
      <top style="thick">
        <color rgb="FF000000"/>
      </top>
      <bottom style="thick">
        <color rgb="FF000000"/>
      </bottom>
    </border>
    <border>
      <left style="thick">
        <color rgb="FFFF0000"/>
      </left>
      <right style="thick">
        <color rgb="FFFF0000"/>
      </right>
      <top style="thick">
        <color rgb="FFFF0000"/>
      </top>
      <bottom style="thick">
        <color rgb="FFFF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n">
        <color rgb="FF356854"/>
      </left>
      <right style="thin">
        <color rgb="FF356854"/>
      </right>
      <top style="thin">
        <color rgb="FF284E3F"/>
      </top>
      <bottom style="thin">
        <color rgb="FF284E3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bottom style="thick">
        <color rgb="FF000000"/>
      </bottom>
    </border>
    <border>
      <left style="thin">
        <color rgb="FF000000"/>
      </left>
      <top style="thin">
        <color rgb="FF000000"/>
      </top>
      <bottom style="dotted">
        <color rgb="FF000000"/>
      </bottom>
    </border>
    <border>
      <top style="thin">
        <color rgb="FF000000"/>
      </top>
      <bottom style="dotted">
        <color rgb="FF000000"/>
      </bottom>
    </border>
    <border>
      <left style="dotted">
        <color rgb="FF000000"/>
      </left>
      <top style="thin">
        <color rgb="FF000000"/>
      </top>
      <bottom style="dotted">
        <color rgb="FF000000"/>
      </bottom>
    </border>
    <border>
      <right style="thin">
        <color rgb="FF000000"/>
      </right>
      <top style="thin">
        <color rgb="FF000000"/>
      </top>
      <bottom style="dotted">
        <color rgb="FF000000"/>
      </bottom>
    </border>
    <border>
      <left style="thin">
        <color rgb="FF000000"/>
      </left>
      <top style="dotted">
        <color rgb="FF000000"/>
      </top>
      <bottom style="dotted">
        <color rgb="FF000000"/>
      </bottom>
    </border>
    <border>
      <top style="dotted">
        <color rgb="FF000000"/>
      </top>
      <bottom style="dotted">
        <color rgb="FF000000"/>
      </bottom>
    </border>
    <border>
      <left style="dotted">
        <color rgb="FF000000"/>
      </left>
      <top style="dotted">
        <color rgb="FF000000"/>
      </top>
      <bottom style="dotted">
        <color rgb="FF000000"/>
      </bottom>
    </border>
    <border>
      <right style="thin">
        <color rgb="FF000000"/>
      </right>
      <top style="dotted">
        <color rgb="FF000000"/>
      </top>
      <bottom style="dotted">
        <color rgb="FF000000"/>
      </bottom>
    </border>
    <border>
      <left style="dotted">
        <color rgb="FF000000"/>
      </left>
      <bottom style="thin">
        <color rgb="FF000000"/>
      </bottom>
    </border>
    <border>
      <left style="thin">
        <color rgb="FF000000"/>
      </left>
    </border>
    <border>
      <right style="thin">
        <color rgb="FF000000"/>
      </right>
    </border>
    <border>
      <right style="thin">
        <color rgb="FF000000"/>
      </right>
      <bottom style="dotted">
        <color rgb="FF000000"/>
      </bottom>
    </border>
    <border>
      <left style="thin">
        <color rgb="FF000000"/>
      </left>
      <right style="thin">
        <color rgb="FF000000"/>
      </right>
      <bottom style="dotted">
        <color rgb="FF000000"/>
      </bottom>
    </border>
    <border>
      <bottom style="dotted">
        <color rgb="FF000000"/>
      </bottom>
    </border>
    <border>
      <bottom style="medium">
        <color rgb="FF000000"/>
      </bottom>
    </border>
    <border>
      <right style="medium">
        <color rgb="FF000000"/>
      </right>
    </border>
    <border>
      <right style="dotted">
        <color rgb="FF000000"/>
      </right>
      <bottom style="medium">
        <color rgb="FF000000"/>
      </bottom>
    </border>
    <border>
      <right style="medium">
        <color rgb="FF000000"/>
      </right>
      <bottom style="medium">
        <color rgb="FF000000"/>
      </bottom>
    </border>
    <border>
      <right style="dotted">
        <color rgb="FF000000"/>
      </right>
    </border>
    <border>
      <right style="dotted">
        <color rgb="FF000000"/>
      </right>
      <bottom style="dotted">
        <color rgb="FF000000"/>
      </bottom>
    </border>
    <border>
      <right style="medium">
        <color rgb="FF000000"/>
      </right>
      <bottom style="dotted">
        <color rgb="FF000000"/>
      </bottom>
    </border>
  </borders>
  <cellStyleXfs count="1">
    <xf borderId="0" fillId="0" fontId="0" numFmtId="0" applyAlignment="1" applyFont="1"/>
  </cellStyleXfs>
  <cellXfs count="895">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2" numFmtId="0" xfId="0" applyFont="1"/>
    <xf borderId="0" fillId="0" fontId="2" numFmtId="0" xfId="0" applyAlignment="1" applyFont="1">
      <alignment readingOrder="0"/>
    </xf>
    <xf borderId="0" fillId="0" fontId="2" numFmtId="0" xfId="0" applyAlignment="1" applyFont="1">
      <alignment readingOrder="0"/>
    </xf>
    <xf borderId="1" fillId="0" fontId="2" numFmtId="0" xfId="0" applyAlignment="1" applyBorder="1" applyFont="1">
      <alignment readingOrder="0"/>
    </xf>
    <xf borderId="1" fillId="0" fontId="3" numFmtId="0" xfId="0" applyAlignment="1" applyBorder="1" applyFont="1">
      <alignment readingOrder="0"/>
    </xf>
    <xf borderId="0" fillId="0" fontId="4" numFmtId="0" xfId="0" applyAlignment="1" applyFont="1">
      <alignment readingOrder="0"/>
    </xf>
    <xf borderId="1" fillId="0" fontId="5" numFmtId="0" xfId="0" applyAlignment="1" applyBorder="1" applyFont="1">
      <alignment vertical="bottom"/>
    </xf>
    <xf borderId="1" fillId="0" fontId="6" numFmtId="0" xfId="0" applyAlignment="1" applyBorder="1" applyFont="1">
      <alignment readingOrder="0" vertical="bottom"/>
    </xf>
    <xf borderId="0" fillId="0" fontId="7" numFmtId="0" xfId="0" applyAlignment="1" applyFont="1">
      <alignment readingOrder="0" vertical="bottom"/>
    </xf>
    <xf borderId="0" fillId="0" fontId="8" numFmtId="0" xfId="0" applyAlignment="1" applyFont="1">
      <alignment vertical="bottom"/>
    </xf>
    <xf borderId="0" fillId="0" fontId="8" numFmtId="0" xfId="0" applyAlignment="1" applyFont="1">
      <alignment vertical="bottom"/>
    </xf>
    <xf borderId="1" fillId="0" fontId="5" numFmtId="0" xfId="0" applyAlignment="1" applyBorder="1" applyFont="1">
      <alignment vertical="bottom"/>
    </xf>
    <xf borderId="0" fillId="0" fontId="5" numFmtId="0" xfId="0" applyAlignment="1" applyFont="1">
      <alignment readingOrder="0" vertical="bottom"/>
    </xf>
    <xf borderId="1" fillId="0" fontId="5" numFmtId="0" xfId="0" applyAlignment="1" applyBorder="1" applyFont="1">
      <alignment readingOrder="0" vertical="bottom"/>
    </xf>
    <xf borderId="0" fillId="0" fontId="5" numFmtId="0" xfId="0" applyAlignment="1" applyFont="1">
      <alignment vertical="bottom"/>
    </xf>
    <xf borderId="0" fillId="0" fontId="9" numFmtId="0" xfId="0" applyAlignment="1" applyFont="1">
      <alignment vertical="bottom"/>
    </xf>
    <xf borderId="0" fillId="2" fontId="10" numFmtId="14" xfId="0" applyAlignment="1" applyFill="1" applyFont="1" applyNumberFormat="1">
      <alignment horizontal="right"/>
    </xf>
    <xf borderId="2" fillId="3" fontId="11" numFmtId="0" xfId="0" applyAlignment="1" applyBorder="1" applyFill="1" applyFont="1">
      <alignment vertical="bottom"/>
    </xf>
    <xf borderId="2" fillId="3" fontId="11" numFmtId="0" xfId="0" applyAlignment="1" applyBorder="1" applyFont="1">
      <alignment horizontal="center" vertical="bottom"/>
    </xf>
    <xf borderId="3" fillId="0" fontId="12" numFmtId="0" xfId="0" applyBorder="1" applyFont="1"/>
    <xf borderId="4" fillId="0" fontId="12" numFmtId="0" xfId="0" applyBorder="1" applyFont="1"/>
    <xf borderId="5" fillId="4" fontId="11" numFmtId="0" xfId="0" applyAlignment="1" applyBorder="1" applyFill="1" applyFont="1">
      <alignment vertical="bottom"/>
    </xf>
    <xf borderId="6" fillId="4" fontId="11" numFmtId="0" xfId="0" applyAlignment="1" applyBorder="1" applyFont="1">
      <alignment horizontal="center"/>
    </xf>
    <xf borderId="7" fillId="0" fontId="12" numFmtId="0" xfId="0" applyBorder="1" applyFont="1"/>
    <xf borderId="8" fillId="0" fontId="12" numFmtId="0" xfId="0" applyBorder="1" applyFont="1"/>
    <xf borderId="0" fillId="0" fontId="8" numFmtId="0" xfId="0" applyFont="1"/>
    <xf borderId="5" fillId="5" fontId="11" numFmtId="0" xfId="0" applyAlignment="1" applyBorder="1" applyFill="1" applyFont="1">
      <alignment vertical="bottom"/>
    </xf>
    <xf borderId="6" fillId="5" fontId="11" numFmtId="14" xfId="0" applyAlignment="1" applyBorder="1" applyFont="1" applyNumberFormat="1">
      <alignment horizontal="right"/>
    </xf>
    <xf borderId="6" fillId="6" fontId="11" numFmtId="0" xfId="0" applyAlignment="1" applyBorder="1" applyFill="1" applyFont="1">
      <alignment vertical="bottom"/>
    </xf>
    <xf borderId="1" fillId="6" fontId="8" numFmtId="0" xfId="0" applyAlignment="1" applyBorder="1" applyFont="1">
      <alignment vertical="bottom"/>
    </xf>
    <xf borderId="1" fillId="6" fontId="11" numFmtId="14" xfId="0" applyAlignment="1" applyBorder="1" applyFont="1" applyNumberFormat="1">
      <alignment horizontal="right" vertical="bottom"/>
    </xf>
    <xf borderId="1" fillId="0" fontId="12" numFmtId="0" xfId="0" applyBorder="1" applyFont="1"/>
    <xf borderId="9" fillId="0" fontId="12" numFmtId="0" xfId="0" applyBorder="1" applyFont="1"/>
    <xf borderId="5" fillId="7" fontId="11" numFmtId="0" xfId="0" applyAlignment="1" applyBorder="1" applyFill="1" applyFont="1">
      <alignment vertical="bottom"/>
    </xf>
    <xf borderId="6" fillId="7" fontId="11" numFmtId="14" xfId="0" applyAlignment="1" applyBorder="1" applyFont="1" applyNumberFormat="1">
      <alignment horizontal="right"/>
    </xf>
    <xf borderId="6" fillId="8" fontId="11" numFmtId="0" xfId="0" applyAlignment="1" applyBorder="1" applyFill="1" applyFont="1">
      <alignment vertical="bottom"/>
    </xf>
    <xf borderId="1" fillId="8" fontId="8" numFmtId="0" xfId="0" applyAlignment="1" applyBorder="1" applyFont="1">
      <alignment vertical="bottom"/>
    </xf>
    <xf borderId="1" fillId="8" fontId="11" numFmtId="14" xfId="0" applyAlignment="1" applyBorder="1" applyFont="1" applyNumberFormat="1">
      <alignment horizontal="right" vertical="bottom"/>
    </xf>
    <xf borderId="0" fillId="0" fontId="8" numFmtId="0" xfId="0" applyFont="1"/>
    <xf borderId="0" fillId="0" fontId="13" numFmtId="0" xfId="0" applyAlignment="1" applyFont="1">
      <alignment vertical="bottom"/>
    </xf>
    <xf borderId="0" fillId="0" fontId="13" numFmtId="0" xfId="0" applyAlignment="1" applyFont="1">
      <alignment vertical="bottom"/>
    </xf>
    <xf borderId="6" fillId="5" fontId="11" numFmtId="0" xfId="0" applyAlignment="1" applyBorder="1" applyFont="1">
      <alignment vertical="bottom"/>
    </xf>
    <xf borderId="6" fillId="7" fontId="11" numFmtId="0" xfId="0" applyAlignment="1" applyBorder="1" applyFont="1">
      <alignment vertical="bottom"/>
    </xf>
    <xf borderId="10" fillId="9" fontId="10" numFmtId="0" xfId="0" applyAlignment="1" applyBorder="1" applyFill="1" applyFont="1">
      <alignment horizontal="center"/>
    </xf>
    <xf borderId="11" fillId="0" fontId="12" numFmtId="0" xfId="0" applyBorder="1" applyFont="1"/>
    <xf borderId="12" fillId="0" fontId="12" numFmtId="0" xfId="0" applyBorder="1" applyFont="1"/>
    <xf borderId="0" fillId="9" fontId="8" numFmtId="0" xfId="0" applyFont="1"/>
    <xf borderId="13" fillId="9" fontId="10" numFmtId="0" xfId="0" applyAlignment="1" applyBorder="1" applyFont="1">
      <alignment horizontal="center"/>
    </xf>
    <xf borderId="14" fillId="10" fontId="10" numFmtId="0" xfId="0" applyAlignment="1" applyBorder="1" applyFill="1" applyFont="1">
      <alignment horizontal="center"/>
    </xf>
    <xf borderId="13" fillId="0" fontId="8" numFmtId="0" xfId="0" applyBorder="1" applyFont="1"/>
    <xf borderId="14" fillId="4" fontId="10" numFmtId="0" xfId="0" applyAlignment="1" applyBorder="1" applyFont="1">
      <alignment horizontal="center"/>
    </xf>
    <xf borderId="13" fillId="0" fontId="14" numFmtId="0" xfId="0" applyAlignment="1" applyBorder="1" applyFont="1">
      <alignment horizontal="center"/>
    </xf>
    <xf borderId="13" fillId="4" fontId="14" numFmtId="0" xfId="0" applyAlignment="1" applyBorder="1" applyFont="1">
      <alignment horizontal="center"/>
    </xf>
    <xf borderId="13" fillId="5" fontId="14" numFmtId="0" xfId="0" applyAlignment="1" applyBorder="1" applyFont="1">
      <alignment horizontal="center"/>
    </xf>
    <xf borderId="13" fillId="6" fontId="15" numFmtId="0" xfId="0" applyAlignment="1" applyBorder="1" applyFont="1">
      <alignment horizontal="center"/>
    </xf>
    <xf borderId="5" fillId="0" fontId="10" numFmtId="0" xfId="0" applyAlignment="1" applyBorder="1" applyFont="1">
      <alignment horizontal="center"/>
    </xf>
    <xf borderId="5" fillId="0" fontId="10" numFmtId="0" xfId="0" applyAlignment="1" applyBorder="1" applyFont="1">
      <alignment horizontal="center" vertical="bottom"/>
    </xf>
    <xf borderId="5" fillId="9" fontId="10" numFmtId="0" xfId="0" applyAlignment="1" applyBorder="1" applyFont="1">
      <alignment horizontal="center"/>
    </xf>
    <xf borderId="5" fillId="0" fontId="8" numFmtId="0" xfId="0" applyBorder="1" applyFont="1"/>
    <xf borderId="6" fillId="4" fontId="10" numFmtId="0" xfId="0" applyAlignment="1" applyBorder="1" applyFont="1">
      <alignment horizontal="center"/>
    </xf>
    <xf borderId="5" fillId="0" fontId="14" numFmtId="0" xfId="0" applyAlignment="1" applyBorder="1" applyFont="1">
      <alignment horizontal="center"/>
    </xf>
    <xf borderId="5" fillId="4" fontId="14" numFmtId="0" xfId="0" applyAlignment="1" applyBorder="1" applyFont="1">
      <alignment horizontal="center"/>
    </xf>
    <xf borderId="5" fillId="7" fontId="14" numFmtId="0" xfId="0" applyAlignment="1" applyBorder="1" applyFont="1">
      <alignment horizontal="center"/>
    </xf>
    <xf borderId="5" fillId="8" fontId="15" numFmtId="0" xfId="0" applyAlignment="1" applyBorder="1" applyFont="1">
      <alignment horizontal="center"/>
    </xf>
    <xf borderId="15" fillId="9" fontId="10" numFmtId="0" xfId="0" applyAlignment="1" applyBorder="1" applyFont="1">
      <alignment horizontal="center"/>
    </xf>
    <xf borderId="16" fillId="0" fontId="10" numFmtId="0" xfId="0" applyAlignment="1" applyBorder="1" applyFont="1">
      <alignment horizontal="center" vertical="bottom"/>
    </xf>
    <xf borderId="16" fillId="0" fontId="8" numFmtId="0" xfId="0" applyAlignment="1" applyBorder="1" applyFont="1">
      <alignment horizontal="center"/>
    </xf>
    <xf borderId="5" fillId="0" fontId="8" numFmtId="0" xfId="0" applyAlignment="1" applyBorder="1" applyFont="1">
      <alignment horizontal="center" vertical="bottom"/>
    </xf>
    <xf borderId="5" fillId="0" fontId="8" numFmtId="0" xfId="0" applyAlignment="1" applyBorder="1" applyFont="1">
      <alignment vertical="bottom"/>
    </xf>
    <xf borderId="5" fillId="3" fontId="8" numFmtId="0" xfId="0" applyAlignment="1" applyBorder="1" applyFont="1">
      <alignment horizontal="center"/>
    </xf>
    <xf borderId="5" fillId="3" fontId="8" numFmtId="0" xfId="0" applyAlignment="1" applyBorder="1" applyFont="1">
      <alignment horizontal="center"/>
    </xf>
    <xf borderId="5" fillId="5" fontId="8" numFmtId="0" xfId="0" applyAlignment="1" applyBorder="1" applyFont="1">
      <alignment horizontal="center"/>
    </xf>
    <xf borderId="5" fillId="11" fontId="8" numFmtId="0" xfId="0" applyAlignment="1" applyBorder="1" applyFill="1" applyFont="1">
      <alignment horizontal="center"/>
    </xf>
    <xf borderId="5" fillId="0" fontId="16" numFmtId="0" xfId="0" applyAlignment="1" applyBorder="1" applyFont="1">
      <alignment horizontal="right" vertical="bottom"/>
    </xf>
    <xf borderId="5" fillId="4" fontId="16" numFmtId="14" xfId="0" applyAlignment="1" applyBorder="1" applyFont="1" applyNumberFormat="1">
      <alignment horizontal="center"/>
    </xf>
    <xf borderId="5" fillId="5" fontId="16" numFmtId="14" xfId="0" applyAlignment="1" applyBorder="1" applyFont="1" applyNumberFormat="1">
      <alignment horizontal="center"/>
    </xf>
    <xf borderId="5" fillId="6" fontId="17" numFmtId="14" xfId="0" applyAlignment="1" applyBorder="1" applyFont="1" applyNumberFormat="1">
      <alignment horizontal="center"/>
    </xf>
    <xf borderId="5" fillId="0" fontId="8" numFmtId="164" xfId="0" applyAlignment="1" applyBorder="1" applyFont="1" applyNumberFormat="1">
      <alignment horizontal="right" vertical="bottom"/>
    </xf>
    <xf borderId="5" fillId="0" fontId="8" numFmtId="164" xfId="0" applyAlignment="1" applyBorder="1" applyFont="1" applyNumberFormat="1">
      <alignment vertical="bottom"/>
    </xf>
    <xf borderId="5" fillId="0" fontId="8" numFmtId="0" xfId="0" applyAlignment="1" applyBorder="1" applyFont="1">
      <alignment horizontal="center"/>
    </xf>
    <xf borderId="5" fillId="3" fontId="8" numFmtId="0" xfId="0" applyAlignment="1" applyBorder="1" applyFont="1">
      <alignment horizontal="center" vertical="bottom"/>
    </xf>
    <xf borderId="5" fillId="3" fontId="8" numFmtId="0" xfId="0" applyAlignment="1" applyBorder="1" applyFont="1">
      <alignment horizontal="center" vertical="bottom"/>
    </xf>
    <xf borderId="5" fillId="7" fontId="8" numFmtId="0" xfId="0" applyAlignment="1" applyBorder="1" applyFont="1">
      <alignment horizontal="center" vertical="bottom"/>
    </xf>
    <xf borderId="5" fillId="11" fontId="8" numFmtId="0" xfId="0" applyAlignment="1" applyBorder="1" applyFont="1">
      <alignment horizontal="center" vertical="bottom"/>
    </xf>
    <xf borderId="5" fillId="0" fontId="16" numFmtId="0" xfId="0" applyAlignment="1" applyBorder="1" applyFont="1">
      <alignment horizontal="right" vertical="bottom"/>
    </xf>
    <xf borderId="5" fillId="4" fontId="16" numFmtId="14" xfId="0" applyAlignment="1" applyBorder="1" applyFont="1" applyNumberFormat="1">
      <alignment horizontal="right"/>
    </xf>
    <xf borderId="5" fillId="7" fontId="16" numFmtId="14" xfId="0" applyAlignment="1" applyBorder="1" applyFont="1" applyNumberFormat="1">
      <alignment horizontal="center"/>
    </xf>
    <xf borderId="5" fillId="8" fontId="17" numFmtId="14" xfId="0" applyAlignment="1" applyBorder="1" applyFont="1" applyNumberFormat="1">
      <alignment horizontal="center"/>
    </xf>
    <xf borderId="5" fillId="0" fontId="8" numFmtId="0" xfId="0" applyAlignment="1" applyBorder="1" applyFont="1">
      <alignment vertical="bottom"/>
    </xf>
    <xf borderId="15" fillId="11" fontId="18" numFmtId="0" xfId="0" applyAlignment="1" applyBorder="1" applyFont="1">
      <alignment vertical="bottom"/>
    </xf>
    <xf borderId="15" fillId="0" fontId="8" numFmtId="0" xfId="0" applyAlignment="1" applyBorder="1" applyFont="1">
      <alignment vertical="top"/>
    </xf>
    <xf borderId="0" fillId="0" fontId="8" numFmtId="0" xfId="0" applyAlignment="1" applyFont="1">
      <alignment vertical="top"/>
    </xf>
    <xf borderId="17" fillId="0" fontId="12" numFmtId="0" xfId="0" applyBorder="1" applyFont="1"/>
    <xf borderId="15" fillId="11" fontId="18" numFmtId="0" xfId="0" applyBorder="1" applyFont="1"/>
    <xf borderId="13" fillId="0" fontId="12" numFmtId="0" xfId="0" applyBorder="1" applyFont="1"/>
    <xf borderId="5" fillId="5" fontId="8" numFmtId="0" xfId="0" applyAlignment="1" applyBorder="1" applyFont="1">
      <alignment horizontal="center"/>
    </xf>
    <xf borderId="5" fillId="0" fontId="8" numFmtId="0" xfId="0" applyAlignment="1" applyBorder="1" applyFont="1">
      <alignment horizontal="center" vertical="bottom"/>
    </xf>
    <xf borderId="5" fillId="3" fontId="8" numFmtId="0" xfId="0" applyBorder="1" applyFont="1"/>
    <xf borderId="5" fillId="11" fontId="8" numFmtId="0" xfId="0" applyBorder="1" applyFont="1"/>
    <xf borderId="5" fillId="3" fontId="8" numFmtId="0" xfId="0" applyAlignment="1" applyBorder="1" applyFont="1">
      <alignment vertical="bottom"/>
    </xf>
    <xf borderId="5" fillId="11" fontId="8" numFmtId="0" xfId="0" applyAlignment="1" applyBorder="1" applyFont="1">
      <alignment vertical="bottom"/>
    </xf>
    <xf borderId="5" fillId="0" fontId="8" numFmtId="0" xfId="0" applyBorder="1" applyFont="1"/>
    <xf borderId="0" fillId="11" fontId="8" numFmtId="0" xfId="0" applyFont="1"/>
    <xf borderId="18" fillId="11" fontId="8" numFmtId="0" xfId="0" applyBorder="1" applyFont="1"/>
    <xf borderId="18" fillId="0" fontId="8" numFmtId="0" xfId="0" applyAlignment="1" applyBorder="1" applyFont="1">
      <alignment vertical="top"/>
    </xf>
    <xf borderId="16" fillId="0" fontId="10" numFmtId="0" xfId="0" applyAlignment="1" applyBorder="1" applyFont="1">
      <alignment horizontal="center" vertical="bottom"/>
    </xf>
    <xf borderId="16" fillId="0" fontId="8" numFmtId="0" xfId="0" applyAlignment="1" applyBorder="1" applyFont="1">
      <alignment horizontal="center"/>
    </xf>
    <xf borderId="5" fillId="11" fontId="8" numFmtId="0" xfId="0" applyAlignment="1" applyBorder="1" applyFont="1">
      <alignment horizontal="center"/>
    </xf>
    <xf borderId="5" fillId="5" fontId="16" numFmtId="14" xfId="0" applyAlignment="1" applyBorder="1" applyFont="1" applyNumberFormat="1">
      <alignment horizontal="center" vertical="bottom"/>
    </xf>
    <xf borderId="5" fillId="6" fontId="17" numFmtId="14" xfId="0" applyAlignment="1" applyBorder="1" applyFont="1" applyNumberFormat="1">
      <alignment horizontal="center" vertical="bottom"/>
    </xf>
    <xf borderId="5" fillId="0" fontId="8" numFmtId="0" xfId="0" applyAlignment="1" applyBorder="1" applyFont="1">
      <alignment horizontal="center" vertical="bottom"/>
    </xf>
    <xf borderId="5" fillId="0" fontId="8" numFmtId="0" xfId="0" applyAlignment="1" applyBorder="1" applyFont="1">
      <alignment horizontal="center" vertical="bottom"/>
    </xf>
    <xf borderId="5" fillId="3" fontId="8" numFmtId="0" xfId="0" applyAlignment="1" applyBorder="1" applyFont="1">
      <alignment vertical="bottom"/>
    </xf>
    <xf borderId="5" fillId="11" fontId="8" numFmtId="0" xfId="0" applyAlignment="1" applyBorder="1" applyFont="1">
      <alignment vertical="bottom"/>
    </xf>
    <xf borderId="15" fillId="11" fontId="8" numFmtId="0" xfId="0" applyBorder="1" applyFont="1"/>
    <xf borderId="0" fillId="0" fontId="8" numFmtId="14" xfId="0" applyAlignment="1" applyFont="1" applyNumberFormat="1">
      <alignment vertical="bottom"/>
    </xf>
    <xf borderId="5" fillId="0" fontId="8" numFmtId="0" xfId="0" applyAlignment="1" applyBorder="1" applyFont="1">
      <alignment horizontal="center"/>
    </xf>
    <xf borderId="5" fillId="7" fontId="16" numFmtId="14" xfId="0" applyAlignment="1" applyBorder="1" applyFont="1" applyNumberFormat="1">
      <alignment horizontal="center" vertical="bottom"/>
    </xf>
    <xf borderId="5" fillId="8" fontId="17" numFmtId="14" xfId="0" applyAlignment="1" applyBorder="1" applyFont="1" applyNumberFormat="1">
      <alignment horizontal="center" vertical="bottom"/>
    </xf>
    <xf borderId="0" fillId="0" fontId="8" numFmtId="164" xfId="0" applyAlignment="1" applyFont="1" applyNumberFormat="1">
      <alignment vertical="bottom"/>
    </xf>
    <xf borderId="5" fillId="4" fontId="16" numFmtId="0" xfId="0" applyAlignment="1" applyBorder="1" applyFont="1">
      <alignment horizontal="center"/>
    </xf>
    <xf borderId="0" fillId="11" fontId="8" numFmtId="0" xfId="0" applyAlignment="1" applyFont="1">
      <alignment vertical="bottom"/>
    </xf>
    <xf borderId="0" fillId="11" fontId="8" numFmtId="0" xfId="0" applyAlignment="1" applyFont="1">
      <alignment vertical="bottom"/>
    </xf>
    <xf borderId="0" fillId="0" fontId="8" numFmtId="14" xfId="0" applyFont="1" applyNumberFormat="1"/>
    <xf borderId="0" fillId="0" fontId="8" numFmtId="164" xfId="0" applyFont="1" applyNumberFormat="1"/>
    <xf borderId="15" fillId="12" fontId="19" numFmtId="0" xfId="0" applyBorder="1" applyFill="1" applyFont="1"/>
    <xf borderId="15" fillId="12" fontId="8" numFmtId="0" xfId="0" applyBorder="1" applyFont="1"/>
    <xf borderId="5" fillId="4" fontId="16" numFmtId="0" xfId="0" applyAlignment="1" applyBorder="1" applyFont="1">
      <alignment horizontal="center"/>
    </xf>
    <xf borderId="5" fillId="5" fontId="16" numFmtId="0" xfId="0" applyAlignment="1" applyBorder="1" applyFont="1">
      <alignment horizontal="center"/>
    </xf>
    <xf borderId="5" fillId="6" fontId="16" numFmtId="0" xfId="0" applyAlignment="1" applyBorder="1" applyFont="1">
      <alignment horizontal="center"/>
    </xf>
    <xf borderId="5" fillId="6" fontId="16" numFmtId="14" xfId="0" applyAlignment="1" applyBorder="1" applyFont="1" applyNumberFormat="1">
      <alignment horizontal="center"/>
    </xf>
    <xf borderId="6" fillId="4" fontId="11" numFmtId="0" xfId="0" applyAlignment="1" applyBorder="1" applyFont="1">
      <alignment vertical="bottom"/>
    </xf>
    <xf borderId="5" fillId="0" fontId="10" numFmtId="0" xfId="0" applyAlignment="1" applyBorder="1" applyFont="1">
      <alignment horizontal="center" vertical="bottom"/>
    </xf>
    <xf borderId="6" fillId="0" fontId="10" numFmtId="0" xfId="0" applyAlignment="1" applyBorder="1" applyFont="1">
      <alignment horizontal="center" shrinkToFit="0" vertical="bottom" wrapText="1"/>
    </xf>
    <xf borderId="6" fillId="0" fontId="10" numFmtId="0" xfId="0" applyAlignment="1" applyBorder="1" applyFont="1">
      <alignment vertical="bottom"/>
    </xf>
    <xf borderId="5" fillId="0" fontId="14" numFmtId="0" xfId="0" applyAlignment="1" applyBorder="1" applyFont="1">
      <alignment horizontal="center" vertical="bottom"/>
    </xf>
    <xf borderId="5" fillId="4" fontId="14" numFmtId="0" xfId="0" applyAlignment="1" applyBorder="1" applyFont="1">
      <alignment horizontal="center" vertical="bottom"/>
    </xf>
    <xf borderId="5" fillId="7" fontId="14" numFmtId="0" xfId="0" applyAlignment="1" applyBorder="1" applyFont="1">
      <alignment horizontal="center" vertical="bottom"/>
    </xf>
    <xf borderId="8" fillId="12" fontId="20" numFmtId="0" xfId="0" applyAlignment="1" applyBorder="1" applyFont="1">
      <alignment readingOrder="0" shrinkToFit="0" vertical="bottom" wrapText="1"/>
    </xf>
    <xf borderId="6" fillId="12" fontId="10" numFmtId="0" xfId="0" applyAlignment="1" applyBorder="1" applyFont="1">
      <alignment vertical="bottom"/>
    </xf>
    <xf borderId="6" fillId="0" fontId="10" numFmtId="0" xfId="0" applyAlignment="1" applyBorder="1" applyFont="1">
      <alignment horizontal="center" vertical="bottom"/>
    </xf>
    <xf borderId="6" fillId="0" fontId="21" numFmtId="0" xfId="0" applyAlignment="1" applyBorder="1" applyFont="1">
      <alignment vertical="bottom"/>
    </xf>
    <xf borderId="5" fillId="4" fontId="16" numFmtId="14" xfId="0" applyAlignment="1" applyBorder="1" applyFont="1" applyNumberFormat="1">
      <alignment horizontal="right" vertical="center"/>
    </xf>
    <xf borderId="5" fillId="7" fontId="16" numFmtId="14" xfId="0" applyAlignment="1" applyBorder="1" applyFont="1" applyNumberFormat="1">
      <alignment horizontal="center" vertical="center"/>
    </xf>
    <xf borderId="8" fillId="0" fontId="8" numFmtId="0" xfId="0" applyAlignment="1" applyBorder="1" applyFont="1">
      <alignment horizontal="center" vertical="center"/>
    </xf>
    <xf borderId="6" fillId="0" fontId="8" numFmtId="0" xfId="0" applyAlignment="1" applyBorder="1" applyFont="1">
      <alignment vertical="bottom"/>
    </xf>
    <xf borderId="5" fillId="7" fontId="16" numFmtId="0" xfId="0" applyAlignment="1" applyBorder="1" applyFont="1">
      <alignment horizontal="center" vertical="center"/>
    </xf>
    <xf borderId="6" fillId="0" fontId="8" numFmtId="0" xfId="0" applyAlignment="1" applyBorder="1" applyFont="1">
      <alignment vertical="bottom"/>
    </xf>
    <xf borderId="6" fillId="0" fontId="10" numFmtId="0" xfId="0" applyAlignment="1" applyBorder="1" applyFont="1">
      <alignment vertical="bottom"/>
    </xf>
    <xf borderId="6" fillId="0" fontId="8" numFmtId="0" xfId="0" applyAlignment="1" applyBorder="1" applyFont="1">
      <alignment horizontal="center" vertical="bottom"/>
    </xf>
    <xf borderId="5" fillId="4" fontId="8" numFmtId="14" xfId="0" applyAlignment="1" applyBorder="1" applyFont="1" applyNumberFormat="1">
      <alignment vertical="center"/>
    </xf>
    <xf borderId="5" fillId="4" fontId="8" numFmtId="0" xfId="0" applyBorder="1" applyFont="1"/>
    <xf borderId="5" fillId="7" fontId="8" numFmtId="0" xfId="0" applyAlignment="1" applyBorder="1" applyFont="1">
      <alignment vertical="bottom"/>
    </xf>
    <xf borderId="8" fillId="0" fontId="8" numFmtId="0" xfId="0" applyAlignment="1" applyBorder="1" applyFont="1">
      <alignment vertical="bottom"/>
    </xf>
    <xf borderId="5" fillId="0" fontId="8" numFmtId="0" xfId="0" applyAlignment="1" applyBorder="1" applyFont="1">
      <alignment horizontal="center" shrinkToFit="0" vertical="bottom" wrapText="1"/>
    </xf>
    <xf borderId="5" fillId="3" fontId="8" numFmtId="0" xfId="0" applyAlignment="1" applyBorder="1" applyFont="1">
      <alignment horizontal="center"/>
    </xf>
    <xf borderId="5" fillId="0" fontId="8" numFmtId="0" xfId="0" applyAlignment="1" applyBorder="1" applyFont="1">
      <alignment horizontal="center"/>
    </xf>
    <xf borderId="5" fillId="4" fontId="16" numFmtId="165" xfId="0" applyAlignment="1" applyBorder="1" applyFont="1" applyNumberFormat="1">
      <alignment horizontal="center"/>
    </xf>
    <xf borderId="0" fillId="0" fontId="8" numFmtId="0" xfId="0" applyAlignment="1" applyFont="1">
      <alignment vertical="top"/>
    </xf>
    <xf borderId="0" fillId="0" fontId="8" numFmtId="165" xfId="0" applyFont="1" applyNumberFormat="1"/>
    <xf borderId="5" fillId="0" fontId="22" numFmtId="0" xfId="0" applyAlignment="1" applyBorder="1" applyFont="1">
      <alignment horizontal="center" vertical="bottom"/>
    </xf>
    <xf borderId="5" fillId="0" fontId="22" numFmtId="0" xfId="0" applyAlignment="1" applyBorder="1" applyFont="1">
      <alignment horizontal="center" vertical="bottom"/>
    </xf>
    <xf borderId="5" fillId="5" fontId="8" numFmtId="0" xfId="0" applyAlignment="1" applyBorder="1" applyFont="1">
      <alignment horizontal="center"/>
    </xf>
    <xf borderId="5" fillId="11" fontId="8" numFmtId="0" xfId="0" applyAlignment="1" applyBorder="1" applyFont="1">
      <alignment horizontal="center"/>
    </xf>
    <xf borderId="5" fillId="6" fontId="16" numFmtId="14" xfId="0" applyAlignment="1" applyBorder="1" applyFont="1" applyNumberFormat="1">
      <alignment horizontal="center" vertical="bottom"/>
    </xf>
    <xf borderId="0" fillId="11" fontId="8" numFmtId="0" xfId="0" applyFont="1"/>
    <xf borderId="5" fillId="4" fontId="16" numFmtId="14" xfId="0" applyAlignment="1" applyBorder="1" applyFont="1" applyNumberFormat="1">
      <alignment horizontal="center" vertical="bottom"/>
    </xf>
    <xf borderId="5" fillId="3" fontId="8" numFmtId="0" xfId="0" applyAlignment="1" applyBorder="1" applyFont="1">
      <alignment horizontal="center"/>
    </xf>
    <xf borderId="16" fillId="0" fontId="10" numFmtId="0" xfId="0" applyAlignment="1" applyBorder="1" applyFont="1">
      <alignment horizontal="center" vertical="bottom"/>
    </xf>
    <xf borderId="16" fillId="0" fontId="8" numFmtId="0" xfId="0" applyAlignment="1" applyBorder="1" applyFont="1">
      <alignment horizontal="center"/>
    </xf>
    <xf borderId="5" fillId="5" fontId="8" numFmtId="0" xfId="0" applyAlignment="1" applyBorder="1" applyFont="1">
      <alignment horizontal="center"/>
    </xf>
    <xf borderId="5" fillId="11" fontId="8" numFmtId="0" xfId="0" applyAlignment="1" applyBorder="1" applyFont="1">
      <alignment horizontal="center"/>
    </xf>
    <xf borderId="5" fillId="5" fontId="16" numFmtId="0" xfId="0" applyAlignment="1" applyBorder="1" applyFont="1">
      <alignment horizontal="center"/>
    </xf>
    <xf borderId="5" fillId="6" fontId="16" numFmtId="0" xfId="0" applyAlignment="1" applyBorder="1" applyFont="1">
      <alignment horizontal="center"/>
    </xf>
    <xf borderId="0" fillId="13" fontId="23" numFmtId="14" xfId="0" applyAlignment="1" applyFill="1" applyFont="1" applyNumberFormat="1">
      <alignment horizontal="right" shrinkToFit="0" wrapText="0"/>
    </xf>
    <xf borderId="0" fillId="13" fontId="24" numFmtId="0" xfId="0" applyAlignment="1" applyFont="1">
      <alignment shrinkToFit="0" vertical="center" wrapText="1"/>
    </xf>
    <xf borderId="0" fillId="13" fontId="23" numFmtId="0" xfId="0" applyAlignment="1" applyFont="1">
      <alignment readingOrder="0" vertical="bottom"/>
    </xf>
    <xf borderId="0" fillId="13" fontId="25" numFmtId="0" xfId="0" applyAlignment="1" applyFont="1">
      <alignment readingOrder="0" shrinkToFit="0" vertical="bottom" wrapText="1"/>
    </xf>
    <xf borderId="0" fillId="13" fontId="23" numFmtId="0" xfId="0" applyAlignment="1" applyFont="1">
      <alignment vertical="bottom"/>
    </xf>
    <xf borderId="0" fillId="13" fontId="23" numFmtId="0" xfId="0" applyAlignment="1" applyFont="1">
      <alignment vertical="bottom"/>
    </xf>
    <xf borderId="0" fillId="13" fontId="23" numFmtId="0" xfId="0" applyAlignment="1" applyFont="1">
      <alignment horizontal="center" vertical="bottom"/>
    </xf>
    <xf borderId="0" fillId="0" fontId="26" numFmtId="0" xfId="0" applyAlignment="1" applyFont="1">
      <alignment shrinkToFit="0" wrapText="1"/>
    </xf>
    <xf borderId="0" fillId="0" fontId="8" numFmtId="0" xfId="0" applyAlignment="1" applyFont="1">
      <alignment horizontal="center" vertical="bottom"/>
    </xf>
    <xf borderId="0" fillId="0" fontId="8" numFmtId="0" xfId="0" applyAlignment="1" applyFont="1">
      <alignment readingOrder="0" shrinkToFit="0" vertical="bottom" wrapText="1"/>
    </xf>
    <xf borderId="0" fillId="0" fontId="8" numFmtId="0" xfId="0" applyAlignment="1" applyFont="1">
      <alignment shrinkToFit="0" vertical="bottom" wrapText="1"/>
    </xf>
    <xf borderId="0" fillId="0" fontId="8" numFmtId="0" xfId="0" applyAlignment="1" applyFont="1">
      <alignment shrinkToFit="0" vertical="top" wrapText="1"/>
    </xf>
    <xf borderId="0" fillId="0" fontId="8" numFmtId="0" xfId="0" applyAlignment="1" applyFont="1">
      <alignment horizontal="left" shrinkToFit="0" vertical="top" wrapText="1"/>
    </xf>
    <xf borderId="0" fillId="14" fontId="8" numFmtId="0" xfId="0" applyAlignment="1" applyFill="1" applyFont="1">
      <alignment readingOrder="0" shrinkToFit="0" vertical="top" wrapText="1"/>
    </xf>
    <xf borderId="0" fillId="14" fontId="8" numFmtId="0" xfId="0" applyAlignment="1" applyFont="1">
      <alignment shrinkToFit="0" vertical="top" wrapText="1"/>
    </xf>
    <xf borderId="0" fillId="0" fontId="27" numFmtId="0" xfId="0" applyAlignment="1" applyFont="1">
      <alignment horizontal="left" readingOrder="0" shrinkToFit="0" vertical="top" wrapText="0"/>
    </xf>
    <xf borderId="0" fillId="2" fontId="8" numFmtId="0" xfId="0" applyFont="1"/>
    <xf borderId="0" fillId="0" fontId="8" numFmtId="0" xfId="0" applyAlignment="1" applyFont="1">
      <alignment shrinkToFit="0" vertical="center" wrapText="1"/>
    </xf>
    <xf borderId="0" fillId="15" fontId="28" numFmtId="0" xfId="0" applyAlignment="1" applyFill="1" applyFont="1">
      <alignment horizontal="center" readingOrder="0" vertical="bottom"/>
    </xf>
    <xf borderId="0" fillId="0" fontId="8" numFmtId="166" xfId="0" applyAlignment="1" applyFont="1" applyNumberFormat="1">
      <alignment vertical="bottom"/>
    </xf>
    <xf borderId="0" fillId="2" fontId="29" numFmtId="166" xfId="0" applyAlignment="1" applyFont="1" applyNumberFormat="1">
      <alignment horizontal="center" vertical="bottom"/>
    </xf>
    <xf borderId="0" fillId="0" fontId="8" numFmtId="0" xfId="0" applyAlignment="1" applyFont="1">
      <alignment readingOrder="0" vertical="bottom"/>
    </xf>
    <xf borderId="0" fillId="0" fontId="30" numFmtId="0" xfId="0" applyAlignment="1" applyFont="1">
      <alignment readingOrder="0" vertical="bottom"/>
    </xf>
    <xf borderId="0" fillId="2" fontId="8" numFmtId="0" xfId="0" applyAlignment="1" applyFont="1">
      <alignment vertical="bottom"/>
    </xf>
    <xf borderId="0" fillId="15" fontId="28" numFmtId="0" xfId="0" applyAlignment="1" applyFont="1">
      <alignment vertical="bottom"/>
    </xf>
    <xf borderId="0" fillId="15" fontId="8" numFmtId="0" xfId="0" applyAlignment="1" applyFont="1">
      <alignment vertical="bottom"/>
    </xf>
    <xf borderId="0" fillId="15" fontId="28" numFmtId="0" xfId="0" applyAlignment="1" applyFont="1">
      <alignment horizontal="center" vertical="bottom"/>
    </xf>
    <xf borderId="0" fillId="15" fontId="8" numFmtId="0" xfId="0" applyAlignment="1" applyFont="1">
      <alignment vertical="bottom"/>
    </xf>
    <xf borderId="0" fillId="15" fontId="28" numFmtId="0" xfId="0" applyAlignment="1" applyFont="1">
      <alignment vertical="bottom"/>
    </xf>
    <xf borderId="0" fillId="0" fontId="10" numFmtId="0" xfId="0" applyAlignment="1" applyFont="1">
      <alignment horizontal="center" shrinkToFit="0" vertical="bottom" wrapText="0"/>
    </xf>
    <xf borderId="0" fillId="0" fontId="10" numFmtId="0" xfId="0" applyAlignment="1" applyFont="1">
      <alignment horizontal="center" vertical="bottom"/>
    </xf>
    <xf borderId="0" fillId="0" fontId="10" numFmtId="166" xfId="0" applyAlignment="1" applyFont="1" applyNumberFormat="1">
      <alignment horizontal="center" vertical="bottom"/>
    </xf>
    <xf borderId="0" fillId="15" fontId="31" numFmtId="166" xfId="0" applyAlignment="1" applyFont="1" applyNumberFormat="1">
      <alignment horizontal="center" vertical="bottom"/>
    </xf>
    <xf borderId="0" fillId="2" fontId="11" numFmtId="164" xfId="0" applyAlignment="1" applyFont="1" applyNumberFormat="1">
      <alignment horizontal="center" vertical="bottom"/>
    </xf>
    <xf borderId="0" fillId="15" fontId="31" numFmtId="0" xfId="0" applyAlignment="1" applyFont="1">
      <alignment horizontal="center" vertical="bottom"/>
    </xf>
    <xf borderId="0" fillId="0" fontId="10" numFmtId="0" xfId="0" applyAlignment="1" applyFont="1">
      <alignment horizontal="center" vertical="bottom"/>
    </xf>
    <xf borderId="0" fillId="11" fontId="10" numFmtId="0" xfId="0" applyAlignment="1" applyFont="1">
      <alignment horizontal="center" vertical="bottom"/>
    </xf>
    <xf borderId="0" fillId="0" fontId="10" numFmtId="164" xfId="0" applyAlignment="1" applyFont="1" applyNumberFormat="1">
      <alignment horizontal="center" vertical="bottom"/>
    </xf>
    <xf borderId="0" fillId="15" fontId="31" numFmtId="164" xfId="0" applyAlignment="1" applyFont="1" applyNumberFormat="1">
      <alignment horizontal="center" vertical="bottom"/>
    </xf>
    <xf borderId="0" fillId="15" fontId="28" numFmtId="164" xfId="0" applyAlignment="1" applyFont="1" applyNumberFormat="1">
      <alignment horizontal="center" vertical="bottom"/>
    </xf>
    <xf borderId="0" fillId="0" fontId="8" numFmtId="0" xfId="0" applyAlignment="1" applyFont="1">
      <alignment shrinkToFit="0" vertical="bottom" wrapText="1"/>
    </xf>
    <xf borderId="0" fillId="16" fontId="8" numFmtId="49" xfId="0" applyAlignment="1" applyFill="1" applyFont="1" applyNumberFormat="1">
      <alignment vertical="bottom"/>
    </xf>
    <xf borderId="0" fillId="16" fontId="8" numFmtId="164" xfId="0" applyAlignment="1" applyFont="1" applyNumberFormat="1">
      <alignment vertical="bottom"/>
    </xf>
    <xf borderId="0" fillId="16" fontId="8" numFmtId="49" xfId="0" applyAlignment="1" applyFont="1" applyNumberFormat="1">
      <alignment horizontal="center" vertical="bottom"/>
    </xf>
    <xf borderId="0" fillId="0" fontId="8" numFmtId="166" xfId="0" applyAlignment="1" applyFont="1" applyNumberFormat="1">
      <alignment horizontal="center" vertical="bottom"/>
    </xf>
    <xf borderId="0" fillId="0" fontId="8" numFmtId="164" xfId="0" applyAlignment="1" applyFont="1" applyNumberFormat="1">
      <alignment shrinkToFit="0" vertical="bottom" wrapText="1"/>
    </xf>
    <xf borderId="0" fillId="12" fontId="8" numFmtId="0" xfId="0" applyAlignment="1" applyFont="1">
      <alignment shrinkToFit="0" vertical="bottom" wrapText="0"/>
    </xf>
    <xf borderId="0" fillId="16" fontId="8" numFmtId="0" xfId="0" applyAlignment="1" applyFont="1">
      <alignment horizontal="center" vertical="bottom"/>
    </xf>
    <xf borderId="0" fillId="0" fontId="8" numFmtId="49" xfId="0" applyAlignment="1" applyFont="1" applyNumberFormat="1">
      <alignment vertical="bottom"/>
    </xf>
    <xf borderId="0" fillId="0" fontId="8" numFmtId="49" xfId="0" applyAlignment="1" applyFont="1" applyNumberFormat="1">
      <alignment horizontal="center" vertical="bottom"/>
    </xf>
    <xf borderId="0" fillId="0" fontId="8" numFmtId="0" xfId="0" applyAlignment="1" applyFont="1">
      <alignment horizontal="center" vertical="bottom"/>
    </xf>
    <xf borderId="0" fillId="16" fontId="8" numFmtId="164" xfId="0" applyAlignment="1" applyFont="1" applyNumberFormat="1">
      <alignment horizontal="center" vertical="bottom"/>
    </xf>
    <xf borderId="0" fillId="17" fontId="8" numFmtId="49" xfId="0" applyAlignment="1" applyFill="1" applyFont="1" applyNumberFormat="1">
      <alignment vertical="top"/>
    </xf>
    <xf borderId="0" fillId="0" fontId="8" numFmtId="49" xfId="0" applyAlignment="1" applyFont="1" applyNumberFormat="1">
      <alignment vertical="top"/>
    </xf>
    <xf borderId="0" fillId="14" fontId="8" numFmtId="49" xfId="0" applyAlignment="1" applyFont="1" applyNumberFormat="1">
      <alignment horizontal="center" readingOrder="0" vertical="bottom"/>
    </xf>
    <xf borderId="0" fillId="16" fontId="8" numFmtId="166" xfId="0" applyAlignment="1" applyFont="1" applyNumberFormat="1">
      <alignment horizontal="center" vertical="bottom"/>
    </xf>
    <xf borderId="0" fillId="14" fontId="8" numFmtId="49" xfId="0" applyAlignment="1" applyFont="1" applyNumberFormat="1">
      <alignment horizontal="center" vertical="bottom"/>
    </xf>
    <xf borderId="0" fillId="14" fontId="8" numFmtId="49" xfId="0" applyAlignment="1" applyFont="1" applyNumberFormat="1">
      <alignment vertical="bottom"/>
    </xf>
    <xf borderId="0" fillId="16" fontId="8" numFmtId="166" xfId="0" applyAlignment="1" applyFont="1" applyNumberFormat="1">
      <alignment vertical="bottom"/>
    </xf>
    <xf borderId="0" fillId="0" fontId="8" numFmtId="166" xfId="0" applyAlignment="1" applyFont="1" applyNumberFormat="1">
      <alignment vertical="top"/>
    </xf>
    <xf borderId="0" fillId="17" fontId="8" numFmtId="49" xfId="0" applyAlignment="1" applyFont="1" applyNumberFormat="1">
      <alignment vertical="bottom"/>
    </xf>
    <xf borderId="0" fillId="12" fontId="8" numFmtId="49" xfId="0" applyAlignment="1" applyFont="1" applyNumberFormat="1">
      <alignment shrinkToFit="0" vertical="bottom" wrapText="0"/>
    </xf>
    <xf borderId="0" fillId="0" fontId="8" numFmtId="49" xfId="0" applyAlignment="1" applyFont="1" applyNumberFormat="1">
      <alignment vertical="bottom"/>
    </xf>
    <xf borderId="0" fillId="0" fontId="8" numFmtId="49" xfId="0" applyAlignment="1" applyFont="1" applyNumberFormat="1">
      <alignment shrinkToFit="0" vertical="bottom" wrapText="1"/>
    </xf>
    <xf borderId="0" fillId="0" fontId="8" numFmtId="0" xfId="0" applyAlignment="1" applyFont="1">
      <alignment shrinkToFit="0" vertical="bottom" wrapText="1"/>
    </xf>
    <xf borderId="0" fillId="14" fontId="8" numFmtId="166" xfId="0" applyAlignment="1" applyFont="1" applyNumberFormat="1">
      <alignment horizontal="center" vertical="bottom"/>
    </xf>
    <xf borderId="0" fillId="17" fontId="8" numFmtId="0" xfId="0" applyAlignment="1" applyFont="1">
      <alignment vertical="bottom"/>
    </xf>
    <xf borderId="0" fillId="12" fontId="8" numFmtId="0" xfId="0" applyAlignment="1" applyFont="1">
      <alignment shrinkToFit="0" vertical="bottom" wrapText="0"/>
    </xf>
    <xf borderId="0" fillId="17" fontId="8" numFmtId="0" xfId="0" applyAlignment="1" applyFont="1">
      <alignment vertical="bottom"/>
    </xf>
    <xf borderId="0" fillId="17" fontId="8" numFmtId="0" xfId="0" applyAlignment="1" applyFont="1">
      <alignment vertical="top"/>
    </xf>
    <xf borderId="0" fillId="0" fontId="8" numFmtId="49" xfId="0" applyAlignment="1" applyFont="1" applyNumberFormat="1">
      <alignment shrinkToFit="0" vertical="top" wrapText="1"/>
    </xf>
    <xf borderId="0" fillId="14" fontId="8" numFmtId="0" xfId="0" applyAlignment="1" applyFont="1">
      <alignment horizontal="center" readingOrder="0" vertical="bottom"/>
    </xf>
    <xf borderId="0" fillId="18" fontId="23" numFmtId="14" xfId="0" applyAlignment="1" applyFill="1" applyFont="1" applyNumberFormat="1">
      <alignment horizontal="right" shrinkToFit="0" wrapText="0"/>
    </xf>
    <xf borderId="0" fillId="18" fontId="24" numFmtId="0" xfId="0" applyAlignment="1" applyFont="1">
      <alignment shrinkToFit="0" vertical="center" wrapText="1"/>
    </xf>
    <xf borderId="0" fillId="18" fontId="23" numFmtId="0" xfId="0" applyAlignment="1" applyFont="1">
      <alignment readingOrder="0" vertical="bottom"/>
    </xf>
    <xf borderId="0" fillId="18" fontId="25" numFmtId="0" xfId="0" applyAlignment="1" applyFont="1">
      <alignment readingOrder="0" shrinkToFit="0" vertical="bottom" wrapText="1"/>
    </xf>
    <xf borderId="0" fillId="18" fontId="23" numFmtId="0" xfId="0" applyAlignment="1" applyFont="1">
      <alignment vertical="bottom"/>
    </xf>
    <xf borderId="0" fillId="18" fontId="23" numFmtId="0" xfId="0" applyAlignment="1" applyFont="1">
      <alignment vertical="bottom"/>
    </xf>
    <xf borderId="0" fillId="18" fontId="32" numFmtId="0" xfId="0" applyAlignment="1" applyFont="1">
      <alignment readingOrder="0" vertical="bottom"/>
    </xf>
    <xf borderId="0" fillId="18" fontId="23" numFmtId="0" xfId="0" applyAlignment="1" applyFont="1">
      <alignment horizontal="center" vertical="bottom"/>
    </xf>
    <xf borderId="0" fillId="4" fontId="23" numFmtId="14" xfId="0" applyAlignment="1" applyFont="1" applyNumberFormat="1">
      <alignment horizontal="right" shrinkToFit="0" wrapText="0"/>
    </xf>
    <xf borderId="0" fillId="4" fontId="24" numFmtId="0" xfId="0" applyAlignment="1" applyFont="1">
      <alignment shrinkToFit="0" vertical="center" wrapText="1"/>
    </xf>
    <xf borderId="0" fillId="4" fontId="25" numFmtId="0" xfId="0" applyAlignment="1" applyFont="1">
      <alignment readingOrder="0" shrinkToFit="0" vertical="bottom" wrapText="1"/>
    </xf>
    <xf borderId="0" fillId="4" fontId="23" numFmtId="0" xfId="0" applyAlignment="1" applyFont="1">
      <alignment vertical="bottom"/>
    </xf>
    <xf borderId="0" fillId="4" fontId="23" numFmtId="0" xfId="0" applyAlignment="1" applyFont="1">
      <alignment vertical="bottom"/>
    </xf>
    <xf borderId="0" fillId="4" fontId="23" numFmtId="0" xfId="0" applyAlignment="1" applyFont="1">
      <alignment horizontal="center" vertical="bottom"/>
    </xf>
    <xf borderId="0" fillId="4" fontId="23" numFmtId="0" xfId="0" applyAlignment="1" applyFont="1">
      <alignment readingOrder="0" vertical="bottom"/>
    </xf>
    <xf borderId="0" fillId="2" fontId="29" numFmtId="0" xfId="0" applyAlignment="1" applyFont="1">
      <alignment horizontal="center" readingOrder="0" vertical="bottom"/>
    </xf>
    <xf borderId="0" fillId="19" fontId="23" numFmtId="14" xfId="0" applyAlignment="1" applyFill="1" applyFont="1" applyNumberFormat="1">
      <alignment horizontal="right" shrinkToFit="0" wrapText="0"/>
    </xf>
    <xf borderId="0" fillId="19" fontId="24" numFmtId="0" xfId="0" applyAlignment="1" applyFont="1">
      <alignment shrinkToFit="0" vertical="center" wrapText="1"/>
    </xf>
    <xf borderId="0" fillId="19" fontId="23" numFmtId="0" xfId="0" applyAlignment="1" applyFont="1">
      <alignment readingOrder="0" vertical="bottom"/>
    </xf>
    <xf borderId="0" fillId="19" fontId="25" numFmtId="0" xfId="0" applyAlignment="1" applyFont="1">
      <alignment readingOrder="0" shrinkToFit="0" vertical="bottom" wrapText="1"/>
    </xf>
    <xf borderId="0" fillId="19" fontId="23" numFmtId="0" xfId="0" applyAlignment="1" applyFont="1">
      <alignment vertical="bottom"/>
    </xf>
    <xf borderId="0" fillId="19" fontId="23" numFmtId="0" xfId="0" applyAlignment="1" applyFont="1">
      <alignment vertical="bottom"/>
    </xf>
    <xf borderId="0" fillId="19" fontId="23" numFmtId="0" xfId="0" applyAlignment="1" applyFont="1">
      <alignment horizontal="center" vertical="bottom"/>
    </xf>
    <xf borderId="0" fillId="14" fontId="10" numFmtId="0" xfId="0" applyAlignment="1" applyFont="1">
      <alignment shrinkToFit="0" vertical="top" wrapText="1"/>
    </xf>
    <xf borderId="0" fillId="0" fontId="10" numFmtId="0" xfId="0" applyAlignment="1" applyFont="1">
      <alignment horizontal="left" readingOrder="0" shrinkToFit="0" vertical="top" wrapText="0"/>
    </xf>
    <xf borderId="0" fillId="0" fontId="26" numFmtId="0" xfId="0" applyFont="1"/>
    <xf borderId="0" fillId="0" fontId="33" numFmtId="0" xfId="0" applyFont="1"/>
    <xf borderId="0" fillId="20" fontId="34" numFmtId="14" xfId="0" applyAlignment="1" applyFill="1" applyFont="1" applyNumberFormat="1">
      <alignment horizontal="right" shrinkToFit="0" wrapText="0"/>
    </xf>
    <xf borderId="0" fillId="20" fontId="35" numFmtId="0" xfId="0" applyAlignment="1" applyFont="1">
      <alignment shrinkToFit="0" vertical="center" wrapText="1"/>
    </xf>
    <xf borderId="0" fillId="20" fontId="34" numFmtId="0" xfId="0" applyAlignment="1" applyFont="1">
      <alignment readingOrder="0" vertical="bottom"/>
    </xf>
    <xf borderId="0" fillId="20" fontId="36" numFmtId="0" xfId="0" applyAlignment="1" applyFont="1">
      <alignment readingOrder="0" shrinkToFit="0" vertical="bottom" wrapText="1"/>
    </xf>
    <xf borderId="0" fillId="20" fontId="34" numFmtId="0" xfId="0" applyAlignment="1" applyFont="1">
      <alignment vertical="bottom"/>
    </xf>
    <xf borderId="0" fillId="20" fontId="34" numFmtId="0" xfId="0" applyAlignment="1" applyFont="1">
      <alignment vertical="bottom"/>
    </xf>
    <xf borderId="0" fillId="20" fontId="34" numFmtId="0" xfId="0" applyAlignment="1" applyFont="1">
      <alignment horizontal="center" vertical="bottom"/>
    </xf>
    <xf borderId="0" fillId="21" fontId="34" numFmtId="14" xfId="0" applyAlignment="1" applyFill="1" applyFont="1" applyNumberFormat="1">
      <alignment horizontal="right" shrinkToFit="0" wrapText="0"/>
    </xf>
    <xf borderId="0" fillId="21" fontId="35" numFmtId="0" xfId="0" applyAlignment="1" applyFont="1">
      <alignment shrinkToFit="0" vertical="center" wrapText="1"/>
    </xf>
    <xf borderId="0" fillId="21" fontId="34" numFmtId="0" xfId="0" applyAlignment="1" applyFont="1">
      <alignment readingOrder="0" vertical="bottom"/>
    </xf>
    <xf borderId="0" fillId="21" fontId="36" numFmtId="0" xfId="0" applyAlignment="1" applyFont="1">
      <alignment readingOrder="0" shrinkToFit="0" vertical="bottom" wrapText="1"/>
    </xf>
    <xf borderId="0" fillId="21" fontId="34" numFmtId="0" xfId="0" applyAlignment="1" applyFont="1">
      <alignment vertical="bottom"/>
    </xf>
    <xf borderId="0" fillId="21" fontId="34" numFmtId="0" xfId="0" applyAlignment="1" applyFont="1">
      <alignment vertical="bottom"/>
    </xf>
    <xf borderId="0" fillId="21" fontId="34" numFmtId="0" xfId="0" applyAlignment="1" applyFont="1">
      <alignment horizontal="center" vertical="bottom"/>
    </xf>
    <xf borderId="0" fillId="22" fontId="35" numFmtId="14" xfId="0" applyAlignment="1" applyFill="1" applyFont="1" applyNumberFormat="1">
      <alignment shrinkToFit="0" vertical="center" wrapText="0"/>
    </xf>
    <xf borderId="0" fillId="22" fontId="35" numFmtId="0" xfId="0" applyAlignment="1" applyFont="1">
      <alignment shrinkToFit="0" vertical="center" wrapText="1"/>
    </xf>
    <xf borderId="0" fillId="22" fontId="34" numFmtId="0" xfId="0" applyAlignment="1" applyFont="1">
      <alignment vertical="bottom"/>
    </xf>
    <xf borderId="0" fillId="22" fontId="36" numFmtId="0" xfId="0" applyAlignment="1" applyFont="1">
      <alignment readingOrder="0" shrinkToFit="0" vertical="bottom" wrapText="1"/>
    </xf>
    <xf borderId="0" fillId="22" fontId="37" numFmtId="0" xfId="0" applyAlignment="1" applyFont="1">
      <alignment readingOrder="0" vertical="bottom"/>
    </xf>
    <xf borderId="0" fillId="22" fontId="34" numFmtId="0" xfId="0" applyAlignment="1" applyFont="1">
      <alignment vertical="bottom"/>
    </xf>
    <xf borderId="0" fillId="22" fontId="38" numFmtId="0" xfId="0" applyAlignment="1" applyFont="1">
      <alignment readingOrder="0" vertical="bottom"/>
    </xf>
    <xf borderId="0" fillId="0" fontId="8" numFmtId="0" xfId="0" applyAlignment="1" applyFont="1">
      <alignment shrinkToFit="0" vertical="center" wrapText="0"/>
    </xf>
    <xf borderId="0" fillId="2" fontId="8" numFmtId="0" xfId="0" applyAlignment="1" applyFont="1">
      <alignment shrinkToFit="0" wrapText="0"/>
    </xf>
    <xf borderId="0" fillId="0" fontId="8" numFmtId="0" xfId="0" applyAlignment="1" applyFont="1">
      <alignment shrinkToFit="0" wrapText="1"/>
    </xf>
    <xf borderId="0" fillId="15" fontId="28" numFmtId="0" xfId="0" applyAlignment="1" applyFont="1">
      <alignment readingOrder="0" vertical="bottom"/>
    </xf>
    <xf borderId="0" fillId="0" fontId="8" numFmtId="0" xfId="0" applyAlignment="1" applyFont="1">
      <alignment readingOrder="0" shrinkToFit="0" wrapText="0"/>
    </xf>
    <xf borderId="0" fillId="0" fontId="8" numFmtId="0" xfId="0" applyAlignment="1" applyFont="1">
      <alignment readingOrder="0" shrinkToFit="0" wrapText="1"/>
    </xf>
    <xf borderId="0" fillId="17" fontId="8" numFmtId="0" xfId="0" applyAlignment="1" applyFont="1">
      <alignment shrinkToFit="0" vertical="bottom" wrapText="0"/>
    </xf>
    <xf borderId="0" fillId="0" fontId="8" numFmtId="49" xfId="0" applyAlignment="1" applyFont="1" applyNumberFormat="1">
      <alignment shrinkToFit="0" vertical="bottom" wrapText="1"/>
    </xf>
    <xf borderId="0" fillId="0" fontId="8" numFmtId="166" xfId="0" applyAlignment="1" applyFont="1" applyNumberFormat="1">
      <alignment shrinkToFit="0" vertical="top" wrapText="1"/>
    </xf>
    <xf borderId="0" fillId="17" fontId="8" numFmtId="49" xfId="0" applyAlignment="1" applyFont="1" applyNumberFormat="1">
      <alignment shrinkToFit="0" vertical="bottom" wrapText="0"/>
    </xf>
    <xf borderId="0" fillId="17" fontId="8" numFmtId="49" xfId="0" applyAlignment="1" applyFont="1" applyNumberFormat="1">
      <alignment shrinkToFit="0" vertical="top" wrapText="0"/>
    </xf>
    <xf borderId="0" fillId="17" fontId="8" numFmtId="49" xfId="0" applyAlignment="1" applyFont="1" applyNumberFormat="1">
      <alignment readingOrder="0" shrinkToFit="0" vertical="bottom" wrapText="0"/>
    </xf>
    <xf borderId="0" fillId="17" fontId="8" numFmtId="0" xfId="0" applyAlignment="1" applyFont="1">
      <alignment shrinkToFit="0" vertical="bottom" wrapText="0"/>
    </xf>
    <xf borderId="0" fillId="17" fontId="8" numFmtId="0" xfId="0" applyAlignment="1" applyFont="1">
      <alignment readingOrder="0" shrinkToFit="0" vertical="bottom" wrapText="0"/>
    </xf>
    <xf borderId="0" fillId="0" fontId="39" numFmtId="0" xfId="0" applyAlignment="1" applyFont="1">
      <alignment readingOrder="0" vertical="bottom"/>
    </xf>
    <xf borderId="0" fillId="2" fontId="39" numFmtId="0" xfId="0" applyAlignment="1" applyFont="1">
      <alignment readingOrder="0" vertical="bottom"/>
    </xf>
    <xf borderId="0" fillId="0" fontId="40" numFmtId="0" xfId="0" applyAlignment="1" applyFont="1">
      <alignment horizontal="left" readingOrder="0" vertical="bottom"/>
    </xf>
    <xf borderId="0" fillId="0" fontId="34" numFmtId="0" xfId="0" applyAlignment="1" applyFont="1">
      <alignment horizontal="center" readingOrder="0" shrinkToFit="0" vertical="center" wrapText="1"/>
    </xf>
    <xf borderId="0" fillId="0" fontId="34" numFmtId="0" xfId="0" applyAlignment="1" applyFont="1">
      <alignment horizontal="center" vertical="center"/>
    </xf>
    <xf borderId="0" fillId="0" fontId="35" numFmtId="0" xfId="0" applyAlignment="1" applyFont="1">
      <alignment vertical="bottom"/>
    </xf>
    <xf borderId="0" fillId="0" fontId="26" numFmtId="0" xfId="0" applyAlignment="1" applyFont="1">
      <alignment horizontal="left" shrinkToFit="0" vertical="center" wrapText="1"/>
    </xf>
    <xf borderId="0" fillId="0" fontId="26" numFmtId="0" xfId="0" applyAlignment="1" applyFont="1">
      <alignment horizontal="center" vertical="center"/>
    </xf>
    <xf borderId="0" fillId="0" fontId="41" numFmtId="0" xfId="0" applyAlignment="1" applyFont="1">
      <alignment readingOrder="0" vertical="center"/>
    </xf>
    <xf borderId="0" fillId="0" fontId="42" numFmtId="0" xfId="0" applyAlignment="1" applyFont="1">
      <alignment horizontal="left" readingOrder="0" shrinkToFit="0" vertical="center" wrapText="1"/>
    </xf>
    <xf borderId="0" fillId="0" fontId="43" numFmtId="0" xfId="0" applyAlignment="1" applyFont="1">
      <alignment horizontal="center" readingOrder="0" shrinkToFit="0" vertical="center" wrapText="1"/>
    </xf>
    <xf borderId="0" fillId="0" fontId="44" numFmtId="0" xfId="0" applyAlignment="1" applyFont="1">
      <alignment vertical="bottom"/>
    </xf>
    <xf borderId="0" fillId="0" fontId="45" numFmtId="0" xfId="0" applyAlignment="1" applyFont="1">
      <alignment horizontal="right" readingOrder="0" shrinkToFit="0" vertical="bottom" wrapText="1"/>
    </xf>
    <xf borderId="0" fillId="0" fontId="45" numFmtId="0" xfId="0" applyAlignment="1" applyFont="1">
      <alignment horizontal="left" readingOrder="0" shrinkToFit="0" vertical="center" wrapText="1"/>
    </xf>
    <xf borderId="0" fillId="0" fontId="45" numFmtId="0" xfId="0" applyAlignment="1" applyFont="1">
      <alignment horizontal="center" readingOrder="0" vertical="center"/>
    </xf>
    <xf borderId="0" fillId="0" fontId="45" numFmtId="0" xfId="0" applyAlignment="1" applyFont="1">
      <alignment horizontal="right" readingOrder="0" vertical="bottom"/>
    </xf>
    <xf borderId="0" fillId="0" fontId="26" numFmtId="0" xfId="0" applyAlignment="1" applyFont="1">
      <alignment horizontal="center" shrinkToFit="0" vertical="center" wrapText="1"/>
    </xf>
    <xf borderId="0" fillId="0" fontId="26" numFmtId="0" xfId="0" applyAlignment="1" applyFont="1">
      <alignment vertical="bottom"/>
    </xf>
    <xf borderId="0" fillId="0" fontId="8" numFmtId="0" xfId="0" applyAlignment="1" applyFont="1">
      <alignment horizontal="center" vertical="bottom"/>
    </xf>
    <xf borderId="0" fillId="0" fontId="8" numFmtId="0" xfId="0" applyAlignment="1" applyFont="1">
      <alignment horizontal="center" shrinkToFit="0" vertical="bottom" wrapText="1"/>
    </xf>
    <xf borderId="0" fillId="0" fontId="8" numFmtId="0" xfId="0" applyAlignment="1" applyFont="1">
      <alignment horizontal="center" vertical="center"/>
    </xf>
    <xf borderId="0" fillId="0" fontId="10" numFmtId="0" xfId="0" applyAlignment="1" applyFont="1">
      <alignment readingOrder="0" vertical="bottom"/>
    </xf>
    <xf borderId="0" fillId="0" fontId="8" numFmtId="0" xfId="0" applyAlignment="1" applyFont="1">
      <alignment vertical="bottom"/>
    </xf>
    <xf borderId="0" fillId="0" fontId="8" numFmtId="164" xfId="0" applyAlignment="1" applyFont="1" applyNumberFormat="1">
      <alignment horizontal="center" readingOrder="0" vertical="bottom"/>
    </xf>
    <xf borderId="0" fillId="0" fontId="8" numFmtId="0" xfId="0" applyAlignment="1" applyFont="1">
      <alignment horizontal="left" readingOrder="0" vertical="bottom"/>
    </xf>
    <xf borderId="19" fillId="7" fontId="46" numFmtId="0" xfId="0" applyAlignment="1" applyBorder="1" applyFont="1">
      <alignment horizontal="center" readingOrder="0" vertical="center"/>
    </xf>
    <xf borderId="2" fillId="7" fontId="26" numFmtId="0" xfId="0" applyAlignment="1" applyBorder="1" applyFont="1">
      <alignment horizontal="center" readingOrder="0" shrinkToFit="0" vertical="center" wrapText="1"/>
    </xf>
    <xf borderId="5" fillId="7" fontId="26" numFmtId="0" xfId="0" applyAlignment="1" applyBorder="1" applyFont="1">
      <alignment horizontal="center" readingOrder="0" vertical="center"/>
    </xf>
    <xf borderId="16" fillId="7" fontId="47" numFmtId="0" xfId="0" applyAlignment="1" applyBorder="1" applyFont="1">
      <alignment horizontal="center" readingOrder="0" vertical="center"/>
    </xf>
    <xf borderId="20" fillId="7" fontId="48" numFmtId="0" xfId="0" applyAlignment="1" applyBorder="1" applyFont="1">
      <alignment horizontal="center" readingOrder="0" vertical="center"/>
    </xf>
    <xf borderId="21" fillId="0" fontId="12" numFmtId="0" xfId="0" applyBorder="1" applyFont="1"/>
    <xf borderId="22" fillId="7" fontId="14" numFmtId="0" xfId="0" applyAlignment="1" applyBorder="1" applyFont="1">
      <alignment horizontal="center" readingOrder="0" vertical="center"/>
    </xf>
    <xf borderId="0" fillId="0" fontId="26" numFmtId="0" xfId="0" applyAlignment="1" applyFont="1">
      <alignment horizontal="center"/>
    </xf>
    <xf borderId="0" fillId="0" fontId="26" numFmtId="0" xfId="0" applyAlignment="1" applyFont="1">
      <alignment horizontal="left" shrinkToFit="0" wrapText="1"/>
    </xf>
    <xf borderId="0" fillId="0" fontId="44" numFmtId="0" xfId="0" applyAlignment="1" applyFont="1">
      <alignment horizontal="center" vertical="center"/>
    </xf>
    <xf borderId="0" fillId="0" fontId="45"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10" numFmtId="0" xfId="0" applyAlignment="1" applyFont="1">
      <alignment horizontal="center" readingOrder="0" vertical="center"/>
    </xf>
    <xf borderId="23" fillId="14" fontId="14" numFmtId="0" xfId="0" applyAlignment="1" applyBorder="1" applyFont="1">
      <alignment horizontal="center" readingOrder="0" vertical="center"/>
    </xf>
    <xf borderId="0" fillId="14" fontId="16" numFmtId="0" xfId="0" applyAlignment="1" applyFont="1">
      <alignment horizontal="center" readingOrder="0" shrinkToFit="0" vertical="center" wrapText="1"/>
    </xf>
    <xf borderId="23" fillId="14" fontId="30" numFmtId="167" xfId="0" applyAlignment="1" applyBorder="1" applyFont="1" applyNumberFormat="1">
      <alignment horizontal="center" readingOrder="0" vertical="center"/>
    </xf>
    <xf borderId="24" fillId="17" fontId="49" numFmtId="164" xfId="0" applyAlignment="1" applyBorder="1" applyFont="1" applyNumberFormat="1">
      <alignment horizontal="center" vertical="center"/>
    </xf>
    <xf borderId="25" fillId="0" fontId="12" numFmtId="0" xfId="0" applyBorder="1" applyFont="1"/>
    <xf borderId="22" fillId="17" fontId="50" numFmtId="164" xfId="0" applyAlignment="1" applyBorder="1" applyFont="1" applyNumberFormat="1">
      <alignment horizontal="center" shrinkToFit="0" vertical="center" wrapText="1"/>
    </xf>
    <xf borderId="0" fillId="0" fontId="51" numFmtId="0" xfId="0" applyAlignment="1" applyFont="1">
      <alignment horizontal="left" readingOrder="0" shrinkToFit="0" vertical="center" wrapText="1"/>
    </xf>
    <xf borderId="0" fillId="23" fontId="52" numFmtId="0" xfId="0" applyAlignment="1" applyFill="1" applyFont="1">
      <alignment readingOrder="0" vertical="bottom"/>
    </xf>
    <xf borderId="0" fillId="23" fontId="26" numFmtId="0" xfId="0" applyAlignment="1" applyFont="1">
      <alignment horizontal="center"/>
    </xf>
    <xf borderId="0" fillId="23" fontId="26" numFmtId="0" xfId="0" applyFont="1"/>
    <xf borderId="0" fillId="0" fontId="8" numFmtId="0" xfId="0" applyAlignment="1" applyFont="1">
      <alignment horizontal="left" readingOrder="0" vertical="center"/>
    </xf>
    <xf borderId="0" fillId="0" fontId="53" numFmtId="0" xfId="0" applyAlignment="1" applyFont="1">
      <alignment horizontal="left" readingOrder="0" vertical="center"/>
    </xf>
    <xf borderId="0" fillId="0" fontId="10" numFmtId="0" xfId="0" applyAlignment="1" applyFont="1">
      <alignment readingOrder="0" vertical="bottom"/>
    </xf>
    <xf borderId="0" fillId="15" fontId="28" numFmtId="0" xfId="0" applyAlignment="1" applyFont="1">
      <alignment readingOrder="0" vertical="bottom"/>
    </xf>
    <xf borderId="0" fillId="15" fontId="28" numFmtId="0" xfId="0" applyAlignment="1" applyFont="1">
      <alignment horizontal="center" readingOrder="0" shrinkToFit="0" vertical="center" wrapText="1"/>
    </xf>
    <xf borderId="0" fillId="15" fontId="8" numFmtId="0" xfId="0" applyAlignment="1" applyFont="1">
      <alignment horizontal="center" vertical="center"/>
    </xf>
    <xf borderId="0" fillId="0" fontId="8" numFmtId="0" xfId="0" applyAlignment="1" applyFont="1">
      <alignment horizontal="left" vertical="bottom"/>
    </xf>
    <xf borderId="0" fillId="15" fontId="28" numFmtId="0" xfId="0" applyAlignment="1" applyFont="1">
      <alignment readingOrder="0" shrinkToFit="0" vertical="bottom" wrapText="1"/>
    </xf>
    <xf borderId="0" fillId="15" fontId="8" numFmtId="0" xfId="0" applyAlignment="1" applyFont="1">
      <alignment horizontal="left" shrinkToFit="0" vertical="center" wrapText="1"/>
    </xf>
    <xf borderId="0" fillId="15" fontId="28" numFmtId="0" xfId="0" applyAlignment="1" applyFont="1">
      <alignment shrinkToFit="0" vertical="bottom" wrapText="1"/>
    </xf>
    <xf borderId="0" fillId="15" fontId="28" numFmtId="0" xfId="0" applyAlignment="1" applyFont="1">
      <alignment horizontal="left" readingOrder="0" shrinkToFit="0" vertical="bottom" wrapText="1"/>
    </xf>
    <xf borderId="0" fillId="15" fontId="8" numFmtId="0" xfId="0" applyAlignment="1" applyFont="1">
      <alignment horizontal="center" shrinkToFit="0" vertical="center" wrapText="1"/>
    </xf>
    <xf borderId="0" fillId="0" fontId="29" numFmtId="166" xfId="0" applyAlignment="1" applyFont="1" applyNumberFormat="1">
      <alignment horizontal="center" shrinkToFit="0" vertical="bottom" wrapText="0"/>
    </xf>
    <xf borderId="0" fillId="17" fontId="54" numFmtId="164" xfId="0" applyAlignment="1" applyFont="1" applyNumberFormat="1">
      <alignment horizontal="center" shrinkToFit="0" vertical="bottom" wrapText="1"/>
    </xf>
    <xf borderId="0" fillId="2" fontId="55" numFmtId="166" xfId="0" applyAlignment="1" applyFont="1" applyNumberFormat="1">
      <alignment horizontal="center" shrinkToFit="0" vertical="bottom" wrapText="1"/>
    </xf>
    <xf borderId="0" fillId="0" fontId="56" numFmtId="0" xfId="0" applyAlignment="1" applyFont="1">
      <alignment horizontal="center" readingOrder="0" shrinkToFit="0" vertical="bottom" wrapText="0"/>
    </xf>
    <xf borderId="0" fillId="2" fontId="55" numFmtId="166" xfId="0" applyAlignment="1" applyFont="1" applyNumberFormat="1">
      <alignment horizontal="center" shrinkToFit="0" vertical="bottom" wrapText="0"/>
    </xf>
    <xf borderId="0" fillId="11" fontId="57" numFmtId="0" xfId="0" applyAlignment="1" applyFont="1">
      <alignment horizontal="center" readingOrder="0" shrinkToFit="0" vertical="center" wrapText="0"/>
    </xf>
    <xf borderId="0" fillId="0" fontId="57" numFmtId="0" xfId="0" applyAlignment="1" applyFont="1">
      <alignment horizontal="left" readingOrder="0" shrinkToFit="0" vertical="bottom" wrapText="0"/>
    </xf>
    <xf borderId="0" fillId="0" fontId="58" numFmtId="0" xfId="0" applyAlignment="1" applyFont="1">
      <alignment horizontal="left" readingOrder="0" shrinkToFit="0" vertical="bottom" wrapText="1"/>
    </xf>
    <xf borderId="0" fillId="0" fontId="57" numFmtId="0" xfId="0" applyAlignment="1" applyFont="1">
      <alignment readingOrder="0" shrinkToFit="0" vertical="bottom" wrapText="0"/>
    </xf>
    <xf borderId="0" fillId="2" fontId="59" numFmtId="166" xfId="0" applyAlignment="1" applyFont="1" applyNumberFormat="1">
      <alignment horizontal="left" shrinkToFit="0" vertical="bottom" wrapText="1"/>
    </xf>
    <xf borderId="0" fillId="11" fontId="57" numFmtId="0" xfId="0" applyAlignment="1" applyFont="1">
      <alignment readingOrder="0" shrinkToFit="0" vertical="bottom" wrapText="0"/>
    </xf>
    <xf borderId="0" fillId="0" fontId="57" numFmtId="0" xfId="0" applyAlignment="1" applyFont="1">
      <alignment horizontal="center" readingOrder="0" shrinkToFit="0" vertical="center" wrapText="0"/>
    </xf>
    <xf borderId="0" fillId="0" fontId="8" numFmtId="0" xfId="0" applyAlignment="1" applyFont="1">
      <alignment horizontal="left" readingOrder="0" shrinkToFit="0" vertical="bottom" wrapText="0"/>
    </xf>
    <xf borderId="0" fillId="16" fontId="8" numFmtId="0" xfId="0" applyAlignment="1" applyFont="1">
      <alignment horizontal="left" readingOrder="0" shrinkToFit="0" vertical="bottom" wrapText="0"/>
    </xf>
    <xf borderId="0" fillId="16" fontId="8" numFmtId="0" xfId="0" applyAlignment="1" applyFont="1">
      <alignment horizontal="left" readingOrder="0" shrinkToFit="0" vertical="bottom" wrapText="1"/>
    </xf>
    <xf borderId="0" fillId="16" fontId="10" numFmtId="168" xfId="0" applyAlignment="1" applyFont="1" applyNumberFormat="1">
      <alignment horizontal="center" readingOrder="0" vertical="center"/>
    </xf>
    <xf borderId="0" fillId="0" fontId="26" numFmtId="49" xfId="0" applyAlignment="1" applyFont="1" applyNumberFormat="1">
      <alignment horizontal="center" vertical="center"/>
    </xf>
    <xf borderId="0" fillId="0" fontId="8" numFmtId="0" xfId="0" applyAlignment="1" applyFont="1">
      <alignment horizontal="center" readingOrder="0" vertical="center"/>
    </xf>
    <xf borderId="0" fillId="0" fontId="8" numFmtId="0" xfId="0" applyAlignment="1" applyFont="1">
      <alignment horizontal="left" readingOrder="0" vertical="bottom"/>
    </xf>
    <xf borderId="0" fillId="0" fontId="8" numFmtId="0" xfId="0" applyAlignment="1" applyFont="1">
      <alignment horizontal="center" readingOrder="0" vertical="bottom"/>
    </xf>
    <xf borderId="0" fillId="0" fontId="60" numFmtId="0" xfId="0" applyAlignment="1" applyFont="1">
      <alignment horizontal="left" readingOrder="0" vertical="center"/>
    </xf>
    <xf borderId="0" fillId="0" fontId="60" numFmtId="49" xfId="0" applyAlignment="1" applyFont="1" applyNumberFormat="1">
      <alignment horizontal="left" readingOrder="0" vertical="center"/>
    </xf>
    <xf borderId="0" fillId="0" fontId="61" numFmtId="0" xfId="0" applyAlignment="1" applyFont="1">
      <alignment horizontal="left" readingOrder="0" vertical="center"/>
    </xf>
    <xf borderId="0" fillId="0" fontId="8" numFmtId="0" xfId="0" applyAlignment="1" applyFont="1">
      <alignment horizontal="left" shrinkToFit="0" vertical="bottom" wrapText="1"/>
    </xf>
    <xf borderId="0" fillId="0" fontId="8" numFmtId="0" xfId="0" applyAlignment="1" applyFont="1">
      <alignment horizontal="left" readingOrder="0" shrinkToFit="0" vertical="bottom" wrapText="1"/>
    </xf>
    <xf borderId="0" fillId="16" fontId="8" numFmtId="49" xfId="0" applyAlignment="1" applyFont="1" applyNumberFormat="1">
      <alignment horizontal="center" readingOrder="0" shrinkToFit="0" vertical="bottom" wrapText="1"/>
    </xf>
    <xf borderId="0" fillId="0" fontId="26" numFmtId="166" xfId="0" applyAlignment="1" applyFont="1" applyNumberFormat="1">
      <alignment horizontal="center" vertical="center"/>
    </xf>
    <xf borderId="0" fillId="16" fontId="26" numFmtId="164" xfId="0" applyAlignment="1" applyFont="1" applyNumberFormat="1">
      <alignment horizontal="center" vertical="center"/>
    </xf>
    <xf borderId="0" fillId="0" fontId="8" numFmtId="0" xfId="0" applyAlignment="1" applyFont="1">
      <alignment horizontal="left" readingOrder="0" shrinkToFit="0" vertical="center" wrapText="1"/>
    </xf>
    <xf borderId="0" fillId="0" fontId="8" numFmtId="164" xfId="0" applyAlignment="1" applyFont="1" applyNumberFormat="1">
      <alignment horizontal="center" readingOrder="0" shrinkToFit="0" vertical="bottom" wrapText="1"/>
    </xf>
    <xf borderId="0" fillId="0" fontId="8" numFmtId="49" xfId="0" applyAlignment="1" applyFont="1" applyNumberFormat="1">
      <alignment horizontal="left" readingOrder="0" shrinkToFit="0" vertical="bottom" wrapText="1"/>
    </xf>
    <xf borderId="0" fillId="0" fontId="8" numFmtId="49" xfId="0" applyAlignment="1" applyFont="1" applyNumberFormat="1">
      <alignment horizontal="center" readingOrder="0" shrinkToFit="0" vertical="bottom" wrapText="1"/>
    </xf>
    <xf borderId="0" fillId="0" fontId="26" numFmtId="164" xfId="0" applyAlignment="1" applyFont="1" applyNumberFormat="1">
      <alignment horizontal="center" vertical="center"/>
    </xf>
    <xf borderId="0" fillId="14" fontId="14" numFmtId="168" xfId="0" applyAlignment="1" applyFont="1" applyNumberFormat="1">
      <alignment horizontal="center" readingOrder="0" vertical="center"/>
    </xf>
    <xf borderId="0" fillId="14" fontId="10" numFmtId="49" xfId="0" applyAlignment="1" applyFont="1" applyNumberFormat="1">
      <alignment horizontal="center" readingOrder="0" vertical="center"/>
    </xf>
    <xf borderId="0" fillId="16" fontId="26" numFmtId="166" xfId="0" applyAlignment="1" applyFont="1" applyNumberFormat="1">
      <alignment horizontal="center" vertical="center"/>
    </xf>
    <xf borderId="0" fillId="14" fontId="10" numFmtId="168" xfId="0" applyAlignment="1" applyFont="1" applyNumberFormat="1">
      <alignment horizontal="center" readingOrder="0" vertical="center"/>
    </xf>
    <xf borderId="0" fillId="14" fontId="10" numFmtId="49" xfId="0" applyAlignment="1" applyFont="1" applyNumberFormat="1">
      <alignment horizontal="center" readingOrder="0" vertical="bottom"/>
    </xf>
    <xf borderId="0" fillId="14" fontId="8" numFmtId="49" xfId="0" applyAlignment="1" applyFont="1" applyNumberFormat="1">
      <alignment horizontal="center" readingOrder="0" vertical="center"/>
    </xf>
    <xf borderId="0" fillId="14" fontId="8" numFmtId="49" xfId="0" applyAlignment="1" applyFont="1" applyNumberFormat="1">
      <alignment readingOrder="0" vertical="center"/>
    </xf>
    <xf borderId="0" fillId="14" fontId="8" numFmtId="49" xfId="0" applyAlignment="1" applyFont="1" applyNumberFormat="1">
      <alignment vertical="center"/>
    </xf>
    <xf borderId="0" fillId="14" fontId="8" numFmtId="49" xfId="0" applyAlignment="1" applyFont="1" applyNumberFormat="1">
      <alignment shrinkToFit="0" vertical="center" wrapText="1"/>
    </xf>
    <xf borderId="0" fillId="0" fontId="8" numFmtId="49" xfId="0" applyAlignment="1" applyFont="1" applyNumberFormat="1">
      <alignment horizontal="left" shrinkToFit="0" vertical="bottom" wrapText="0"/>
    </xf>
    <xf borderId="0" fillId="14" fontId="8" numFmtId="49" xfId="0" applyAlignment="1" applyFont="1" applyNumberFormat="1">
      <alignment horizontal="left" readingOrder="0" shrinkToFit="0" vertical="bottom" wrapText="1"/>
    </xf>
    <xf borderId="0" fillId="14" fontId="8" numFmtId="168" xfId="0" applyAlignment="1" applyFont="1" applyNumberFormat="1">
      <alignment horizontal="left" readingOrder="0" shrinkToFit="0" vertical="center" wrapText="1"/>
    </xf>
    <xf borderId="0" fillId="14" fontId="14" numFmtId="49" xfId="0" applyAlignment="1" applyFont="1" applyNumberFormat="1">
      <alignment horizontal="center" readingOrder="0" vertical="center"/>
    </xf>
    <xf borderId="0" fillId="0" fontId="8" numFmtId="49" xfId="0" applyAlignment="1" applyFont="1" applyNumberFormat="1">
      <alignment horizontal="left" shrinkToFit="0" vertical="bottom" wrapText="1"/>
    </xf>
    <xf borderId="0" fillId="14" fontId="10" numFmtId="49" xfId="0" applyAlignment="1" applyFont="1" applyNumberFormat="1">
      <alignment horizontal="center" readingOrder="0" shrinkToFit="0" vertical="center" wrapText="1"/>
    </xf>
    <xf borderId="0" fillId="14" fontId="10" numFmtId="49" xfId="0" applyAlignment="1" applyFont="1" applyNumberFormat="1">
      <alignment horizontal="center" readingOrder="0" vertical="bottom"/>
    </xf>
    <xf borderId="0" fillId="16" fontId="26" numFmtId="169" xfId="0" applyAlignment="1" applyFont="1" applyNumberFormat="1">
      <alignment horizontal="center" vertical="center"/>
    </xf>
    <xf borderId="0" fillId="0" fontId="26" numFmtId="49" xfId="0" applyAlignment="1" applyFont="1" applyNumberFormat="1">
      <alignment vertical="bottom"/>
    </xf>
    <xf borderId="0" fillId="14" fontId="8" numFmtId="49" xfId="0" applyAlignment="1" applyFont="1" applyNumberFormat="1">
      <alignment horizontal="left" readingOrder="0" shrinkToFit="0" vertical="bottom" wrapText="1"/>
    </xf>
    <xf borderId="0" fillId="14" fontId="10" numFmtId="49" xfId="0" applyAlignment="1" applyFont="1" applyNumberFormat="1">
      <alignment horizontal="center" readingOrder="0" vertical="center"/>
    </xf>
    <xf borderId="0" fillId="14" fontId="10" numFmtId="168" xfId="0" applyAlignment="1" applyFont="1" applyNumberFormat="1">
      <alignment horizontal="center" readingOrder="0" vertical="center"/>
    </xf>
    <xf borderId="0" fillId="0" fontId="8" numFmtId="0" xfId="0" applyAlignment="1" applyFont="1">
      <alignment horizontal="center" readingOrder="0" vertical="bottom"/>
    </xf>
    <xf borderId="0" fillId="0" fontId="26" numFmtId="49" xfId="0" applyAlignment="1" applyFont="1" applyNumberFormat="1">
      <alignment shrinkToFit="0" vertical="bottom" wrapText="1"/>
    </xf>
    <xf borderId="0" fillId="14" fontId="10" numFmtId="49" xfId="0" applyAlignment="1" applyFont="1" applyNumberFormat="1">
      <alignment horizontal="center" readingOrder="0" shrinkToFit="0" vertical="center" wrapText="1"/>
    </xf>
    <xf borderId="0" fillId="0" fontId="8" numFmtId="49" xfId="0" applyAlignment="1" applyFont="1" applyNumberFormat="1">
      <alignment horizontal="left" readingOrder="0" shrinkToFit="0" vertical="bottom" wrapText="0"/>
    </xf>
    <xf borderId="0" fillId="0" fontId="8" numFmtId="49" xfId="0" applyAlignment="1" applyFont="1" applyNumberFormat="1">
      <alignment horizontal="left" readingOrder="0" shrinkToFit="0" vertical="bottom" wrapText="1"/>
    </xf>
    <xf borderId="0" fillId="0" fontId="8" numFmtId="49" xfId="0" applyAlignment="1" applyFont="1" applyNumberFormat="1">
      <alignment horizontal="left" shrinkToFit="0" vertical="bottom" wrapText="0"/>
    </xf>
    <xf borderId="0" fillId="14" fontId="14" numFmtId="168" xfId="0" applyAlignment="1" applyFont="1" applyNumberFormat="1">
      <alignment horizontal="center" readingOrder="0"/>
    </xf>
    <xf borderId="0" fillId="14" fontId="10" numFmtId="49" xfId="0" applyAlignment="1" applyFont="1" applyNumberFormat="1">
      <alignment horizontal="center" readingOrder="0"/>
    </xf>
    <xf borderId="0" fillId="0" fontId="8" numFmtId="49" xfId="0" applyAlignment="1" applyFont="1" applyNumberFormat="1">
      <alignment horizontal="left" shrinkToFit="0" vertical="bottom" wrapText="1"/>
    </xf>
    <xf borderId="0" fillId="0" fontId="8" numFmtId="0" xfId="0" applyAlignment="1" applyFont="1">
      <alignment shrinkToFit="0" vertical="bottom" wrapText="0"/>
    </xf>
    <xf borderId="0" fillId="0" fontId="8" numFmtId="49" xfId="0" applyAlignment="1" applyFont="1" applyNumberFormat="1">
      <alignment horizontal="left" readingOrder="0" shrinkToFit="0" vertical="bottom" wrapText="0"/>
    </xf>
    <xf borderId="0" fillId="16" fontId="8" numFmtId="166" xfId="0" applyFont="1" applyNumberFormat="1"/>
    <xf borderId="0" fillId="0" fontId="10" numFmtId="49" xfId="0" applyAlignment="1" applyFont="1" applyNumberFormat="1">
      <alignment horizontal="center" readingOrder="0" vertical="bottom"/>
    </xf>
    <xf borderId="0" fillId="0" fontId="10" numFmtId="49" xfId="0" applyAlignment="1" applyFont="1" applyNumberFormat="1">
      <alignment horizontal="center" readingOrder="0" shrinkToFit="0" vertical="center" wrapText="1"/>
    </xf>
    <xf borderId="0" fillId="0" fontId="26" numFmtId="166" xfId="0" applyAlignment="1" applyFont="1" applyNumberFormat="1">
      <alignment horizontal="center" vertical="bottom"/>
    </xf>
    <xf borderId="0" fillId="0" fontId="10" numFmtId="49" xfId="0" applyAlignment="1" applyFont="1" applyNumberFormat="1">
      <alignment horizontal="center" readingOrder="0" vertical="bottom"/>
    </xf>
    <xf borderId="0" fillId="0" fontId="10" numFmtId="49" xfId="0" applyAlignment="1" applyFont="1" applyNumberFormat="1">
      <alignment horizontal="center" readingOrder="0" vertical="center"/>
    </xf>
    <xf borderId="0" fillId="0" fontId="8" numFmtId="49" xfId="0" applyAlignment="1" applyFont="1" applyNumberFormat="1">
      <alignment shrinkToFit="0" vertical="bottom" wrapText="0"/>
    </xf>
    <xf borderId="0" fillId="0" fontId="8" numFmtId="49" xfId="0" applyAlignment="1" applyFont="1" applyNumberFormat="1">
      <alignment shrinkToFit="0" vertical="top" wrapText="0"/>
    </xf>
    <xf borderId="0" fillId="0" fontId="8" numFmtId="0" xfId="0" applyAlignment="1" applyFont="1">
      <alignment horizontal="left" readingOrder="0" shrinkToFit="0" vertical="bottom" wrapText="1"/>
    </xf>
    <xf borderId="0" fillId="0" fontId="8" numFmtId="0" xfId="0" applyAlignment="1" applyFont="1">
      <alignment shrinkToFit="0" vertical="bottom" wrapText="1"/>
    </xf>
    <xf borderId="0" fillId="0" fontId="26" numFmtId="0" xfId="0" applyAlignment="1" applyFont="1">
      <alignment shrinkToFit="0" vertical="bottom" wrapText="1"/>
    </xf>
    <xf borderId="0" fillId="0" fontId="8" numFmtId="49" xfId="0" applyAlignment="1" applyFont="1" applyNumberFormat="1">
      <alignment horizontal="center" shrinkToFit="0" vertical="center" wrapText="1"/>
    </xf>
    <xf borderId="0" fillId="0" fontId="8" numFmtId="168" xfId="0" applyAlignment="1" applyFont="1" applyNumberFormat="1">
      <alignment horizontal="left" readingOrder="0" shrinkToFit="0" vertical="center" wrapText="1"/>
    </xf>
    <xf borderId="0" fillId="0" fontId="26" numFmtId="49" xfId="0" applyAlignment="1" applyFont="1" applyNumberFormat="1">
      <alignment horizontal="left" shrinkToFit="0" vertical="center" wrapText="1"/>
    </xf>
    <xf borderId="0" fillId="0" fontId="8" numFmtId="0" xfId="0" applyAlignment="1" applyFont="1">
      <alignment readingOrder="0" shrinkToFit="0" vertical="bottom" wrapText="1"/>
    </xf>
    <xf borderId="0" fillId="0" fontId="8" numFmtId="49" xfId="0" applyAlignment="1" applyFont="1" applyNumberFormat="1">
      <alignment horizontal="center" readingOrder="0" shrinkToFit="0" vertical="center" wrapText="1"/>
    </xf>
    <xf borderId="0" fillId="0" fontId="8" numFmtId="164" xfId="0" applyAlignment="1" applyFont="1" applyNumberFormat="1">
      <alignment horizontal="center" readingOrder="0" vertical="center"/>
    </xf>
    <xf borderId="0" fillId="0" fontId="8" numFmtId="0" xfId="0" applyAlignment="1" applyFont="1">
      <alignment horizontal="center" readingOrder="0" shrinkToFit="0" vertical="center" wrapText="1"/>
    </xf>
    <xf borderId="0" fillId="14" fontId="46" numFmtId="49" xfId="0" applyAlignment="1" applyFont="1" applyNumberFormat="1">
      <alignment horizontal="center" shrinkToFit="0" vertical="bottom" wrapText="1"/>
    </xf>
    <xf borderId="0" fillId="16" fontId="26" numFmtId="49" xfId="0" applyAlignment="1" applyFont="1" applyNumberFormat="1">
      <alignment shrinkToFit="0" vertical="bottom" wrapText="1"/>
    </xf>
    <xf borderId="0" fillId="0" fontId="10" numFmtId="168" xfId="0" applyAlignment="1" applyFont="1" applyNumberFormat="1">
      <alignment horizontal="center" readingOrder="0" vertical="center"/>
    </xf>
    <xf borderId="0" fillId="0" fontId="8" numFmtId="0" xfId="0" applyAlignment="1" applyFont="1">
      <alignment shrinkToFit="0" vertical="bottom" wrapText="0"/>
    </xf>
    <xf borderId="0" fillId="0" fontId="8" numFmtId="0" xfId="0" applyAlignment="1" applyFont="1">
      <alignment readingOrder="0" shrinkToFit="0" vertical="bottom" wrapText="0"/>
    </xf>
    <xf borderId="0" fillId="16" fontId="26" numFmtId="166" xfId="0" applyAlignment="1" applyFont="1" applyNumberFormat="1">
      <alignment horizontal="center" vertical="center"/>
    </xf>
    <xf borderId="0" fillId="15" fontId="28" numFmtId="0" xfId="0" applyAlignment="1" applyFont="1">
      <alignment readingOrder="0" shrinkToFit="0" vertical="bottom" wrapText="1"/>
    </xf>
    <xf borderId="0" fillId="15" fontId="8" numFmtId="168" xfId="0" applyAlignment="1" applyFont="1" applyNumberFormat="1">
      <alignment horizontal="left" readingOrder="0" shrinkToFit="0" vertical="center" wrapText="1"/>
    </xf>
    <xf borderId="0" fillId="15" fontId="10" numFmtId="168" xfId="0" applyAlignment="1" applyFont="1" applyNumberFormat="1">
      <alignment horizontal="center" readingOrder="0" vertical="center"/>
    </xf>
    <xf borderId="0" fillId="0" fontId="56" numFmtId="0" xfId="0" applyAlignment="1" applyFont="1">
      <alignment horizontal="center" readingOrder="0" shrinkToFit="0" vertical="bottom" wrapText="1"/>
    </xf>
    <xf borderId="0" fillId="11" fontId="57" numFmtId="0" xfId="0" applyAlignment="1" applyFont="1">
      <alignment horizontal="center" readingOrder="0" shrinkToFit="0" vertical="bottom" wrapText="0"/>
    </xf>
    <xf borderId="0" fillId="0" fontId="57" numFmtId="0" xfId="0" applyAlignment="1" applyFont="1">
      <alignment horizontal="center" readingOrder="0" shrinkToFit="0" vertical="bottom" wrapText="0"/>
    </xf>
    <xf borderId="0" fillId="0" fontId="8" numFmtId="0" xfId="0" applyAlignment="1" applyFont="1">
      <alignment horizontal="left" readingOrder="0" shrinkToFit="0" vertical="top" wrapText="0"/>
    </xf>
    <xf borderId="0" fillId="16" fontId="8" numFmtId="0" xfId="0" applyAlignment="1" applyFont="1">
      <alignment horizontal="center" shrinkToFit="0" vertical="top" wrapText="1"/>
    </xf>
    <xf borderId="0" fillId="0" fontId="8" numFmtId="0" xfId="0" applyAlignment="1" applyFont="1">
      <alignment horizontal="center" shrinkToFit="0" vertical="top" wrapText="1"/>
    </xf>
    <xf borderId="0" fillId="0" fontId="8" numFmtId="0" xfId="0" applyAlignment="1" applyFont="1">
      <alignment horizontal="left" readingOrder="0" shrinkToFit="0" vertical="top" wrapText="1"/>
    </xf>
    <xf borderId="0" fillId="0" fontId="26" numFmtId="0" xfId="0" applyAlignment="1" applyFont="1">
      <alignment vertical="top"/>
    </xf>
    <xf borderId="0" fillId="0" fontId="8" numFmtId="49" xfId="0" applyAlignment="1" applyFont="1" applyNumberFormat="1">
      <alignment horizontal="left" shrinkToFit="0" vertical="top" wrapText="0"/>
    </xf>
    <xf borderId="0" fillId="16" fontId="10" numFmtId="49" xfId="0" applyAlignment="1" applyFont="1" applyNumberFormat="1">
      <alignment horizontal="center" vertical="bottom"/>
    </xf>
    <xf borderId="0" fillId="0" fontId="8" numFmtId="166" xfId="0" applyAlignment="1" applyFont="1" applyNumberFormat="1">
      <alignment vertical="top"/>
    </xf>
    <xf borderId="0" fillId="16" fontId="8" numFmtId="164" xfId="0" applyAlignment="1" applyFont="1" applyNumberFormat="1">
      <alignment horizontal="right" vertical="bottom"/>
    </xf>
    <xf borderId="0" fillId="0" fontId="8" numFmtId="0" xfId="0" applyAlignment="1" applyFont="1">
      <alignment shrinkToFit="0" vertical="top" wrapText="1"/>
    </xf>
    <xf borderId="0" fillId="0" fontId="8" numFmtId="164" xfId="0" applyAlignment="1" applyFont="1" applyNumberFormat="1">
      <alignment vertical="top"/>
    </xf>
    <xf borderId="0" fillId="16" fontId="10" numFmtId="49" xfId="0" applyAlignment="1" applyFont="1" applyNumberFormat="1">
      <alignment horizontal="center" readingOrder="0" vertical="center"/>
    </xf>
    <xf borderId="0" fillId="0" fontId="8" numFmtId="49" xfId="0" applyAlignment="1" applyFont="1" applyNumberFormat="1">
      <alignment horizontal="left" shrinkToFit="0" vertical="top" wrapText="1"/>
    </xf>
    <xf borderId="0" fillId="14" fontId="8" numFmtId="168" xfId="0" applyAlignment="1" applyFont="1" applyNumberFormat="1">
      <alignment horizontal="left" readingOrder="0" shrinkToFit="0" vertical="center" wrapText="1"/>
    </xf>
    <xf borderId="0" fillId="0" fontId="8" numFmtId="0" xfId="0" applyAlignment="1" applyFont="1">
      <alignment horizontal="left" readingOrder="0" vertical="top"/>
    </xf>
    <xf borderId="0" fillId="0" fontId="8" numFmtId="0" xfId="0" applyAlignment="1" applyFont="1">
      <alignment horizontal="center" readingOrder="0" vertical="top"/>
    </xf>
    <xf borderId="0" fillId="0" fontId="8" numFmtId="0" xfId="0" applyAlignment="1" applyFont="1">
      <alignment horizontal="left" readingOrder="0" shrinkToFit="0" vertical="top" wrapText="1"/>
    </xf>
    <xf borderId="0" fillId="0" fontId="26" numFmtId="49" xfId="0" applyAlignment="1" applyFont="1" applyNumberFormat="1">
      <alignment vertical="top"/>
    </xf>
    <xf borderId="0" fillId="0" fontId="26" numFmtId="49" xfId="0" applyAlignment="1" applyFont="1" applyNumberFormat="1">
      <alignment shrinkToFit="0" vertical="top" wrapText="1"/>
    </xf>
    <xf borderId="0" fillId="14" fontId="8" numFmtId="170" xfId="0" applyAlignment="1" applyFont="1" applyNumberFormat="1">
      <alignment horizontal="left" readingOrder="0" shrinkToFit="0" vertical="center" wrapText="1"/>
    </xf>
    <xf borderId="0" fillId="14" fontId="10" numFmtId="170" xfId="0" applyAlignment="1" applyFont="1" applyNumberFormat="1">
      <alignment horizontal="center" readingOrder="0" vertical="center"/>
    </xf>
    <xf borderId="0" fillId="0" fontId="8" numFmtId="0" xfId="0" applyAlignment="1" applyFont="1">
      <alignment horizontal="center" readingOrder="0" vertical="top"/>
    </xf>
    <xf borderId="0" fillId="0" fontId="8" numFmtId="0" xfId="0" applyAlignment="1" applyFont="1">
      <alignment readingOrder="0" vertical="top"/>
    </xf>
    <xf borderId="0" fillId="0" fontId="8" numFmtId="0" xfId="0" applyAlignment="1" applyFont="1">
      <alignment readingOrder="0" shrinkToFit="0" vertical="top" wrapText="1"/>
    </xf>
    <xf borderId="0" fillId="14" fontId="8" numFmtId="170" xfId="0" applyAlignment="1" applyFont="1" applyNumberFormat="1">
      <alignment horizontal="left" readingOrder="0" shrinkToFit="0" vertical="center" wrapText="1"/>
    </xf>
    <xf borderId="0" fillId="14" fontId="10" numFmtId="170" xfId="0" applyAlignment="1" applyFont="1" applyNumberFormat="1">
      <alignment horizontal="center" readingOrder="0" vertical="center"/>
    </xf>
    <xf borderId="0" fillId="0" fontId="8" numFmtId="49" xfId="0" applyAlignment="1" applyFont="1" applyNumberFormat="1">
      <alignment readingOrder="0" shrinkToFit="0" vertical="top" wrapText="1"/>
    </xf>
    <xf borderId="0" fillId="0" fontId="8" numFmtId="0" xfId="0" applyAlignment="1" applyFont="1">
      <alignment horizontal="left" shrinkToFit="0" vertical="top" wrapText="1"/>
    </xf>
    <xf borderId="0" fillId="0" fontId="26" numFmtId="0" xfId="0" applyAlignment="1" applyFont="1">
      <alignment shrinkToFit="0" vertical="top" wrapText="1"/>
    </xf>
    <xf borderId="0" fillId="0" fontId="8" numFmtId="49" xfId="0" applyAlignment="1" applyFont="1" applyNumberFormat="1">
      <alignment horizontal="left" readingOrder="0" shrinkToFit="0" vertical="top" wrapText="0"/>
    </xf>
    <xf borderId="0" fillId="0" fontId="8" numFmtId="49" xfId="0" applyAlignment="1" applyFont="1" applyNumberFormat="1">
      <alignment horizontal="left" readingOrder="0" shrinkToFit="0" vertical="top" wrapText="1"/>
    </xf>
    <xf borderId="0" fillId="14" fontId="14" numFmtId="170" xfId="0" applyAlignment="1" applyFont="1" applyNumberFormat="1">
      <alignment horizontal="center" readingOrder="0" vertical="center"/>
    </xf>
    <xf borderId="0" fillId="0" fontId="8" numFmtId="0" xfId="0" applyAlignment="1" applyFont="1">
      <alignment readingOrder="0" shrinkToFit="0" vertical="top" wrapText="1"/>
    </xf>
    <xf borderId="0" fillId="0" fontId="8" numFmtId="0" xfId="0" applyAlignment="1" applyFont="1">
      <alignment vertical="top"/>
    </xf>
    <xf borderId="0" fillId="0" fontId="8" numFmtId="49" xfId="0" applyAlignment="1" applyFont="1" applyNumberFormat="1">
      <alignment horizontal="left" shrinkToFit="0" vertical="top" wrapText="0"/>
    </xf>
    <xf borderId="0" fillId="0" fontId="8" numFmtId="49" xfId="0" applyAlignment="1" applyFont="1" applyNumberFormat="1">
      <alignment horizontal="left" shrinkToFit="0" vertical="top" wrapText="1"/>
    </xf>
    <xf borderId="0" fillId="0" fontId="8" numFmtId="0" xfId="0" applyAlignment="1" applyFont="1">
      <alignment shrinkToFit="0" vertical="top" wrapText="1"/>
    </xf>
    <xf borderId="0" fillId="0" fontId="8" numFmtId="49" xfId="0" applyAlignment="1" applyFont="1" applyNumberFormat="1">
      <alignment horizontal="left" readingOrder="0" shrinkToFit="0" vertical="top" wrapText="0"/>
    </xf>
    <xf borderId="0" fillId="0" fontId="8" numFmtId="49" xfId="0" applyAlignment="1" applyFont="1" applyNumberFormat="1">
      <alignment horizontal="left" readingOrder="0" shrinkToFit="0" vertical="top" wrapText="1"/>
    </xf>
    <xf borderId="0" fillId="0" fontId="10" numFmtId="0" xfId="0" applyAlignment="1" applyFont="1">
      <alignment horizontal="center" readingOrder="0" vertical="center"/>
    </xf>
    <xf borderId="0" fillId="0" fontId="26" numFmtId="49" xfId="0" applyAlignment="1" applyFont="1" applyNumberFormat="1">
      <alignment readingOrder="0" shrinkToFit="0" vertical="top" wrapText="1"/>
    </xf>
    <xf borderId="0" fillId="0" fontId="8" numFmtId="49" xfId="0" applyAlignment="1" applyFont="1" applyNumberFormat="1">
      <alignment horizontal="center" readingOrder="0" shrinkToFit="0" vertical="center" wrapText="1"/>
    </xf>
    <xf borderId="0" fillId="0" fontId="8" numFmtId="49" xfId="0" applyAlignment="1" applyFont="1" applyNumberFormat="1">
      <alignment horizontal="center" readingOrder="0" shrinkToFit="0" vertical="center" wrapText="0"/>
    </xf>
    <xf borderId="0" fillId="14" fontId="8" numFmtId="170" xfId="0" applyAlignment="1" applyFont="1" applyNumberFormat="1">
      <alignment horizontal="center" readingOrder="0" shrinkToFit="0" vertical="center" wrapText="1"/>
    </xf>
    <xf borderId="0" fillId="0" fontId="8" numFmtId="170" xfId="0" applyAlignment="1" applyFont="1" applyNumberFormat="1">
      <alignment horizontal="center" readingOrder="0" shrinkToFit="0" vertical="center" wrapText="1"/>
    </xf>
    <xf borderId="0" fillId="0" fontId="26" numFmtId="49" xfId="0" applyAlignment="1" applyFont="1" applyNumberFormat="1">
      <alignment horizontal="center" shrinkToFit="0" vertical="center" wrapText="1"/>
    </xf>
    <xf borderId="0" fillId="0" fontId="8" numFmtId="0" xfId="0" applyAlignment="1" applyFont="1">
      <alignment horizontal="center" readingOrder="0" shrinkToFit="0" vertical="center" wrapText="0"/>
    </xf>
    <xf borderId="0" fillId="0" fontId="26" numFmtId="170" xfId="0" applyAlignment="1" applyFont="1" applyNumberFormat="1">
      <alignment horizontal="center" vertical="center"/>
    </xf>
    <xf borderId="24" fillId="17" fontId="49" numFmtId="164" xfId="0" applyAlignment="1" applyBorder="1" applyFont="1" applyNumberFormat="1">
      <alignment horizontal="center" readingOrder="0" vertical="center"/>
    </xf>
    <xf borderId="0" fillId="14" fontId="8" numFmtId="49" xfId="0" applyAlignment="1" applyFont="1" applyNumberFormat="1">
      <alignment readingOrder="0" vertical="bottom"/>
    </xf>
    <xf borderId="0" fillId="16" fontId="26" numFmtId="0" xfId="0" applyAlignment="1" applyFont="1">
      <alignment horizontal="center" readingOrder="0" vertical="center"/>
    </xf>
    <xf borderId="0" fillId="16" fontId="26" numFmtId="166" xfId="0" applyAlignment="1" applyFont="1" applyNumberFormat="1">
      <alignment horizontal="center" vertical="bottom"/>
    </xf>
    <xf borderId="0" fillId="0" fontId="8" numFmtId="0" xfId="0" applyAlignment="1" applyFont="1">
      <alignment horizontal="center" readingOrder="0" shrinkToFit="0" vertical="center" wrapText="1"/>
    </xf>
    <xf borderId="0" fillId="0" fontId="26" numFmtId="0" xfId="0" applyAlignment="1" applyFont="1">
      <alignment horizontal="center" readingOrder="0" shrinkToFit="0" vertical="bottom" wrapText="1"/>
    </xf>
    <xf borderId="0" fillId="0" fontId="44" numFmtId="49" xfId="0" applyAlignment="1" applyFont="1" applyNumberFormat="1">
      <alignment horizontal="center" readingOrder="0" shrinkToFit="0" vertical="bottom" wrapText="1"/>
    </xf>
    <xf borderId="0" fillId="0" fontId="62" numFmtId="49" xfId="0" applyAlignment="1" applyFont="1" applyNumberFormat="1">
      <alignment horizontal="center" readingOrder="0" shrinkToFit="0" vertical="bottom" wrapText="1"/>
    </xf>
    <xf borderId="0" fillId="0" fontId="26" numFmtId="49" xfId="0" applyAlignment="1" applyFont="1" applyNumberFormat="1">
      <alignment horizontal="center" readingOrder="0" shrinkToFit="0" vertical="bottom" wrapText="1"/>
    </xf>
    <xf borderId="0" fillId="0" fontId="26" numFmtId="0" xfId="0" applyAlignment="1" applyFont="1">
      <alignment horizontal="center" readingOrder="0" shrinkToFit="0" vertical="bottom" wrapText="1"/>
    </xf>
    <xf borderId="26" fillId="0" fontId="10" numFmtId="49" xfId="0" applyAlignment="1" applyBorder="1" applyFont="1" applyNumberFormat="1">
      <alignment horizontal="center" readingOrder="0" shrinkToFit="0" vertical="bottom" wrapText="1"/>
    </xf>
    <xf borderId="26" fillId="0" fontId="10" numFmtId="0" xfId="0" applyAlignment="1" applyBorder="1" applyFont="1">
      <alignment horizontal="center" readingOrder="0" shrinkToFit="0" vertical="bottom" wrapText="1"/>
    </xf>
    <xf borderId="0" fillId="0" fontId="26" numFmtId="171" xfId="0" applyAlignment="1" applyFont="1" applyNumberFormat="1">
      <alignment horizontal="center" readingOrder="0" shrinkToFit="0" vertical="bottom" wrapText="1"/>
    </xf>
    <xf borderId="0" fillId="0" fontId="8" numFmtId="0" xfId="0" applyAlignment="1" applyFont="1">
      <alignment horizontal="right" vertical="bottom"/>
    </xf>
    <xf borderId="0" fillId="0" fontId="8" numFmtId="169" xfId="0" applyAlignment="1" applyFont="1" applyNumberFormat="1">
      <alignment horizontal="right" vertical="bottom"/>
    </xf>
    <xf borderId="0" fillId="0" fontId="11" numFmtId="166" xfId="0" applyAlignment="1" applyFont="1" applyNumberFormat="1">
      <alignment horizontal="right"/>
    </xf>
    <xf borderId="0" fillId="0" fontId="26" numFmtId="0" xfId="0" applyAlignment="1" applyFont="1">
      <alignment horizontal="left" vertical="bottom"/>
    </xf>
    <xf borderId="0" fillId="0" fontId="26" numFmtId="166" xfId="0" applyAlignment="1" applyFont="1" applyNumberFormat="1">
      <alignment horizontal="left" vertical="bottom"/>
    </xf>
    <xf borderId="0" fillId="0" fontId="26" numFmtId="0" xfId="0" applyAlignment="1" applyFont="1">
      <alignment readingOrder="0" shrinkToFit="0" wrapText="1"/>
    </xf>
    <xf borderId="0" fillId="0" fontId="26" numFmtId="49" xfId="0" applyAlignment="1" applyFont="1" applyNumberFormat="1">
      <alignment readingOrder="0" shrinkToFit="0" wrapText="1"/>
    </xf>
    <xf borderId="0" fillId="0" fontId="62" numFmtId="0" xfId="0" applyAlignment="1" applyFont="1">
      <alignment horizontal="left" readingOrder="0" shrinkToFit="0" wrapText="1"/>
    </xf>
    <xf borderId="0" fillId="0" fontId="26" numFmtId="49" xfId="0" applyAlignment="1" applyFont="1" applyNumberFormat="1">
      <alignment horizontal="center" readingOrder="0" shrinkToFit="0" wrapText="1"/>
    </xf>
    <xf borderId="0" fillId="0" fontId="62" numFmtId="49" xfId="0" applyAlignment="1" applyFont="1" applyNumberFormat="1">
      <alignment horizontal="left" readingOrder="0" shrinkToFit="0" wrapText="1"/>
    </xf>
    <xf borderId="0" fillId="0" fontId="26" numFmtId="0" xfId="0" applyAlignment="1" applyFont="1">
      <alignment horizontal="right" readingOrder="0" shrinkToFit="0" wrapText="1"/>
    </xf>
    <xf borderId="0" fillId="0" fontId="26" numFmtId="166" xfId="0" applyAlignment="1" applyFont="1" applyNumberFormat="1">
      <alignment horizontal="right" shrinkToFit="0" wrapText="1"/>
    </xf>
    <xf borderId="0" fillId="0" fontId="26" numFmtId="0" xfId="0" applyAlignment="1" applyFont="1">
      <alignment horizontal="right" shrinkToFit="0" wrapText="1"/>
    </xf>
    <xf borderId="0" fillId="0" fontId="26" numFmtId="164" xfId="0" applyAlignment="1" applyFont="1" applyNumberFormat="1">
      <alignment horizontal="right" shrinkToFit="0" wrapText="1"/>
    </xf>
    <xf borderId="0" fillId="0" fontId="26" numFmtId="164" xfId="0" applyAlignment="1" applyFont="1" applyNumberFormat="1">
      <alignment horizontal="right" readingOrder="0" shrinkToFit="0" wrapText="1"/>
    </xf>
    <xf borderId="0" fillId="0" fontId="8" numFmtId="164" xfId="0" applyAlignment="1" applyFont="1" applyNumberFormat="1">
      <alignment horizontal="right" shrinkToFit="0" vertical="bottom" wrapText="1"/>
    </xf>
    <xf borderId="0" fillId="0" fontId="8" numFmtId="1" xfId="0" applyAlignment="1" applyFont="1" applyNumberFormat="1">
      <alignment horizontal="right" shrinkToFit="0" vertical="bottom" wrapText="1"/>
    </xf>
    <xf borderId="0" fillId="0" fontId="8" numFmtId="0" xfId="0" applyAlignment="1" applyFont="1">
      <alignment horizontal="right" shrinkToFit="0" vertical="bottom" wrapText="1"/>
    </xf>
    <xf borderId="0" fillId="0" fontId="26" numFmtId="0" xfId="0" applyAlignment="1" applyFont="1">
      <alignment horizontal="left" shrinkToFit="0" vertical="bottom" wrapText="1"/>
    </xf>
    <xf borderId="0" fillId="0" fontId="8" numFmtId="0" xfId="0" applyAlignment="1" applyFont="1">
      <alignment horizontal="left" shrinkToFit="0" vertical="bottom" wrapText="0"/>
    </xf>
    <xf borderId="0" fillId="0" fontId="26" numFmtId="164" xfId="0" applyAlignment="1" applyFont="1" applyNumberFormat="1">
      <alignment horizontal="left" shrinkToFit="0" vertical="bottom" wrapText="1"/>
    </xf>
    <xf borderId="0" fillId="0" fontId="46" numFmtId="164" xfId="0" applyAlignment="1" applyFont="1" applyNumberFormat="1">
      <alignment horizontal="left" readingOrder="0" vertical="bottom"/>
    </xf>
    <xf borderId="0" fillId="0" fontId="46" numFmtId="0" xfId="0" applyAlignment="1" applyFont="1">
      <alignment horizontal="left" readingOrder="0" vertical="bottom"/>
    </xf>
    <xf borderId="0" fillId="0" fontId="46" numFmtId="0" xfId="0" applyAlignment="1" applyFont="1">
      <alignment horizontal="center" readingOrder="0" vertical="center"/>
    </xf>
    <xf borderId="0" fillId="0" fontId="62" numFmtId="0" xfId="0" applyAlignment="1" applyFont="1">
      <alignment horizontal="left" readingOrder="0" shrinkToFit="0" wrapText="1"/>
    </xf>
    <xf borderId="0" fillId="0" fontId="26" numFmtId="0" xfId="0" applyAlignment="1" applyFont="1">
      <alignment horizontal="right" readingOrder="0" shrinkToFit="0" wrapText="1"/>
    </xf>
    <xf borderId="0" fillId="0" fontId="8" numFmtId="0" xfId="0" applyAlignment="1" applyFont="1">
      <alignment horizontal="right" shrinkToFit="0" vertical="bottom" wrapText="1"/>
    </xf>
    <xf borderId="0" fillId="5" fontId="26" numFmtId="0" xfId="0" applyAlignment="1" applyFont="1">
      <alignment horizontal="left" shrinkToFit="0" vertical="bottom" wrapText="1"/>
    </xf>
    <xf borderId="0" fillId="5" fontId="8" numFmtId="172" xfId="0" applyAlignment="1" applyFont="1" applyNumberFormat="1">
      <alignment horizontal="left" shrinkToFit="0" vertical="bottom" wrapText="1"/>
    </xf>
    <xf borderId="0" fillId="0" fontId="8" numFmtId="0" xfId="0" applyAlignment="1" applyFont="1">
      <alignment horizontal="left" shrinkToFit="0" vertical="bottom" wrapText="1"/>
    </xf>
    <xf borderId="0" fillId="0" fontId="63" numFmtId="171" xfId="0" applyAlignment="1" applyFont="1" applyNumberFormat="1">
      <alignment horizontal="left" shrinkToFit="0" vertical="bottom" wrapText="1"/>
    </xf>
    <xf borderId="0" fillId="0" fontId="63" numFmtId="0" xfId="0" applyAlignment="1" applyFont="1">
      <alignment horizontal="left" shrinkToFit="0" vertical="bottom" wrapText="1"/>
    </xf>
    <xf borderId="0" fillId="0" fontId="64" numFmtId="164" xfId="0" applyAlignment="1" applyFont="1" applyNumberFormat="1">
      <alignment horizontal="left" shrinkToFit="0" vertical="bottom" wrapText="1"/>
    </xf>
    <xf borderId="0" fillId="0" fontId="26" numFmtId="173" xfId="0" applyAlignment="1" applyFont="1" applyNumberFormat="1">
      <alignment horizontal="left" shrinkToFit="0" vertical="bottom" wrapText="1"/>
    </xf>
    <xf borderId="0" fillId="0" fontId="46" numFmtId="173" xfId="0" applyAlignment="1" applyFont="1" applyNumberFormat="1">
      <alignment horizontal="left" readingOrder="0" vertical="bottom"/>
    </xf>
    <xf borderId="0" fillId="0" fontId="26" numFmtId="0" xfId="0" applyAlignment="1" applyFont="1">
      <alignment horizontal="right" shrinkToFit="0" wrapText="1"/>
    </xf>
    <xf borderId="0" fillId="0" fontId="8" numFmtId="0" xfId="0" applyAlignment="1" applyFont="1">
      <alignment horizontal="right" shrinkToFit="0" vertical="bottom" wrapText="1"/>
    </xf>
    <xf borderId="0" fillId="0" fontId="8" numFmtId="1" xfId="0" applyAlignment="1" applyFont="1" applyNumberFormat="1">
      <alignment horizontal="right" readingOrder="0" shrinkToFit="0" vertical="bottom" wrapText="1"/>
    </xf>
    <xf borderId="0" fillId="0" fontId="11" numFmtId="166" xfId="0" applyAlignment="1" applyFont="1" applyNumberFormat="1">
      <alignment horizontal="right" shrinkToFit="0" vertical="bottom" wrapText="1"/>
    </xf>
    <xf borderId="0" fillId="0" fontId="63" numFmtId="171" xfId="0" applyAlignment="1" applyFont="1" applyNumberFormat="1">
      <alignment horizontal="left" readingOrder="0" shrinkToFit="0" vertical="bottom" wrapText="1"/>
    </xf>
    <xf borderId="0" fillId="0" fontId="63" numFmtId="0" xfId="0" applyAlignment="1" applyFont="1">
      <alignment horizontal="left" readingOrder="0" shrinkToFit="0" vertical="bottom" wrapText="1"/>
    </xf>
    <xf borderId="0" fillId="0" fontId="63" numFmtId="173" xfId="0" applyAlignment="1" applyFont="1" applyNumberFormat="1">
      <alignment horizontal="left" shrinkToFit="0" vertical="bottom" wrapText="1"/>
    </xf>
    <xf borderId="0" fillId="0" fontId="16" numFmtId="173" xfId="0" applyAlignment="1" applyFont="1" applyNumberFormat="1">
      <alignment horizontal="left" readingOrder="0" vertical="bottom"/>
    </xf>
    <xf borderId="0" fillId="0" fontId="16" numFmtId="0" xfId="0" applyAlignment="1" applyFont="1">
      <alignment horizontal="left" readingOrder="0" vertical="bottom"/>
    </xf>
    <xf borderId="0" fillId="0" fontId="26" numFmtId="0" xfId="0" applyAlignment="1" applyFont="1">
      <alignment horizontal="left" readingOrder="0" vertical="bottom"/>
    </xf>
    <xf borderId="0" fillId="0" fontId="26" numFmtId="0" xfId="0" applyAlignment="1" applyFont="1">
      <alignment readingOrder="0" vertical="top"/>
    </xf>
    <xf borderId="0" fillId="0" fontId="26" numFmtId="49" xfId="0" applyAlignment="1" applyFont="1" applyNumberFormat="1">
      <alignment horizontal="right" readingOrder="0" shrinkToFit="0" wrapText="1"/>
    </xf>
    <xf borderId="0" fillId="0" fontId="8" numFmtId="0" xfId="0" applyAlignment="1" applyFont="1">
      <alignment horizontal="right" readingOrder="0" shrinkToFit="0" vertical="bottom" wrapText="1"/>
    </xf>
    <xf borderId="0" fillId="24" fontId="26" numFmtId="0" xfId="0" applyAlignment="1" applyFill="1" applyFont="1">
      <alignment horizontal="left" shrinkToFit="0" vertical="bottom" wrapText="1"/>
    </xf>
    <xf borderId="0" fillId="24" fontId="8" numFmtId="172" xfId="0" applyAlignment="1" applyFont="1" applyNumberFormat="1">
      <alignment horizontal="left" shrinkToFit="0" vertical="bottom" wrapText="1"/>
    </xf>
    <xf borderId="0" fillId="0" fontId="8" numFmtId="171" xfId="0" applyAlignment="1" applyFont="1" applyNumberFormat="1">
      <alignment horizontal="left" readingOrder="0" shrinkToFit="0" vertical="bottom" wrapText="1"/>
    </xf>
    <xf borderId="0" fillId="0" fontId="63" numFmtId="164" xfId="0" applyAlignment="1" applyFont="1" applyNumberFormat="1">
      <alignment horizontal="left" shrinkToFit="0" vertical="bottom" wrapText="1"/>
    </xf>
    <xf borderId="0" fillId="0" fontId="8" numFmtId="3" xfId="0" applyAlignment="1" applyFont="1" applyNumberFormat="1">
      <alignment shrinkToFit="0" vertical="bottom" wrapText="1"/>
    </xf>
    <xf borderId="0" fillId="0" fontId="26" numFmtId="171" xfId="0" applyAlignment="1" applyFont="1" applyNumberFormat="1">
      <alignment horizontal="left" shrinkToFit="0" vertical="bottom" wrapText="1"/>
    </xf>
    <xf borderId="0" fillId="0" fontId="16" numFmtId="164" xfId="0" applyAlignment="1" applyFont="1" applyNumberFormat="1">
      <alignment horizontal="left" readingOrder="0" vertical="bottom"/>
    </xf>
    <xf borderId="0" fillId="7" fontId="26" numFmtId="0" xfId="0" applyAlignment="1" applyFont="1">
      <alignment horizontal="left" shrinkToFit="0" vertical="bottom" wrapText="1"/>
    </xf>
    <xf borderId="0" fillId="7" fontId="8" numFmtId="172" xfId="0" applyAlignment="1" applyFont="1" applyNumberFormat="1">
      <alignment horizontal="left" shrinkToFit="0" vertical="bottom" wrapText="1"/>
    </xf>
    <xf borderId="0" fillId="0" fontId="8" numFmtId="172" xfId="0" applyAlignment="1" applyFont="1" applyNumberFormat="1">
      <alignment horizontal="left" shrinkToFit="0" vertical="bottom" wrapText="1"/>
    </xf>
    <xf borderId="0" fillId="0" fontId="8" numFmtId="171" xfId="0" applyAlignment="1" applyFont="1" applyNumberFormat="1">
      <alignment horizontal="left" shrinkToFit="0" vertical="bottom" wrapText="1"/>
    </xf>
    <xf borderId="0" fillId="8" fontId="26" numFmtId="0" xfId="0" applyAlignment="1" applyFont="1">
      <alignment horizontal="left" shrinkToFit="0" vertical="bottom" wrapText="1"/>
    </xf>
    <xf borderId="0" fillId="8" fontId="8" numFmtId="172" xfId="0" applyAlignment="1" applyFont="1" applyNumberFormat="1">
      <alignment horizontal="left" readingOrder="0" shrinkToFit="0" vertical="bottom" wrapText="1"/>
    </xf>
    <xf borderId="0" fillId="0" fontId="8" numFmtId="164" xfId="0" applyAlignment="1" applyFont="1" applyNumberFormat="1">
      <alignment shrinkToFit="0" vertical="bottom" wrapText="1"/>
    </xf>
    <xf borderId="0" fillId="0" fontId="8" numFmtId="1" xfId="0" applyAlignment="1" applyFont="1" applyNumberFormat="1">
      <alignment shrinkToFit="0" vertical="bottom" wrapText="1"/>
    </xf>
    <xf borderId="0" fillId="0" fontId="8" numFmtId="164" xfId="0" applyAlignment="1" applyFont="1" applyNumberFormat="1">
      <alignment readingOrder="0" shrinkToFit="0" vertical="bottom" wrapText="0"/>
    </xf>
    <xf borderId="0" fillId="0" fontId="8" numFmtId="1" xfId="0" applyAlignment="1" applyFont="1" applyNumberFormat="1">
      <alignment readingOrder="0" shrinkToFit="0" vertical="bottom" wrapText="0"/>
    </xf>
    <xf borderId="0" fillId="0" fontId="26" numFmtId="0" xfId="0" applyAlignment="1" applyFont="1">
      <alignment horizontal="left" shrinkToFit="0" vertical="bottom" wrapText="0"/>
    </xf>
    <xf borderId="0" fillId="0" fontId="8" numFmtId="172" xfId="0" applyAlignment="1" applyFont="1" applyNumberFormat="1">
      <alignment horizontal="left" readingOrder="0" shrinkToFit="0" vertical="bottom" wrapText="1"/>
    </xf>
    <xf borderId="0" fillId="0" fontId="26" numFmtId="164" xfId="0" applyAlignment="1" applyFont="1" applyNumberFormat="1">
      <alignment shrinkToFit="0" wrapText="1"/>
    </xf>
    <xf borderId="0" fillId="0" fontId="26" numFmtId="1" xfId="0" applyAlignment="1" applyFont="1" applyNumberFormat="1">
      <alignment shrinkToFit="0" wrapText="1"/>
    </xf>
    <xf borderId="0" fillId="0" fontId="26" numFmtId="172" xfId="0" applyAlignment="1" applyFont="1" applyNumberFormat="1">
      <alignment horizontal="left" shrinkToFit="0" vertical="bottom" wrapText="1"/>
    </xf>
    <xf borderId="0" fillId="0" fontId="8" numFmtId="164" xfId="0" applyAlignment="1" applyFont="1" applyNumberFormat="1">
      <alignment horizontal="right" shrinkToFit="0" vertical="bottom" wrapText="1"/>
    </xf>
    <xf borderId="0" fillId="0" fontId="8" numFmtId="1" xfId="0" applyAlignment="1" applyFont="1" applyNumberFormat="1">
      <alignment horizontal="right" shrinkToFit="0" vertical="bottom" wrapText="1"/>
    </xf>
    <xf borderId="0" fillId="0" fontId="65" numFmtId="0" xfId="0" applyAlignment="1" applyFont="1">
      <alignment horizontal="right" shrinkToFit="0" vertical="bottom" wrapText="1"/>
    </xf>
    <xf borderId="0" fillId="0" fontId="26" numFmtId="164" xfId="0" applyAlignment="1" applyFont="1" applyNumberFormat="1">
      <alignment readingOrder="0" shrinkToFit="0" wrapText="1"/>
    </xf>
    <xf borderId="0" fillId="0" fontId="26" numFmtId="1" xfId="0" applyAlignment="1" applyFont="1" applyNumberFormat="1">
      <alignment readingOrder="0" shrinkToFit="0" wrapText="1"/>
    </xf>
    <xf borderId="0" fillId="0" fontId="16" numFmtId="0" xfId="0" applyAlignment="1" applyFont="1">
      <alignment horizontal="left" readingOrder="0" vertical="center"/>
    </xf>
    <xf borderId="0" fillId="0" fontId="8" numFmtId="49" xfId="0" applyAlignment="1" applyFont="1" applyNumberFormat="1">
      <alignment readingOrder="0" shrinkToFit="0" vertical="bottom" wrapText="1"/>
    </xf>
    <xf borderId="0" fillId="0" fontId="14" numFmtId="0" xfId="0" applyAlignment="1" applyFont="1">
      <alignment horizontal="left" readingOrder="0" vertical="bottom"/>
    </xf>
    <xf borderId="0" fillId="0" fontId="26" numFmtId="172" xfId="0" applyAlignment="1" applyFont="1" applyNumberFormat="1">
      <alignment horizontal="left" readingOrder="0" shrinkToFit="0" vertical="bottom" wrapText="1"/>
    </xf>
    <xf borderId="0" fillId="0" fontId="16" numFmtId="0" xfId="0" applyAlignment="1" applyFont="1">
      <alignment horizontal="left" vertical="bottom"/>
    </xf>
    <xf borderId="0" fillId="0" fontId="8" numFmtId="171" xfId="0" applyAlignment="1" applyFont="1" applyNumberFormat="1">
      <alignment horizontal="left" readingOrder="0" shrinkToFit="0" vertical="bottom" wrapText="1"/>
    </xf>
    <xf borderId="0" fillId="0" fontId="26" numFmtId="49" xfId="0" applyAlignment="1" applyFont="1" applyNumberFormat="1">
      <alignment horizontal="center"/>
    </xf>
    <xf borderId="0" fillId="0" fontId="26" numFmtId="171" xfId="0" applyAlignment="1" applyFont="1" applyNumberFormat="1">
      <alignment horizontal="left" readingOrder="0" shrinkToFit="0" vertical="bottom" wrapText="1"/>
    </xf>
    <xf borderId="0" fillId="0" fontId="26" numFmtId="172" xfId="0" applyAlignment="1" applyFont="1" applyNumberFormat="1">
      <alignment horizontal="left" vertical="bottom"/>
    </xf>
    <xf borderId="0" fillId="0" fontId="66" numFmtId="0" xfId="0" applyAlignment="1" applyFont="1">
      <alignment horizontal="left" readingOrder="0" shrinkToFit="0" wrapText="1"/>
    </xf>
    <xf borderId="27" fillId="0" fontId="67" numFmtId="0" xfId="0" applyAlignment="1" applyBorder="1" applyFont="1">
      <alignment shrinkToFit="0" wrapText="1"/>
    </xf>
    <xf borderId="28" fillId="0" fontId="67" numFmtId="0" xfId="0" applyAlignment="1" applyBorder="1" applyFont="1">
      <alignment shrinkToFit="0" wrapText="1"/>
    </xf>
    <xf borderId="28" fillId="0" fontId="68" numFmtId="0" xfId="0" applyAlignment="1" applyBorder="1" applyFont="1">
      <alignment shrinkToFit="0" wrapText="1"/>
    </xf>
    <xf borderId="28" fillId="0" fontId="69" numFmtId="0" xfId="0" applyAlignment="1" applyBorder="1" applyFont="1">
      <alignment shrinkToFit="0" wrapText="1"/>
    </xf>
    <xf borderId="28" fillId="0" fontId="67" numFmtId="49" xfId="0" applyAlignment="1" applyBorder="1" applyFont="1" applyNumberFormat="1">
      <alignment horizontal="center" readingOrder="0" shrinkToFit="0" wrapText="1"/>
    </xf>
    <xf borderId="28" fillId="0" fontId="8" numFmtId="0" xfId="0" applyBorder="1" applyFont="1"/>
    <xf borderId="28" fillId="0" fontId="67" numFmtId="49" xfId="0" applyAlignment="1" applyBorder="1" applyFont="1" applyNumberFormat="1">
      <alignment horizontal="right" shrinkToFit="0" wrapText="1"/>
    </xf>
    <xf borderId="28" fillId="0" fontId="67" numFmtId="166" xfId="0" applyAlignment="1" applyBorder="1" applyFont="1" applyNumberFormat="1">
      <alignment horizontal="right" shrinkToFit="0" wrapText="1"/>
    </xf>
    <xf borderId="28" fillId="0" fontId="67" numFmtId="0" xfId="0" applyAlignment="1" applyBorder="1" applyFont="1">
      <alignment horizontal="right" shrinkToFit="0" wrapText="1"/>
    </xf>
    <xf borderId="28" fillId="0" fontId="67" numFmtId="166" xfId="0" applyAlignment="1" applyBorder="1" applyFont="1" applyNumberFormat="1">
      <alignment horizontal="right" shrinkToFit="0" wrapText="1"/>
    </xf>
    <xf borderId="28" fillId="0" fontId="67" numFmtId="164" xfId="0" applyAlignment="1" applyBorder="1" applyFont="1" applyNumberFormat="1">
      <alignment horizontal="right" shrinkToFit="0" wrapText="1"/>
    </xf>
    <xf borderId="29" fillId="0" fontId="8" numFmtId="0" xfId="0" applyBorder="1" applyFont="1"/>
    <xf borderId="0" fillId="0" fontId="8" numFmtId="0" xfId="0" applyAlignment="1" applyFont="1">
      <alignment horizontal="left" vertical="bottom"/>
    </xf>
    <xf borderId="30" fillId="0" fontId="67" numFmtId="0" xfId="0" applyAlignment="1" applyBorder="1" applyFont="1">
      <alignment shrinkToFit="0" wrapText="1"/>
    </xf>
    <xf borderId="31" fillId="0" fontId="67" numFmtId="0" xfId="0" applyAlignment="1" applyBorder="1" applyFont="1">
      <alignment shrinkToFit="0" wrapText="1"/>
    </xf>
    <xf borderId="31" fillId="0" fontId="67" numFmtId="0" xfId="0" applyAlignment="1" applyBorder="1" applyFont="1">
      <alignment readingOrder="0" shrinkToFit="0" wrapText="1"/>
    </xf>
    <xf borderId="31" fillId="0" fontId="8" numFmtId="0" xfId="0" applyBorder="1" applyFont="1"/>
    <xf borderId="31" fillId="0" fontId="67" numFmtId="49" xfId="0" applyAlignment="1" applyBorder="1" applyFont="1" applyNumberFormat="1">
      <alignment horizontal="center" readingOrder="0" shrinkToFit="0" wrapText="1"/>
    </xf>
    <xf borderId="31" fillId="0" fontId="67" numFmtId="166" xfId="0" applyAlignment="1" applyBorder="1" applyFont="1" applyNumberFormat="1">
      <alignment horizontal="right" shrinkToFit="0" wrapText="1"/>
    </xf>
    <xf borderId="31" fillId="0" fontId="67" numFmtId="164" xfId="0" applyAlignment="1" applyBorder="1" applyFont="1" applyNumberFormat="1">
      <alignment horizontal="right" shrinkToFit="0" wrapText="1"/>
    </xf>
    <xf borderId="32" fillId="0" fontId="8" numFmtId="164" xfId="0" applyBorder="1" applyFont="1" applyNumberFormat="1"/>
    <xf borderId="0" fillId="0" fontId="26" numFmtId="0" xfId="0" applyAlignment="1" applyFont="1">
      <alignment shrinkToFit="0" wrapText="1"/>
    </xf>
    <xf borderId="0" fillId="0" fontId="8" numFmtId="1" xfId="0" applyAlignment="1" applyFont="1" applyNumberFormat="1">
      <alignment vertical="bottom"/>
    </xf>
    <xf borderId="0" fillId="0" fontId="26" numFmtId="49" xfId="0" applyAlignment="1" applyFont="1" applyNumberFormat="1">
      <alignment shrinkToFit="0" wrapText="1"/>
    </xf>
    <xf borderId="0" fillId="0" fontId="26" numFmtId="173" xfId="0" applyAlignment="1" applyFont="1" applyNumberFormat="1">
      <alignment horizontal="right" readingOrder="0" shrinkToFit="0" wrapText="1"/>
    </xf>
    <xf borderId="0" fillId="0" fontId="8" numFmtId="0" xfId="0" applyAlignment="1" applyFont="1">
      <alignment vertical="bottom"/>
    </xf>
    <xf borderId="28" fillId="0" fontId="8" numFmtId="49" xfId="0" applyAlignment="1" applyBorder="1" applyFont="1" applyNumberFormat="1">
      <alignment horizontal="center" readingOrder="0"/>
    </xf>
    <xf borderId="28" fillId="0" fontId="8" numFmtId="164" xfId="0" applyBorder="1" applyFont="1" applyNumberFormat="1"/>
    <xf borderId="29" fillId="0" fontId="8" numFmtId="164" xfId="0" applyBorder="1" applyFont="1" applyNumberFormat="1"/>
    <xf borderId="0" fillId="0" fontId="26" numFmtId="171" xfId="0" applyAlignment="1" applyFont="1" applyNumberFormat="1">
      <alignment horizontal="right" shrinkToFit="0" wrapText="1"/>
    </xf>
    <xf borderId="0" fillId="0" fontId="26" numFmtId="171" xfId="0" applyAlignment="1" applyFont="1" applyNumberFormat="1">
      <alignment horizontal="right" readingOrder="0" shrinkToFit="0" wrapText="1"/>
    </xf>
    <xf borderId="30" fillId="0" fontId="67" numFmtId="0" xfId="0" applyAlignment="1" applyBorder="1" applyFont="1">
      <alignment shrinkToFit="0" wrapText="1"/>
    </xf>
    <xf borderId="31" fillId="0" fontId="67" numFmtId="0" xfId="0" applyAlignment="1" applyBorder="1" applyFont="1">
      <alignment shrinkToFit="0" wrapText="1"/>
    </xf>
    <xf borderId="31" fillId="0" fontId="67" numFmtId="49" xfId="0" applyAlignment="1" applyBorder="1" applyFont="1" applyNumberFormat="1">
      <alignment horizontal="center" shrinkToFit="0" wrapText="1"/>
    </xf>
    <xf borderId="31" fillId="0" fontId="67" numFmtId="49" xfId="0" applyAlignment="1" applyBorder="1" applyFont="1" applyNumberFormat="1">
      <alignment horizontal="right" shrinkToFit="0" wrapText="1"/>
    </xf>
    <xf borderId="31" fillId="0" fontId="67" numFmtId="166" xfId="0" applyAlignment="1" applyBorder="1" applyFont="1" applyNumberFormat="1">
      <alignment horizontal="right" shrinkToFit="0" wrapText="1"/>
    </xf>
    <xf borderId="31" fillId="0" fontId="67" numFmtId="171" xfId="0" applyAlignment="1" applyBorder="1" applyFont="1" applyNumberFormat="1">
      <alignment horizontal="right" shrinkToFit="0" wrapText="1"/>
    </xf>
    <xf borderId="31" fillId="0" fontId="8" numFmtId="171" xfId="0" applyBorder="1" applyFont="1" applyNumberFormat="1"/>
    <xf borderId="28" fillId="0" fontId="67" numFmtId="49" xfId="0" applyAlignment="1" applyBorder="1" applyFont="1" applyNumberFormat="1">
      <alignment horizontal="center" shrinkToFit="0" wrapText="1"/>
    </xf>
    <xf borderId="28" fillId="0" fontId="67" numFmtId="171" xfId="0" applyAlignment="1" applyBorder="1" applyFont="1" applyNumberFormat="1">
      <alignment horizontal="right" shrinkToFit="0" wrapText="1"/>
    </xf>
    <xf borderId="28" fillId="0" fontId="8" numFmtId="171" xfId="0" applyBorder="1" applyFont="1" applyNumberFormat="1"/>
    <xf borderId="28" fillId="0" fontId="67" numFmtId="49" xfId="0" applyAlignment="1" applyBorder="1" applyFont="1" applyNumberFormat="1">
      <alignment shrinkToFit="0" wrapText="1"/>
    </xf>
    <xf borderId="28" fillId="0" fontId="8" numFmtId="49" xfId="0" applyAlignment="1" applyBorder="1" applyFont="1" applyNumberFormat="1">
      <alignment horizontal="center" shrinkToFit="0" wrapText="0"/>
    </xf>
    <xf borderId="31" fillId="0" fontId="67" numFmtId="0" xfId="0" applyAlignment="1" applyBorder="1" applyFont="1">
      <alignment horizontal="right" shrinkToFit="0" wrapText="1"/>
    </xf>
    <xf borderId="0" fillId="0" fontId="26" numFmtId="166" xfId="0" applyAlignment="1" applyFont="1" applyNumberFormat="1">
      <alignment horizontal="right" readingOrder="0" shrinkToFit="0" wrapText="1"/>
    </xf>
    <xf borderId="27" fillId="0" fontId="67" numFmtId="0" xfId="0" applyAlignment="1" applyBorder="1" applyFont="1">
      <alignment shrinkToFit="0" wrapText="1"/>
    </xf>
    <xf borderId="28" fillId="0" fontId="67" numFmtId="0" xfId="0" applyAlignment="1" applyBorder="1" applyFont="1">
      <alignment shrinkToFit="0" wrapText="1"/>
    </xf>
    <xf borderId="0" fillId="0" fontId="26" numFmtId="173" xfId="0" applyAlignment="1" applyFont="1" applyNumberFormat="1">
      <alignment shrinkToFit="0" wrapText="1"/>
    </xf>
    <xf borderId="0" fillId="0" fontId="26" numFmtId="171" xfId="0" applyAlignment="1" applyFont="1" applyNumberFormat="1">
      <alignment horizontal="right" readingOrder="0"/>
    </xf>
    <xf borderId="33" fillId="0" fontId="67" numFmtId="0" xfId="0" applyBorder="1" applyFont="1"/>
    <xf borderId="31" fillId="0" fontId="67" numFmtId="0" xfId="0" applyBorder="1" applyFont="1"/>
    <xf borderId="0" fillId="0" fontId="67" numFmtId="0" xfId="0" applyAlignment="1" applyFont="1">
      <alignment readingOrder="0"/>
    </xf>
    <xf borderId="0" fillId="0" fontId="26" numFmtId="0" xfId="0" applyAlignment="1" applyFont="1">
      <alignment shrinkToFit="0" wrapText="0"/>
    </xf>
    <xf borderId="0" fillId="0" fontId="26" numFmtId="164" xfId="0" applyAlignment="1" applyFont="1" applyNumberFormat="1">
      <alignment horizontal="right" readingOrder="0"/>
    </xf>
    <xf borderId="33" fillId="0" fontId="67" numFmtId="0" xfId="0" applyAlignment="1" applyBorder="1" applyFont="1">
      <alignment readingOrder="0"/>
    </xf>
    <xf borderId="31" fillId="0" fontId="67" numFmtId="0" xfId="0" applyAlignment="1" applyBorder="1" applyFont="1">
      <alignment readingOrder="0"/>
    </xf>
    <xf borderId="0" fillId="0" fontId="26" numFmtId="0" xfId="0" applyAlignment="1" applyFont="1">
      <alignment shrinkToFit="0" wrapText="1"/>
    </xf>
    <xf borderId="0" fillId="0" fontId="62" numFmtId="0" xfId="0" applyFont="1"/>
    <xf borderId="0" fillId="0" fontId="26" numFmtId="0" xfId="0" applyAlignment="1" applyFont="1">
      <alignment horizontal="right"/>
    </xf>
    <xf borderId="0" fillId="0" fontId="26" numFmtId="171" xfId="0" applyAlignment="1" applyFont="1" applyNumberFormat="1">
      <alignment horizontal="right"/>
    </xf>
    <xf borderId="0" fillId="0" fontId="62" numFmtId="0" xfId="0" applyFont="1"/>
    <xf borderId="0" fillId="0" fontId="26" numFmtId="49" xfId="0" applyAlignment="1" applyFont="1" applyNumberFormat="1">
      <alignment horizontal="right"/>
    </xf>
    <xf borderId="0" fillId="0" fontId="26" numFmtId="166" xfId="0" applyAlignment="1" applyFont="1" applyNumberFormat="1">
      <alignment horizontal="right"/>
    </xf>
    <xf borderId="0" fillId="0" fontId="26" numFmtId="164" xfId="0" applyAlignment="1" applyFont="1" applyNumberFormat="1">
      <alignment horizontal="right"/>
    </xf>
    <xf borderId="0" fillId="0" fontId="26" numFmtId="49" xfId="0" applyFont="1" applyNumberFormat="1"/>
    <xf borderId="0" fillId="0" fontId="62" numFmtId="49" xfId="0" applyFont="1" applyNumberFormat="1"/>
    <xf borderId="0" fillId="0" fontId="26" numFmtId="166" xfId="0" applyAlignment="1" applyFont="1" applyNumberFormat="1">
      <alignment shrinkToFit="0" wrapText="1"/>
    </xf>
    <xf borderId="0" fillId="0" fontId="26" numFmtId="0" xfId="0" applyAlignment="1" applyFont="1">
      <alignment horizontal="right"/>
    </xf>
    <xf borderId="0" fillId="9" fontId="70" numFmtId="0" xfId="0" applyAlignment="1" applyFont="1">
      <alignment horizontal="center" readingOrder="0" vertical="center"/>
    </xf>
    <xf borderId="0" fillId="15" fontId="71" numFmtId="0" xfId="0" applyAlignment="1" applyFont="1">
      <alignment horizontal="left" readingOrder="0" vertical="center"/>
    </xf>
    <xf borderId="0" fillId="15" fontId="71" numFmtId="0" xfId="0" applyAlignment="1" applyFont="1">
      <alignment horizontal="center" readingOrder="0" vertical="center"/>
    </xf>
    <xf borderId="0" fillId="0" fontId="45" numFmtId="0" xfId="0" applyAlignment="1" applyFont="1">
      <alignment horizontal="left" readingOrder="0" vertical="center"/>
    </xf>
    <xf borderId="0" fillId="0" fontId="45" numFmtId="0" xfId="0" applyAlignment="1" applyFont="1">
      <alignment horizontal="left" vertical="center"/>
    </xf>
    <xf borderId="0" fillId="0" fontId="72" numFmtId="0" xfId="0" applyAlignment="1" applyFont="1">
      <alignment horizontal="left" readingOrder="0" vertical="center"/>
    </xf>
    <xf borderId="0" fillId="15" fontId="73" numFmtId="0" xfId="0" applyAlignment="1" applyFont="1">
      <alignment horizontal="center" readingOrder="0" vertical="center"/>
    </xf>
    <xf borderId="0" fillId="2" fontId="74" numFmtId="0" xfId="0" applyAlignment="1" applyFont="1">
      <alignment horizontal="left" readingOrder="0" vertical="center"/>
    </xf>
    <xf borderId="0" fillId="2" fontId="26" numFmtId="0" xfId="0" applyAlignment="1" applyFont="1">
      <alignment horizontal="left" readingOrder="0" vertical="center"/>
    </xf>
    <xf borderId="0" fillId="2" fontId="26" numFmtId="0" xfId="0" applyFont="1"/>
    <xf borderId="0" fillId="2" fontId="74" numFmtId="0" xfId="0" applyAlignment="1" applyFont="1">
      <alignment horizontal="center" readingOrder="0" vertical="center"/>
    </xf>
    <xf borderId="0" fillId="15" fontId="31" numFmtId="0" xfId="0" applyAlignment="1" applyFont="1">
      <alignment horizontal="center" vertical="center"/>
    </xf>
    <xf borderId="0" fillId="2" fontId="65" numFmtId="0" xfId="0" applyAlignment="1" applyFont="1">
      <alignment readingOrder="0"/>
    </xf>
    <xf borderId="0" fillId="2" fontId="8" numFmtId="0" xfId="0" applyAlignment="1" applyFont="1">
      <alignment vertical="bottom"/>
    </xf>
    <xf borderId="0" fillId="2" fontId="73" numFmtId="0" xfId="0" applyAlignment="1" applyFont="1">
      <alignment horizontal="center" readingOrder="0" vertical="center"/>
    </xf>
    <xf borderId="0" fillId="0" fontId="8" numFmtId="0" xfId="0" applyAlignment="1" applyFont="1">
      <alignment shrinkToFit="0" vertical="top" wrapText="0"/>
    </xf>
    <xf borderId="0" fillId="0" fontId="8" numFmtId="0" xfId="0" applyAlignment="1" applyFont="1">
      <alignment vertical="top"/>
    </xf>
    <xf borderId="0" fillId="15" fontId="31" numFmtId="0" xfId="0" applyAlignment="1" applyFont="1">
      <alignment horizontal="center" readingOrder="0" vertical="center"/>
    </xf>
    <xf borderId="0" fillId="2" fontId="2" numFmtId="0" xfId="0" applyAlignment="1" applyFont="1">
      <alignment readingOrder="0" vertical="center"/>
    </xf>
    <xf borderId="0" fillId="2" fontId="8" numFmtId="0" xfId="0" applyFont="1"/>
    <xf borderId="0" fillId="0" fontId="75" numFmtId="0" xfId="0" applyAlignment="1" applyFont="1">
      <alignment horizontal="left" readingOrder="0" vertical="bottom"/>
    </xf>
    <xf borderId="0" fillId="0" fontId="74" numFmtId="0" xfId="0" applyAlignment="1" applyFont="1">
      <alignment horizontal="left" readingOrder="0" vertical="bottom"/>
    </xf>
    <xf borderId="0" fillId="11" fontId="76" numFmtId="0" xfId="0" applyAlignment="1" applyFont="1">
      <alignment horizontal="left" readingOrder="0" shrinkToFit="0" vertical="center" wrapText="0"/>
    </xf>
    <xf borderId="0" fillId="11" fontId="76" numFmtId="0" xfId="0" applyAlignment="1" applyFont="1">
      <alignment horizontal="center" readingOrder="0" shrinkToFit="0" vertical="center" wrapText="1"/>
    </xf>
    <xf borderId="0" fillId="11" fontId="77" numFmtId="0" xfId="0" applyAlignment="1" applyFont="1">
      <alignment horizontal="center" readingOrder="0" vertical="center"/>
    </xf>
    <xf borderId="34" fillId="11" fontId="78" numFmtId="0" xfId="0" applyAlignment="1" applyBorder="1" applyFont="1">
      <alignment horizontal="left" readingOrder="0" shrinkToFit="0" vertical="center" wrapText="0"/>
    </xf>
    <xf borderId="34" fillId="0" fontId="26" numFmtId="0" xfId="0" applyBorder="1" applyFont="1"/>
    <xf borderId="34" fillId="11" fontId="79" numFmtId="0" xfId="0" applyAlignment="1" applyBorder="1" applyFont="1">
      <alignment horizontal="left" readingOrder="0" shrinkToFit="0" vertical="center" wrapText="0"/>
    </xf>
    <xf borderId="3" fillId="0" fontId="74" numFmtId="0" xfId="0" applyAlignment="1" applyBorder="1" applyFont="1">
      <alignment horizontal="left" readingOrder="0" vertical="bottom"/>
    </xf>
    <xf borderId="3" fillId="11" fontId="76" numFmtId="0" xfId="0" applyAlignment="1" applyBorder="1" applyFont="1">
      <alignment horizontal="center" readingOrder="0" shrinkToFit="0" vertical="center" wrapText="1"/>
    </xf>
    <xf borderId="0" fillId="0" fontId="65" numFmtId="0" xfId="0" applyAlignment="1" applyFont="1">
      <alignment horizontal="left" readingOrder="0" vertical="center"/>
    </xf>
    <xf borderId="0" fillId="0" fontId="26" numFmtId="0" xfId="0" applyAlignment="1" applyFont="1">
      <alignment readingOrder="0"/>
    </xf>
    <xf borderId="0" fillId="0" fontId="8" numFmtId="0" xfId="0" applyAlignment="1" applyFont="1">
      <alignment readingOrder="0" vertical="top"/>
    </xf>
    <xf borderId="0" fillId="2" fontId="65" numFmtId="0" xfId="0" applyAlignment="1" applyFont="1">
      <alignment horizontal="left" readingOrder="0" vertical="center"/>
    </xf>
    <xf borderId="0" fillId="2" fontId="31" numFmtId="0" xfId="0" applyAlignment="1" applyFont="1">
      <alignment horizontal="left" readingOrder="0" vertical="center"/>
    </xf>
    <xf borderId="0" fillId="0" fontId="31" numFmtId="0" xfId="0" applyAlignment="1" applyFont="1">
      <alignment horizontal="left" readingOrder="0" vertical="center"/>
    </xf>
    <xf borderId="0" fillId="2" fontId="56" numFmtId="0" xfId="0" applyAlignment="1" applyFont="1">
      <alignment horizontal="left" readingOrder="0" vertical="center"/>
    </xf>
    <xf borderId="0" fillId="0" fontId="45" numFmtId="0" xfId="0" applyAlignment="1" applyFont="1">
      <alignment horizontal="left" readingOrder="0" vertical="top"/>
    </xf>
    <xf borderId="0" fillId="2" fontId="72" numFmtId="0" xfId="0" applyAlignment="1" applyFont="1">
      <alignment horizontal="left" readingOrder="0" vertical="center"/>
    </xf>
    <xf borderId="0" fillId="2" fontId="72" numFmtId="0" xfId="0" applyAlignment="1" applyFont="1">
      <alignment horizontal="center" readingOrder="0" vertical="center"/>
    </xf>
    <xf borderId="0" fillId="0" fontId="8" numFmtId="0" xfId="0" applyAlignment="1" applyFont="1">
      <alignment vertical="bottom"/>
    </xf>
    <xf borderId="0" fillId="2" fontId="45" numFmtId="0" xfId="0" applyAlignment="1" applyFont="1">
      <alignment horizontal="center" readingOrder="0" vertical="center"/>
    </xf>
    <xf borderId="0" fillId="2" fontId="45" numFmtId="0" xfId="0" applyAlignment="1" applyFont="1">
      <alignment horizontal="left" readingOrder="0" vertical="center"/>
    </xf>
    <xf borderId="0" fillId="0" fontId="45" numFmtId="0" xfId="0" applyAlignment="1" applyFont="1">
      <alignment horizontal="center" readingOrder="0" vertical="center"/>
    </xf>
    <xf borderId="0" fillId="0" fontId="8" numFmtId="0" xfId="0" applyAlignment="1" applyFont="1">
      <alignment readingOrder="0" shrinkToFit="0" vertical="top" wrapText="0"/>
    </xf>
    <xf borderId="0" fillId="0" fontId="45" numFmtId="0" xfId="0" applyAlignment="1" applyFont="1">
      <alignment horizontal="left" readingOrder="0" shrinkToFit="0" vertical="top" wrapText="0"/>
    </xf>
    <xf borderId="0" fillId="0" fontId="45" numFmtId="0" xfId="0" applyAlignment="1" applyFont="1">
      <alignment horizontal="left" vertical="top"/>
    </xf>
    <xf borderId="0" fillId="2" fontId="80" numFmtId="0" xfId="0" applyAlignment="1" applyFont="1">
      <alignment horizontal="left" readingOrder="0" vertical="center"/>
    </xf>
    <xf borderId="0" fillId="0" fontId="80" numFmtId="0" xfId="0" applyAlignment="1" applyFont="1">
      <alignment horizontal="left" readingOrder="0" vertical="center"/>
    </xf>
    <xf borderId="0" fillId="0" fontId="8" numFmtId="0" xfId="0" applyAlignment="1" applyFont="1">
      <alignment horizontal="center" readingOrder="0" vertical="center"/>
    </xf>
    <xf borderId="0" fillId="0" fontId="81" numFmtId="0" xfId="0" applyAlignment="1" applyFont="1">
      <alignment horizontal="left"/>
    </xf>
    <xf borderId="0" fillId="11" fontId="81" numFmtId="0" xfId="0" applyAlignment="1" applyFont="1">
      <alignment horizontal="left"/>
    </xf>
    <xf borderId="0" fillId="0" fontId="31" numFmtId="0" xfId="0" applyAlignment="1" applyFont="1">
      <alignment horizontal="center" readingOrder="0" vertical="center"/>
    </xf>
    <xf borderId="0" fillId="0" fontId="45" numFmtId="0" xfId="0" applyAlignment="1" applyFont="1">
      <alignment horizontal="left" readingOrder="0" shrinkToFit="0" vertical="top" wrapText="1"/>
    </xf>
    <xf borderId="0" fillId="0" fontId="11" numFmtId="0" xfId="0" applyAlignment="1" applyFont="1">
      <alignment horizontal="left" readingOrder="0" vertical="center"/>
    </xf>
    <xf borderId="0" fillId="0" fontId="72" numFmtId="0" xfId="0" applyAlignment="1" applyFont="1">
      <alignment horizontal="center" readingOrder="0" vertical="center"/>
    </xf>
    <xf borderId="0" fillId="0" fontId="29" numFmtId="0" xfId="0" applyAlignment="1" applyFont="1">
      <alignment horizontal="left" readingOrder="0" vertical="center"/>
    </xf>
    <xf borderId="0" fillId="0" fontId="82" numFmtId="0" xfId="0" applyAlignment="1" applyFont="1">
      <alignment vertical="center"/>
    </xf>
    <xf borderId="6" fillId="12" fontId="14" numFmtId="0" xfId="0" applyAlignment="1" applyBorder="1" applyFont="1">
      <alignment horizontal="left" readingOrder="0" vertical="center"/>
    </xf>
    <xf borderId="2" fillId="12" fontId="14" numFmtId="0" xfId="0" applyAlignment="1" applyBorder="1" applyFont="1">
      <alignment horizontal="left" readingOrder="0" vertical="center"/>
    </xf>
    <xf borderId="0" fillId="0" fontId="16" numFmtId="0" xfId="0" applyAlignment="1" applyFont="1">
      <alignment horizontal="left" vertical="center"/>
    </xf>
    <xf borderId="6" fillId="0" fontId="83" numFmtId="0" xfId="0" applyAlignment="1" applyBorder="1" applyFont="1">
      <alignment horizontal="center" readingOrder="0" vertical="center"/>
    </xf>
    <xf borderId="8" fillId="0" fontId="45" numFmtId="0" xfId="0" applyAlignment="1" applyBorder="1" applyFont="1">
      <alignment horizontal="right" readingOrder="0" vertical="bottom"/>
    </xf>
    <xf borderId="0" fillId="0" fontId="45" numFmtId="0" xfId="0" applyAlignment="1" applyFont="1">
      <alignment horizontal="right" vertical="center"/>
    </xf>
    <xf borderId="14" fillId="12" fontId="14" numFmtId="0" xfId="0" applyAlignment="1" applyBorder="1" applyFont="1">
      <alignment horizontal="left" readingOrder="0" vertical="center"/>
    </xf>
    <xf borderId="6" fillId="12" fontId="14" numFmtId="0" xfId="0" applyAlignment="1" applyBorder="1" applyFont="1">
      <alignment readingOrder="0" vertical="center"/>
    </xf>
    <xf borderId="0" fillId="0" fontId="45" numFmtId="0" xfId="0" applyAlignment="1" applyFont="1">
      <alignment horizontal="left" readingOrder="0" shrinkToFit="0" vertical="center" wrapText="1"/>
    </xf>
    <xf borderId="0" fillId="0" fontId="84" numFmtId="0" xfId="0" applyFont="1"/>
    <xf borderId="0" fillId="0" fontId="45" numFmtId="0" xfId="0" applyAlignment="1" applyFont="1">
      <alignment horizontal="right" readingOrder="0" vertical="center"/>
    </xf>
    <xf borderId="0" fillId="0" fontId="45" numFmtId="0" xfId="0" applyAlignment="1" applyFont="1">
      <alignment horizontal="left" readingOrder="0" shrinkToFit="0" vertical="center" wrapText="0"/>
    </xf>
    <xf borderId="6" fillId="3" fontId="11" numFmtId="0" xfId="0" applyAlignment="1" applyBorder="1" applyFont="1">
      <alignment horizontal="center" readingOrder="0" vertical="center"/>
    </xf>
    <xf borderId="0" fillId="0" fontId="11" numFmtId="0" xfId="0" applyAlignment="1" applyFont="1">
      <alignment horizontal="center" readingOrder="0" vertical="center"/>
    </xf>
    <xf borderId="6" fillId="0" fontId="45" numFmtId="0" xfId="0" applyAlignment="1" applyBorder="1" applyFont="1">
      <alignment horizontal="left" readingOrder="0" vertical="center"/>
    </xf>
    <xf borderId="6" fillId="0" fontId="65" numFmtId="0" xfId="0" applyAlignment="1" applyBorder="1" applyFont="1">
      <alignment horizontal="left" readingOrder="0" vertical="center"/>
    </xf>
    <xf borderId="6" fillId="0" fontId="65" numFmtId="0" xfId="0" applyAlignment="1" applyBorder="1" applyFont="1">
      <alignment horizontal="center" readingOrder="0" vertical="center"/>
    </xf>
    <xf borderId="7" fillId="0" fontId="45" numFmtId="0" xfId="0" applyAlignment="1" applyBorder="1" applyFont="1">
      <alignment horizontal="right" readingOrder="0" vertical="center"/>
    </xf>
    <xf borderId="6" fillId="2" fontId="65" numFmtId="0" xfId="0" applyAlignment="1" applyBorder="1" applyFont="1">
      <alignment horizontal="center" readingOrder="0" vertical="center"/>
    </xf>
    <xf borderId="8" fillId="0" fontId="45" numFmtId="0" xfId="0" applyAlignment="1" applyBorder="1" applyFont="1">
      <alignment horizontal="right" readingOrder="0" vertical="center"/>
    </xf>
    <xf borderId="2" fillId="2" fontId="65" numFmtId="0" xfId="0" applyAlignment="1" applyBorder="1" applyFont="1">
      <alignment horizontal="center" readingOrder="0" vertical="center"/>
    </xf>
    <xf borderId="16" fillId="0" fontId="45" numFmtId="0" xfId="0" applyAlignment="1" applyBorder="1" applyFont="1">
      <alignment horizontal="center" readingOrder="0" vertical="center"/>
    </xf>
    <xf borderId="35" fillId="0" fontId="85" numFmtId="0" xfId="0" applyAlignment="1" applyBorder="1" applyFont="1">
      <alignment horizontal="left" readingOrder="0" vertical="center"/>
    </xf>
    <xf borderId="36" fillId="0" fontId="12" numFmtId="0" xfId="0" applyBorder="1" applyFont="1"/>
    <xf borderId="37" fillId="0" fontId="85" numFmtId="0" xfId="0" applyAlignment="1" applyBorder="1" applyFont="1">
      <alignment horizontal="center" readingOrder="0" vertical="center"/>
    </xf>
    <xf borderId="36" fillId="0" fontId="45" numFmtId="0" xfId="0" applyAlignment="1" applyBorder="1" applyFont="1">
      <alignment horizontal="left" readingOrder="0" vertical="center"/>
    </xf>
    <xf borderId="36" fillId="0" fontId="45" numFmtId="0" xfId="0" applyAlignment="1" applyBorder="1" applyFont="1">
      <alignment horizontal="left" vertical="center"/>
    </xf>
    <xf borderId="38" fillId="0" fontId="45" numFmtId="0" xfId="0" applyAlignment="1" applyBorder="1" applyFont="1">
      <alignment horizontal="left" vertical="center"/>
    </xf>
    <xf borderId="37" fillId="0" fontId="85" numFmtId="0" xfId="0" applyAlignment="1" applyBorder="1" applyFont="1">
      <alignment horizontal="center" readingOrder="0" vertical="center"/>
    </xf>
    <xf borderId="39" fillId="0" fontId="85" numFmtId="0" xfId="0" applyAlignment="1" applyBorder="1" applyFont="1">
      <alignment horizontal="left" readingOrder="0" vertical="center"/>
    </xf>
    <xf borderId="40" fillId="0" fontId="12" numFmtId="0" xfId="0" applyBorder="1" applyFont="1"/>
    <xf borderId="41" fillId="0" fontId="85" numFmtId="0" xfId="0" applyAlignment="1" applyBorder="1" applyFont="1">
      <alignment horizontal="center" readingOrder="0" vertical="center"/>
    </xf>
    <xf borderId="40" fillId="0" fontId="45" numFmtId="0" xfId="0" applyAlignment="1" applyBorder="1" applyFont="1">
      <alignment horizontal="left" readingOrder="0" vertical="center"/>
    </xf>
    <xf borderId="40" fillId="0" fontId="45" numFmtId="0" xfId="0" applyAlignment="1" applyBorder="1" applyFont="1">
      <alignment horizontal="left" vertical="center"/>
    </xf>
    <xf borderId="42" fillId="0" fontId="45" numFmtId="0" xfId="0" applyAlignment="1" applyBorder="1" applyFont="1">
      <alignment horizontal="left" vertical="center"/>
    </xf>
    <xf borderId="41" fillId="0" fontId="85" numFmtId="0" xfId="0" applyAlignment="1" applyBorder="1" applyFont="1">
      <alignment horizontal="center" readingOrder="0" vertical="center"/>
    </xf>
    <xf borderId="40" fillId="0" fontId="45" numFmtId="0" xfId="0" applyAlignment="1" applyBorder="1" applyFont="1">
      <alignment horizontal="left" readingOrder="0" vertical="center"/>
    </xf>
    <xf borderId="14" fillId="0" fontId="85" numFmtId="0" xfId="0" applyAlignment="1" applyBorder="1" applyFont="1">
      <alignment horizontal="left" readingOrder="0" vertical="center"/>
    </xf>
    <xf borderId="43" fillId="0" fontId="85" numFmtId="0" xfId="0" applyAlignment="1" applyBorder="1" applyFont="1">
      <alignment horizontal="center" readingOrder="0" vertical="center"/>
    </xf>
    <xf borderId="1" fillId="0" fontId="45" numFmtId="0" xfId="0" applyAlignment="1" applyBorder="1" applyFont="1">
      <alignment horizontal="left" readingOrder="0" vertical="center"/>
    </xf>
    <xf borderId="1" fillId="0" fontId="45" numFmtId="0" xfId="0" applyAlignment="1" applyBorder="1" applyFont="1">
      <alignment horizontal="left" vertical="center"/>
    </xf>
    <xf borderId="9" fillId="0" fontId="45" numFmtId="0" xfId="0" applyAlignment="1" applyBorder="1" applyFont="1">
      <alignment horizontal="left" vertical="center"/>
    </xf>
    <xf borderId="14" fillId="0" fontId="85" numFmtId="0" xfId="0" applyAlignment="1" applyBorder="1" applyFont="1">
      <alignment horizontal="left" readingOrder="0" vertical="center"/>
    </xf>
    <xf borderId="39" fillId="0" fontId="86" numFmtId="0" xfId="0" applyAlignment="1" applyBorder="1" applyFont="1">
      <alignment horizontal="left" readingOrder="0" vertical="center"/>
    </xf>
    <xf borderId="2" fillId="0" fontId="87" numFmtId="0" xfId="0" applyAlignment="1" applyBorder="1" applyFont="1">
      <alignment horizontal="center" readingOrder="0" vertical="center"/>
    </xf>
    <xf borderId="0" fillId="0" fontId="87" numFmtId="0" xfId="0" applyAlignment="1" applyFont="1">
      <alignment horizontal="center" readingOrder="0" vertical="center"/>
    </xf>
    <xf borderId="44" fillId="0" fontId="12" numFmtId="0" xfId="0" applyBorder="1" applyFont="1"/>
    <xf borderId="45" fillId="0" fontId="12" numFmtId="0" xfId="0" applyBorder="1" applyFont="1"/>
    <xf borderId="14" fillId="0" fontId="12" numFmtId="0" xfId="0" applyBorder="1" applyFont="1"/>
    <xf borderId="0" fillId="0" fontId="73" numFmtId="0" xfId="0" applyAlignment="1" applyFont="1">
      <alignment horizontal="center" readingOrder="0" vertical="center"/>
    </xf>
    <xf borderId="0" fillId="2" fontId="65" numFmtId="0" xfId="0" applyAlignment="1" applyFont="1">
      <alignment horizontal="center" readingOrder="0" vertical="center"/>
    </xf>
    <xf borderId="0" fillId="0" fontId="65" numFmtId="0" xfId="0" applyAlignment="1" applyFont="1">
      <alignment shrinkToFit="0" vertical="top" wrapText="0"/>
    </xf>
    <xf borderId="0" fillId="2" fontId="31" numFmtId="0" xfId="0" applyAlignment="1" applyFont="1">
      <alignment horizontal="center" readingOrder="0" vertical="center"/>
    </xf>
    <xf borderId="0" fillId="0" fontId="2" numFmtId="0" xfId="0" applyAlignment="1" applyFont="1">
      <alignment readingOrder="0" vertical="center"/>
    </xf>
    <xf borderId="1" fillId="0" fontId="74" numFmtId="0" xfId="0" applyAlignment="1" applyBorder="1" applyFont="1">
      <alignment horizontal="left" readingOrder="0" vertical="bottom"/>
    </xf>
    <xf borderId="1" fillId="11" fontId="76" numFmtId="0" xfId="0" applyAlignment="1" applyBorder="1" applyFont="1">
      <alignment horizontal="left" readingOrder="0" shrinkToFit="0" vertical="center" wrapText="0"/>
    </xf>
    <xf borderId="34" fillId="0" fontId="73" numFmtId="0" xfId="0" applyAlignment="1" applyBorder="1" applyFont="1">
      <alignment horizontal="center" readingOrder="0" vertical="center"/>
    </xf>
    <xf borderId="0" fillId="11" fontId="76" numFmtId="172" xfId="0" applyAlignment="1" applyFont="1" applyNumberFormat="1">
      <alignment horizontal="center" readingOrder="0" shrinkToFit="0" vertical="center" wrapText="1"/>
    </xf>
    <xf borderId="0" fillId="0" fontId="88" numFmtId="0" xfId="0" applyAlignment="1" applyFont="1">
      <alignment readingOrder="0"/>
    </xf>
    <xf borderId="0" fillId="2" fontId="32" numFmtId="0" xfId="0" applyAlignment="1" applyFont="1">
      <alignment readingOrder="0" vertical="bottom"/>
    </xf>
    <xf borderId="0" fillId="2" fontId="8" numFmtId="0" xfId="0" applyAlignment="1" applyFont="1">
      <alignment vertical="bottom"/>
    </xf>
    <xf borderId="0" fillId="2" fontId="28" numFmtId="0" xfId="0" applyAlignment="1" applyFont="1">
      <alignment vertical="bottom"/>
    </xf>
    <xf borderId="0" fillId="0" fontId="65" numFmtId="0" xfId="0" applyAlignment="1" applyFont="1">
      <alignment shrinkToFit="0" vertical="bottom" wrapText="0"/>
    </xf>
    <xf borderId="0" fillId="2" fontId="8" numFmtId="0" xfId="0" applyFont="1"/>
    <xf borderId="0" fillId="2" fontId="8" numFmtId="0" xfId="0" applyAlignment="1" applyFont="1">
      <alignment readingOrder="0"/>
    </xf>
    <xf borderId="0" fillId="2" fontId="8" numFmtId="0" xfId="0" applyAlignment="1" applyFont="1">
      <alignment horizontal="left" vertical="bottom"/>
    </xf>
    <xf borderId="0" fillId="2" fontId="8" numFmtId="0" xfId="0" applyAlignment="1" applyFont="1">
      <alignment horizontal="left" vertical="bottom"/>
    </xf>
    <xf borderId="0" fillId="2" fontId="8" numFmtId="0" xfId="0" applyAlignment="1" applyFont="1">
      <alignment horizontal="center" readingOrder="0"/>
    </xf>
    <xf borderId="0" fillId="0" fontId="8" numFmtId="0" xfId="0" applyFont="1"/>
    <xf borderId="0" fillId="0" fontId="8" numFmtId="0" xfId="0" applyAlignment="1" applyFont="1">
      <alignment vertical="bottom"/>
    </xf>
    <xf borderId="0" fillId="0" fontId="8" numFmtId="0" xfId="0" applyAlignment="1" applyFont="1">
      <alignment horizontal="left" vertical="bottom"/>
    </xf>
    <xf borderId="0" fillId="0" fontId="8" numFmtId="0" xfId="0" applyAlignment="1" applyFont="1">
      <alignment readingOrder="0"/>
    </xf>
    <xf borderId="0" fillId="0" fontId="89" numFmtId="0" xfId="0" applyAlignment="1" applyFont="1">
      <alignment horizontal="left"/>
    </xf>
    <xf borderId="0" fillId="0" fontId="89" numFmtId="0" xfId="0" applyAlignment="1" applyFont="1">
      <alignment horizontal="center"/>
    </xf>
    <xf borderId="0" fillId="0" fontId="46" numFmtId="0" xfId="0" applyAlignment="1" applyFont="1">
      <alignment horizontal="center"/>
    </xf>
    <xf borderId="0" fillId="0" fontId="26" numFmtId="0" xfId="0" applyAlignment="1" applyFont="1">
      <alignment horizontal="left" vertical="top"/>
    </xf>
    <xf borderId="6" fillId="0" fontId="8" numFmtId="0" xfId="0" applyAlignment="1" applyBorder="1" applyFont="1">
      <alignment horizontal="center" vertical="bottom"/>
    </xf>
    <xf borderId="7" fillId="0" fontId="8" numFmtId="0" xfId="0" applyAlignment="1" applyBorder="1" applyFont="1">
      <alignment horizontal="center" vertical="bottom"/>
    </xf>
    <xf borderId="6" fillId="0" fontId="11" numFmtId="0" xfId="0" applyAlignment="1" applyBorder="1" applyFont="1">
      <alignment horizontal="left" readingOrder="0" vertical="center"/>
    </xf>
    <xf borderId="6" fillId="0" fontId="11" numFmtId="174" xfId="0" applyAlignment="1" applyBorder="1" applyFont="1" applyNumberFormat="1">
      <alignment horizontal="center" readingOrder="0" vertical="center"/>
    </xf>
    <xf borderId="46" fillId="0" fontId="8" numFmtId="0" xfId="0" applyAlignment="1" applyBorder="1" applyFont="1">
      <alignment horizontal="right" vertical="bottom"/>
    </xf>
    <xf borderId="6" fillId="2" fontId="11" numFmtId="0" xfId="0" applyAlignment="1" applyBorder="1" applyFont="1">
      <alignment horizontal="center" readingOrder="0" vertical="center"/>
    </xf>
    <xf borderId="47" fillId="0" fontId="8" numFmtId="0" xfId="0" applyAlignment="1" applyBorder="1" applyFont="1">
      <alignment horizontal="right" vertical="bottom"/>
    </xf>
    <xf borderId="9" fillId="0" fontId="8" numFmtId="0" xfId="0" applyAlignment="1" applyBorder="1" applyFont="1">
      <alignment horizontal="right" vertical="bottom"/>
    </xf>
    <xf borderId="13" fillId="0" fontId="8" numFmtId="0" xfId="0" applyAlignment="1" applyBorder="1" applyFont="1">
      <alignment horizontal="right" vertical="bottom"/>
    </xf>
    <xf borderId="17" fillId="0" fontId="80" numFmtId="0" xfId="0" applyAlignment="1" applyBorder="1" applyFont="1">
      <alignment horizontal="center" readingOrder="0" textRotation="255" vertical="center"/>
    </xf>
    <xf borderId="48" fillId="0" fontId="45" numFmtId="0" xfId="0" applyAlignment="1" applyBorder="1" applyFont="1">
      <alignment horizontal="left" vertical="center"/>
    </xf>
    <xf borderId="48" fillId="0" fontId="12" numFmtId="0" xfId="0" applyBorder="1" applyFont="1"/>
    <xf borderId="46" fillId="0" fontId="12" numFmtId="0" xfId="0" applyBorder="1" applyFont="1"/>
    <xf borderId="47" fillId="0" fontId="8" numFmtId="0" xfId="0" applyAlignment="1" applyBorder="1" applyFont="1">
      <alignment horizontal="right" vertical="bottom"/>
    </xf>
    <xf borderId="13" fillId="0" fontId="8" numFmtId="0" xfId="0" applyAlignment="1" applyBorder="1" applyFont="1">
      <alignment horizontal="right" vertical="bottom"/>
    </xf>
    <xf borderId="17" fillId="0" fontId="80" numFmtId="0" xfId="0" applyAlignment="1" applyBorder="1" applyFont="1">
      <alignment horizontal="center" textRotation="255" vertical="center"/>
    </xf>
    <xf borderId="5" fillId="0" fontId="90" numFmtId="0" xfId="0" applyAlignment="1" applyBorder="1" applyFont="1">
      <alignment readingOrder="0" vertical="center"/>
    </xf>
    <xf borderId="0" fillId="0" fontId="90" numFmtId="0" xfId="0" applyAlignment="1" applyFont="1">
      <alignment readingOrder="0" vertical="center"/>
    </xf>
    <xf borderId="5" fillId="14" fontId="26" numFmtId="0" xfId="0" applyAlignment="1" applyBorder="1" applyFont="1">
      <alignment readingOrder="0"/>
    </xf>
    <xf borderId="5" fillId="5" fontId="26" numFmtId="0" xfId="0" applyAlignment="1" applyBorder="1" applyFont="1">
      <alignment readingOrder="0"/>
    </xf>
    <xf borderId="6" fillId="0" fontId="91" numFmtId="0" xfId="0" applyAlignment="1" applyBorder="1" applyFont="1">
      <alignment readingOrder="0"/>
    </xf>
    <xf borderId="5" fillId="0" fontId="92" numFmtId="0" xfId="0" applyAlignment="1" applyBorder="1" applyFont="1">
      <alignment readingOrder="0"/>
    </xf>
    <xf borderId="5" fillId="0" fontId="91" numFmtId="0" xfId="0" applyBorder="1" applyFont="1"/>
    <xf borderId="0" fillId="0" fontId="46" numFmtId="0" xfId="0" applyAlignment="1" applyFont="1">
      <alignment readingOrder="0"/>
    </xf>
    <xf borderId="0" fillId="16" fontId="26" numFmtId="0" xfId="0" applyAlignment="1" applyFont="1">
      <alignment readingOrder="0"/>
    </xf>
    <xf borderId="0" fillId="16" fontId="26" numFmtId="0" xfId="0" applyFont="1"/>
    <xf borderId="49" fillId="0" fontId="8" numFmtId="0" xfId="0" applyAlignment="1" applyBorder="1" applyFont="1">
      <alignment vertical="bottom"/>
    </xf>
    <xf borderId="50" fillId="0" fontId="8" numFmtId="0" xfId="0" applyAlignment="1" applyBorder="1" applyFont="1">
      <alignment vertical="bottom"/>
    </xf>
    <xf borderId="51" fillId="25" fontId="93" numFmtId="0" xfId="0" applyAlignment="1" applyBorder="1" applyFill="1" applyFont="1">
      <alignment horizontal="center" vertical="bottom"/>
    </xf>
    <xf borderId="52" fillId="25" fontId="93" numFmtId="0" xfId="0" applyAlignment="1" applyBorder="1" applyFont="1">
      <alignment horizontal="center" vertical="bottom"/>
    </xf>
    <xf borderId="53" fillId="2" fontId="11" numFmtId="0" xfId="0" applyAlignment="1" applyBorder="1" applyFont="1">
      <alignment horizontal="center" vertical="bottom"/>
    </xf>
    <xf borderId="54" fillId="2" fontId="11" numFmtId="0" xfId="0" applyAlignment="1" applyBorder="1" applyFont="1">
      <alignment horizontal="center" vertical="bottom"/>
    </xf>
    <xf borderId="54" fillId="2" fontId="76" numFmtId="0" xfId="0" applyAlignment="1" applyBorder="1" applyFont="1">
      <alignment horizontal="center" vertical="bottom"/>
    </xf>
    <xf borderId="55" fillId="2" fontId="14" numFmtId="0" xfId="0" applyAlignment="1" applyBorder="1" applyFont="1">
      <alignment horizontal="center" vertical="bottom"/>
    </xf>
    <xf borderId="53" fillId="0" fontId="12" numFmtId="0" xfId="0" applyBorder="1" applyFont="1"/>
    <xf borderId="54" fillId="2" fontId="94" numFmtId="0" xfId="0" applyAlignment="1" applyBorder="1" applyFont="1">
      <alignment horizontal="center" vertical="bottom"/>
    </xf>
    <xf borderId="55" fillId="2" fontId="95" numFmtId="0" xfId="0" applyAlignment="1" applyBorder="1" applyFont="1">
      <alignment horizontal="center" vertical="bottom"/>
    </xf>
    <xf borderId="55" fillId="2" fontId="14" numFmtId="0" xfId="0" applyAlignment="1" applyBorder="1" applyFont="1">
      <alignment horizontal="center" shrinkToFit="0" vertical="bottom" wrapText="1"/>
    </xf>
    <xf borderId="54" fillId="2" fontId="11" numFmtId="0" xfId="0" applyAlignment="1" applyBorder="1" applyFont="1">
      <alignment horizontal="center" vertical="bottom"/>
    </xf>
    <xf borderId="55" fillId="2" fontId="30" numFmtId="0" xfId="0" applyAlignment="1" applyBorder="1" applyFont="1">
      <alignment horizontal="center" shrinkToFit="0" vertical="bottom" wrapText="1"/>
    </xf>
    <xf borderId="0" fillId="0" fontId="8" numFmtId="0" xfId="0" applyAlignment="1" applyFont="1">
      <alignment vertical="bottom"/>
    </xf>
    <xf borderId="51" fillId="0" fontId="12" numFmtId="0" xfId="0" applyBorder="1" applyFont="1"/>
    <xf borderId="51" fillId="2" fontId="11" numFmtId="0" xfId="0" applyAlignment="1" applyBorder="1" applyFont="1">
      <alignment horizontal="center" vertical="bottom"/>
    </xf>
    <xf borderId="51" fillId="2" fontId="11" numFmtId="0" xfId="0" applyAlignment="1" applyBorder="1" applyFont="1">
      <alignment horizontal="center" vertical="bottom"/>
    </xf>
    <xf borderId="52" fillId="2" fontId="14" numFmtId="0" xfId="0" applyAlignment="1" applyBorder="1" applyFont="1">
      <alignment horizontal="center" vertical="bottom"/>
    </xf>
    <xf borderId="53" fillId="14" fontId="11" numFmtId="0" xfId="0" applyAlignment="1" applyBorder="1" applyFont="1">
      <alignment horizontal="center" vertical="bottom"/>
    </xf>
    <xf borderId="54" fillId="14" fontId="11" numFmtId="0" xfId="0" applyAlignment="1" applyBorder="1" applyFont="1">
      <alignment horizontal="center" vertical="bottom"/>
    </xf>
    <xf borderId="54" fillId="14" fontId="76" numFmtId="0" xfId="0" applyAlignment="1" applyBorder="1" applyFont="1">
      <alignment horizontal="center" vertical="bottom"/>
    </xf>
    <xf borderId="55" fillId="14" fontId="14" numFmtId="0" xfId="0" applyAlignment="1" applyBorder="1" applyFont="1">
      <alignment horizontal="center" shrinkToFit="0" vertical="bottom" wrapText="1"/>
    </xf>
    <xf borderId="54" fillId="14" fontId="11" numFmtId="0" xfId="0" applyAlignment="1" applyBorder="1" applyFont="1">
      <alignment horizontal="center" vertical="bottom"/>
    </xf>
    <xf borderId="54" fillId="14" fontId="11" numFmtId="0" xfId="0" applyAlignment="1" applyBorder="1" applyFont="1">
      <alignment horizontal="center" shrinkToFit="0" vertical="bottom" wrapText="1"/>
    </xf>
    <xf borderId="54" fillId="14" fontId="11" numFmtId="0" xfId="0" applyAlignment="1" applyBorder="1" applyFont="1">
      <alignment horizontal="center" shrinkToFit="0" vertical="bottom" wrapText="1"/>
    </xf>
    <xf borderId="55" fillId="14" fontId="14" numFmtId="0" xfId="0" applyAlignment="1" applyBorder="1" applyFont="1">
      <alignment horizontal="center" shrinkToFit="0" vertical="bottom" wrapText="1"/>
    </xf>
    <xf borderId="0" fillId="0" fontId="8" numFmtId="0" xfId="0" applyAlignment="1" applyFont="1">
      <alignment vertical="bottom"/>
    </xf>
    <xf borderId="51" fillId="14" fontId="11" numFmtId="0" xfId="0" applyAlignment="1" applyBorder="1" applyFont="1">
      <alignment horizontal="center" vertical="bottom"/>
    </xf>
    <xf borderId="51" fillId="14" fontId="11" numFmtId="0" xfId="0" applyAlignment="1" applyBorder="1" applyFont="1">
      <alignment horizontal="center" vertical="bottom"/>
    </xf>
    <xf borderId="51" fillId="14" fontId="11" numFmtId="0" xfId="0" applyAlignment="1" applyBorder="1" applyFont="1">
      <alignment horizontal="center" shrinkToFit="0" vertical="bottom" wrapText="1"/>
    </xf>
    <xf borderId="52" fillId="14" fontId="14" numFmtId="0" xfId="0" applyAlignment="1" applyBorder="1" applyFont="1">
      <alignment horizontal="center" shrinkToFit="0" vertical="bottom" wrapText="1"/>
    </xf>
    <xf borderId="53" fillId="10" fontId="11" numFmtId="0" xfId="0" applyAlignment="1" applyBorder="1" applyFont="1">
      <alignment horizontal="center" vertical="bottom"/>
    </xf>
    <xf borderId="54" fillId="10" fontId="11" numFmtId="0" xfId="0" applyAlignment="1" applyBorder="1" applyFont="1">
      <alignment horizontal="center" vertical="bottom"/>
    </xf>
    <xf borderId="54" fillId="10" fontId="76" numFmtId="0" xfId="0" applyAlignment="1" applyBorder="1" applyFont="1">
      <alignment horizontal="center" vertical="bottom"/>
    </xf>
    <xf borderId="54" fillId="10" fontId="11" numFmtId="0" xfId="0" applyAlignment="1" applyBorder="1" applyFont="1">
      <alignment horizontal="center" shrinkToFit="0" vertical="bottom" wrapText="1"/>
    </xf>
    <xf borderId="55" fillId="10" fontId="14" numFmtId="0" xfId="0" applyAlignment="1" applyBorder="1" applyFont="1">
      <alignment horizontal="center" shrinkToFit="0" vertical="bottom" wrapText="1"/>
    </xf>
    <xf borderId="54" fillId="10" fontId="11" numFmtId="0" xfId="0" applyAlignment="1" applyBorder="1" applyFont="1">
      <alignment horizontal="center" vertical="bottom"/>
    </xf>
    <xf borderId="55" fillId="10" fontId="8" numFmtId="0" xfId="0" applyAlignment="1" applyBorder="1" applyFont="1">
      <alignment vertical="bottom"/>
    </xf>
    <xf borderId="54" fillId="10" fontId="47" numFmtId="0" xfId="0" applyAlignment="1" applyBorder="1" applyFont="1">
      <alignment horizontal="center" vertical="bottom"/>
    </xf>
    <xf borderId="55" fillId="10" fontId="14" numFmtId="0" xfId="0" applyAlignment="1" applyBorder="1" applyFont="1">
      <alignment horizontal="center" vertical="bottom"/>
    </xf>
    <xf borderId="54" fillId="10" fontId="11" numFmtId="0" xfId="0" applyAlignment="1" applyBorder="1" applyFont="1">
      <alignment horizontal="center" vertical="bottom"/>
    </xf>
    <xf borderId="55" fillId="10" fontId="8" numFmtId="0" xfId="0" applyAlignment="1" applyBorder="1" applyFont="1">
      <alignment vertical="bottom"/>
    </xf>
    <xf borderId="55" fillId="10" fontId="14" numFmtId="0" xfId="0" applyAlignment="1" applyBorder="1" applyFont="1">
      <alignment horizontal="center" vertical="bottom"/>
    </xf>
    <xf borderId="51" fillId="10" fontId="11" numFmtId="0" xfId="0" applyAlignment="1" applyBorder="1" applyFont="1">
      <alignment horizontal="center" vertical="bottom"/>
    </xf>
    <xf borderId="52" fillId="10" fontId="14" numFmtId="0" xfId="0" applyAlignment="1" applyBorder="1" applyFont="1">
      <alignment horizontal="center" vertical="bottom"/>
    </xf>
    <xf borderId="53" fillId="4" fontId="11" numFmtId="0" xfId="0" applyAlignment="1" applyBorder="1" applyFont="1">
      <alignment horizontal="center" vertical="bottom"/>
    </xf>
    <xf borderId="54" fillId="4" fontId="11" numFmtId="0" xfId="0" applyAlignment="1" applyBorder="1" applyFont="1">
      <alignment horizontal="center" vertical="bottom"/>
    </xf>
    <xf borderId="54" fillId="4" fontId="11" numFmtId="0" xfId="0" applyAlignment="1" applyBorder="1" applyFont="1">
      <alignment horizontal="center" vertical="bottom"/>
    </xf>
    <xf borderId="54" fillId="4" fontId="11" numFmtId="0" xfId="0" applyAlignment="1" applyBorder="1" applyFont="1">
      <alignment horizontal="center" shrinkToFit="0" vertical="bottom" wrapText="1"/>
    </xf>
    <xf borderId="55" fillId="4" fontId="11" numFmtId="0" xfId="0" applyAlignment="1" applyBorder="1" applyFont="1">
      <alignment horizontal="center" vertical="bottom"/>
    </xf>
    <xf borderId="51" fillId="4" fontId="11" numFmtId="0" xfId="0" applyAlignment="1" applyBorder="1" applyFont="1">
      <alignment horizontal="center" vertical="bottom"/>
    </xf>
    <xf borderId="51" fillId="4" fontId="11" numFmtId="0" xfId="0" applyAlignment="1" applyBorder="1" applyFont="1">
      <alignment horizontal="center" vertical="bottom"/>
    </xf>
    <xf borderId="52" fillId="4" fontId="14" numFmtId="0" xfId="0" applyAlignment="1" applyBorder="1" applyFont="1">
      <alignment horizontal="center" vertical="bottom"/>
    </xf>
    <xf borderId="0" fillId="0" fontId="96" numFmtId="0" xfId="0" applyAlignment="1" applyFont="1">
      <alignment vertical="top"/>
    </xf>
    <xf borderId="0" fillId="0" fontId="16" numFmtId="0" xfId="0" applyAlignment="1" applyFont="1">
      <alignment horizontal="center" vertical="bottom"/>
    </xf>
  </cellXfs>
  <cellStyles count="1">
    <cellStyle xfId="0" name="Normal" builtinId="0"/>
  </cellStyles>
  <dxfs count="1">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1" Type="http://schemas.openxmlformats.org/officeDocument/2006/relationships/image" Target="../media/image5.png"/><Relationship Id="rId10" Type="http://schemas.openxmlformats.org/officeDocument/2006/relationships/image" Target="../media/image3.png"/><Relationship Id="rId13" Type="http://schemas.openxmlformats.org/officeDocument/2006/relationships/image" Target="../media/image8.png"/><Relationship Id="rId12" Type="http://schemas.openxmlformats.org/officeDocument/2006/relationships/image" Target="../media/image6.png"/><Relationship Id="rId1" Type="http://schemas.openxmlformats.org/officeDocument/2006/relationships/image" Target="../media/image4.png"/><Relationship Id="rId2" Type="http://schemas.openxmlformats.org/officeDocument/2006/relationships/image" Target="../media/image12.png"/><Relationship Id="rId3" Type="http://schemas.openxmlformats.org/officeDocument/2006/relationships/image" Target="../media/image1.png"/><Relationship Id="rId4" Type="http://schemas.openxmlformats.org/officeDocument/2006/relationships/image" Target="../media/image2.png"/><Relationship Id="rId9" Type="http://schemas.openxmlformats.org/officeDocument/2006/relationships/image" Target="../media/image11.png"/><Relationship Id="rId15" Type="http://schemas.openxmlformats.org/officeDocument/2006/relationships/image" Target="../media/image14.png"/><Relationship Id="rId14" Type="http://schemas.openxmlformats.org/officeDocument/2006/relationships/image" Target="../media/image13.png"/><Relationship Id="rId16" Type="http://schemas.openxmlformats.org/officeDocument/2006/relationships/image" Target="../media/image7.png"/><Relationship Id="rId5" Type="http://schemas.openxmlformats.org/officeDocument/2006/relationships/image" Target="../media/image15.png"/><Relationship Id="rId6" Type="http://schemas.openxmlformats.org/officeDocument/2006/relationships/image" Target="../media/image9.png"/><Relationship Id="rId7" Type="http://schemas.openxmlformats.org/officeDocument/2006/relationships/image" Target="../media/image16.png"/><Relationship Id="rId8" Type="http://schemas.openxmlformats.org/officeDocument/2006/relationships/image" Target="../media/image10.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171450</xdr:colOff>
      <xdr:row>14</xdr:row>
      <xdr:rowOff>161925</xdr:rowOff>
    </xdr:from>
    <xdr:ext cx="800100" cy="1104900"/>
    <xdr:pic>
      <xdr:nvPicPr>
        <xdr:cNvPr id="0" name="image4.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781050</xdr:colOff>
      <xdr:row>87</xdr:row>
      <xdr:rowOff>19050</xdr:rowOff>
    </xdr:from>
    <xdr:ext cx="561975" cy="895350"/>
    <xdr:pic>
      <xdr:nvPicPr>
        <xdr:cNvPr id="0" name="image12.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180975</xdr:colOff>
      <xdr:row>32</xdr:row>
      <xdr:rowOff>123825</xdr:rowOff>
    </xdr:from>
    <xdr:ext cx="714375" cy="10191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723900</xdr:colOff>
      <xdr:row>80</xdr:row>
      <xdr:rowOff>57150</xdr:rowOff>
    </xdr:from>
    <xdr:ext cx="742950" cy="1019175"/>
    <xdr:pic>
      <xdr:nvPicPr>
        <xdr:cNvPr id="0" name="image2.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981075</xdr:colOff>
      <xdr:row>14</xdr:row>
      <xdr:rowOff>161925</xdr:rowOff>
    </xdr:from>
    <xdr:ext cx="1123950" cy="1104900"/>
    <xdr:pic>
      <xdr:nvPicPr>
        <xdr:cNvPr id="0" name="image15.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476250</xdr:colOff>
      <xdr:row>52</xdr:row>
      <xdr:rowOff>190500</xdr:rowOff>
    </xdr:from>
    <xdr:ext cx="1266825" cy="1343025"/>
    <xdr:pic>
      <xdr:nvPicPr>
        <xdr:cNvPr id="0" name="image9.png" title="画像"/>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1038225</xdr:colOff>
      <xdr:row>32</xdr:row>
      <xdr:rowOff>123825</xdr:rowOff>
    </xdr:from>
    <xdr:ext cx="1038225" cy="1019175"/>
    <xdr:pic>
      <xdr:nvPicPr>
        <xdr:cNvPr id="0" name="image16.png" title="画像"/>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1123950</xdr:colOff>
      <xdr:row>42</xdr:row>
      <xdr:rowOff>171450</xdr:rowOff>
    </xdr:from>
    <xdr:ext cx="981075" cy="971550"/>
    <xdr:pic>
      <xdr:nvPicPr>
        <xdr:cNvPr id="0" name="image10.png" title="画像"/>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180975</xdr:colOff>
      <xdr:row>42</xdr:row>
      <xdr:rowOff>123825</xdr:rowOff>
    </xdr:from>
    <xdr:ext cx="800100" cy="1104900"/>
    <xdr:pic>
      <xdr:nvPicPr>
        <xdr:cNvPr id="0" name="image11.png" title="画像"/>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781050</xdr:colOff>
      <xdr:row>73</xdr:row>
      <xdr:rowOff>85725</xdr:rowOff>
    </xdr:from>
    <xdr:ext cx="561975" cy="971550"/>
    <xdr:pic>
      <xdr:nvPicPr>
        <xdr:cNvPr id="0" name="image3.png" title="画像"/>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685800</xdr:colOff>
      <xdr:row>94</xdr:row>
      <xdr:rowOff>9525</xdr:rowOff>
    </xdr:from>
    <xdr:ext cx="714375" cy="1019175"/>
    <xdr:pic>
      <xdr:nvPicPr>
        <xdr:cNvPr id="0" name="image5.png" title="画像"/>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466725</xdr:colOff>
      <xdr:row>63</xdr:row>
      <xdr:rowOff>19050</xdr:rowOff>
    </xdr:from>
    <xdr:ext cx="1266825" cy="1466850"/>
    <xdr:pic>
      <xdr:nvPicPr>
        <xdr:cNvPr id="0" name="image6.png" title="画像"/>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609600</xdr:colOff>
      <xdr:row>101</xdr:row>
      <xdr:rowOff>133350</xdr:rowOff>
    </xdr:from>
    <xdr:ext cx="876300" cy="895350"/>
    <xdr:pic>
      <xdr:nvPicPr>
        <xdr:cNvPr id="0" name="image8.png" title="画像"/>
        <xdr:cNvPicPr preferRelativeResize="0"/>
      </xdr:nvPicPr>
      <xdr:blipFill>
        <a:blip cstate="print" r:embed="rId13"/>
        <a:stretch>
          <a:fillRect/>
        </a:stretch>
      </xdr:blipFill>
      <xdr:spPr>
        <a:prstGeom prst="rect">
          <a:avLst/>
        </a:prstGeom>
        <a:noFill/>
      </xdr:spPr>
    </xdr:pic>
    <xdr:clientData fLocksWithSheet="0"/>
  </xdr:oneCellAnchor>
  <xdr:oneCellAnchor>
    <xdr:from>
      <xdr:col>29</xdr:col>
      <xdr:colOff>57150</xdr:colOff>
      <xdr:row>27</xdr:row>
      <xdr:rowOff>47625</xdr:rowOff>
    </xdr:from>
    <xdr:ext cx="1600200" cy="2419350"/>
    <xdr:pic>
      <xdr:nvPicPr>
        <xdr:cNvPr id="0" name="image13.png" title="画像"/>
        <xdr:cNvPicPr preferRelativeResize="0"/>
      </xdr:nvPicPr>
      <xdr:blipFill>
        <a:blip cstate="print" r:embed="rId14"/>
        <a:stretch>
          <a:fillRect/>
        </a:stretch>
      </xdr:blipFill>
      <xdr:spPr>
        <a:prstGeom prst="rect">
          <a:avLst/>
        </a:prstGeom>
        <a:noFill/>
      </xdr:spPr>
    </xdr:pic>
    <xdr:clientData fLocksWithSheet="0"/>
  </xdr:oneCellAnchor>
  <xdr:oneCellAnchor>
    <xdr:from>
      <xdr:col>29</xdr:col>
      <xdr:colOff>390525</xdr:colOff>
      <xdr:row>13</xdr:row>
      <xdr:rowOff>57150</xdr:rowOff>
    </xdr:from>
    <xdr:ext cx="1038225" cy="2333625"/>
    <xdr:pic>
      <xdr:nvPicPr>
        <xdr:cNvPr id="0" name="image14.png" title="画像"/>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619125</xdr:colOff>
      <xdr:row>24</xdr:row>
      <xdr:rowOff>9525</xdr:rowOff>
    </xdr:from>
    <xdr:ext cx="981075" cy="1066800"/>
    <xdr:pic>
      <xdr:nvPicPr>
        <xdr:cNvPr id="0" name="image7.png" title="画像"/>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5</xdr:row>
      <xdr:rowOff>47625</xdr:rowOff>
    </xdr:from>
    <xdr:ext cx="1314450" cy="619125"/>
    <xdr:sp>
      <xdr:nvSpPr>
        <xdr:cNvPr id="3" name="Shape 3"/>
        <xdr:cNvSpPr/>
      </xdr:nvSpPr>
      <xdr:spPr>
        <a:xfrm>
          <a:off x="2994550" y="984650"/>
          <a:ext cx="1299300" cy="5988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入力クリア</a:t>
          </a:r>
          <a:endParaRPr b="1"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5</xdr:row>
      <xdr:rowOff>47625</xdr:rowOff>
    </xdr:from>
    <xdr:ext cx="1314450" cy="619125"/>
    <xdr:sp>
      <xdr:nvSpPr>
        <xdr:cNvPr id="3" name="Shape 3"/>
        <xdr:cNvSpPr/>
      </xdr:nvSpPr>
      <xdr:spPr>
        <a:xfrm>
          <a:off x="2994550" y="984650"/>
          <a:ext cx="1299300" cy="5988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入力クリア</a:t>
          </a:r>
          <a:endParaRPr b="1" sz="14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5</xdr:row>
      <xdr:rowOff>47625</xdr:rowOff>
    </xdr:from>
    <xdr:ext cx="1314450" cy="619125"/>
    <xdr:sp>
      <xdr:nvSpPr>
        <xdr:cNvPr id="3" name="Shape 3"/>
        <xdr:cNvSpPr/>
      </xdr:nvSpPr>
      <xdr:spPr>
        <a:xfrm>
          <a:off x="2994550" y="984650"/>
          <a:ext cx="1299300" cy="5988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入力クリア</a:t>
          </a:r>
          <a:endParaRPr b="1" sz="14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5</xdr:row>
      <xdr:rowOff>47625</xdr:rowOff>
    </xdr:from>
    <xdr:ext cx="1314450" cy="619125"/>
    <xdr:sp>
      <xdr:nvSpPr>
        <xdr:cNvPr id="3" name="Shape 3"/>
        <xdr:cNvSpPr/>
      </xdr:nvSpPr>
      <xdr:spPr>
        <a:xfrm>
          <a:off x="2994550" y="984650"/>
          <a:ext cx="1299300" cy="5988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入力クリア</a:t>
          </a:r>
          <a:endParaRPr b="1" sz="1400"/>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5</xdr:row>
      <xdr:rowOff>47625</xdr:rowOff>
    </xdr:from>
    <xdr:ext cx="1314450" cy="619125"/>
    <xdr:sp>
      <xdr:nvSpPr>
        <xdr:cNvPr id="3" name="Shape 3"/>
        <xdr:cNvSpPr/>
      </xdr:nvSpPr>
      <xdr:spPr>
        <a:xfrm>
          <a:off x="2994550" y="984650"/>
          <a:ext cx="1299300" cy="5988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入力クリア</a:t>
          </a:r>
          <a:endParaRPr b="1"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5</xdr:row>
      <xdr:rowOff>47625</xdr:rowOff>
    </xdr:from>
    <xdr:ext cx="1314450" cy="619125"/>
    <xdr:sp>
      <xdr:nvSpPr>
        <xdr:cNvPr id="3" name="Shape 3"/>
        <xdr:cNvSpPr/>
      </xdr:nvSpPr>
      <xdr:spPr>
        <a:xfrm>
          <a:off x="2994550" y="984650"/>
          <a:ext cx="1299300" cy="5988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入力クリア</a:t>
          </a:r>
          <a:endParaRPr b="1"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5</xdr:row>
      <xdr:rowOff>47625</xdr:rowOff>
    </xdr:from>
    <xdr:ext cx="1314450" cy="619125"/>
    <xdr:sp>
      <xdr:nvSpPr>
        <xdr:cNvPr id="3" name="Shape 3"/>
        <xdr:cNvSpPr/>
      </xdr:nvSpPr>
      <xdr:spPr>
        <a:xfrm>
          <a:off x="2994550" y="984650"/>
          <a:ext cx="1299300" cy="5988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入力クリア</a:t>
          </a:r>
          <a:endParaRPr b="1" sz="1400"/>
        </a:p>
      </xdr:txBody>
    </xdr: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5</xdr:row>
      <xdr:rowOff>47625</xdr:rowOff>
    </xdr:from>
    <xdr:ext cx="1314450" cy="619125"/>
    <xdr:sp>
      <xdr:nvSpPr>
        <xdr:cNvPr id="3" name="Shape 3"/>
        <xdr:cNvSpPr/>
      </xdr:nvSpPr>
      <xdr:spPr>
        <a:xfrm>
          <a:off x="2994550" y="984650"/>
          <a:ext cx="1299300" cy="5988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入力クリア</a:t>
          </a:r>
          <a:endParaRPr b="1"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5</xdr:row>
      <xdr:rowOff>47625</xdr:rowOff>
    </xdr:from>
    <xdr:ext cx="1314450" cy="619125"/>
    <xdr:sp>
      <xdr:nvSpPr>
        <xdr:cNvPr id="3" name="Shape 3"/>
        <xdr:cNvSpPr/>
      </xdr:nvSpPr>
      <xdr:spPr>
        <a:xfrm>
          <a:off x="2994550" y="984650"/>
          <a:ext cx="1299300" cy="5988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入力クリア</a:t>
          </a:r>
          <a:endParaRPr b="1"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5</xdr:row>
      <xdr:rowOff>47625</xdr:rowOff>
    </xdr:from>
    <xdr:ext cx="1314450" cy="619125"/>
    <xdr:sp>
      <xdr:nvSpPr>
        <xdr:cNvPr id="3" name="Shape 3"/>
        <xdr:cNvSpPr/>
      </xdr:nvSpPr>
      <xdr:spPr>
        <a:xfrm>
          <a:off x="2994550" y="984650"/>
          <a:ext cx="1299300" cy="5988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入力クリア</a:t>
          </a:r>
          <a:endParaRPr b="1" sz="1400"/>
        </a:p>
      </xdr:txBody>
    </xdr: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5</xdr:row>
      <xdr:rowOff>47625</xdr:rowOff>
    </xdr:from>
    <xdr:ext cx="1314450" cy="619125"/>
    <xdr:sp>
      <xdr:nvSpPr>
        <xdr:cNvPr id="3" name="Shape 3"/>
        <xdr:cNvSpPr/>
      </xdr:nvSpPr>
      <xdr:spPr>
        <a:xfrm>
          <a:off x="2994550" y="984650"/>
          <a:ext cx="1299300" cy="5988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入力クリア</a:t>
          </a:r>
          <a:endParaRPr b="1" sz="1400"/>
        </a:p>
      </xdr:txBody>
    </xdr:sp>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5</xdr:row>
      <xdr:rowOff>47625</xdr:rowOff>
    </xdr:from>
    <xdr:ext cx="1314450" cy="619125"/>
    <xdr:sp>
      <xdr:nvSpPr>
        <xdr:cNvPr id="3" name="Shape 3"/>
        <xdr:cNvSpPr/>
      </xdr:nvSpPr>
      <xdr:spPr>
        <a:xfrm>
          <a:off x="2994550" y="984650"/>
          <a:ext cx="1299300" cy="5988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入力クリア</a:t>
          </a:r>
          <a:endParaRPr b="1" sz="1400"/>
        </a:p>
      </xdr:txBody>
    </xdr: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5</xdr:row>
      <xdr:rowOff>47625</xdr:rowOff>
    </xdr:from>
    <xdr:ext cx="1314450" cy="619125"/>
    <xdr:sp>
      <xdr:nvSpPr>
        <xdr:cNvPr id="3" name="Shape 3"/>
        <xdr:cNvSpPr/>
      </xdr:nvSpPr>
      <xdr:spPr>
        <a:xfrm>
          <a:off x="2994550" y="984650"/>
          <a:ext cx="1299300" cy="5988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入力クリア</a:t>
          </a:r>
          <a:endParaRPr b="1" sz="1400"/>
        </a:p>
      </xdr:txBody>
    </xdr: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466725</xdr:colOff>
      <xdr:row>5</xdr:row>
      <xdr:rowOff>47625</xdr:rowOff>
    </xdr:from>
    <xdr:ext cx="1314450" cy="619125"/>
    <xdr:sp>
      <xdr:nvSpPr>
        <xdr:cNvPr id="3" name="Shape 3"/>
        <xdr:cNvSpPr/>
      </xdr:nvSpPr>
      <xdr:spPr>
        <a:xfrm>
          <a:off x="2994550" y="984650"/>
          <a:ext cx="1299300" cy="5988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入力クリア</a:t>
          </a:r>
          <a:endParaRPr b="1" sz="1400"/>
        </a:p>
      </xdr:txBody>
    </xdr: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161925</xdr:colOff>
      <xdr:row>6</xdr:row>
      <xdr:rowOff>28575</xdr:rowOff>
    </xdr:from>
    <xdr:ext cx="1314450" cy="619125"/>
    <xdr:sp>
      <xdr:nvSpPr>
        <xdr:cNvPr id="3" name="Shape 3"/>
        <xdr:cNvSpPr/>
      </xdr:nvSpPr>
      <xdr:spPr>
        <a:xfrm>
          <a:off x="2994550" y="984650"/>
          <a:ext cx="1299300" cy="5988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入力クリア</a:t>
          </a:r>
          <a:endParaRPr b="1" sz="1400"/>
        </a:p>
      </xdr:txBody>
    </xdr:sp>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171450</xdr:colOff>
      <xdr:row>0</xdr:row>
      <xdr:rowOff>19050</xdr:rowOff>
    </xdr:from>
    <xdr:ext cx="1123950" cy="762000"/>
    <xdr:sp>
      <xdr:nvSpPr>
        <xdr:cNvPr id="4" name="Shape 4"/>
        <xdr:cNvSpPr/>
      </xdr:nvSpPr>
      <xdr:spPr>
        <a:xfrm>
          <a:off x="3462450" y="820575"/>
          <a:ext cx="1100700" cy="74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内容</a:t>
          </a:r>
          <a:endParaRPr sz="1400"/>
        </a:p>
        <a:p>
          <a:pPr indent="0" lvl="0" marL="0" rtl="0" algn="ctr">
            <a:spcBef>
              <a:spcPts val="0"/>
            </a:spcBef>
            <a:spcAft>
              <a:spcPts val="0"/>
            </a:spcAft>
            <a:buNone/>
          </a:pPr>
          <a:r>
            <a:rPr lang="en-US" sz="1400"/>
            <a:t>クリア</a:t>
          </a:r>
          <a:endParaRPr sz="1400"/>
        </a:p>
      </xdr:txBody>
    </xdr:sp>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171450</xdr:colOff>
      <xdr:row>0</xdr:row>
      <xdr:rowOff>19050</xdr:rowOff>
    </xdr:from>
    <xdr:ext cx="1123950" cy="762000"/>
    <xdr:sp>
      <xdr:nvSpPr>
        <xdr:cNvPr id="4" name="Shape 4"/>
        <xdr:cNvSpPr/>
      </xdr:nvSpPr>
      <xdr:spPr>
        <a:xfrm>
          <a:off x="3462450" y="820575"/>
          <a:ext cx="1100700" cy="74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内容</a:t>
          </a:r>
          <a:endParaRPr sz="1400"/>
        </a:p>
        <a:p>
          <a:pPr indent="0" lvl="0" marL="0" rtl="0" algn="ctr">
            <a:spcBef>
              <a:spcPts val="0"/>
            </a:spcBef>
            <a:spcAft>
              <a:spcPts val="0"/>
            </a:spcAft>
            <a:buNone/>
          </a:pPr>
          <a:r>
            <a:rPr lang="en-US" sz="1400"/>
            <a:t>クリア</a:t>
          </a:r>
          <a:endParaRPr sz="1400"/>
        </a:p>
      </xdr:txBody>
    </xdr:sp>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171450</xdr:colOff>
      <xdr:row>0</xdr:row>
      <xdr:rowOff>19050</xdr:rowOff>
    </xdr:from>
    <xdr:ext cx="1123950" cy="762000"/>
    <xdr:sp>
      <xdr:nvSpPr>
        <xdr:cNvPr id="4" name="Shape 4"/>
        <xdr:cNvSpPr/>
      </xdr:nvSpPr>
      <xdr:spPr>
        <a:xfrm>
          <a:off x="3462450" y="820575"/>
          <a:ext cx="1100700" cy="74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内容</a:t>
          </a:r>
          <a:endParaRPr sz="1400"/>
        </a:p>
        <a:p>
          <a:pPr indent="0" lvl="0" marL="0" rtl="0" algn="ctr">
            <a:spcBef>
              <a:spcPts val="0"/>
            </a:spcBef>
            <a:spcAft>
              <a:spcPts val="0"/>
            </a:spcAft>
            <a:buNone/>
          </a:pPr>
          <a:r>
            <a:rPr lang="en-US" sz="1400"/>
            <a:t>クリア</a:t>
          </a:r>
          <a:endParaRPr sz="1400"/>
        </a:p>
      </xdr:txBody>
    </xdr:sp>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171450</xdr:colOff>
      <xdr:row>0</xdr:row>
      <xdr:rowOff>19050</xdr:rowOff>
    </xdr:from>
    <xdr:ext cx="1123950" cy="762000"/>
    <xdr:sp>
      <xdr:nvSpPr>
        <xdr:cNvPr id="4" name="Shape 4"/>
        <xdr:cNvSpPr/>
      </xdr:nvSpPr>
      <xdr:spPr>
        <a:xfrm>
          <a:off x="3462450" y="820575"/>
          <a:ext cx="1100700" cy="74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内容</a:t>
          </a:r>
          <a:endParaRPr sz="1400"/>
        </a:p>
        <a:p>
          <a:pPr indent="0" lvl="0" marL="0" rtl="0" algn="ctr">
            <a:spcBef>
              <a:spcPts val="0"/>
            </a:spcBef>
            <a:spcAft>
              <a:spcPts val="0"/>
            </a:spcAft>
            <a:buNone/>
          </a:pPr>
          <a:r>
            <a:rPr lang="en-US" sz="1400"/>
            <a:t>クリア</a:t>
          </a:r>
          <a:endParaRPr sz="1400"/>
        </a:p>
      </xdr:txBody>
    </xdr:sp>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114300</xdr:colOff>
      <xdr:row>77</xdr:row>
      <xdr:rowOff>95250</xdr:rowOff>
    </xdr:from>
    <xdr:ext cx="2400300" cy="428625"/>
    <xdr:pic>
      <xdr:nvPicPr>
        <xdr:cNvPr id="0" name="image18.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295275</xdr:colOff>
      <xdr:row>77</xdr:row>
      <xdr:rowOff>66675</xdr:rowOff>
    </xdr:from>
    <xdr:ext cx="2400300" cy="428625"/>
    <xdr:pic>
      <xdr:nvPicPr>
        <xdr:cNvPr id="0" name="image17.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fuzF6J_HAxkqqyFqM6YKPhiBPgUOIHycsvldlQZmm6s/edit" TargetMode="External"/><Relationship Id="rId2" Type="http://schemas.openxmlformats.org/officeDocument/2006/relationships/hyperlink" Target="https://docs.google.com/spreadsheets/d/1PMAMS1YpYTolAIYVgkWUQv0BnZkxULOteMrYIjv3EIs/edit?gid=0" TargetMode="External"/><Relationship Id="rId3" Type="http://schemas.openxmlformats.org/officeDocument/2006/relationships/hyperlink" Target="https://docs.google.com/spreadsheets/d/1ZtCIU1gU5E90_d1r6TlQpUdW-W28KxJD5vtjxwR54yk/edit?gid=571059347" TargetMode="External"/><Relationship Id="rId4" Type="http://schemas.openxmlformats.org/officeDocument/2006/relationships/hyperlink" Target="https://docs.google.com/spreadsheets/d/1nX1IEJBiM5XDzpCpTyHmm5kbjvpek7tax0ywJv2cPFc/edit?gid=708002957" TargetMode="External"/><Relationship Id="rId5" Type="http://schemas.openxmlformats.org/officeDocument/2006/relationships/hyperlink" Target="https://docs.google.com/spreadsheets/d/1nX1IEJBiM5XDzpCpTyHmm5kbjvpek7tax0ywJv2cPFc/edit?gid=2012521302" TargetMode="External"/><Relationship Id="rId6" Type="http://schemas.openxmlformats.org/officeDocument/2006/relationships/hyperlink" Target="https://docs.google.com/spreadsheets/d/1nX1IEJBiM5XDzpCpTyHmm5kbjvpek7tax0ywJv2cPFc/edit?gid=636902339"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nX1IEJBiM5XDzpCpTyHmm5kbjvpek7tax0ywJv2cPFc/edit?gid=636902339" TargetMode="External"/><Relationship Id="rId3" Type="http://schemas.openxmlformats.org/officeDocument/2006/relationships/hyperlink" Target="https://www.notion.so/fabric-tokyo/10-0913b4c011c346c0b37737686571aaa1" TargetMode="External"/><Relationship Id="rId4" Type="http://schemas.openxmlformats.org/officeDocument/2006/relationships/hyperlink" Target="https://www.notion.so/fabric-tokyo/10-20-27d49967a235803aa6a6cb4a27095ff6" TargetMode="External"/><Relationship Id="rId9" Type="http://schemas.openxmlformats.org/officeDocument/2006/relationships/vmlDrawing" Target="../drawings/vmlDrawing1.vml"/><Relationship Id="rId5" Type="http://schemas.openxmlformats.org/officeDocument/2006/relationships/hyperlink" Target="https://www.notion.so/fabric-tokyo/10-21-27d49967a2358001a3b5f0b7164773ac" TargetMode="External"/><Relationship Id="rId6" Type="http://schemas.openxmlformats.org/officeDocument/2006/relationships/hyperlink" Target="https://www.notion.so/fabric-tokyo/10-15-6fd0369bf9524f398f3379c18f7b3fdf" TargetMode="External"/><Relationship Id="rId7" Type="http://schemas.openxmlformats.org/officeDocument/2006/relationships/hyperlink" Target="https://www.notion.so/fabric-tokyo/10-16-4c1fa9072e024588b94a67997bf1af95"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rlWlvfQRjWUFfFh9paSBRn-92CDmgvSOC6VGQ6lw1n0/edit?gid=1551873484"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rlWlvfQRjWUFfFh9paSBRn-92CDmgvSOC6VGQ6lw1n0/edit?gid=1551873484"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rlWlvfQRjWUFfFh9paSBRn-92CDmgvSOC6VGQ6lw1n0/edit?gid=1551873484"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rlWlvfQRjWUFfFh9paSBRn-92CDmgvSOC6VGQ6lw1n0/edit?gid=1551873484"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rlWlvfQRjWUFfFh9paSBRn-92CDmgvSOC6VGQ6lw1n0/edit?gid=1551873484"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rlWlvfQRjWUFfFh9paSBRn-92CDmgvSOC6VGQ6lw1n0/edit?gid=1551873484"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rlWlvfQRjWUFfFh9paSBRn-92CDmgvSOC6VGQ6lw1n0/edit?gid=1551873484"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rlWlvfQRjWUFfFh9paSBRn-92CDmgvSOC6VGQ6lw1n0/edit?gid=1551873484"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notion.so/fabric-tokyo/4-21-13b49967a235807d829cc708f45de19a" TargetMode="External"/><Relationship Id="rId2" Type="http://schemas.openxmlformats.org/officeDocument/2006/relationships/hyperlink" Target="https://www.notion.so/fabric-tokyo/1d549967a23580108c1fc2db165ab179" TargetMode="External"/><Relationship Id="rId3" Type="http://schemas.openxmlformats.org/officeDocument/2006/relationships/hyperlink" Target="https://www.notion.so/fabric-tokyo/2-6-ed200d10da8f4e74ade340b9c0af31aa"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rlWlvfQRjWUFfFh9paSBRn-92CDmgvSOC6VGQ6lw1n0/edit?gid=1551873484"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spreadsheets/d/1rlWlvfQRjWUFfFh9paSBRn-92CDmgvSOC6VGQ6lw1n0/edit?gid=1551873484"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rlWlvfQRjWUFfFh9paSBRn-92CDmgvSOC6VGQ6lw1n0/edit?gid=1551873484"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spreadsheets/d/1rlWlvfQRjWUFfFh9paSBRn-92CDmgvSOC6VGQ6lw1n0/edit?gid=1551873484"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rlWlvfQRjWUFfFh9paSBRn-92CDmgvSOC6VGQ6lw1n0/edit?gid=1551873484"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nHymutc4YoAHDF_DOcU73-K-OP6prh0FERnGiddq7FU/edit?gid=1724247325" TargetMode="External"/><Relationship Id="rId2" Type="http://schemas.openxmlformats.org/officeDocument/2006/relationships/hyperlink" Target="https://docs.google.com/spreadsheets/d/1rlWlvfQRjWUFfFh9paSBRn-92CDmgvSOC6VGQ6lw1n0/edit?gid=1551873484"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notion.so/fabric-tokyo/1d549967a23580108c1fc2db165ab179"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notion.so/fabric-tokyo/1d549967a23580108c1fc2db165ab179"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notion.so/fabric-tokyo/1d549967a23580108c1fc2db165ab179"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www.notion.so/fabric-tokyo/1d549967a23580108c1fc2db165ab179"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fabric-tokyo.zendesk.com/hc/ja/articles/360061758933?source=search&amp;auth_token=eyJhbGciOiJIUzI1NiJ9.eyJhY2NvdW50X2lkIjoxMDY1MDY1LCJ1c2VyX2lkIjoxMDI0NTkxOTAxNzM2OSwidGlja2V0X2lkIjo5MTUyOSwiY2hhbm5lbF9pZCI6NjMsInR5cGUiOiJTRUFSQ0giLCJleHAiOjE2NjUyMDY1NjJ9.Jl14sJtH98-K-90oc8O8F9J6ICKNAhAEcgbGhug5RYI" TargetMode="External"/><Relationship Id="rId2" Type="http://schemas.openxmlformats.org/officeDocument/2006/relationships/hyperlink" Target="https://docs.google.com/spreadsheets/d/1fVV7QbwUkI6H5w9YtwpkmwXqepOeE7rIl50zj4vFyTY/edit" TargetMode="External"/><Relationship Id="rId3"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63"/>
    <col customWidth="1" min="2" max="2" width="35.0"/>
    <col customWidth="1" min="4" max="4" width="22.0"/>
    <col customWidth="1" min="5" max="5" width="45.38"/>
  </cols>
  <sheetData>
    <row r="1">
      <c r="A1" s="1"/>
      <c r="B1" s="2"/>
    </row>
    <row r="2">
      <c r="A2" s="2"/>
      <c r="B2" s="2"/>
    </row>
    <row r="3">
      <c r="A3" s="2"/>
      <c r="B3" s="2"/>
      <c r="D3" s="3"/>
      <c r="E3" s="2"/>
    </row>
    <row r="4">
      <c r="A4" s="3"/>
      <c r="B4" s="4"/>
      <c r="E4" s="2"/>
    </row>
    <row r="5">
      <c r="A5" s="5" t="s">
        <v>0</v>
      </c>
      <c r="B5" s="6" t="s">
        <v>0</v>
      </c>
      <c r="D5" s="5" t="s">
        <v>1</v>
      </c>
      <c r="E5" s="6" t="s">
        <v>2</v>
      </c>
    </row>
    <row r="6">
      <c r="A6" s="3"/>
      <c r="B6" s="4"/>
    </row>
    <row r="7">
      <c r="A7" s="3"/>
      <c r="B7" s="7" t="s">
        <v>3</v>
      </c>
    </row>
    <row r="8">
      <c r="A8" s="5" t="s">
        <v>4</v>
      </c>
      <c r="B8" s="6" t="s">
        <v>5</v>
      </c>
      <c r="E8" s="7" t="s">
        <v>6</v>
      </c>
    </row>
    <row r="9">
      <c r="A9" s="3"/>
      <c r="B9" s="4"/>
      <c r="E9" s="7" t="s">
        <v>7</v>
      </c>
    </row>
    <row r="10">
      <c r="A10" s="5" t="s">
        <v>8</v>
      </c>
      <c r="B10" s="6" t="s">
        <v>9</v>
      </c>
      <c r="D10" s="5" t="s">
        <v>10</v>
      </c>
      <c r="E10" s="6" t="s">
        <v>11</v>
      </c>
    </row>
    <row r="12">
      <c r="A12" s="8" t="s">
        <v>12</v>
      </c>
      <c r="B12" s="9" t="s">
        <v>9</v>
      </c>
    </row>
    <row r="13">
      <c r="A13" s="3"/>
    </row>
    <row r="14">
      <c r="B14" s="10" t="s">
        <v>3</v>
      </c>
      <c r="D14" s="5" t="s">
        <v>13</v>
      </c>
      <c r="E14" s="6" t="s">
        <v>14</v>
      </c>
    </row>
    <row r="15">
      <c r="A15" s="8" t="s">
        <v>15</v>
      </c>
      <c r="B15" s="9" t="s">
        <v>5</v>
      </c>
    </row>
    <row r="16">
      <c r="A16" s="11"/>
      <c r="B16" s="12"/>
    </row>
    <row r="17">
      <c r="B17" s="10" t="s">
        <v>3</v>
      </c>
    </row>
    <row r="18">
      <c r="A18" s="8" t="s">
        <v>16</v>
      </c>
      <c r="B18" s="9" t="s">
        <v>5</v>
      </c>
    </row>
    <row r="19">
      <c r="A19" s="11"/>
      <c r="B19" s="12"/>
    </row>
    <row r="20">
      <c r="B20" s="10" t="s">
        <v>3</v>
      </c>
    </row>
    <row r="21">
      <c r="A21" s="13" t="s">
        <v>17</v>
      </c>
      <c r="B21" s="9" t="s">
        <v>5</v>
      </c>
    </row>
    <row r="22">
      <c r="A22" s="11"/>
      <c r="B22" s="12"/>
    </row>
    <row r="23">
      <c r="A23" s="5" t="s">
        <v>18</v>
      </c>
      <c r="B23" s="6" t="s">
        <v>9</v>
      </c>
    </row>
    <row r="24">
      <c r="A24" s="11"/>
      <c r="B24" s="12"/>
    </row>
    <row r="25">
      <c r="B25" s="14"/>
    </row>
    <row r="26">
      <c r="A26" s="15" t="s">
        <v>19</v>
      </c>
      <c r="B26" s="9" t="s">
        <v>3</v>
      </c>
    </row>
    <row r="29">
      <c r="A29" s="16"/>
      <c r="B29" s="14"/>
    </row>
    <row r="30">
      <c r="A30" s="11"/>
      <c r="B30" s="12"/>
    </row>
    <row r="31">
      <c r="B31" s="14"/>
      <c r="D31" s="3"/>
    </row>
    <row r="32">
      <c r="A32" s="16"/>
      <c r="B32" s="14"/>
      <c r="E32" s="7" t="s">
        <v>20</v>
      </c>
    </row>
    <row r="33">
      <c r="A33" s="11"/>
      <c r="B33" s="12"/>
      <c r="E33" s="7" t="s">
        <v>21</v>
      </c>
    </row>
    <row r="34">
      <c r="B34" s="17"/>
      <c r="D34" s="5" t="s">
        <v>22</v>
      </c>
      <c r="E34" s="6" t="s">
        <v>23</v>
      </c>
    </row>
    <row r="35">
      <c r="A35" s="16"/>
      <c r="B35" s="14"/>
      <c r="D35" s="2"/>
      <c r="E35" s="4"/>
    </row>
    <row r="36">
      <c r="A36" s="11"/>
      <c r="B36" s="12"/>
      <c r="D36" s="3"/>
      <c r="E36" s="2"/>
    </row>
    <row r="37">
      <c r="B37" s="14"/>
      <c r="D37" s="2"/>
      <c r="E37" s="7" t="s">
        <v>24</v>
      </c>
    </row>
    <row r="38">
      <c r="A38" s="16"/>
      <c r="B38" s="14"/>
      <c r="D38" s="5" t="s">
        <v>25</v>
      </c>
      <c r="E38" s="6" t="s">
        <v>26</v>
      </c>
    </row>
    <row r="39">
      <c r="A39" s="11"/>
      <c r="B39" s="12"/>
      <c r="C39" s="12"/>
      <c r="D39" s="12"/>
      <c r="E39" s="12"/>
      <c r="F39" s="12"/>
    </row>
    <row r="40">
      <c r="A40" s="11"/>
      <c r="B40" s="11"/>
      <c r="C40" s="11"/>
      <c r="D40" s="11"/>
      <c r="E40" s="11"/>
      <c r="F40" s="11"/>
    </row>
  </sheetData>
  <hyperlinks>
    <hyperlink display="お直し限界値早見表" location="'新アイテム別限界値判別早見表'!A1" ref="B5"/>
    <hyperlink display="ビジカジ総裏 生地替え再製作可否シート" location="'ビジカジ総裏'!A1" ref="E5"/>
    <hyperlink display="お直し対応シート1" location="'新宿1_お直し対応シート'!A1" ref="B7"/>
    <hyperlink display="お直し対応シート2" location="'新宿2_お直し対応シート'!A1" ref="B8"/>
    <hyperlink r:id="rId1" location="gid=0" ref="E8"/>
    <hyperlink r:id="rId2" location="gid=0" ref="E9"/>
    <hyperlink display="お直し対応シート" location="'吉祥寺_お直し対応シート'!A1" ref="B10"/>
    <hyperlink display="CS受付可能範囲" location="'CS受付可能範囲'!A1" ref="E10"/>
    <hyperlink display="お直し対応シート" location="'MODI_お直し対応シート'!A1" ref="B12"/>
    <hyperlink display="お直し対応シート1" location="'日本橋_お直し対応シート'!A1" ref="B14"/>
    <hyperlink r:id="rId3" location="gid=571059347" ref="E14"/>
    <hyperlink display="お直し対応シート2" location="'日本橋2_お直し対応シート'!A1" ref="B15"/>
    <hyperlink display="お直し対応シート1" location="'有楽町1_お直し対応シート'!A1" ref="B17"/>
    <hyperlink display="お直し対応シート2" location="'有楽町2_お直し対応シート'!A1" ref="B18"/>
    <hyperlink display="お直し対応シート1" location="'横浜_お直し対応シート'!A1" ref="B20"/>
    <hyperlink display="お直し対応シート2" location="'横浜_お直し対応シート'!A1" ref="B21"/>
    <hyperlink display="お直し対応シート" location="'ウィメンズ_お直し対応シート'!A1" ref="B23"/>
    <hyperlink display="お直し対応シート1" location="'表参道_お直し対応シート'!A1" ref="B26"/>
    <hyperlink r:id="rId4" location="gid=708002957" ref="E32"/>
    <hyperlink r:id="rId5" location="gid=2012521302" ref="E33"/>
    <hyperlink r:id="rId6" location="gid=636902339" ref="E34"/>
    <hyperlink display="お直し預かり票印刷用 - スーツ" location="'お直し預かり票印刷用 - スーツ'!A1" ref="E37"/>
    <hyperlink display="お直し品預かり票印刷用 - シャツ" location="'お直し品預かり票印刷用 - シャツ'!A1" ref="E38"/>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showGridLines="0" workbookViewId="0"/>
  </sheetViews>
  <sheetFormatPr customHeight="1" defaultColWidth="12.63" defaultRowHeight="15.75"/>
  <cols>
    <col customWidth="1" hidden="1" min="1" max="1" width="6.25"/>
    <col customWidth="1" min="2" max="2" width="28.25"/>
    <col customWidth="1" min="3" max="3" width="15.63"/>
    <col customWidth="1" min="4" max="4" width="14.5"/>
    <col customWidth="1" min="5" max="5" width="42.63"/>
    <col customWidth="1" min="6" max="21" width="3.25"/>
    <col customWidth="1" min="22" max="22" width="11.25"/>
    <col customWidth="1" min="23" max="25" width="10.38"/>
    <col customWidth="1" hidden="1" min="26" max="26" width="10.25"/>
    <col customWidth="1" hidden="1" min="27" max="27" width="11.0"/>
    <col customWidth="1" hidden="1" min="28" max="28" width="10.25"/>
    <col customWidth="1" min="29" max="29" width="10.25"/>
    <col customWidth="1" min="30" max="30" width="23.63"/>
    <col customWidth="1" min="31" max="31" width="11.0"/>
    <col customWidth="1" min="32" max="32" width="30.63"/>
    <col customWidth="1" min="33" max="33" width="51.5"/>
    <col customWidth="1" min="34" max="44" width="3.25"/>
    <col customWidth="1" min="45" max="45" width="2.63"/>
    <col customWidth="1" min="46" max="46" width="12.25"/>
    <col customWidth="1" min="47" max="49" width="10.38"/>
    <col customWidth="1" hidden="1" min="50" max="52" width="9.38"/>
    <col customWidth="1" min="53" max="53" width="3.88"/>
    <col customWidth="1" min="54" max="54" width="48.5"/>
    <col customWidth="1" min="55" max="55" width="19.5"/>
    <col customWidth="1" min="56" max="56" width="40.13"/>
    <col customWidth="1" min="57" max="57" width="11.88"/>
  </cols>
  <sheetData>
    <row r="1">
      <c r="A1" s="12" t="str">
        <f>IFERROR(__xludf.DUMMYFUNCTION("IMPORTRANGE(""1rvkHoPE2oZB-0k4vlmjA8cgHMdBuXe9EcqpHysy6UW8"", ""'新アイテム別限界値判別早見表（作業中）'!A:BE"") "),"")</f>
        <v/>
      </c>
      <c r="B1" s="12"/>
      <c r="C1" s="18">
        <f>IFERROR(__xludf.DUMMYFUNCTION("""COMPUTED_VALUE"""),45991.0)</f>
        <v>45991</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row>
    <row r="2">
      <c r="A2" s="11"/>
      <c r="B2" s="19" t="str">
        <f>IFERROR(__xludf.DUMMYFUNCTION("""COMPUTED_VALUE"""),"再製作")</f>
        <v>再製作</v>
      </c>
      <c r="C2" s="20" t="str">
        <f>IFERROR(__xludf.DUMMYFUNCTION("""COMPUTED_VALUE"""),"基本WEB表示納期　ダブルセッティング生地は、業務チーム確認")</f>
        <v>基本WEB表示納期　ダブルセッティング生地は、業務チーム確認</v>
      </c>
      <c r="D2" s="21"/>
      <c r="E2" s="21"/>
      <c r="F2" s="21"/>
      <c r="G2" s="21"/>
      <c r="H2" s="21"/>
      <c r="I2" s="21"/>
      <c r="J2" s="21"/>
      <c r="K2" s="21"/>
      <c r="L2" s="21"/>
      <c r="M2" s="21"/>
      <c r="N2" s="21"/>
      <c r="O2" s="22"/>
      <c r="P2" s="12"/>
      <c r="Q2" s="12"/>
      <c r="R2" s="12"/>
      <c r="S2" s="12"/>
      <c r="T2" s="12"/>
      <c r="U2" s="12"/>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row>
    <row r="3">
      <c r="A3" s="11"/>
      <c r="B3" s="23" t="str">
        <f>IFERROR(__xludf.DUMMYFUNCTION("""COMPUTED_VALUE"""),"1箇所納期")</f>
        <v>1箇所納期</v>
      </c>
      <c r="C3" s="24" t="str">
        <f>IFERROR(__xludf.DUMMYFUNCTION("""COMPUTED_VALUE"""),"各項目ごとに設定された納期を参照")</f>
        <v>各項目ごとに設定された納期を参照</v>
      </c>
      <c r="D3" s="25"/>
      <c r="E3" s="25"/>
      <c r="F3" s="25"/>
      <c r="G3" s="25"/>
      <c r="H3" s="25"/>
      <c r="I3" s="25"/>
      <c r="J3" s="25"/>
      <c r="K3" s="25"/>
      <c r="L3" s="25"/>
      <c r="M3" s="25"/>
      <c r="N3" s="25"/>
      <c r="O3" s="26"/>
      <c r="P3" s="27"/>
      <c r="Q3" s="27"/>
      <c r="R3" s="27"/>
      <c r="S3" s="27"/>
      <c r="T3" s="27"/>
      <c r="U3" s="27"/>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row>
    <row r="4">
      <c r="A4" s="11"/>
      <c r="B4" s="28" t="str">
        <f>IFERROR(__xludf.DUMMYFUNCTION("""COMPUTED_VALUE"""),"上物納期：（2箇所以内）")</f>
        <v>上物納期：（2箇所以内）</v>
      </c>
      <c r="C4" s="29">
        <f>IFERROR(__xludf.DUMMYFUNCTION("""COMPUTED_VALUE"""),46003.0)</f>
        <v>46003</v>
      </c>
      <c r="D4" s="26"/>
      <c r="E4" s="30" t="str">
        <f>IFERROR(__xludf.DUMMYFUNCTION("""COMPUTED_VALUE"""),"上物納期：（3箇所以上）")</f>
        <v>上物納期：（3箇所以上）</v>
      </c>
      <c r="F4" s="31"/>
      <c r="G4" s="31"/>
      <c r="H4" s="32">
        <f>IFERROR(__xludf.DUMMYFUNCTION("""COMPUTED_VALUE"""),46008.0)</f>
        <v>46008</v>
      </c>
      <c r="I4" s="33"/>
      <c r="J4" s="33"/>
      <c r="K4" s="33"/>
      <c r="L4" s="33"/>
      <c r="M4" s="33"/>
      <c r="N4" s="33"/>
      <c r="O4" s="34"/>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row>
    <row r="5">
      <c r="A5" s="11"/>
      <c r="B5" s="35" t="str">
        <f>IFERROR(__xludf.DUMMYFUNCTION("""COMPUTED_VALUE"""),"下物納期：（2箇所以内）")</f>
        <v>下物納期：（2箇所以内）</v>
      </c>
      <c r="C5" s="36">
        <f>IFERROR(__xludf.DUMMYFUNCTION("""COMPUTED_VALUE"""),46002.0)</f>
        <v>46002</v>
      </c>
      <c r="D5" s="26"/>
      <c r="E5" s="37" t="str">
        <f>IFERROR(__xludf.DUMMYFUNCTION("""COMPUTED_VALUE"""),"下物納期：（3箇所以上）")</f>
        <v>下物納期：（3箇所以上）</v>
      </c>
      <c r="F5" s="38"/>
      <c r="G5" s="38"/>
      <c r="H5" s="39">
        <f>IFERROR(__xludf.DUMMYFUNCTION("""COMPUTED_VALUE"""),46007.0)</f>
        <v>46007</v>
      </c>
      <c r="I5" s="33"/>
      <c r="J5" s="33"/>
      <c r="K5" s="33"/>
      <c r="L5" s="33"/>
      <c r="M5" s="33"/>
      <c r="N5" s="33"/>
      <c r="O5" s="34"/>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row>
    <row r="6">
      <c r="A6" s="11"/>
      <c r="B6" s="11"/>
      <c r="C6" s="40"/>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row>
    <row r="7">
      <c r="A7" s="11"/>
      <c r="B7" s="41" t="str">
        <f>IFERROR(__xludf.DUMMYFUNCTION("""COMPUTED_VALUE"""),"袖丈・裄丈・股下は左右であっても1箇所換算でOK")</f>
        <v>袖丈・裄丈・股下は左右であっても1箇所換算でOK</v>
      </c>
      <c r="C7" s="40"/>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row>
    <row r="8">
      <c r="A8" s="11"/>
      <c r="B8" s="42" t="str">
        <f>IFERROR(__xludf.DUMMYFUNCTION("""COMPUTED_VALUE"""),"スーツ上下、3Pでお直しが発生した場合、納期は長い方（上物）に合わせてください。")</f>
        <v>スーツ上下、3Pでお直しが発生した場合、納期は長い方（上物）に合わせてください。</v>
      </c>
      <c r="C8" s="40"/>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row>
    <row r="9">
      <c r="A9" s="11"/>
      <c r="B9" s="12"/>
      <c r="C9" s="40"/>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row>
    <row r="10">
      <c r="A10" s="11"/>
      <c r="B10" s="11"/>
      <c r="C10" s="40"/>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row>
    <row r="11">
      <c r="A11" s="11"/>
      <c r="B11" s="43" t="str">
        <f>IFERROR(__xludf.DUMMYFUNCTION("""COMPUTED_VALUE"""),"上物納期")</f>
        <v>上物納期</v>
      </c>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6"/>
      <c r="AC11" s="11"/>
      <c r="AD11" s="44" t="str">
        <f>IFERROR(__xludf.DUMMYFUNCTION("""COMPUTED_VALUE"""),"下物納期")</f>
        <v>下物納期</v>
      </c>
      <c r="AE11" s="25"/>
      <c r="AF11" s="25"/>
      <c r="AG11" s="25"/>
      <c r="AH11" s="25"/>
      <c r="AI11" s="25"/>
      <c r="AJ11" s="25"/>
      <c r="AK11" s="25"/>
      <c r="AL11" s="25"/>
      <c r="AM11" s="25"/>
      <c r="AN11" s="25"/>
      <c r="AO11" s="25"/>
      <c r="AP11" s="25"/>
      <c r="AQ11" s="25"/>
      <c r="AR11" s="25"/>
      <c r="AS11" s="25"/>
      <c r="AT11" s="25"/>
      <c r="AU11" s="25"/>
      <c r="AV11" s="25"/>
      <c r="AW11" s="25"/>
      <c r="AX11" s="25"/>
      <c r="AY11" s="25"/>
      <c r="AZ11" s="26"/>
      <c r="BA11" s="11"/>
      <c r="BB11" s="45" t="str">
        <f>IFERROR(__xludf.DUMMYFUNCTION("""COMPUTED_VALUE"""),"特殊生地一覧")</f>
        <v>特殊生地一覧</v>
      </c>
      <c r="BC11" s="46"/>
      <c r="BD11" s="47"/>
      <c r="BE11" s="48"/>
    </row>
    <row r="12">
      <c r="A12" s="11"/>
      <c r="B12" s="49" t="str">
        <f>IFERROR(__xludf.DUMMYFUNCTION("""COMPUTED_VALUE"""),"アイテム")</f>
        <v>アイテム</v>
      </c>
      <c r="C12" s="49" t="str">
        <f>IFERROR(__xludf.DUMMYFUNCTION("""COMPUTED_VALUE"""),"ジャンル")</f>
        <v>ジャンル</v>
      </c>
      <c r="D12" s="49" t="str">
        <f>IFERROR(__xludf.DUMMYFUNCTION("""COMPUTED_VALUE"""),"部位")</f>
        <v>部位</v>
      </c>
      <c r="E12" s="49" t="str">
        <f>IFERROR(__xludf.DUMMYFUNCTION("""COMPUTED_VALUE"""),"カスタマイズや条件")</f>
        <v>カスタマイズや条件</v>
      </c>
      <c r="F12" s="50" t="str">
        <f>IFERROR(__xludf.DUMMYFUNCTION("""COMPUTED_VALUE"""),"←詰め")</f>
        <v>←詰め</v>
      </c>
      <c r="G12" s="33"/>
      <c r="H12" s="33"/>
      <c r="I12" s="33"/>
      <c r="J12" s="33"/>
      <c r="K12" s="33"/>
      <c r="L12" s="33"/>
      <c r="M12" s="33"/>
      <c r="N12" s="33"/>
      <c r="O12" s="34"/>
      <c r="P12" s="51"/>
      <c r="Q12" s="52" t="str">
        <f>IFERROR(__xludf.DUMMYFUNCTION("""COMPUTED_VALUE"""),"出し→")</f>
        <v>出し→</v>
      </c>
      <c r="R12" s="33"/>
      <c r="S12" s="33"/>
      <c r="T12" s="33"/>
      <c r="U12" s="34"/>
      <c r="V12" s="53" t="str">
        <f>IFERROR(__xludf.DUMMYFUNCTION("""COMPUTED_VALUE"""),"営業日")</f>
        <v>営業日</v>
      </c>
      <c r="W12" s="54" t="str">
        <f>IFERROR(__xludf.DUMMYFUNCTION("""COMPUTED_VALUE"""),"1箇所納期")</f>
        <v>1箇所納期</v>
      </c>
      <c r="X12" s="55" t="str">
        <f>IFERROR(__xludf.DUMMYFUNCTION("""COMPUTED_VALUE"""),"2箇所納期")</f>
        <v>2箇所納期</v>
      </c>
      <c r="Y12" s="56" t="str">
        <f>IFERROR(__xludf.DUMMYFUNCTION("""COMPUTED_VALUE"""),"3箇所以上")</f>
        <v>3箇所以上</v>
      </c>
      <c r="Z12" s="57" t="str">
        <f>IFERROR(__xludf.DUMMYFUNCTION("""COMPUTED_VALUE"""),"サポ外料金
（原価）")</f>
        <v>サポ外料金
（原価）</v>
      </c>
      <c r="AA12" s="58" t="str">
        <f>IFERROR(__xludf.DUMMYFUNCTION("""COMPUTED_VALUE"""),"サポ外料金
現状（請求）")</f>
        <v>サポ外料金
現状（請求）</v>
      </c>
      <c r="AB12" s="58" t="str">
        <f>IFERROR(__xludf.DUMMYFUNCTION("""COMPUTED_VALUE"""),"サポ外料金
新（請求）")</f>
        <v>サポ外料金
新（請求）</v>
      </c>
      <c r="AC12" s="11"/>
      <c r="AD12" s="59" t="str">
        <f>IFERROR(__xludf.DUMMYFUNCTION("""COMPUTED_VALUE"""),"アイテム")</f>
        <v>アイテム</v>
      </c>
      <c r="AE12" s="59" t="str">
        <f>IFERROR(__xludf.DUMMYFUNCTION("""COMPUTED_VALUE"""),"ジャンル")</f>
        <v>ジャンル</v>
      </c>
      <c r="AF12" s="59" t="str">
        <f>IFERROR(__xludf.DUMMYFUNCTION("""COMPUTED_VALUE"""),"部位")</f>
        <v>部位</v>
      </c>
      <c r="AG12" s="49" t="str">
        <f>IFERROR(__xludf.DUMMYFUNCTION("""COMPUTED_VALUE"""),"カスタマイズや条件")</f>
        <v>カスタマイズや条件</v>
      </c>
      <c r="AH12" s="50" t="str">
        <f>IFERROR(__xludf.DUMMYFUNCTION("""COMPUTED_VALUE"""),"←詰め")</f>
        <v>←詰め</v>
      </c>
      <c r="AI12" s="33"/>
      <c r="AJ12" s="33"/>
      <c r="AK12" s="33"/>
      <c r="AL12" s="33"/>
      <c r="AM12" s="34"/>
      <c r="AN12" s="60"/>
      <c r="AO12" s="61" t="str">
        <f>IFERROR(__xludf.DUMMYFUNCTION("""COMPUTED_VALUE"""),"出し→")</f>
        <v>出し→</v>
      </c>
      <c r="AP12" s="25"/>
      <c r="AQ12" s="25"/>
      <c r="AR12" s="25"/>
      <c r="AS12" s="26"/>
      <c r="AT12" s="62" t="str">
        <f>IFERROR(__xludf.DUMMYFUNCTION("""COMPUTED_VALUE"""),"営業日")</f>
        <v>営業日</v>
      </c>
      <c r="AU12" s="63" t="str">
        <f>IFERROR(__xludf.DUMMYFUNCTION("""COMPUTED_VALUE"""),"1箇所納期")</f>
        <v>1箇所納期</v>
      </c>
      <c r="AV12" s="64" t="str">
        <f>IFERROR(__xludf.DUMMYFUNCTION("""COMPUTED_VALUE"""),"2箇所納期")</f>
        <v>2箇所納期</v>
      </c>
      <c r="AW12" s="65" t="str">
        <f>IFERROR(__xludf.DUMMYFUNCTION("""COMPUTED_VALUE"""),"3箇所以上")</f>
        <v>3箇所以上</v>
      </c>
      <c r="AX12" s="57" t="str">
        <f>IFERROR(__xludf.DUMMYFUNCTION("""COMPUTED_VALUE"""),"サポ外料金
（原価）")</f>
        <v>サポ外料金
（原価）</v>
      </c>
      <c r="AY12" s="57" t="str">
        <f>IFERROR(__xludf.DUMMYFUNCTION("""COMPUTED_VALUE"""),"サポ外料金
現状（請求）")</f>
        <v>サポ外料金
現状（請求）</v>
      </c>
      <c r="AZ12" s="57" t="str">
        <f>IFERROR(__xludf.DUMMYFUNCTION("""COMPUTED_VALUE"""),"サポ外料金
新（請求）")</f>
        <v>サポ外料金
新（請求）</v>
      </c>
      <c r="BA12" s="11"/>
      <c r="BB12" s="66" t="str">
        <f>IFERROR(__xludf.DUMMYFUNCTION("""COMPUTED_VALUE"""),"商品名")</f>
        <v>商品名</v>
      </c>
      <c r="BC12" s="66" t="str">
        <f>IFERROR(__xludf.DUMMYFUNCTION("""COMPUTED_VALUE"""),"生地コード")</f>
        <v>生地コード</v>
      </c>
      <c r="BD12" s="66" t="str">
        <f>IFERROR(__xludf.DUMMYFUNCTION("""COMPUTED_VALUE"""),"特殊対応内容")</f>
        <v>特殊対応内容</v>
      </c>
      <c r="BE12" s="48"/>
    </row>
    <row r="13">
      <c r="A13" s="11"/>
      <c r="B13" s="67" t="str">
        <f>IFERROR(__xludf.DUMMYFUNCTION("""COMPUTED_VALUE"""),"
ジャケット
カジュアルジャケット
ジャコット")</f>
        <v>
ジャケット
カジュアルジャケット
ジャコット</v>
      </c>
      <c r="C13" s="68" t="str">
        <f>IFERROR(__xludf.DUMMYFUNCTION("""COMPUTED_VALUE"""),"サイズ")</f>
        <v>サイズ</v>
      </c>
      <c r="D13" s="69" t="str">
        <f>IFERROR(__xludf.DUMMYFUNCTION("""COMPUTED_VALUE"""),"肩巾")</f>
        <v>肩巾</v>
      </c>
      <c r="E13" s="70"/>
      <c r="F13" s="71">
        <f>IFERROR(__xludf.DUMMYFUNCTION("""COMPUTED_VALUE"""),-10.0)</f>
        <v>-10</v>
      </c>
      <c r="G13" s="71">
        <f>IFERROR(__xludf.DUMMYFUNCTION("""COMPUTED_VALUE"""),-9.0)</f>
        <v>-9</v>
      </c>
      <c r="H13" s="71">
        <f>IFERROR(__xludf.DUMMYFUNCTION("""COMPUTED_VALUE"""),-8.0)</f>
        <v>-8</v>
      </c>
      <c r="I13" s="71">
        <f>IFERROR(__xludf.DUMMYFUNCTION("""COMPUTED_VALUE"""),-7.0)</f>
        <v>-7</v>
      </c>
      <c r="J13" s="71">
        <f>IFERROR(__xludf.DUMMYFUNCTION("""COMPUTED_VALUE"""),-6.0)</f>
        <v>-6</v>
      </c>
      <c r="K13" s="72">
        <f>IFERROR(__xludf.DUMMYFUNCTION("""COMPUTED_VALUE"""),-5.0)</f>
        <v>-5</v>
      </c>
      <c r="L13" s="72">
        <f>IFERROR(__xludf.DUMMYFUNCTION("""COMPUTED_VALUE"""),-4.0)</f>
        <v>-4</v>
      </c>
      <c r="M13" s="73">
        <f>IFERROR(__xludf.DUMMYFUNCTION("""COMPUTED_VALUE"""),-3.0)</f>
        <v>-3</v>
      </c>
      <c r="N13" s="73">
        <f>IFERROR(__xludf.DUMMYFUNCTION("""COMPUTED_VALUE"""),-2.0)</f>
        <v>-2</v>
      </c>
      <c r="O13" s="73">
        <f>IFERROR(__xludf.DUMMYFUNCTION("""COMPUTED_VALUE"""),-1.0)</f>
        <v>-1</v>
      </c>
      <c r="P13" s="74">
        <f>IFERROR(__xludf.DUMMYFUNCTION("""COMPUTED_VALUE"""),0.0)</f>
        <v>0</v>
      </c>
      <c r="Q13" s="73">
        <f>IFERROR(__xludf.DUMMYFUNCTION("""COMPUTED_VALUE"""),0.5)</f>
        <v>0.5</v>
      </c>
      <c r="R13" s="72">
        <f>IFERROR(__xludf.DUMMYFUNCTION("""COMPUTED_VALUE"""),1.0)</f>
        <v>1</v>
      </c>
      <c r="S13" s="72">
        <f>IFERROR(__xludf.DUMMYFUNCTION("""COMPUTED_VALUE"""),2.0)</f>
        <v>2</v>
      </c>
      <c r="T13" s="72">
        <f>IFERROR(__xludf.DUMMYFUNCTION("""COMPUTED_VALUE"""),3.0)</f>
        <v>3</v>
      </c>
      <c r="U13" s="72">
        <f>IFERROR(__xludf.DUMMYFUNCTION("""COMPUTED_VALUE"""),4.0)</f>
        <v>4</v>
      </c>
      <c r="V13" s="75">
        <f>IFERROR(__xludf.DUMMYFUNCTION("""COMPUTED_VALUE"""),7.0)</f>
        <v>7</v>
      </c>
      <c r="W13" s="76">
        <f>IFERROR(__xludf.DUMMYFUNCTION("""COMPUTED_VALUE"""),46000.0)</f>
        <v>46000</v>
      </c>
      <c r="X13" s="77">
        <f>IFERROR(__xludf.DUMMYFUNCTION("""COMPUTED_VALUE"""),46003.0)</f>
        <v>46003</v>
      </c>
      <c r="Y13" s="78">
        <f>IFERROR(__xludf.DUMMYFUNCTION("""COMPUTED_VALUE"""),46008.0)</f>
        <v>46008</v>
      </c>
      <c r="Z13" s="79">
        <f>IFERROR(__xludf.DUMMYFUNCTION("""COMPUTED_VALUE"""),3500.0)</f>
        <v>3500</v>
      </c>
      <c r="AA13" s="80"/>
      <c r="AB13" s="80"/>
      <c r="AC13" s="11"/>
      <c r="AD13" s="67" t="str">
        <f>IFERROR(__xludf.DUMMYFUNCTION("""COMPUTED_VALUE"""),"スラックス
カジュアルパンツ")</f>
        <v>スラックス
カジュアルパンツ</v>
      </c>
      <c r="AE13" s="68" t="str">
        <f>IFERROR(__xludf.DUMMYFUNCTION("""COMPUTED_VALUE"""),"サイズ")</f>
        <v>サイズ</v>
      </c>
      <c r="AF13" s="81" t="str">
        <f>IFERROR(__xludf.DUMMYFUNCTION("""COMPUTED_VALUE"""),"ウエスト")</f>
        <v>ウエスト</v>
      </c>
      <c r="AG13" s="70"/>
      <c r="AH13" s="82">
        <f>IFERROR(__xludf.DUMMYFUNCTION("""COMPUTED_VALUE"""),-6.0)</f>
        <v>-6</v>
      </c>
      <c r="AI13" s="83">
        <f>IFERROR(__xludf.DUMMYFUNCTION("""COMPUTED_VALUE"""),-5.0)</f>
        <v>-5</v>
      </c>
      <c r="AJ13" s="84">
        <f>IFERROR(__xludf.DUMMYFUNCTION("""COMPUTED_VALUE"""),-4.0)</f>
        <v>-4</v>
      </c>
      <c r="AK13" s="84">
        <f>IFERROR(__xludf.DUMMYFUNCTION("""COMPUTED_VALUE"""),-3.0)</f>
        <v>-3</v>
      </c>
      <c r="AL13" s="84">
        <f>IFERROR(__xludf.DUMMYFUNCTION("""COMPUTED_VALUE"""),-2.0)</f>
        <v>-2</v>
      </c>
      <c r="AM13" s="84">
        <f>IFERROR(__xludf.DUMMYFUNCTION("""COMPUTED_VALUE"""),-1.0)</f>
        <v>-1</v>
      </c>
      <c r="AN13" s="85">
        <f>IFERROR(__xludf.DUMMYFUNCTION("""COMPUTED_VALUE"""),0.0)</f>
        <v>0</v>
      </c>
      <c r="AO13" s="84">
        <f>IFERROR(__xludf.DUMMYFUNCTION("""COMPUTED_VALUE"""),1.0)</f>
        <v>1</v>
      </c>
      <c r="AP13" s="84">
        <f>IFERROR(__xludf.DUMMYFUNCTION("""COMPUTED_VALUE"""),2.0)</f>
        <v>2</v>
      </c>
      <c r="AQ13" s="84">
        <f>IFERROR(__xludf.DUMMYFUNCTION("""COMPUTED_VALUE"""),3.0)</f>
        <v>3</v>
      </c>
      <c r="AR13" s="84">
        <f>IFERROR(__xludf.DUMMYFUNCTION("""COMPUTED_VALUE"""),4.0)</f>
        <v>4</v>
      </c>
      <c r="AS13" s="83">
        <f>IFERROR(__xludf.DUMMYFUNCTION("""COMPUTED_VALUE"""),5.0)</f>
        <v>5</v>
      </c>
      <c r="AT13" s="86">
        <f>IFERROR(__xludf.DUMMYFUNCTION("""COMPUTED_VALUE"""),5.0)</f>
        <v>5</v>
      </c>
      <c r="AU13" s="87">
        <f>IFERROR(__xludf.DUMMYFUNCTION("""COMPUTED_VALUE"""),45996.0)</f>
        <v>45996</v>
      </c>
      <c r="AV13" s="88">
        <f>IFERROR(__xludf.DUMMYFUNCTION("""COMPUTED_VALUE"""),46002.0)</f>
        <v>46002</v>
      </c>
      <c r="AW13" s="89">
        <f>IFERROR(__xludf.DUMMYFUNCTION("""COMPUTED_VALUE"""),46007.0)</f>
        <v>46007</v>
      </c>
      <c r="AX13" s="90"/>
      <c r="AY13" s="90"/>
      <c r="AZ13" s="90"/>
      <c r="BA13" s="11"/>
      <c r="BB13" s="91" t="str">
        <f>IFERROR(__xludf.DUMMYFUNCTION("""COMPUTED_VALUE"""),"EASY CARE COTTON JAPAN FABRIC from BANSHU")</f>
        <v>EASY CARE COTTON JAPAN FABRIC from BANSHU</v>
      </c>
      <c r="BC13" s="91" t="str">
        <f>IFERROR(__xludf.DUMMYFUNCTION("""COMPUTED_VALUE"""),"C220355〜C220359")</f>
        <v>C220355〜C220359</v>
      </c>
      <c r="BD13" s="92" t="str">
        <f>IFERROR(__xludf.DUMMYFUNCTION("""COMPUTED_VALUE"""),"出しNG（再製作）ジャケット・スラックス・")</f>
        <v>出しNG（再製作）ジャケット・スラックス・</v>
      </c>
      <c r="BE13" s="93"/>
    </row>
    <row r="14">
      <c r="A14" s="11"/>
      <c r="B14" s="94"/>
      <c r="C14" s="94"/>
      <c r="D14" s="68" t="str">
        <f>IFERROR(__xludf.DUMMYFUNCTION("""COMPUTED_VALUE"""),"袖丈")</f>
        <v>袖丈</v>
      </c>
      <c r="E14" s="69" t="str">
        <f>IFERROR(__xludf.DUMMYFUNCTION("""COMPUTED_VALUE"""),"本切羽有り")</f>
        <v>本切羽有り</v>
      </c>
      <c r="F14" s="71">
        <f>IFERROR(__xludf.DUMMYFUNCTION("""COMPUTED_VALUE"""),-10.0)</f>
        <v>-10</v>
      </c>
      <c r="G14" s="71">
        <f>IFERROR(__xludf.DUMMYFUNCTION("""COMPUTED_VALUE"""),-9.0)</f>
        <v>-9</v>
      </c>
      <c r="H14" s="71">
        <f>IFERROR(__xludf.DUMMYFUNCTION("""COMPUTED_VALUE"""),-8.0)</f>
        <v>-8</v>
      </c>
      <c r="I14" s="71">
        <f>IFERROR(__xludf.DUMMYFUNCTION("""COMPUTED_VALUE"""),-7.0)</f>
        <v>-7</v>
      </c>
      <c r="J14" s="71">
        <f>IFERROR(__xludf.DUMMYFUNCTION("""COMPUTED_VALUE"""),-6.0)</f>
        <v>-6</v>
      </c>
      <c r="K14" s="72">
        <f>IFERROR(__xludf.DUMMYFUNCTION("""COMPUTED_VALUE"""),-5.0)</f>
        <v>-5</v>
      </c>
      <c r="L14" s="73">
        <f>IFERROR(__xludf.DUMMYFUNCTION("""COMPUTED_VALUE"""),-4.0)</f>
        <v>-4</v>
      </c>
      <c r="M14" s="73">
        <f>IFERROR(__xludf.DUMMYFUNCTION("""COMPUTED_VALUE"""),-3.0)</f>
        <v>-3</v>
      </c>
      <c r="N14" s="73">
        <f>IFERROR(__xludf.DUMMYFUNCTION("""COMPUTED_VALUE"""),-2.0)</f>
        <v>-2</v>
      </c>
      <c r="O14" s="73">
        <f>IFERROR(__xludf.DUMMYFUNCTION("""COMPUTED_VALUE"""),-1.0)</f>
        <v>-1</v>
      </c>
      <c r="P14" s="74">
        <f>IFERROR(__xludf.DUMMYFUNCTION("""COMPUTED_VALUE"""),0.0)</f>
        <v>0</v>
      </c>
      <c r="Q14" s="73">
        <f>IFERROR(__xludf.DUMMYFUNCTION("""COMPUTED_VALUE"""),0.5)</f>
        <v>0.5</v>
      </c>
      <c r="R14" s="72">
        <f>IFERROR(__xludf.DUMMYFUNCTION("""COMPUTED_VALUE"""),1.0)</f>
        <v>1</v>
      </c>
      <c r="S14" s="72">
        <f>IFERROR(__xludf.DUMMYFUNCTION("""COMPUTED_VALUE"""),2.0)</f>
        <v>2</v>
      </c>
      <c r="T14" s="72">
        <f>IFERROR(__xludf.DUMMYFUNCTION("""COMPUTED_VALUE"""),3.0)</f>
        <v>3</v>
      </c>
      <c r="U14" s="72">
        <f>IFERROR(__xludf.DUMMYFUNCTION("""COMPUTED_VALUE"""),4.0)</f>
        <v>4</v>
      </c>
      <c r="V14" s="75">
        <f>IFERROR(__xludf.DUMMYFUNCTION("""COMPUTED_VALUE"""),8.0)</f>
        <v>8</v>
      </c>
      <c r="W14" s="76">
        <f>IFERROR(__xludf.DUMMYFUNCTION("""COMPUTED_VALUE"""),46001.0)</f>
        <v>46001</v>
      </c>
      <c r="X14" s="77">
        <f>IFERROR(__xludf.DUMMYFUNCTION("""COMPUTED_VALUE"""),46003.0)</f>
        <v>46003</v>
      </c>
      <c r="Y14" s="78">
        <f>IFERROR(__xludf.DUMMYFUNCTION("""COMPUTED_VALUE"""),46008.0)</f>
        <v>46008</v>
      </c>
      <c r="Z14" s="79">
        <f>IFERROR(__xludf.DUMMYFUNCTION("""COMPUTED_VALUE"""),6500.0)</f>
        <v>6500</v>
      </c>
      <c r="AA14" s="80"/>
      <c r="AB14" s="80"/>
      <c r="AC14" s="11"/>
      <c r="AD14" s="94"/>
      <c r="AE14" s="94"/>
      <c r="AF14" s="69" t="str">
        <f>IFERROR(__xludf.DUMMYFUNCTION("""COMPUTED_VALUE"""),"股上")</f>
        <v>股上</v>
      </c>
      <c r="AG14" s="90"/>
      <c r="AH14" s="83">
        <f>IFERROR(__xludf.DUMMYFUNCTION("""COMPUTED_VALUE"""),-6.0)</f>
        <v>-6</v>
      </c>
      <c r="AI14" s="83">
        <f>IFERROR(__xludf.DUMMYFUNCTION("""COMPUTED_VALUE"""),-5.0)</f>
        <v>-5</v>
      </c>
      <c r="AJ14" s="83">
        <f>IFERROR(__xludf.DUMMYFUNCTION("""COMPUTED_VALUE"""),-3.0)</f>
        <v>-3</v>
      </c>
      <c r="AK14" s="83">
        <f>IFERROR(__xludf.DUMMYFUNCTION("""COMPUTED_VALUE"""),-2.0)</f>
        <v>-2</v>
      </c>
      <c r="AL14" s="83">
        <f>IFERROR(__xludf.DUMMYFUNCTION("""COMPUTED_VALUE"""),-1.0)</f>
        <v>-1</v>
      </c>
      <c r="AM14" s="84">
        <f>IFERROR(__xludf.DUMMYFUNCTION("""COMPUTED_VALUE"""),-0.5)</f>
        <v>-0.5</v>
      </c>
      <c r="AN14" s="85">
        <f>IFERROR(__xludf.DUMMYFUNCTION("""COMPUTED_VALUE"""),0.0)</f>
        <v>0</v>
      </c>
      <c r="AO14" s="84">
        <f>IFERROR(__xludf.DUMMYFUNCTION("""COMPUTED_VALUE"""),0.5)</f>
        <v>0.5</v>
      </c>
      <c r="AP14" s="83">
        <f>IFERROR(__xludf.DUMMYFUNCTION("""COMPUTED_VALUE"""),2.0)</f>
        <v>2</v>
      </c>
      <c r="AQ14" s="83">
        <f>IFERROR(__xludf.DUMMYFUNCTION("""COMPUTED_VALUE"""),3.0)</f>
        <v>3</v>
      </c>
      <c r="AR14" s="83">
        <f>IFERROR(__xludf.DUMMYFUNCTION("""COMPUTED_VALUE"""),4.0)</f>
        <v>4</v>
      </c>
      <c r="AS14" s="83">
        <f>IFERROR(__xludf.DUMMYFUNCTION("""COMPUTED_VALUE"""),5.0)</f>
        <v>5</v>
      </c>
      <c r="AT14" s="86">
        <f>IFERROR(__xludf.DUMMYFUNCTION("""COMPUTED_VALUE"""),7.0)</f>
        <v>7</v>
      </c>
      <c r="AU14" s="87">
        <f>IFERROR(__xludf.DUMMYFUNCTION("""COMPUTED_VALUE"""),46000.0)</f>
        <v>46000</v>
      </c>
      <c r="AV14" s="88">
        <f>IFERROR(__xludf.DUMMYFUNCTION("""COMPUTED_VALUE"""),46002.0)</f>
        <v>46002</v>
      </c>
      <c r="AW14" s="89">
        <f>IFERROR(__xludf.DUMMYFUNCTION("""COMPUTED_VALUE"""),46007.0)</f>
        <v>46007</v>
      </c>
      <c r="AX14" s="90"/>
      <c r="AY14" s="90"/>
      <c r="AZ14" s="90"/>
      <c r="BA14" s="11"/>
      <c r="BB14" s="95" t="str">
        <f>IFERROR(__xludf.DUMMYFUNCTION("""COMPUTED_VALUE"""),"BUCOL FRENCH GABARDINE")</f>
        <v>BUCOL FRENCH GABARDINE</v>
      </c>
      <c r="BC14" s="95" t="str">
        <f>IFERROR(__xludf.DUMMYFUNCTION("""COMPUTED_VALUE"""),"A230233〜A230234")</f>
        <v>A230233〜A230234</v>
      </c>
      <c r="BD14" s="92" t="str">
        <f>IFERROR(__xludf.DUMMYFUNCTION("""COMPUTED_VALUE"""),"出しNG（再製作）ジャケット・スラックス")</f>
        <v>出しNG（再製作）ジャケット・スラックス</v>
      </c>
      <c r="BE14" s="93"/>
    </row>
    <row r="15">
      <c r="A15" s="11"/>
      <c r="B15" s="94"/>
      <c r="C15" s="94"/>
      <c r="D15" s="96"/>
      <c r="E15" s="69" t="str">
        <f>IFERROR(__xludf.DUMMYFUNCTION("""COMPUTED_VALUE"""),"本切羽無し　※±1cmは切羽移動なし")</f>
        <v>本切羽無し　※±1cmは切羽移動なし</v>
      </c>
      <c r="F15" s="71">
        <f>IFERROR(__xludf.DUMMYFUNCTION("""COMPUTED_VALUE"""),-10.0)</f>
        <v>-10</v>
      </c>
      <c r="G15" s="71">
        <f>IFERROR(__xludf.DUMMYFUNCTION("""COMPUTED_VALUE"""),-9.0)</f>
        <v>-9</v>
      </c>
      <c r="H15" s="71">
        <f>IFERROR(__xludf.DUMMYFUNCTION("""COMPUTED_VALUE"""),-8.0)</f>
        <v>-8</v>
      </c>
      <c r="I15" s="71">
        <f>IFERROR(__xludf.DUMMYFUNCTION("""COMPUTED_VALUE"""),-7.0)</f>
        <v>-7</v>
      </c>
      <c r="J15" s="97">
        <f>IFERROR(__xludf.DUMMYFUNCTION("""COMPUTED_VALUE"""),-6.0)</f>
        <v>-6</v>
      </c>
      <c r="K15" s="97">
        <f>IFERROR(__xludf.DUMMYFUNCTION("""COMPUTED_VALUE"""),-5.0)</f>
        <v>-5</v>
      </c>
      <c r="L15" s="73">
        <f>IFERROR(__xludf.DUMMYFUNCTION("""COMPUTED_VALUE"""),-4.0)</f>
        <v>-4</v>
      </c>
      <c r="M15" s="73">
        <f>IFERROR(__xludf.DUMMYFUNCTION("""COMPUTED_VALUE"""),-3.0)</f>
        <v>-3</v>
      </c>
      <c r="N15" s="73">
        <f>IFERROR(__xludf.DUMMYFUNCTION("""COMPUTED_VALUE"""),-2.0)</f>
        <v>-2</v>
      </c>
      <c r="O15" s="73">
        <f>IFERROR(__xludf.DUMMYFUNCTION("""COMPUTED_VALUE"""),-1.0)</f>
        <v>-1</v>
      </c>
      <c r="P15" s="74">
        <f>IFERROR(__xludf.DUMMYFUNCTION("""COMPUTED_VALUE"""),0.0)</f>
        <v>0</v>
      </c>
      <c r="Q15" s="73">
        <f>IFERROR(__xludf.DUMMYFUNCTION("""COMPUTED_VALUE"""),1.0)</f>
        <v>1</v>
      </c>
      <c r="R15" s="73">
        <f>IFERROR(__xludf.DUMMYFUNCTION("""COMPUTED_VALUE"""),2.5)</f>
        <v>2.5</v>
      </c>
      <c r="S15" s="72">
        <f>IFERROR(__xludf.DUMMYFUNCTION("""COMPUTED_VALUE"""),3.0)</f>
        <v>3</v>
      </c>
      <c r="T15" s="72">
        <f>IFERROR(__xludf.DUMMYFUNCTION("""COMPUTED_VALUE"""),4.0)</f>
        <v>4</v>
      </c>
      <c r="U15" s="72">
        <f>IFERROR(__xludf.DUMMYFUNCTION("""COMPUTED_VALUE"""),5.0)</f>
        <v>5</v>
      </c>
      <c r="V15" s="75">
        <f>IFERROR(__xludf.DUMMYFUNCTION("""COMPUTED_VALUE"""),7.0)</f>
        <v>7</v>
      </c>
      <c r="W15" s="76">
        <f>IFERROR(__xludf.DUMMYFUNCTION("""COMPUTED_VALUE"""),46000.0)</f>
        <v>46000</v>
      </c>
      <c r="X15" s="77">
        <f>IFERROR(__xludf.DUMMYFUNCTION("""COMPUTED_VALUE"""),46003.0)</f>
        <v>46003</v>
      </c>
      <c r="Y15" s="78">
        <f>IFERROR(__xludf.DUMMYFUNCTION("""COMPUTED_VALUE"""),46008.0)</f>
        <v>46008</v>
      </c>
      <c r="Z15" s="79">
        <f>IFERROR(__xludf.DUMMYFUNCTION("""COMPUTED_VALUE"""),1300.0)</f>
        <v>1300</v>
      </c>
      <c r="AA15" s="80"/>
      <c r="AB15" s="80"/>
      <c r="AC15" s="11"/>
      <c r="AD15" s="94"/>
      <c r="AE15" s="94"/>
      <c r="AF15" s="68" t="str">
        <f>IFERROR(__xludf.DUMMYFUNCTION("""COMPUTED_VALUE"""),"股下")</f>
        <v>股下</v>
      </c>
      <c r="AG15" s="69" t="str">
        <f>IFERROR(__xludf.DUMMYFUNCTION("""COMPUTED_VALUE"""),"シングル")</f>
        <v>シングル</v>
      </c>
      <c r="AH15" s="84">
        <f>IFERROR(__xludf.DUMMYFUNCTION("""COMPUTED_VALUE"""),-6.0)</f>
        <v>-6</v>
      </c>
      <c r="AI15" s="84">
        <f>IFERROR(__xludf.DUMMYFUNCTION("""COMPUTED_VALUE"""),-5.0)</f>
        <v>-5</v>
      </c>
      <c r="AJ15" s="84">
        <f>IFERROR(__xludf.DUMMYFUNCTION("""COMPUTED_VALUE"""),-4.0)</f>
        <v>-4</v>
      </c>
      <c r="AK15" s="84">
        <f>IFERROR(__xludf.DUMMYFUNCTION("""COMPUTED_VALUE"""),-3.0)</f>
        <v>-3</v>
      </c>
      <c r="AL15" s="84">
        <f>IFERROR(__xludf.DUMMYFUNCTION("""COMPUTED_VALUE"""),-2.0)</f>
        <v>-2</v>
      </c>
      <c r="AM15" s="84">
        <f>IFERROR(__xludf.DUMMYFUNCTION("""COMPUTED_VALUE"""),-1.0)</f>
        <v>-1</v>
      </c>
      <c r="AN15" s="85">
        <f>IFERROR(__xludf.DUMMYFUNCTION("""COMPUTED_VALUE"""),0.0)</f>
        <v>0</v>
      </c>
      <c r="AO15" s="84">
        <f>IFERROR(__xludf.DUMMYFUNCTION("""COMPUTED_VALUE"""),1.0)</f>
        <v>1</v>
      </c>
      <c r="AP15" s="84">
        <f>IFERROR(__xludf.DUMMYFUNCTION("""COMPUTED_VALUE"""),2.0)</f>
        <v>2</v>
      </c>
      <c r="AQ15" s="84">
        <f>IFERROR(__xludf.DUMMYFUNCTION("""COMPUTED_VALUE"""),3.0)</f>
        <v>3</v>
      </c>
      <c r="AR15" s="84">
        <f>IFERROR(__xludf.DUMMYFUNCTION("""COMPUTED_VALUE"""),4.0)</f>
        <v>4</v>
      </c>
      <c r="AS15" s="83">
        <f>IFERROR(__xludf.DUMMYFUNCTION("""COMPUTED_VALUE"""),5.0)</f>
        <v>5</v>
      </c>
      <c r="AT15" s="86">
        <f>IFERROR(__xludf.DUMMYFUNCTION("""COMPUTED_VALUE"""),5.0)</f>
        <v>5</v>
      </c>
      <c r="AU15" s="87">
        <f>IFERROR(__xludf.DUMMYFUNCTION("""COMPUTED_VALUE"""),45996.0)</f>
        <v>45996</v>
      </c>
      <c r="AV15" s="88">
        <f>IFERROR(__xludf.DUMMYFUNCTION("""COMPUTED_VALUE"""),46002.0)</f>
        <v>46002</v>
      </c>
      <c r="AW15" s="89">
        <f>IFERROR(__xludf.DUMMYFUNCTION("""COMPUTED_VALUE"""),46007.0)</f>
        <v>46007</v>
      </c>
      <c r="AX15" s="90"/>
      <c r="AY15" s="90"/>
      <c r="AZ15" s="90"/>
      <c r="BA15" s="11"/>
      <c r="BB15" s="95" t="str">
        <f>IFERROR(__xludf.DUMMYFUNCTION("""COMPUTED_VALUE"""),"SPENCE BRYSON PREMIUM LINEN")</f>
        <v>SPENCE BRYSON PREMIUM LINEN</v>
      </c>
      <c r="BC15" s="95" t="str">
        <f>IFERROR(__xludf.DUMMYFUNCTION("""COMPUTED_VALUE"""),"A250036〜A250039")</f>
        <v>A250036〜A250039</v>
      </c>
      <c r="BD15" s="92" t="str">
        <f>IFERROR(__xludf.DUMMYFUNCTION("""COMPUTED_VALUE"""),"出しNG（再製作）ジャケット・スラックス")</f>
        <v>出しNG（再製作）ジャケット・スラックス</v>
      </c>
      <c r="BE15" s="93"/>
    </row>
    <row r="16" ht="28.5" customHeight="1">
      <c r="A16" s="11"/>
      <c r="B16" s="94"/>
      <c r="C16" s="94"/>
      <c r="D16" s="69" t="str">
        <f>IFERROR(__xludf.DUMMYFUNCTION("""COMPUTED_VALUE"""),"バスト")</f>
        <v>バスト</v>
      </c>
      <c r="E16" s="90"/>
      <c r="F16" s="71">
        <f>IFERROR(__xludf.DUMMYFUNCTION("""COMPUTED_VALUE"""),-10.0)</f>
        <v>-10</v>
      </c>
      <c r="G16" s="71">
        <f>IFERROR(__xludf.DUMMYFUNCTION("""COMPUTED_VALUE"""),-9.0)</f>
        <v>-9</v>
      </c>
      <c r="H16" s="71">
        <f>IFERROR(__xludf.DUMMYFUNCTION("""COMPUTED_VALUE"""),-8.0)</f>
        <v>-8</v>
      </c>
      <c r="I16" s="71">
        <f>IFERROR(__xludf.DUMMYFUNCTION("""COMPUTED_VALUE"""),-7.0)</f>
        <v>-7</v>
      </c>
      <c r="J16" s="71">
        <f>IFERROR(__xludf.DUMMYFUNCTION("""COMPUTED_VALUE"""),-6.0)</f>
        <v>-6</v>
      </c>
      <c r="K16" s="72">
        <f>IFERROR(__xludf.DUMMYFUNCTION("""COMPUTED_VALUE"""),-5.0)</f>
        <v>-5</v>
      </c>
      <c r="L16" s="73">
        <f>IFERROR(__xludf.DUMMYFUNCTION("""COMPUTED_VALUE"""),-4.0)</f>
        <v>-4</v>
      </c>
      <c r="M16" s="73">
        <f>IFERROR(__xludf.DUMMYFUNCTION("""COMPUTED_VALUE"""),-3.0)</f>
        <v>-3</v>
      </c>
      <c r="N16" s="73">
        <f>IFERROR(__xludf.DUMMYFUNCTION("""COMPUTED_VALUE"""),-2.0)</f>
        <v>-2</v>
      </c>
      <c r="O16" s="73">
        <f>IFERROR(__xludf.DUMMYFUNCTION("""COMPUTED_VALUE"""),-1.0)</f>
        <v>-1</v>
      </c>
      <c r="P16" s="74">
        <f>IFERROR(__xludf.DUMMYFUNCTION("""COMPUTED_VALUE"""),0.0)</f>
        <v>0</v>
      </c>
      <c r="Q16" s="73">
        <f>IFERROR(__xludf.DUMMYFUNCTION("""COMPUTED_VALUE"""),1.0)</f>
        <v>1</v>
      </c>
      <c r="R16" s="73">
        <f>IFERROR(__xludf.DUMMYFUNCTION("""COMPUTED_VALUE"""),2.0)</f>
        <v>2</v>
      </c>
      <c r="S16" s="73">
        <f>IFERROR(__xludf.DUMMYFUNCTION("""COMPUTED_VALUE"""),3.0)</f>
        <v>3</v>
      </c>
      <c r="T16" s="72">
        <f>IFERROR(__xludf.DUMMYFUNCTION("""COMPUTED_VALUE"""),4.0)</f>
        <v>4</v>
      </c>
      <c r="U16" s="72">
        <f>IFERROR(__xludf.DUMMYFUNCTION("""COMPUTED_VALUE"""),5.0)</f>
        <v>5</v>
      </c>
      <c r="V16" s="75">
        <f>IFERROR(__xludf.DUMMYFUNCTION("""COMPUTED_VALUE"""),7.0)</f>
        <v>7</v>
      </c>
      <c r="W16" s="76">
        <f>IFERROR(__xludf.DUMMYFUNCTION("""COMPUTED_VALUE"""),46000.0)</f>
        <v>46000</v>
      </c>
      <c r="X16" s="77">
        <f>IFERROR(__xludf.DUMMYFUNCTION("""COMPUTED_VALUE"""),46003.0)</f>
        <v>46003</v>
      </c>
      <c r="Y16" s="78">
        <f>IFERROR(__xludf.DUMMYFUNCTION("""COMPUTED_VALUE"""),46008.0)</f>
        <v>46008</v>
      </c>
      <c r="Z16" s="79">
        <f>IFERROR(__xludf.DUMMYFUNCTION("""COMPUTED_VALUE"""),3000.0)</f>
        <v>3000</v>
      </c>
      <c r="AA16" s="80"/>
      <c r="AB16" s="80"/>
      <c r="AC16" s="11"/>
      <c r="AD16" s="94"/>
      <c r="AE16" s="94"/>
      <c r="AF16" s="94"/>
      <c r="AG16" s="69" t="str">
        <f>IFERROR(__xludf.DUMMYFUNCTION("""COMPUTED_VALUE"""),"W幅の3.5cm以下（3cmと3.5cm）のものは、股下1.5cm出しまで")</f>
        <v>W幅の3.5cm以下（3cmと3.5cm）のものは、股下1.5cm出しまで</v>
      </c>
      <c r="AH16" s="84">
        <f>IFERROR(__xludf.DUMMYFUNCTION("""COMPUTED_VALUE"""),-6.0)</f>
        <v>-6</v>
      </c>
      <c r="AI16" s="84">
        <f>IFERROR(__xludf.DUMMYFUNCTION("""COMPUTED_VALUE"""),-5.0)</f>
        <v>-5</v>
      </c>
      <c r="AJ16" s="84">
        <f>IFERROR(__xludf.DUMMYFUNCTION("""COMPUTED_VALUE"""),-4.0)</f>
        <v>-4</v>
      </c>
      <c r="AK16" s="84">
        <f>IFERROR(__xludf.DUMMYFUNCTION("""COMPUTED_VALUE"""),-3.0)</f>
        <v>-3</v>
      </c>
      <c r="AL16" s="84">
        <f>IFERROR(__xludf.DUMMYFUNCTION("""COMPUTED_VALUE"""),-2.0)</f>
        <v>-2</v>
      </c>
      <c r="AM16" s="84">
        <f>IFERROR(__xludf.DUMMYFUNCTION("""COMPUTED_VALUE"""),-1.0)</f>
        <v>-1</v>
      </c>
      <c r="AN16" s="85">
        <f>IFERROR(__xludf.DUMMYFUNCTION("""COMPUTED_VALUE"""),0.0)</f>
        <v>0</v>
      </c>
      <c r="AO16" s="84">
        <f>IFERROR(__xludf.DUMMYFUNCTION("""COMPUTED_VALUE"""),1.0)</f>
        <v>1</v>
      </c>
      <c r="AP16" s="84">
        <f>IFERROR(__xludf.DUMMYFUNCTION("""COMPUTED_VALUE"""),1.5)</f>
        <v>1.5</v>
      </c>
      <c r="AQ16" s="83">
        <f>IFERROR(__xludf.DUMMYFUNCTION("""COMPUTED_VALUE"""),3.0)</f>
        <v>3</v>
      </c>
      <c r="AR16" s="83">
        <f>IFERROR(__xludf.DUMMYFUNCTION("""COMPUTED_VALUE"""),4.0)</f>
        <v>4</v>
      </c>
      <c r="AS16" s="83">
        <f>IFERROR(__xludf.DUMMYFUNCTION("""COMPUTED_VALUE"""),5.0)</f>
        <v>5</v>
      </c>
      <c r="AT16" s="86">
        <f>IFERROR(__xludf.DUMMYFUNCTION("""COMPUTED_VALUE"""),5.0)</f>
        <v>5</v>
      </c>
      <c r="AU16" s="87">
        <f>IFERROR(__xludf.DUMMYFUNCTION("""COMPUTED_VALUE"""),45996.0)</f>
        <v>45996</v>
      </c>
      <c r="AV16" s="88">
        <f>IFERROR(__xludf.DUMMYFUNCTION("""COMPUTED_VALUE"""),46002.0)</f>
        <v>46002</v>
      </c>
      <c r="AW16" s="89">
        <f>IFERROR(__xludf.DUMMYFUNCTION("""COMPUTED_VALUE"""),46007.0)</f>
        <v>46007</v>
      </c>
      <c r="AX16" s="90"/>
      <c r="AY16" s="90"/>
      <c r="AZ16" s="90"/>
      <c r="BA16" s="11"/>
      <c r="BB16" s="95" t="str">
        <f>IFERROR(__xludf.DUMMYFUNCTION("""COMPUTED_VALUE"""),"COLOR WOOL")</f>
        <v>COLOR WOOL</v>
      </c>
      <c r="BC16" s="95" t="str">
        <f>IFERROR(__xludf.DUMMYFUNCTION("""COMPUTED_VALUE"""),"A210144〜A210153")</f>
        <v>A210144〜A210153</v>
      </c>
      <c r="BD16" s="92" t="str">
        <f>IFERROR(__xludf.DUMMYFUNCTION("""COMPUTED_VALUE"""),"チノパンカテゴリーだが、スラックスと同様出しOK")</f>
        <v>チノパンカテゴリーだが、スラックスと同様出しOK</v>
      </c>
      <c r="BE16" s="93"/>
    </row>
    <row r="17">
      <c r="A17" s="11"/>
      <c r="B17" s="94"/>
      <c r="C17" s="94"/>
      <c r="D17" s="69" t="str">
        <f>IFERROR(__xludf.DUMMYFUNCTION("""COMPUTED_VALUE"""),"着丈")</f>
        <v>着丈</v>
      </c>
      <c r="E17" s="90"/>
      <c r="F17" s="71">
        <f>IFERROR(__xludf.DUMMYFUNCTION("""COMPUTED_VALUE"""),-10.0)</f>
        <v>-10</v>
      </c>
      <c r="G17" s="71">
        <f>IFERROR(__xludf.DUMMYFUNCTION("""COMPUTED_VALUE"""),-9.0)</f>
        <v>-9</v>
      </c>
      <c r="H17" s="71">
        <f>IFERROR(__xludf.DUMMYFUNCTION("""COMPUTED_VALUE"""),-8.0)</f>
        <v>-8</v>
      </c>
      <c r="I17" s="71">
        <f>IFERROR(__xludf.DUMMYFUNCTION("""COMPUTED_VALUE"""),-7.0)</f>
        <v>-7</v>
      </c>
      <c r="J17" s="71">
        <f>IFERROR(__xludf.DUMMYFUNCTION("""COMPUTED_VALUE"""),-6.0)</f>
        <v>-6</v>
      </c>
      <c r="K17" s="72">
        <f>IFERROR(__xludf.DUMMYFUNCTION("""COMPUTED_VALUE"""),-5.0)</f>
        <v>-5</v>
      </c>
      <c r="L17" s="72">
        <f>IFERROR(__xludf.DUMMYFUNCTION("""COMPUTED_VALUE"""),-4.0)</f>
        <v>-4</v>
      </c>
      <c r="M17" s="72">
        <f>IFERROR(__xludf.DUMMYFUNCTION("""COMPUTED_VALUE"""),-3.0)</f>
        <v>-3</v>
      </c>
      <c r="N17" s="73">
        <f>IFERROR(__xludf.DUMMYFUNCTION("""COMPUTED_VALUE"""),-2.0)</f>
        <v>-2</v>
      </c>
      <c r="O17" s="73">
        <f>IFERROR(__xludf.DUMMYFUNCTION("""COMPUTED_VALUE"""),-1.0)</f>
        <v>-1</v>
      </c>
      <c r="P17" s="74">
        <f>IFERROR(__xludf.DUMMYFUNCTION("""COMPUTED_VALUE"""),0.0)</f>
        <v>0</v>
      </c>
      <c r="Q17" s="73">
        <f>IFERROR(__xludf.DUMMYFUNCTION("""COMPUTED_VALUE"""),1.0)</f>
        <v>1</v>
      </c>
      <c r="R17" s="72">
        <f>IFERROR(__xludf.DUMMYFUNCTION("""COMPUTED_VALUE"""),2.0)</f>
        <v>2</v>
      </c>
      <c r="S17" s="72">
        <f>IFERROR(__xludf.DUMMYFUNCTION("""COMPUTED_VALUE"""),3.0)</f>
        <v>3</v>
      </c>
      <c r="T17" s="72">
        <f>IFERROR(__xludf.DUMMYFUNCTION("""COMPUTED_VALUE"""),4.0)</f>
        <v>4</v>
      </c>
      <c r="U17" s="72">
        <f>IFERROR(__xludf.DUMMYFUNCTION("""COMPUTED_VALUE"""),5.0)</f>
        <v>5</v>
      </c>
      <c r="V17" s="75">
        <f>IFERROR(__xludf.DUMMYFUNCTION("""COMPUTED_VALUE"""),7.0)</f>
        <v>7</v>
      </c>
      <c r="W17" s="76">
        <f>IFERROR(__xludf.DUMMYFUNCTION("""COMPUTED_VALUE"""),46000.0)</f>
        <v>46000</v>
      </c>
      <c r="X17" s="77">
        <f>IFERROR(__xludf.DUMMYFUNCTION("""COMPUTED_VALUE"""),46003.0)</f>
        <v>46003</v>
      </c>
      <c r="Y17" s="78">
        <f>IFERROR(__xludf.DUMMYFUNCTION("""COMPUTED_VALUE"""),46008.0)</f>
        <v>46008</v>
      </c>
      <c r="Z17" s="79">
        <f>IFERROR(__xludf.DUMMYFUNCTION("""COMPUTED_VALUE"""),3000.0)</f>
        <v>3000</v>
      </c>
      <c r="AA17" s="80"/>
      <c r="AB17" s="80"/>
      <c r="AC17" s="11"/>
      <c r="AD17" s="94"/>
      <c r="AE17" s="94"/>
      <c r="AF17" s="96"/>
      <c r="AG17" s="98" t="str">
        <f>IFERROR(__xludf.DUMMYFUNCTION("""COMPUTED_VALUE"""),"W幅の4cm以上（4cmと4.5cm）のものは、股下2cm出しまで")</f>
        <v>W幅の4cm以上（4cmと4.5cm）のものは、股下2cm出しまで</v>
      </c>
      <c r="AH17" s="84">
        <f>IFERROR(__xludf.DUMMYFUNCTION("""COMPUTED_VALUE"""),-6.0)</f>
        <v>-6</v>
      </c>
      <c r="AI17" s="84">
        <f>IFERROR(__xludf.DUMMYFUNCTION("""COMPUTED_VALUE"""),-5.0)</f>
        <v>-5</v>
      </c>
      <c r="AJ17" s="84">
        <f>IFERROR(__xludf.DUMMYFUNCTION("""COMPUTED_VALUE"""),-4.0)</f>
        <v>-4</v>
      </c>
      <c r="AK17" s="84">
        <f>IFERROR(__xludf.DUMMYFUNCTION("""COMPUTED_VALUE"""),-3.0)</f>
        <v>-3</v>
      </c>
      <c r="AL17" s="84">
        <f>IFERROR(__xludf.DUMMYFUNCTION("""COMPUTED_VALUE"""),-2.0)</f>
        <v>-2</v>
      </c>
      <c r="AM17" s="84">
        <f>IFERROR(__xludf.DUMMYFUNCTION("""COMPUTED_VALUE"""),-1.0)</f>
        <v>-1</v>
      </c>
      <c r="AN17" s="85">
        <f>IFERROR(__xludf.DUMMYFUNCTION("""COMPUTED_VALUE"""),0.0)</f>
        <v>0</v>
      </c>
      <c r="AO17" s="84">
        <f>IFERROR(__xludf.DUMMYFUNCTION("""COMPUTED_VALUE"""),0.5)</f>
        <v>0.5</v>
      </c>
      <c r="AP17" s="84">
        <f>IFERROR(__xludf.DUMMYFUNCTION("""COMPUTED_VALUE"""),2.0)</f>
        <v>2</v>
      </c>
      <c r="AQ17" s="83">
        <f>IFERROR(__xludf.DUMMYFUNCTION("""COMPUTED_VALUE"""),3.0)</f>
        <v>3</v>
      </c>
      <c r="AR17" s="83">
        <f>IFERROR(__xludf.DUMMYFUNCTION("""COMPUTED_VALUE"""),4.0)</f>
        <v>4</v>
      </c>
      <c r="AS17" s="83">
        <f>IFERROR(__xludf.DUMMYFUNCTION("""COMPUTED_VALUE"""),5.0)</f>
        <v>5</v>
      </c>
      <c r="AT17" s="86">
        <f>IFERROR(__xludf.DUMMYFUNCTION("""COMPUTED_VALUE"""),5.0)</f>
        <v>5</v>
      </c>
      <c r="AU17" s="87">
        <f>IFERROR(__xludf.DUMMYFUNCTION("""COMPUTED_VALUE"""),45996.0)</f>
        <v>45996</v>
      </c>
      <c r="AV17" s="88">
        <f>IFERROR(__xludf.DUMMYFUNCTION("""COMPUTED_VALUE"""),46002.0)</f>
        <v>46002</v>
      </c>
      <c r="AW17" s="89">
        <f>IFERROR(__xludf.DUMMYFUNCTION("""COMPUTED_VALUE"""),46007.0)</f>
        <v>46007</v>
      </c>
      <c r="AX17" s="90"/>
      <c r="AY17" s="90"/>
      <c r="AZ17" s="90"/>
      <c r="BA17" s="11"/>
      <c r="BB17" s="91" t="str">
        <f>IFERROR(__xludf.DUMMYFUNCTION("""COMPUTED_VALUE"""),"THE TECH WORK OUT")</f>
        <v>THE TECH WORK OUT</v>
      </c>
      <c r="BC17" s="91" t="str">
        <f>IFERROR(__xludf.DUMMYFUNCTION("""COMPUTED_VALUE"""),"C170278〜C170279")</f>
        <v>C170278〜C170279</v>
      </c>
      <c r="BD17" s="92" t="str">
        <f>IFERROR(__xludf.DUMMYFUNCTION("""COMPUTED_VALUE"""),"出しNG（再製作）ジャケット・スラックス")</f>
        <v>出しNG（再製作）ジャケット・スラックス</v>
      </c>
      <c r="BE17" s="93"/>
    </row>
    <row r="18">
      <c r="A18" s="11"/>
      <c r="B18" s="94"/>
      <c r="C18" s="94"/>
      <c r="D18" s="68" t="str">
        <f>IFERROR(__xludf.DUMMYFUNCTION("""COMPUTED_VALUE"""),"ウエスト")</f>
        <v>ウエスト</v>
      </c>
      <c r="E18" s="69" t="str">
        <f>IFERROR(__xludf.DUMMYFUNCTION("""COMPUTED_VALUE"""),"センターベント")</f>
        <v>センターベント</v>
      </c>
      <c r="F18" s="71">
        <f>IFERROR(__xludf.DUMMYFUNCTION("""COMPUTED_VALUE"""),-10.0)</f>
        <v>-10</v>
      </c>
      <c r="G18" s="71">
        <f>IFERROR(__xludf.DUMMYFUNCTION("""COMPUTED_VALUE"""),-9.0)</f>
        <v>-9</v>
      </c>
      <c r="H18" s="71">
        <f>IFERROR(__xludf.DUMMYFUNCTION("""COMPUTED_VALUE"""),-8.0)</f>
        <v>-8</v>
      </c>
      <c r="I18" s="71">
        <f>IFERROR(__xludf.DUMMYFUNCTION("""COMPUTED_VALUE"""),-7.0)</f>
        <v>-7</v>
      </c>
      <c r="J18" s="71">
        <f>IFERROR(__xludf.DUMMYFUNCTION("""COMPUTED_VALUE"""),-6.0)</f>
        <v>-6</v>
      </c>
      <c r="K18" s="97">
        <f>IFERROR(__xludf.DUMMYFUNCTION("""COMPUTED_VALUE"""),-5.0)</f>
        <v>-5</v>
      </c>
      <c r="L18" s="73">
        <f>IFERROR(__xludf.DUMMYFUNCTION("""COMPUTED_VALUE"""),-4.0)</f>
        <v>-4</v>
      </c>
      <c r="M18" s="73">
        <f>IFERROR(__xludf.DUMMYFUNCTION("""COMPUTED_VALUE"""),-3.0)</f>
        <v>-3</v>
      </c>
      <c r="N18" s="73">
        <f>IFERROR(__xludf.DUMMYFUNCTION("""COMPUTED_VALUE"""),-2.0)</f>
        <v>-2</v>
      </c>
      <c r="O18" s="73">
        <f>IFERROR(__xludf.DUMMYFUNCTION("""COMPUTED_VALUE"""),-1.0)</f>
        <v>-1</v>
      </c>
      <c r="P18" s="74">
        <f>IFERROR(__xludf.DUMMYFUNCTION("""COMPUTED_VALUE"""),0.0)</f>
        <v>0</v>
      </c>
      <c r="Q18" s="73">
        <f>IFERROR(__xludf.DUMMYFUNCTION("""COMPUTED_VALUE"""),1.0)</f>
        <v>1</v>
      </c>
      <c r="R18" s="73">
        <f>IFERROR(__xludf.DUMMYFUNCTION("""COMPUTED_VALUE"""),2.0)</f>
        <v>2</v>
      </c>
      <c r="S18" s="73">
        <f>IFERROR(__xludf.DUMMYFUNCTION("""COMPUTED_VALUE"""),3.0)</f>
        <v>3</v>
      </c>
      <c r="T18" s="72">
        <f>IFERROR(__xludf.DUMMYFUNCTION("""COMPUTED_VALUE"""),4.0)</f>
        <v>4</v>
      </c>
      <c r="U18" s="72">
        <f>IFERROR(__xludf.DUMMYFUNCTION("""COMPUTED_VALUE"""),5.0)</f>
        <v>5</v>
      </c>
      <c r="V18" s="75">
        <f>IFERROR(__xludf.DUMMYFUNCTION("""COMPUTED_VALUE"""),7.0)</f>
        <v>7</v>
      </c>
      <c r="W18" s="76">
        <f>IFERROR(__xludf.DUMMYFUNCTION("""COMPUTED_VALUE"""),46000.0)</f>
        <v>46000</v>
      </c>
      <c r="X18" s="77">
        <f>IFERROR(__xludf.DUMMYFUNCTION("""COMPUTED_VALUE"""),46003.0)</f>
        <v>46003</v>
      </c>
      <c r="Y18" s="78">
        <f>IFERROR(__xludf.DUMMYFUNCTION("""COMPUTED_VALUE"""),46008.0)</f>
        <v>46008</v>
      </c>
      <c r="Z18" s="79">
        <f>IFERROR(__xludf.DUMMYFUNCTION("""COMPUTED_VALUE"""),6000.0)</f>
        <v>6000</v>
      </c>
      <c r="AA18" s="80"/>
      <c r="AB18" s="80"/>
      <c r="AC18" s="12"/>
      <c r="AD18" s="94"/>
      <c r="AE18" s="94"/>
      <c r="AF18" s="69" t="str">
        <f>IFERROR(__xludf.DUMMYFUNCTION("""COMPUTED_VALUE"""),"ワタリ巾（半寸）")</f>
        <v>ワタリ巾（半寸）</v>
      </c>
      <c r="AG18" s="70"/>
      <c r="AH18" s="83">
        <f>IFERROR(__xludf.DUMMYFUNCTION("""COMPUTED_VALUE"""),-6.0)</f>
        <v>-6</v>
      </c>
      <c r="AI18" s="83">
        <f>IFERROR(__xludf.DUMMYFUNCTION("""COMPUTED_VALUE"""),-5.0)</f>
        <v>-5</v>
      </c>
      <c r="AJ18" s="83">
        <f>IFERROR(__xludf.DUMMYFUNCTION("""COMPUTED_VALUE"""),-4.0)</f>
        <v>-4</v>
      </c>
      <c r="AK18" s="83">
        <f>IFERROR(__xludf.DUMMYFUNCTION("""COMPUTED_VALUE"""),-3.0)</f>
        <v>-3</v>
      </c>
      <c r="AL18" s="84">
        <f>IFERROR(__xludf.DUMMYFUNCTION("""COMPUTED_VALUE"""),-2.0)</f>
        <v>-2</v>
      </c>
      <c r="AM18" s="84">
        <f>IFERROR(__xludf.DUMMYFUNCTION("""COMPUTED_VALUE"""),-1.0)</f>
        <v>-1</v>
      </c>
      <c r="AN18" s="85">
        <f>IFERROR(__xludf.DUMMYFUNCTION("""COMPUTED_VALUE"""),0.0)</f>
        <v>0</v>
      </c>
      <c r="AO18" s="84">
        <f>IFERROR(__xludf.DUMMYFUNCTION("""COMPUTED_VALUE"""),0.5)</f>
        <v>0.5</v>
      </c>
      <c r="AP18" s="83">
        <f>IFERROR(__xludf.DUMMYFUNCTION("""COMPUTED_VALUE"""),2.0)</f>
        <v>2</v>
      </c>
      <c r="AQ18" s="83">
        <f>IFERROR(__xludf.DUMMYFUNCTION("""COMPUTED_VALUE"""),3.0)</f>
        <v>3</v>
      </c>
      <c r="AR18" s="83">
        <f>IFERROR(__xludf.DUMMYFUNCTION("""COMPUTED_VALUE"""),4.0)</f>
        <v>4</v>
      </c>
      <c r="AS18" s="83">
        <f>IFERROR(__xludf.DUMMYFUNCTION("""COMPUTED_VALUE"""),5.0)</f>
        <v>5</v>
      </c>
      <c r="AT18" s="86">
        <f>IFERROR(__xludf.DUMMYFUNCTION("""COMPUTED_VALUE"""),5.0)</f>
        <v>5</v>
      </c>
      <c r="AU18" s="87">
        <f>IFERROR(__xludf.DUMMYFUNCTION("""COMPUTED_VALUE"""),45996.0)</f>
        <v>45996</v>
      </c>
      <c r="AV18" s="88">
        <f>IFERROR(__xludf.DUMMYFUNCTION("""COMPUTED_VALUE"""),46002.0)</f>
        <v>46002</v>
      </c>
      <c r="AW18" s="89">
        <f>IFERROR(__xludf.DUMMYFUNCTION("""COMPUTED_VALUE"""),46007.0)</f>
        <v>46007</v>
      </c>
      <c r="AX18" s="90"/>
      <c r="AY18" s="90"/>
      <c r="AZ18" s="90"/>
      <c r="BA18" s="11"/>
      <c r="BB18" s="95" t="str">
        <f>IFERROR(__xludf.DUMMYFUNCTION("""COMPUTED_VALUE"""),"KUMOI BEAUTY ORGANIC COTTON CORDUROY")</f>
        <v>KUMOI BEAUTY ORGANIC COTTON CORDUROY</v>
      </c>
      <c r="BC18" s="95" t="str">
        <f>IFERROR(__xludf.DUMMYFUNCTION("""COMPUTED_VALUE"""),"C230135〜C230139")</f>
        <v>C230135〜C230139</v>
      </c>
      <c r="BD18" s="92" t="str">
        <f>IFERROR(__xludf.DUMMYFUNCTION("""COMPUTED_VALUE"""),"出しNG（再製作）ジャケット・スラックス")</f>
        <v>出しNG（再製作）ジャケット・スラックス</v>
      </c>
      <c r="BE18" s="93"/>
    </row>
    <row r="19">
      <c r="A19" s="11"/>
      <c r="B19" s="94"/>
      <c r="C19" s="94"/>
      <c r="D19" s="94"/>
      <c r="E19" s="69" t="str">
        <f>IFERROR(__xludf.DUMMYFUNCTION("""COMPUTED_VALUE"""),"サイドベンツ")</f>
        <v>サイドベンツ</v>
      </c>
      <c r="F19" s="71">
        <f>IFERROR(__xludf.DUMMYFUNCTION("""COMPUTED_VALUE"""),-10.0)</f>
        <v>-10</v>
      </c>
      <c r="G19" s="71">
        <f>IFERROR(__xludf.DUMMYFUNCTION("""COMPUTED_VALUE"""),-9.0)</f>
        <v>-9</v>
      </c>
      <c r="H19" s="71">
        <f>IFERROR(__xludf.DUMMYFUNCTION("""COMPUTED_VALUE"""),-8.0)</f>
        <v>-8</v>
      </c>
      <c r="I19" s="71">
        <f>IFERROR(__xludf.DUMMYFUNCTION("""COMPUTED_VALUE"""),-7.0)</f>
        <v>-7</v>
      </c>
      <c r="J19" s="71">
        <f>IFERROR(__xludf.DUMMYFUNCTION("""COMPUTED_VALUE"""),-6.0)</f>
        <v>-6</v>
      </c>
      <c r="K19" s="97">
        <f>IFERROR(__xludf.DUMMYFUNCTION("""COMPUTED_VALUE"""),-5.0)</f>
        <v>-5</v>
      </c>
      <c r="L19" s="73">
        <f>IFERROR(__xludf.DUMMYFUNCTION("""COMPUTED_VALUE"""),-4.0)</f>
        <v>-4</v>
      </c>
      <c r="M19" s="73">
        <f>IFERROR(__xludf.DUMMYFUNCTION("""COMPUTED_VALUE"""),-3.0)</f>
        <v>-3</v>
      </c>
      <c r="N19" s="73">
        <f>IFERROR(__xludf.DUMMYFUNCTION("""COMPUTED_VALUE"""),-2.0)</f>
        <v>-2</v>
      </c>
      <c r="O19" s="73">
        <f>IFERROR(__xludf.DUMMYFUNCTION("""COMPUTED_VALUE"""),-1.0)</f>
        <v>-1</v>
      </c>
      <c r="P19" s="74">
        <f>IFERROR(__xludf.DUMMYFUNCTION("""COMPUTED_VALUE"""),0.0)</f>
        <v>0</v>
      </c>
      <c r="Q19" s="73">
        <f>IFERROR(__xludf.DUMMYFUNCTION("""COMPUTED_VALUE"""),1.0)</f>
        <v>1</v>
      </c>
      <c r="R19" s="73">
        <f>IFERROR(__xludf.DUMMYFUNCTION("""COMPUTED_VALUE"""),2.0)</f>
        <v>2</v>
      </c>
      <c r="S19" s="73">
        <f>IFERROR(__xludf.DUMMYFUNCTION("""COMPUTED_VALUE"""),3.0)</f>
        <v>3</v>
      </c>
      <c r="T19" s="72">
        <f>IFERROR(__xludf.DUMMYFUNCTION("""COMPUTED_VALUE"""),4.0)</f>
        <v>4</v>
      </c>
      <c r="U19" s="72">
        <f>IFERROR(__xludf.DUMMYFUNCTION("""COMPUTED_VALUE"""),5.0)</f>
        <v>5</v>
      </c>
      <c r="V19" s="75">
        <f>IFERROR(__xludf.DUMMYFUNCTION("""COMPUTED_VALUE"""),7.0)</f>
        <v>7</v>
      </c>
      <c r="W19" s="76">
        <f>IFERROR(__xludf.DUMMYFUNCTION("""COMPUTED_VALUE"""),46000.0)</f>
        <v>46000</v>
      </c>
      <c r="X19" s="77">
        <f>IFERROR(__xludf.DUMMYFUNCTION("""COMPUTED_VALUE"""),46003.0)</f>
        <v>46003</v>
      </c>
      <c r="Y19" s="78">
        <f>IFERROR(__xludf.DUMMYFUNCTION("""COMPUTED_VALUE"""),46008.0)</f>
        <v>46008</v>
      </c>
      <c r="Z19" s="80"/>
      <c r="AA19" s="80"/>
      <c r="AB19" s="80"/>
      <c r="AC19" s="12"/>
      <c r="AD19" s="94"/>
      <c r="AE19" s="94"/>
      <c r="AF19" s="69" t="str">
        <f>IFERROR(__xludf.DUMMYFUNCTION("""COMPUTED_VALUE"""),"ヒザ巾（半寸）")</f>
        <v>ヒザ巾（半寸）</v>
      </c>
      <c r="AG19" s="70"/>
      <c r="AH19" s="83">
        <f>IFERROR(__xludf.DUMMYFUNCTION("""COMPUTED_VALUE"""),-6.0)</f>
        <v>-6</v>
      </c>
      <c r="AI19" s="83">
        <f>IFERROR(__xludf.DUMMYFUNCTION("""COMPUTED_VALUE"""),-5.0)</f>
        <v>-5</v>
      </c>
      <c r="AJ19" s="84">
        <f>IFERROR(__xludf.DUMMYFUNCTION("""COMPUTED_VALUE"""),-4.0)</f>
        <v>-4</v>
      </c>
      <c r="AK19" s="84">
        <f>IFERROR(__xludf.DUMMYFUNCTION("""COMPUTED_VALUE"""),-3.0)</f>
        <v>-3</v>
      </c>
      <c r="AL19" s="84">
        <f>IFERROR(__xludf.DUMMYFUNCTION("""COMPUTED_VALUE"""),-2.0)</f>
        <v>-2</v>
      </c>
      <c r="AM19" s="84">
        <f>IFERROR(__xludf.DUMMYFUNCTION("""COMPUTED_VALUE"""),-1.0)</f>
        <v>-1</v>
      </c>
      <c r="AN19" s="85">
        <f>IFERROR(__xludf.DUMMYFUNCTION("""COMPUTED_VALUE"""),0.0)</f>
        <v>0</v>
      </c>
      <c r="AO19" s="84">
        <f>IFERROR(__xludf.DUMMYFUNCTION("""COMPUTED_VALUE"""),1.0)</f>
        <v>1</v>
      </c>
      <c r="AP19" s="83">
        <f>IFERROR(__xludf.DUMMYFUNCTION("""COMPUTED_VALUE"""),2.0)</f>
        <v>2</v>
      </c>
      <c r="AQ19" s="83">
        <f>IFERROR(__xludf.DUMMYFUNCTION("""COMPUTED_VALUE"""),3.0)</f>
        <v>3</v>
      </c>
      <c r="AR19" s="83">
        <f>IFERROR(__xludf.DUMMYFUNCTION("""COMPUTED_VALUE"""),4.0)</f>
        <v>4</v>
      </c>
      <c r="AS19" s="83">
        <f>IFERROR(__xludf.DUMMYFUNCTION("""COMPUTED_VALUE"""),5.0)</f>
        <v>5</v>
      </c>
      <c r="AT19" s="86">
        <f>IFERROR(__xludf.DUMMYFUNCTION("""COMPUTED_VALUE"""),5.0)</f>
        <v>5</v>
      </c>
      <c r="AU19" s="87">
        <f>IFERROR(__xludf.DUMMYFUNCTION("""COMPUTED_VALUE"""),45996.0)</f>
        <v>45996</v>
      </c>
      <c r="AV19" s="88">
        <f>IFERROR(__xludf.DUMMYFUNCTION("""COMPUTED_VALUE"""),46002.0)</f>
        <v>46002</v>
      </c>
      <c r="AW19" s="89">
        <f>IFERROR(__xludf.DUMMYFUNCTION("""COMPUTED_VALUE"""),46007.0)</f>
        <v>46007</v>
      </c>
      <c r="AX19" s="90"/>
      <c r="AY19" s="90"/>
      <c r="AZ19" s="90"/>
      <c r="BA19" s="11"/>
      <c r="BB19" s="95" t="str">
        <f>IFERROR(__xludf.DUMMYFUNCTION("""COMPUTED_VALUE"""),"STRETCH MOLESKIN")</f>
        <v>STRETCH MOLESKIN</v>
      </c>
      <c r="BC19" s="95" t="str">
        <f>IFERROR(__xludf.DUMMYFUNCTION("""COMPUTED_VALUE"""),"C240008~C240015")</f>
        <v>C240008~C240015</v>
      </c>
      <c r="BD19" s="92" t="str">
        <f>IFERROR(__xludf.DUMMYFUNCTION("""COMPUTED_VALUE"""),"出しNG（再製作）ジャケット・スラックス")</f>
        <v>出しNG（再製作）ジャケット・スラックス</v>
      </c>
      <c r="BE19" s="93"/>
    </row>
    <row r="20">
      <c r="A20" s="11"/>
      <c r="B20" s="94"/>
      <c r="C20" s="96"/>
      <c r="D20" s="96"/>
      <c r="E20" s="69" t="str">
        <f>IFERROR(__xludf.DUMMYFUNCTION("""COMPUTED_VALUE"""),"ノーベント")</f>
        <v>ノーベント</v>
      </c>
      <c r="F20" s="71">
        <f>IFERROR(__xludf.DUMMYFUNCTION("""COMPUTED_VALUE"""),-10.0)</f>
        <v>-10</v>
      </c>
      <c r="G20" s="71">
        <f>IFERROR(__xludf.DUMMYFUNCTION("""COMPUTED_VALUE"""),-9.0)</f>
        <v>-9</v>
      </c>
      <c r="H20" s="71">
        <f>IFERROR(__xludf.DUMMYFUNCTION("""COMPUTED_VALUE"""),-8.0)</f>
        <v>-8</v>
      </c>
      <c r="I20" s="71">
        <f>IFERROR(__xludf.DUMMYFUNCTION("""COMPUTED_VALUE"""),-7.0)</f>
        <v>-7</v>
      </c>
      <c r="J20" s="71">
        <f>IFERROR(__xludf.DUMMYFUNCTION("""COMPUTED_VALUE"""),-6.0)</f>
        <v>-6</v>
      </c>
      <c r="K20" s="97">
        <f>IFERROR(__xludf.DUMMYFUNCTION("""COMPUTED_VALUE"""),-5.0)</f>
        <v>-5</v>
      </c>
      <c r="L20" s="73">
        <f>IFERROR(__xludf.DUMMYFUNCTION("""COMPUTED_VALUE"""),-4.0)</f>
        <v>-4</v>
      </c>
      <c r="M20" s="73">
        <f>IFERROR(__xludf.DUMMYFUNCTION("""COMPUTED_VALUE"""),-3.0)</f>
        <v>-3</v>
      </c>
      <c r="N20" s="73">
        <f>IFERROR(__xludf.DUMMYFUNCTION("""COMPUTED_VALUE"""),-2.0)</f>
        <v>-2</v>
      </c>
      <c r="O20" s="73">
        <f>IFERROR(__xludf.DUMMYFUNCTION("""COMPUTED_VALUE"""),-1.0)</f>
        <v>-1</v>
      </c>
      <c r="P20" s="74">
        <f>IFERROR(__xludf.DUMMYFUNCTION("""COMPUTED_VALUE"""),0.0)</f>
        <v>0</v>
      </c>
      <c r="Q20" s="73">
        <f>IFERROR(__xludf.DUMMYFUNCTION("""COMPUTED_VALUE"""),1.0)</f>
        <v>1</v>
      </c>
      <c r="R20" s="73">
        <f>IFERROR(__xludf.DUMMYFUNCTION("""COMPUTED_VALUE"""),2.0)</f>
        <v>2</v>
      </c>
      <c r="S20" s="73">
        <f>IFERROR(__xludf.DUMMYFUNCTION("""COMPUTED_VALUE"""),3.0)</f>
        <v>3</v>
      </c>
      <c r="T20" s="73">
        <f>IFERROR(__xludf.DUMMYFUNCTION("""COMPUTED_VALUE"""),4.0)</f>
        <v>4</v>
      </c>
      <c r="U20" s="72">
        <f>IFERROR(__xludf.DUMMYFUNCTION("""COMPUTED_VALUE"""),5.0)</f>
        <v>5</v>
      </c>
      <c r="V20" s="75">
        <f>IFERROR(__xludf.DUMMYFUNCTION("""COMPUTED_VALUE"""),7.0)</f>
        <v>7</v>
      </c>
      <c r="W20" s="76">
        <f>IFERROR(__xludf.DUMMYFUNCTION("""COMPUTED_VALUE"""),46000.0)</f>
        <v>46000</v>
      </c>
      <c r="X20" s="77">
        <f>IFERROR(__xludf.DUMMYFUNCTION("""COMPUTED_VALUE"""),46003.0)</f>
        <v>46003</v>
      </c>
      <c r="Y20" s="78">
        <f>IFERROR(__xludf.DUMMYFUNCTION("""COMPUTED_VALUE"""),46008.0)</f>
        <v>46008</v>
      </c>
      <c r="Z20" s="80"/>
      <c r="AA20" s="80"/>
      <c r="AB20" s="80"/>
      <c r="AC20" s="12"/>
      <c r="AD20" s="94"/>
      <c r="AE20" s="96"/>
      <c r="AF20" s="69" t="str">
        <f>IFERROR(__xludf.DUMMYFUNCTION("""COMPUTED_VALUE"""),"裾口巾（半寸）")</f>
        <v>裾口巾（半寸）</v>
      </c>
      <c r="AG20" s="70"/>
      <c r="AH20" s="83">
        <f>IFERROR(__xludf.DUMMYFUNCTION("""COMPUTED_VALUE"""),-6.0)</f>
        <v>-6</v>
      </c>
      <c r="AI20" s="83">
        <f>IFERROR(__xludf.DUMMYFUNCTION("""COMPUTED_VALUE"""),-5.0)</f>
        <v>-5</v>
      </c>
      <c r="AJ20" s="84">
        <f>IFERROR(__xludf.DUMMYFUNCTION("""COMPUTED_VALUE"""),-4.0)</f>
        <v>-4</v>
      </c>
      <c r="AK20" s="84">
        <f>IFERROR(__xludf.DUMMYFUNCTION("""COMPUTED_VALUE"""),-3.0)</f>
        <v>-3</v>
      </c>
      <c r="AL20" s="84">
        <f>IFERROR(__xludf.DUMMYFUNCTION("""COMPUTED_VALUE"""),-2.0)</f>
        <v>-2</v>
      </c>
      <c r="AM20" s="84">
        <f>IFERROR(__xludf.DUMMYFUNCTION("""COMPUTED_VALUE"""),-1.0)</f>
        <v>-1</v>
      </c>
      <c r="AN20" s="85">
        <f>IFERROR(__xludf.DUMMYFUNCTION("""COMPUTED_VALUE"""),0.0)</f>
        <v>0</v>
      </c>
      <c r="AO20" s="84">
        <f>IFERROR(__xludf.DUMMYFUNCTION("""COMPUTED_VALUE"""),1.0)</f>
        <v>1</v>
      </c>
      <c r="AP20" s="83">
        <f>IFERROR(__xludf.DUMMYFUNCTION("""COMPUTED_VALUE"""),2.0)</f>
        <v>2</v>
      </c>
      <c r="AQ20" s="83">
        <f>IFERROR(__xludf.DUMMYFUNCTION("""COMPUTED_VALUE"""),3.0)</f>
        <v>3</v>
      </c>
      <c r="AR20" s="83">
        <f>IFERROR(__xludf.DUMMYFUNCTION("""COMPUTED_VALUE"""),4.0)</f>
        <v>4</v>
      </c>
      <c r="AS20" s="83">
        <f>IFERROR(__xludf.DUMMYFUNCTION("""COMPUTED_VALUE"""),5.0)</f>
        <v>5</v>
      </c>
      <c r="AT20" s="86">
        <f>IFERROR(__xludf.DUMMYFUNCTION("""COMPUTED_VALUE"""),5.0)</f>
        <v>5</v>
      </c>
      <c r="AU20" s="87">
        <f>IFERROR(__xludf.DUMMYFUNCTION("""COMPUTED_VALUE"""),45996.0)</f>
        <v>45996</v>
      </c>
      <c r="AV20" s="88">
        <f>IFERROR(__xludf.DUMMYFUNCTION("""COMPUTED_VALUE"""),46002.0)</f>
        <v>46002</v>
      </c>
      <c r="AW20" s="89">
        <f>IFERROR(__xludf.DUMMYFUNCTION("""COMPUTED_VALUE"""),46007.0)</f>
        <v>46007</v>
      </c>
      <c r="AX20" s="90"/>
      <c r="AY20" s="90"/>
      <c r="AZ20" s="90"/>
      <c r="BA20" s="11"/>
      <c r="BB20" s="95" t="str">
        <f>IFERROR(__xludf.DUMMYFUNCTION("""COMPUTED_VALUE"""),"EASY CARE COTTON JAPAN FABRIC from BANSHU")</f>
        <v>EASY CARE COTTON JAPAN FABRIC from BANSHU</v>
      </c>
      <c r="BC20" s="95" t="str">
        <f>IFERROR(__xludf.DUMMYFUNCTION("""COMPUTED_VALUE"""),"C240016~C240022")</f>
        <v>C240016~C240022</v>
      </c>
      <c r="BD20" s="92" t="str">
        <f>IFERROR(__xludf.DUMMYFUNCTION("""COMPUTED_VALUE"""),"出しNG（再製作）ジャケット・スラックス")</f>
        <v>出しNG（再製作）ジャケット・スラックス</v>
      </c>
      <c r="BE20" s="93"/>
    </row>
    <row r="21" ht="18.0" customHeight="1">
      <c r="A21" s="11"/>
      <c r="B21" s="94"/>
      <c r="C21" s="68" t="str">
        <f>IFERROR(__xludf.DUMMYFUNCTION("""COMPUTED_VALUE"""),"補正")</f>
        <v>補正</v>
      </c>
      <c r="D21" s="69" t="str">
        <f>IFERROR(__xludf.DUMMYFUNCTION("""COMPUTED_VALUE"""),"けまわし")</f>
        <v>けまわし</v>
      </c>
      <c r="E21" s="69" t="str">
        <f>IFERROR(__xludf.DUMMYFUNCTION("""COMPUTED_VALUE"""),"※逆補正を含む、補正が入っていない時のみ、お直し可")</f>
        <v>※逆補正を含む、補正が入っていない時のみ、お直し可</v>
      </c>
      <c r="F21" s="99"/>
      <c r="G21" s="99"/>
      <c r="H21" s="99"/>
      <c r="I21" s="99"/>
      <c r="J21" s="99"/>
      <c r="K21" s="99"/>
      <c r="L21" s="99"/>
      <c r="M21" s="99"/>
      <c r="N21" s="73">
        <f>IFERROR(__xludf.DUMMYFUNCTION("""COMPUTED_VALUE"""),-1.0)</f>
        <v>-1</v>
      </c>
      <c r="O21" s="73">
        <f>IFERROR(__xludf.DUMMYFUNCTION("""COMPUTED_VALUE"""),-0.5)</f>
        <v>-0.5</v>
      </c>
      <c r="P21" s="100"/>
      <c r="Q21" s="99"/>
      <c r="R21" s="99"/>
      <c r="S21" s="99"/>
      <c r="T21" s="99"/>
      <c r="U21" s="99"/>
      <c r="V21" s="86">
        <f>IFERROR(__xludf.DUMMYFUNCTION("""COMPUTED_VALUE"""),10.0)</f>
        <v>10</v>
      </c>
      <c r="W21" s="76">
        <f>IFERROR(__xludf.DUMMYFUNCTION("""COMPUTED_VALUE"""),46003.0)</f>
        <v>46003</v>
      </c>
      <c r="X21" s="77">
        <f>IFERROR(__xludf.DUMMYFUNCTION("""COMPUTED_VALUE"""),46003.0)</f>
        <v>46003</v>
      </c>
      <c r="Y21" s="78">
        <f>IFERROR(__xludf.DUMMYFUNCTION("""COMPUTED_VALUE"""),46008.0)</f>
        <v>46008</v>
      </c>
      <c r="Z21" s="80"/>
      <c r="AA21" s="80"/>
      <c r="AB21" s="80"/>
      <c r="AC21" s="12"/>
      <c r="AD21" s="94"/>
      <c r="AE21" s="68" t="str">
        <f>IFERROR(__xludf.DUMMYFUNCTION("""COMPUTED_VALUE"""),"縫製")</f>
        <v>縫製</v>
      </c>
      <c r="AF21" s="69" t="str">
        <f>IFERROR(__xludf.DUMMYFUNCTION("""COMPUTED_VALUE"""),"ベルトループ付け直し")</f>
        <v>ベルトループ付け直し</v>
      </c>
      <c r="AG21" s="69" t="str">
        <f>IFERROR(__xludf.DUMMYFUNCTION("""COMPUTED_VALUE"""),"縫製/依頼シートをつけてTB出荷")</f>
        <v>縫製/依頼シートをつけてTB出荷</v>
      </c>
      <c r="AH21" s="101"/>
      <c r="AI21" s="101"/>
      <c r="AJ21" s="101"/>
      <c r="AK21" s="101"/>
      <c r="AL21" s="101"/>
      <c r="AM21" s="101"/>
      <c r="AN21" s="102"/>
      <c r="AO21" s="101"/>
      <c r="AP21" s="101"/>
      <c r="AQ21" s="101"/>
      <c r="AR21" s="101"/>
      <c r="AS21" s="101"/>
      <c r="AT21" s="86">
        <f>IFERROR(__xludf.DUMMYFUNCTION("""COMPUTED_VALUE"""),7.0)</f>
        <v>7</v>
      </c>
      <c r="AU21" s="87">
        <f>IFERROR(__xludf.DUMMYFUNCTION("""COMPUTED_VALUE"""),46000.0)</f>
        <v>46000</v>
      </c>
      <c r="AV21" s="103"/>
      <c r="AW21" s="103"/>
      <c r="AX21" s="90"/>
      <c r="AY21" s="90"/>
      <c r="AZ21" s="90"/>
      <c r="BA21" s="11"/>
      <c r="BB21" s="95" t="str">
        <f>IFERROR(__xludf.DUMMYFUNCTION("""COMPUTED_VALUE"""),"STRETCH CORDUROY")</f>
        <v>STRETCH CORDUROY</v>
      </c>
      <c r="BC21" s="95" t="str">
        <f>IFERROR(__xludf.DUMMYFUNCTION("""COMPUTED_VALUE"""),"C240131~C240137")</f>
        <v>C240131~C240137</v>
      </c>
      <c r="BD21" s="92" t="str">
        <f>IFERROR(__xludf.DUMMYFUNCTION("""COMPUTED_VALUE"""),"出しNG（再製作）ジャケット・スラックス")</f>
        <v>出しNG（再製作）ジャケット・スラックス</v>
      </c>
      <c r="BE21" s="93"/>
    </row>
    <row r="22">
      <c r="A22" s="11"/>
      <c r="B22" s="94"/>
      <c r="C22" s="94"/>
      <c r="D22" s="98" t="str">
        <f>IFERROR(__xludf.DUMMYFUNCTION("""COMPUTED_VALUE"""),"つきとり")</f>
        <v>つきとり</v>
      </c>
      <c r="E22" s="69" t="str">
        <f>IFERROR(__xludf.DUMMYFUNCTION("""COMPUTED_VALUE"""),"※逆補正を含む、補正が入っていない時のみ、お直し可")</f>
        <v>※逆補正を含む、補正が入っていない時のみ、お直し可</v>
      </c>
      <c r="F22" s="99"/>
      <c r="G22" s="99"/>
      <c r="H22" s="99"/>
      <c r="I22" s="99"/>
      <c r="J22" s="99"/>
      <c r="K22" s="99"/>
      <c r="L22" s="99"/>
      <c r="M22" s="99"/>
      <c r="N22" s="99"/>
      <c r="O22" s="73">
        <f>IFERROR(__xludf.DUMMYFUNCTION("""COMPUTED_VALUE"""),-1.0)</f>
        <v>-1</v>
      </c>
      <c r="P22" s="100"/>
      <c r="Q22" s="99"/>
      <c r="R22" s="99"/>
      <c r="S22" s="99"/>
      <c r="T22" s="99"/>
      <c r="U22" s="99"/>
      <c r="V22" s="86">
        <f>IFERROR(__xludf.DUMMYFUNCTION("""COMPUTED_VALUE"""),10.0)</f>
        <v>10</v>
      </c>
      <c r="W22" s="76">
        <f>IFERROR(__xludf.DUMMYFUNCTION("""COMPUTED_VALUE"""),46003.0)</f>
        <v>46003</v>
      </c>
      <c r="X22" s="77">
        <f>IFERROR(__xludf.DUMMYFUNCTION("""COMPUTED_VALUE"""),46003.0)</f>
        <v>46003</v>
      </c>
      <c r="Y22" s="78">
        <f>IFERROR(__xludf.DUMMYFUNCTION("""COMPUTED_VALUE"""),46008.0)</f>
        <v>46008</v>
      </c>
      <c r="Z22" s="80"/>
      <c r="AA22" s="80"/>
      <c r="AB22" s="80"/>
      <c r="AC22" s="11"/>
      <c r="AD22" s="94"/>
      <c r="AE22" s="94"/>
      <c r="AF22" s="69" t="str">
        <f>IFERROR(__xludf.DUMMYFUNCTION("""COMPUTED_VALUE"""),"裾まつり直し")</f>
        <v>裾まつり直し</v>
      </c>
      <c r="AG22" s="69" t="str">
        <f>IFERROR(__xludf.DUMMYFUNCTION("""COMPUTED_VALUE"""),"縫製/依頼シートをつけてTB出荷")</f>
        <v>縫製/依頼シートをつけてTB出荷</v>
      </c>
      <c r="AH22" s="101"/>
      <c r="AI22" s="101"/>
      <c r="AJ22" s="101"/>
      <c r="AK22" s="101"/>
      <c r="AL22" s="101"/>
      <c r="AM22" s="101"/>
      <c r="AN22" s="102"/>
      <c r="AO22" s="101"/>
      <c r="AP22" s="101"/>
      <c r="AQ22" s="101"/>
      <c r="AR22" s="101"/>
      <c r="AS22" s="101"/>
      <c r="AT22" s="86">
        <f>IFERROR(__xludf.DUMMYFUNCTION("""COMPUTED_VALUE"""),4.0)</f>
        <v>4</v>
      </c>
      <c r="AU22" s="87">
        <f>IFERROR(__xludf.DUMMYFUNCTION("""COMPUTED_VALUE"""),45995.0)</f>
        <v>45995</v>
      </c>
      <c r="AV22" s="103"/>
      <c r="AW22" s="103"/>
      <c r="AX22" s="90"/>
      <c r="AY22" s="90"/>
      <c r="AZ22" s="90"/>
      <c r="BA22" s="11"/>
      <c r="BB22" s="95" t="str">
        <f>IFERROR(__xludf.DUMMYFUNCTION("""COMPUTED_VALUE"""),"なめらかで極細の糸から創り上げた、着心地抜群のストレッチ新素材")</f>
        <v>なめらかで極細の糸から創り上げた、着心地抜群のストレッチ新素材</v>
      </c>
      <c r="BC22" s="95" t="str">
        <f>IFERROR(__xludf.DUMMYFUNCTION("""COMPUTED_VALUE"""),"W240001~W240003")</f>
        <v>W240001~W240003</v>
      </c>
      <c r="BD22" s="92" t="str">
        <f>IFERROR(__xludf.DUMMYFUNCTION("""COMPUTED_VALUE"""),"出しNG（再製作）ジャケット・スラックス")</f>
        <v>出しNG（再製作）ジャケット・スラックス</v>
      </c>
      <c r="BE22" s="104"/>
    </row>
    <row r="23">
      <c r="A23" s="11"/>
      <c r="B23" s="96"/>
      <c r="C23" s="96"/>
      <c r="D23" s="98" t="str">
        <f>IFERROR(__xludf.DUMMYFUNCTION("""COMPUTED_VALUE"""),"鎌浅")</f>
        <v>鎌浅</v>
      </c>
      <c r="E23" s="69" t="str">
        <f>IFERROR(__xludf.DUMMYFUNCTION("""COMPUTED_VALUE"""),"※逆補正を含む、補正が入っていない時のみ、お直し可")</f>
        <v>※逆補正を含む、補正が入っていない時のみ、お直し可</v>
      </c>
      <c r="F23" s="99"/>
      <c r="G23" s="99"/>
      <c r="H23" s="99"/>
      <c r="I23" s="99"/>
      <c r="J23" s="99"/>
      <c r="K23" s="99"/>
      <c r="L23" s="99"/>
      <c r="M23" s="99"/>
      <c r="N23" s="99"/>
      <c r="O23" s="73">
        <f>IFERROR(__xludf.DUMMYFUNCTION("""COMPUTED_VALUE"""),-1.0)</f>
        <v>-1</v>
      </c>
      <c r="P23" s="100"/>
      <c r="Q23" s="99"/>
      <c r="R23" s="99"/>
      <c r="S23" s="99"/>
      <c r="T23" s="99"/>
      <c r="U23" s="99"/>
      <c r="V23" s="86">
        <f>IFERROR(__xludf.DUMMYFUNCTION("""COMPUTED_VALUE"""),10.0)</f>
        <v>10</v>
      </c>
      <c r="W23" s="76">
        <f>IFERROR(__xludf.DUMMYFUNCTION("""COMPUTED_VALUE"""),46003.0)</f>
        <v>46003</v>
      </c>
      <c r="X23" s="77">
        <f>IFERROR(__xludf.DUMMYFUNCTION("""COMPUTED_VALUE"""),46003.0)</f>
        <v>46003</v>
      </c>
      <c r="Y23" s="78">
        <f>IFERROR(__xludf.DUMMYFUNCTION("""COMPUTED_VALUE"""),46008.0)</f>
        <v>46008</v>
      </c>
      <c r="Z23" s="80"/>
      <c r="AA23" s="80"/>
      <c r="AB23" s="80"/>
      <c r="AC23" s="12"/>
      <c r="AD23" s="94"/>
      <c r="AE23" s="94"/>
      <c r="AF23" s="70" t="str">
        <f>IFERROR(__xludf.DUMMYFUNCTION("""COMPUTED_VALUE"""),"裏地ほつれ補修（膝裏地裾部分のみ）")</f>
        <v>裏地ほつれ補修（膝裏地裾部分のみ）</v>
      </c>
      <c r="AG23" s="69" t="str">
        <f>IFERROR(__xludf.DUMMYFUNCTION("""COMPUTED_VALUE"""),"縫製/依頼シートをつけてTB出荷")</f>
        <v>縫製/依頼シートをつけてTB出荷</v>
      </c>
      <c r="AH23" s="101"/>
      <c r="AI23" s="101"/>
      <c r="AJ23" s="101"/>
      <c r="AK23" s="101"/>
      <c r="AL23" s="101"/>
      <c r="AM23" s="101"/>
      <c r="AN23" s="102"/>
      <c r="AO23" s="101"/>
      <c r="AP23" s="101"/>
      <c r="AQ23" s="101"/>
      <c r="AR23" s="101"/>
      <c r="AS23" s="101"/>
      <c r="AT23" s="86">
        <f>IFERROR(__xludf.DUMMYFUNCTION("""COMPUTED_VALUE"""),4.0)</f>
        <v>4</v>
      </c>
      <c r="AU23" s="87">
        <f>IFERROR(__xludf.DUMMYFUNCTION("""COMPUTED_VALUE"""),45995.0)</f>
        <v>45995</v>
      </c>
      <c r="AV23" s="103"/>
      <c r="AW23" s="103"/>
      <c r="AX23" s="90"/>
      <c r="AY23" s="90"/>
      <c r="AZ23" s="90"/>
      <c r="BA23" s="11"/>
      <c r="BB23" s="95" t="str">
        <f>IFERROR(__xludf.DUMMYFUNCTION("""COMPUTED_VALUE"""),"Silky Drape Satin ")</f>
        <v>Silky Drape Satin </v>
      </c>
      <c r="BC23" s="95" t="str">
        <f>IFERROR(__xludf.DUMMYFUNCTION("""COMPUTED_VALUE"""),"F250001~F250003 ")</f>
        <v>F250001~F250003 </v>
      </c>
      <c r="BD23" s="92" t="str">
        <f>IFERROR(__xludf.DUMMYFUNCTION("""COMPUTED_VALUE"""),"出しNG（再製作）ジャケット・スラックス。スカート")</f>
        <v>出しNG（再製作）ジャケット・スラックス。スカート</v>
      </c>
      <c r="BE23" s="104"/>
    </row>
    <row r="24">
      <c r="A24" s="11"/>
      <c r="B24" s="11"/>
      <c r="C24" s="40"/>
      <c r="D24" s="11"/>
      <c r="E24" s="11"/>
      <c r="F24" s="40"/>
      <c r="G24" s="40"/>
      <c r="H24" s="40"/>
      <c r="I24" s="40"/>
      <c r="J24" s="40"/>
      <c r="K24" s="40"/>
      <c r="L24" s="40"/>
      <c r="M24" s="40"/>
      <c r="N24" s="40"/>
      <c r="O24" s="40"/>
      <c r="P24" s="40"/>
      <c r="Q24" s="40"/>
      <c r="R24" s="40"/>
      <c r="S24" s="40"/>
      <c r="T24" s="40"/>
      <c r="U24" s="40"/>
      <c r="V24" s="40"/>
      <c r="W24" s="40"/>
      <c r="X24" s="40"/>
      <c r="Y24" s="40"/>
      <c r="Z24" s="80"/>
      <c r="AA24" s="80"/>
      <c r="AB24" s="80"/>
      <c r="AC24" s="40"/>
      <c r="AD24" s="94"/>
      <c r="AE24" s="94"/>
      <c r="AF24" s="98" t="str">
        <f>IFERROR(__xludf.DUMMYFUNCTION("""COMPUTED_VALUE"""),"緩くなったボタンの付け直し")</f>
        <v>緩くなったボタンの付け直し</v>
      </c>
      <c r="AG24" s="69" t="str">
        <f>IFERROR(__xludf.DUMMYFUNCTION("""COMPUTED_VALUE"""),"縫製/依頼シートをつけてTB出荷")</f>
        <v>縫製/依頼シートをつけてTB出荷</v>
      </c>
      <c r="AH24" s="101"/>
      <c r="AI24" s="101"/>
      <c r="AJ24" s="101"/>
      <c r="AK24" s="101"/>
      <c r="AL24" s="101"/>
      <c r="AM24" s="101"/>
      <c r="AN24" s="102"/>
      <c r="AO24" s="101"/>
      <c r="AP24" s="101"/>
      <c r="AQ24" s="101"/>
      <c r="AR24" s="101"/>
      <c r="AS24" s="101"/>
      <c r="AT24" s="86">
        <f>IFERROR(__xludf.DUMMYFUNCTION("""COMPUTED_VALUE"""),4.0)</f>
        <v>4</v>
      </c>
      <c r="AU24" s="87">
        <f>IFERROR(__xludf.DUMMYFUNCTION("""COMPUTED_VALUE"""),45995.0)</f>
        <v>45995</v>
      </c>
      <c r="AV24" s="103"/>
      <c r="AW24" s="103"/>
      <c r="AX24" s="90"/>
      <c r="AY24" s="90"/>
      <c r="AZ24" s="90"/>
      <c r="BA24" s="11"/>
      <c r="BB24" s="105" t="str">
        <f>IFERROR(__xludf.DUMMYFUNCTION("""COMPUTED_VALUE"""),"TECH CORDUROY JERSEY ")</f>
        <v>TECH CORDUROY JERSEY </v>
      </c>
      <c r="BC24" s="105" t="str">
        <f>IFERROR(__xludf.DUMMYFUNCTION("""COMPUTED_VALUE"""),"C250070〜C250074")</f>
        <v>C250070〜C250074</v>
      </c>
      <c r="BD24" s="106" t="str">
        <f>IFERROR(__xludf.DUMMYFUNCTION("""COMPUTED_VALUE"""),"出しNG（再製作）ジャケット・スラックス")</f>
        <v>出しNG（再製作）ジャケット・スラックス</v>
      </c>
      <c r="BE24" s="104"/>
    </row>
    <row r="25">
      <c r="A25" s="11"/>
      <c r="B25" s="107" t="str">
        <f>IFERROR(__xludf.DUMMYFUNCTION("""COMPUTED_VALUE"""),"ベスト")</f>
        <v>ベスト</v>
      </c>
      <c r="C25" s="108" t="str">
        <f>IFERROR(__xludf.DUMMYFUNCTION("""COMPUTED_VALUE"""),"サイズ")</f>
        <v>サイズ</v>
      </c>
      <c r="D25" s="98" t="str">
        <f>IFERROR(__xludf.DUMMYFUNCTION("""COMPUTED_VALUE"""),"バスト")</f>
        <v>バスト</v>
      </c>
      <c r="E25" s="70"/>
      <c r="F25" s="72">
        <f>IFERROR(__xludf.DUMMYFUNCTION("""COMPUTED_VALUE"""),-10.0)</f>
        <v>-10</v>
      </c>
      <c r="G25" s="72">
        <f>IFERROR(__xludf.DUMMYFUNCTION("""COMPUTED_VALUE"""),-9.0)</f>
        <v>-9</v>
      </c>
      <c r="H25" s="72">
        <f>IFERROR(__xludf.DUMMYFUNCTION("""COMPUTED_VALUE"""),-8.0)</f>
        <v>-8</v>
      </c>
      <c r="I25" s="72">
        <f>IFERROR(__xludf.DUMMYFUNCTION("""COMPUTED_VALUE"""),-7.0)</f>
        <v>-7</v>
      </c>
      <c r="J25" s="72">
        <f>IFERROR(__xludf.DUMMYFUNCTION("""COMPUTED_VALUE"""),-6.0)</f>
        <v>-6</v>
      </c>
      <c r="K25" s="71">
        <f>IFERROR(__xludf.DUMMYFUNCTION("""COMPUTED_VALUE"""),-5.0)</f>
        <v>-5</v>
      </c>
      <c r="L25" s="97">
        <f>IFERROR(__xludf.DUMMYFUNCTION("""COMPUTED_VALUE"""),-4.0)</f>
        <v>-4</v>
      </c>
      <c r="M25" s="97">
        <f>IFERROR(__xludf.DUMMYFUNCTION("""COMPUTED_VALUE"""),-3.0)</f>
        <v>-3</v>
      </c>
      <c r="N25" s="97">
        <f>IFERROR(__xludf.DUMMYFUNCTION("""COMPUTED_VALUE"""),-2.0)</f>
        <v>-2</v>
      </c>
      <c r="O25" s="97">
        <f>IFERROR(__xludf.DUMMYFUNCTION("""COMPUTED_VALUE"""),-1.0)</f>
        <v>-1</v>
      </c>
      <c r="P25" s="109">
        <f>IFERROR(__xludf.DUMMYFUNCTION("""COMPUTED_VALUE"""),0.0)</f>
        <v>0</v>
      </c>
      <c r="Q25" s="73">
        <f>IFERROR(__xludf.DUMMYFUNCTION("""COMPUTED_VALUE"""),1.0)</f>
        <v>1</v>
      </c>
      <c r="R25" s="71">
        <f>IFERROR(__xludf.DUMMYFUNCTION("""COMPUTED_VALUE"""),2.0)</f>
        <v>2</v>
      </c>
      <c r="S25" s="71">
        <f>IFERROR(__xludf.DUMMYFUNCTION("""COMPUTED_VALUE"""),3.0)</f>
        <v>3</v>
      </c>
      <c r="T25" s="71">
        <f>IFERROR(__xludf.DUMMYFUNCTION("""COMPUTED_VALUE"""),4.0)</f>
        <v>4</v>
      </c>
      <c r="U25" s="71">
        <f>IFERROR(__xludf.DUMMYFUNCTION("""COMPUTED_VALUE"""),5.0)</f>
        <v>5</v>
      </c>
      <c r="V25" s="86">
        <f>IFERROR(__xludf.DUMMYFUNCTION("""COMPUTED_VALUE"""),7.0)</f>
        <v>7</v>
      </c>
      <c r="W25" s="76">
        <f>IFERROR(__xludf.DUMMYFUNCTION("""COMPUTED_VALUE"""),46000.0)</f>
        <v>46000</v>
      </c>
      <c r="X25" s="110">
        <f>IFERROR(__xludf.DUMMYFUNCTION("""COMPUTED_VALUE"""),46003.0)</f>
        <v>46003</v>
      </c>
      <c r="Y25" s="111">
        <f>IFERROR(__xludf.DUMMYFUNCTION("""COMPUTED_VALUE"""),46008.0)</f>
        <v>46008</v>
      </c>
      <c r="Z25" s="80"/>
      <c r="AA25" s="80"/>
      <c r="AB25" s="80"/>
      <c r="AC25" s="12"/>
      <c r="AD25" s="94"/>
      <c r="AE25" s="94"/>
      <c r="AF25" s="112" t="str">
        <f>IFERROR(__xludf.DUMMYFUNCTION("""COMPUTED_VALUE"""),"パンク")</f>
        <v>パンク</v>
      </c>
      <c r="AG25" s="113" t="str">
        <f>IFERROR(__xludf.DUMMYFUNCTION("""COMPUTED_VALUE"""),"縫製/依頼シートをつけてTB出荷")</f>
        <v>縫製/依頼シートをつけてTB出荷</v>
      </c>
      <c r="AH25" s="114"/>
      <c r="AI25" s="114"/>
      <c r="AJ25" s="114"/>
      <c r="AK25" s="114"/>
      <c r="AL25" s="114"/>
      <c r="AM25" s="114"/>
      <c r="AN25" s="115"/>
      <c r="AO25" s="114"/>
      <c r="AP25" s="114"/>
      <c r="AQ25" s="114"/>
      <c r="AR25" s="114"/>
      <c r="AS25" s="114"/>
      <c r="AT25" s="75">
        <f>IFERROR(__xludf.DUMMYFUNCTION("""COMPUTED_VALUE"""),4.0)</f>
        <v>4</v>
      </c>
      <c r="AU25" s="87">
        <f>IFERROR(__xludf.DUMMYFUNCTION("""COMPUTED_VALUE"""),45995.0)</f>
        <v>45995</v>
      </c>
      <c r="AV25" s="103"/>
      <c r="AW25" s="103"/>
      <c r="AX25" s="90"/>
      <c r="AY25" s="90"/>
      <c r="AZ25" s="90"/>
      <c r="BA25" s="11"/>
      <c r="BB25" s="116"/>
      <c r="BC25" s="116"/>
      <c r="BD25" s="92"/>
      <c r="BE25" s="104"/>
    </row>
    <row r="26">
      <c r="A26" s="11"/>
      <c r="B26" s="94"/>
      <c r="C26" s="94"/>
      <c r="D26" s="98" t="str">
        <f>IFERROR(__xludf.DUMMYFUNCTION("""COMPUTED_VALUE"""),"ウエスト")</f>
        <v>ウエスト</v>
      </c>
      <c r="E26" s="70"/>
      <c r="F26" s="72">
        <f>IFERROR(__xludf.DUMMYFUNCTION("""COMPUTED_VALUE"""),-10.0)</f>
        <v>-10</v>
      </c>
      <c r="G26" s="72">
        <f>IFERROR(__xludf.DUMMYFUNCTION("""COMPUTED_VALUE"""),-9.0)</f>
        <v>-9</v>
      </c>
      <c r="H26" s="72">
        <f>IFERROR(__xludf.DUMMYFUNCTION("""COMPUTED_VALUE"""),-8.0)</f>
        <v>-8</v>
      </c>
      <c r="I26" s="72">
        <f>IFERROR(__xludf.DUMMYFUNCTION("""COMPUTED_VALUE"""),-7.0)</f>
        <v>-7</v>
      </c>
      <c r="J26" s="72">
        <f>IFERROR(__xludf.DUMMYFUNCTION("""COMPUTED_VALUE"""),-6.0)</f>
        <v>-6</v>
      </c>
      <c r="K26" s="71">
        <f>IFERROR(__xludf.DUMMYFUNCTION("""COMPUTED_VALUE"""),-5.0)</f>
        <v>-5</v>
      </c>
      <c r="L26" s="97">
        <f>IFERROR(__xludf.DUMMYFUNCTION("""COMPUTED_VALUE"""),-4.0)</f>
        <v>-4</v>
      </c>
      <c r="M26" s="97">
        <f>IFERROR(__xludf.DUMMYFUNCTION("""COMPUTED_VALUE"""),-3.0)</f>
        <v>-3</v>
      </c>
      <c r="N26" s="97">
        <f>IFERROR(__xludf.DUMMYFUNCTION("""COMPUTED_VALUE"""),-2.0)</f>
        <v>-2</v>
      </c>
      <c r="O26" s="97">
        <f>IFERROR(__xludf.DUMMYFUNCTION("""COMPUTED_VALUE"""),-1.0)</f>
        <v>-1</v>
      </c>
      <c r="P26" s="109">
        <f>IFERROR(__xludf.DUMMYFUNCTION("""COMPUTED_VALUE"""),0.0)</f>
        <v>0</v>
      </c>
      <c r="Q26" s="73">
        <f>IFERROR(__xludf.DUMMYFUNCTION("""COMPUTED_VALUE"""),1.0)</f>
        <v>1</v>
      </c>
      <c r="R26" s="71">
        <f>IFERROR(__xludf.DUMMYFUNCTION("""COMPUTED_VALUE"""),2.0)</f>
        <v>2</v>
      </c>
      <c r="S26" s="71">
        <f>IFERROR(__xludf.DUMMYFUNCTION("""COMPUTED_VALUE"""),3.0)</f>
        <v>3</v>
      </c>
      <c r="T26" s="71">
        <f>IFERROR(__xludf.DUMMYFUNCTION("""COMPUTED_VALUE"""),4.0)</f>
        <v>4</v>
      </c>
      <c r="U26" s="71">
        <f>IFERROR(__xludf.DUMMYFUNCTION("""COMPUTED_VALUE"""),5.0)</f>
        <v>5</v>
      </c>
      <c r="V26" s="86">
        <f>IFERROR(__xludf.DUMMYFUNCTION("""COMPUTED_VALUE"""),7.0)</f>
        <v>7</v>
      </c>
      <c r="W26" s="76">
        <f>IFERROR(__xludf.DUMMYFUNCTION("""COMPUTED_VALUE"""),46000.0)</f>
        <v>46000</v>
      </c>
      <c r="X26" s="110">
        <f>IFERROR(__xludf.DUMMYFUNCTION("""COMPUTED_VALUE"""),46003.0)</f>
        <v>46003</v>
      </c>
      <c r="Y26" s="111">
        <f>IFERROR(__xludf.DUMMYFUNCTION("""COMPUTED_VALUE"""),46008.0)</f>
        <v>46008</v>
      </c>
      <c r="Z26" s="80"/>
      <c r="AA26" s="80"/>
      <c r="AB26" s="80"/>
      <c r="AC26" s="12"/>
      <c r="AD26" s="96"/>
      <c r="AE26" s="96"/>
      <c r="AF26" s="98" t="str">
        <f>IFERROR(__xludf.DUMMYFUNCTION("""COMPUTED_VALUE"""),"たたきお直し")</f>
        <v>たたきお直し</v>
      </c>
      <c r="AG26" s="69" t="str">
        <f>IFERROR(__xludf.DUMMYFUNCTION("""COMPUTED_VALUE"""),"縫製/依頼シートをつけてTB出荷")</f>
        <v>縫製/依頼シートをつけてTB出荷</v>
      </c>
      <c r="AH26" s="101"/>
      <c r="AI26" s="101"/>
      <c r="AJ26" s="101"/>
      <c r="AK26" s="101"/>
      <c r="AL26" s="101"/>
      <c r="AM26" s="101"/>
      <c r="AN26" s="102"/>
      <c r="AO26" s="101"/>
      <c r="AP26" s="101"/>
      <c r="AQ26" s="101"/>
      <c r="AR26" s="101"/>
      <c r="AS26" s="101"/>
      <c r="AT26" s="86">
        <f>IFERROR(__xludf.DUMMYFUNCTION("""COMPUTED_VALUE"""),7.0)</f>
        <v>7</v>
      </c>
      <c r="AU26" s="87">
        <f>IFERROR(__xludf.DUMMYFUNCTION("""COMPUTED_VALUE"""),46000.0)</f>
        <v>46000</v>
      </c>
      <c r="AV26" s="103"/>
      <c r="AW26" s="103"/>
      <c r="AX26" s="90"/>
      <c r="AY26" s="90"/>
      <c r="AZ26" s="90"/>
      <c r="BA26" s="11"/>
      <c r="BB26" s="116"/>
      <c r="BC26" s="116"/>
      <c r="BD26" s="92"/>
      <c r="BE26" s="104"/>
    </row>
    <row r="27">
      <c r="A27" s="12"/>
      <c r="B27" s="94"/>
      <c r="C27" s="96"/>
      <c r="D27" s="98" t="str">
        <f>IFERROR(__xludf.DUMMYFUNCTION("""COMPUTED_VALUE"""),"着丈")</f>
        <v>着丈</v>
      </c>
      <c r="E27" s="90"/>
      <c r="F27" s="72">
        <f>IFERROR(__xludf.DUMMYFUNCTION("""COMPUTED_VALUE"""),-10.0)</f>
        <v>-10</v>
      </c>
      <c r="G27" s="72">
        <f>IFERROR(__xludf.DUMMYFUNCTION("""COMPUTED_VALUE"""),-9.0)</f>
        <v>-9</v>
      </c>
      <c r="H27" s="72">
        <f>IFERROR(__xludf.DUMMYFUNCTION("""COMPUTED_VALUE"""),-8.0)</f>
        <v>-8</v>
      </c>
      <c r="I27" s="72">
        <f>IFERROR(__xludf.DUMMYFUNCTION("""COMPUTED_VALUE"""),-7.0)</f>
        <v>-7</v>
      </c>
      <c r="J27" s="72">
        <f>IFERROR(__xludf.DUMMYFUNCTION("""COMPUTED_VALUE"""),-6.0)</f>
        <v>-6</v>
      </c>
      <c r="K27" s="71">
        <f>IFERROR(__xludf.DUMMYFUNCTION("""COMPUTED_VALUE"""),-5.0)</f>
        <v>-5</v>
      </c>
      <c r="L27" s="71">
        <f>IFERROR(__xludf.DUMMYFUNCTION("""COMPUTED_VALUE"""),-4.0)</f>
        <v>-4</v>
      </c>
      <c r="M27" s="71">
        <f>IFERROR(__xludf.DUMMYFUNCTION("""COMPUTED_VALUE"""),-3.0)</f>
        <v>-3</v>
      </c>
      <c r="N27" s="71">
        <f>IFERROR(__xludf.DUMMYFUNCTION("""COMPUTED_VALUE"""),-2.0)</f>
        <v>-2</v>
      </c>
      <c r="O27" s="97">
        <f>IFERROR(__xludf.DUMMYFUNCTION("""COMPUTED_VALUE"""),-1.0)</f>
        <v>-1</v>
      </c>
      <c r="P27" s="109">
        <f>IFERROR(__xludf.DUMMYFUNCTION("""COMPUTED_VALUE"""),0.0)</f>
        <v>0</v>
      </c>
      <c r="Q27" s="73">
        <f>IFERROR(__xludf.DUMMYFUNCTION("""COMPUTED_VALUE"""),0.5)</f>
        <v>0.5</v>
      </c>
      <c r="R27" s="71">
        <f>IFERROR(__xludf.DUMMYFUNCTION("""COMPUTED_VALUE"""),2.0)</f>
        <v>2</v>
      </c>
      <c r="S27" s="71">
        <f>IFERROR(__xludf.DUMMYFUNCTION("""COMPUTED_VALUE"""),3.0)</f>
        <v>3</v>
      </c>
      <c r="T27" s="71">
        <f>IFERROR(__xludf.DUMMYFUNCTION("""COMPUTED_VALUE"""),4.0)</f>
        <v>4</v>
      </c>
      <c r="U27" s="71">
        <f>IFERROR(__xludf.DUMMYFUNCTION("""COMPUTED_VALUE"""),5.0)</f>
        <v>5</v>
      </c>
      <c r="V27" s="86">
        <f>IFERROR(__xludf.DUMMYFUNCTION("""COMPUTED_VALUE"""),7.0)</f>
        <v>7</v>
      </c>
      <c r="W27" s="76">
        <f>IFERROR(__xludf.DUMMYFUNCTION("""COMPUTED_VALUE"""),46000.0)</f>
        <v>46000</v>
      </c>
      <c r="X27" s="110">
        <f>IFERROR(__xludf.DUMMYFUNCTION("""COMPUTED_VALUE"""),46003.0)</f>
        <v>46003</v>
      </c>
      <c r="Y27" s="111">
        <f>IFERROR(__xludf.DUMMYFUNCTION("""COMPUTED_VALUE"""),46008.0)</f>
        <v>46008</v>
      </c>
      <c r="Z27" s="80"/>
      <c r="AA27" s="80"/>
      <c r="AB27" s="80"/>
      <c r="AC27" s="12"/>
      <c r="AD27" s="12"/>
      <c r="AE27" s="12"/>
      <c r="AF27" s="12"/>
      <c r="AG27" s="11"/>
      <c r="AH27" s="12"/>
      <c r="AI27" s="12"/>
      <c r="AJ27" s="12"/>
      <c r="AK27" s="12"/>
      <c r="AL27" s="12"/>
      <c r="AM27" s="12"/>
      <c r="AN27" s="12"/>
      <c r="AO27" s="12"/>
      <c r="AP27" s="12"/>
      <c r="AQ27" s="12"/>
      <c r="AR27" s="12"/>
      <c r="AS27" s="12"/>
      <c r="AT27" s="12"/>
      <c r="AU27" s="117"/>
      <c r="AV27" s="117"/>
      <c r="AW27" s="117"/>
      <c r="AX27" s="11"/>
      <c r="AY27" s="11"/>
      <c r="AZ27" s="11"/>
      <c r="BA27" s="11"/>
      <c r="BB27" s="116"/>
      <c r="BC27" s="116"/>
      <c r="BD27" s="92"/>
      <c r="BE27" s="104"/>
    </row>
    <row r="28">
      <c r="A28" s="12"/>
      <c r="B28" s="94"/>
      <c r="C28" s="108" t="str">
        <f>IFERROR(__xludf.DUMMYFUNCTION("""COMPUTED_VALUE"""),"縫製")</f>
        <v>縫製</v>
      </c>
      <c r="D28" s="98" t="str">
        <f>IFERROR(__xludf.DUMMYFUNCTION("""COMPUTED_VALUE"""),"バスト")</f>
        <v>バスト</v>
      </c>
      <c r="E28" s="98" t="str">
        <f>IFERROR(__xludf.DUMMYFUNCTION("""COMPUTED_VALUE"""),"ベルトループ交換")</f>
        <v>ベルトループ交換</v>
      </c>
      <c r="F28" s="99"/>
      <c r="G28" s="99"/>
      <c r="H28" s="99"/>
      <c r="I28" s="99"/>
      <c r="J28" s="99"/>
      <c r="K28" s="99"/>
      <c r="L28" s="99"/>
      <c r="M28" s="99"/>
      <c r="N28" s="99"/>
      <c r="O28" s="99"/>
      <c r="P28" s="100"/>
      <c r="Q28" s="99"/>
      <c r="R28" s="99"/>
      <c r="S28" s="99"/>
      <c r="T28" s="99"/>
      <c r="U28" s="99"/>
      <c r="V28" s="86">
        <f>IFERROR(__xludf.DUMMYFUNCTION("""COMPUTED_VALUE"""),4.0)</f>
        <v>4</v>
      </c>
      <c r="W28" s="76">
        <f>IFERROR(__xludf.DUMMYFUNCTION("""COMPUTED_VALUE"""),45995.0)</f>
        <v>45995</v>
      </c>
      <c r="X28" s="110">
        <f>IFERROR(__xludf.DUMMYFUNCTION("""COMPUTED_VALUE"""),46003.0)</f>
        <v>46003</v>
      </c>
      <c r="Y28" s="111">
        <f>IFERROR(__xludf.DUMMYFUNCTION("""COMPUTED_VALUE"""),46008.0)</f>
        <v>46008</v>
      </c>
      <c r="Z28" s="80"/>
      <c r="AA28" s="80"/>
      <c r="AB28" s="80"/>
      <c r="AC28" s="12"/>
      <c r="AD28" s="107" t="str">
        <f>IFERROR(__xludf.DUMMYFUNCTION("""COMPUTED_VALUE"""),"チノ")</f>
        <v>チノ</v>
      </c>
      <c r="AE28" s="108" t="str">
        <f>IFERROR(__xludf.DUMMYFUNCTION("""COMPUTED_VALUE"""),"サイズ")</f>
        <v>サイズ</v>
      </c>
      <c r="AF28" s="118" t="str">
        <f>IFERROR(__xludf.DUMMYFUNCTION("""COMPUTED_VALUE"""),"ウエスト")</f>
        <v>ウエスト</v>
      </c>
      <c r="AG28" s="70"/>
      <c r="AH28" s="83">
        <f>IFERROR(__xludf.DUMMYFUNCTION("""COMPUTED_VALUE"""),-6.0)</f>
        <v>-6</v>
      </c>
      <c r="AI28" s="82">
        <f>IFERROR(__xludf.DUMMYFUNCTION("""COMPUTED_VALUE"""),-5.0)</f>
        <v>-5</v>
      </c>
      <c r="AJ28" s="84">
        <f>IFERROR(__xludf.DUMMYFUNCTION("""COMPUTED_VALUE"""),-4.0)</f>
        <v>-4</v>
      </c>
      <c r="AK28" s="84">
        <f>IFERROR(__xludf.DUMMYFUNCTION("""COMPUTED_VALUE"""),-3.0)</f>
        <v>-3</v>
      </c>
      <c r="AL28" s="84">
        <f>IFERROR(__xludf.DUMMYFUNCTION("""COMPUTED_VALUE"""),-2.0)</f>
        <v>-2</v>
      </c>
      <c r="AM28" s="84">
        <f>IFERROR(__xludf.DUMMYFUNCTION("""COMPUTED_VALUE"""),-1.0)</f>
        <v>-1</v>
      </c>
      <c r="AN28" s="85">
        <f>IFERROR(__xludf.DUMMYFUNCTION("""COMPUTED_VALUE"""),0.0)</f>
        <v>0</v>
      </c>
      <c r="AO28" s="83">
        <f>IFERROR(__xludf.DUMMYFUNCTION("""COMPUTED_VALUE"""),1.0)</f>
        <v>1</v>
      </c>
      <c r="AP28" s="83">
        <f>IFERROR(__xludf.DUMMYFUNCTION("""COMPUTED_VALUE"""),2.0)</f>
        <v>2</v>
      </c>
      <c r="AQ28" s="83">
        <f>IFERROR(__xludf.DUMMYFUNCTION("""COMPUTED_VALUE"""),3.0)</f>
        <v>3</v>
      </c>
      <c r="AR28" s="83">
        <f>IFERROR(__xludf.DUMMYFUNCTION("""COMPUTED_VALUE"""),4.0)</f>
        <v>4</v>
      </c>
      <c r="AS28" s="83">
        <f>IFERROR(__xludf.DUMMYFUNCTION("""COMPUTED_VALUE"""),5.0)</f>
        <v>5</v>
      </c>
      <c r="AT28" s="86">
        <f>IFERROR(__xludf.DUMMYFUNCTION("""COMPUTED_VALUE"""),5.0)</f>
        <v>5</v>
      </c>
      <c r="AU28" s="87">
        <f>IFERROR(__xludf.DUMMYFUNCTION("""COMPUTED_VALUE"""),45996.0)</f>
        <v>45996</v>
      </c>
      <c r="AV28" s="119">
        <f>IFERROR(__xludf.DUMMYFUNCTION("""COMPUTED_VALUE"""),46002.0)</f>
        <v>46002</v>
      </c>
      <c r="AW28" s="120">
        <f>IFERROR(__xludf.DUMMYFUNCTION("""COMPUTED_VALUE"""),46007.0)</f>
        <v>46007</v>
      </c>
      <c r="AX28" s="90"/>
      <c r="AY28" s="90"/>
      <c r="AZ28" s="90"/>
      <c r="BA28" s="11"/>
      <c r="BB28" s="116"/>
      <c r="BC28" s="116"/>
      <c r="BD28" s="92"/>
      <c r="BE28" s="104"/>
    </row>
    <row r="29">
      <c r="A29" s="12"/>
      <c r="B29" s="94"/>
      <c r="C29" s="94"/>
      <c r="D29" s="98" t="str">
        <f>IFERROR(__xludf.DUMMYFUNCTION("""COMPUTED_VALUE"""),"ウエスト")</f>
        <v>ウエスト</v>
      </c>
      <c r="E29" s="98" t="str">
        <f>IFERROR(__xludf.DUMMYFUNCTION("""COMPUTED_VALUE"""),"ボタン付け替え")</f>
        <v>ボタン付け替え</v>
      </c>
      <c r="F29" s="99"/>
      <c r="G29" s="99"/>
      <c r="H29" s="99"/>
      <c r="I29" s="99"/>
      <c r="J29" s="99"/>
      <c r="K29" s="99"/>
      <c r="L29" s="99"/>
      <c r="M29" s="99"/>
      <c r="N29" s="99"/>
      <c r="O29" s="99"/>
      <c r="P29" s="100"/>
      <c r="Q29" s="99"/>
      <c r="R29" s="99"/>
      <c r="S29" s="99"/>
      <c r="T29" s="99"/>
      <c r="U29" s="99"/>
      <c r="V29" s="86">
        <f>IFERROR(__xludf.DUMMYFUNCTION("""COMPUTED_VALUE"""),4.0)</f>
        <v>4</v>
      </c>
      <c r="W29" s="76">
        <f>IFERROR(__xludf.DUMMYFUNCTION("""COMPUTED_VALUE"""),45995.0)</f>
        <v>45995</v>
      </c>
      <c r="X29" s="110">
        <f>IFERROR(__xludf.DUMMYFUNCTION("""COMPUTED_VALUE"""),46003.0)</f>
        <v>46003</v>
      </c>
      <c r="Y29" s="111">
        <f>IFERROR(__xludf.DUMMYFUNCTION("""COMPUTED_VALUE"""),46008.0)</f>
        <v>46008</v>
      </c>
      <c r="Z29" s="80"/>
      <c r="AA29" s="80"/>
      <c r="AB29" s="80"/>
      <c r="AC29" s="12"/>
      <c r="AD29" s="94"/>
      <c r="AE29" s="94"/>
      <c r="AF29" s="98" t="str">
        <f>IFERROR(__xludf.DUMMYFUNCTION("""COMPUTED_VALUE"""),"股上")</f>
        <v>股上</v>
      </c>
      <c r="AG29" s="70"/>
      <c r="AH29" s="83">
        <f>IFERROR(__xludf.DUMMYFUNCTION("""COMPUTED_VALUE"""),-6.0)</f>
        <v>-6</v>
      </c>
      <c r="AI29" s="82">
        <f>IFERROR(__xludf.DUMMYFUNCTION("""COMPUTED_VALUE"""),-5.0)</f>
        <v>-5</v>
      </c>
      <c r="AJ29" s="83">
        <f>IFERROR(__xludf.DUMMYFUNCTION("""COMPUTED_VALUE"""),-3.0)</f>
        <v>-3</v>
      </c>
      <c r="AK29" s="83">
        <f>IFERROR(__xludf.DUMMYFUNCTION("""COMPUTED_VALUE"""),-2.0)</f>
        <v>-2</v>
      </c>
      <c r="AL29" s="83">
        <f>IFERROR(__xludf.DUMMYFUNCTION("""COMPUTED_VALUE"""),-1.0)</f>
        <v>-1</v>
      </c>
      <c r="AM29" s="84">
        <f>IFERROR(__xludf.DUMMYFUNCTION("""COMPUTED_VALUE"""),-0.5)</f>
        <v>-0.5</v>
      </c>
      <c r="AN29" s="85">
        <f>IFERROR(__xludf.DUMMYFUNCTION("""COMPUTED_VALUE"""),0.0)</f>
        <v>0</v>
      </c>
      <c r="AO29" s="83">
        <f>IFERROR(__xludf.DUMMYFUNCTION("""COMPUTED_VALUE"""),1.0)</f>
        <v>1</v>
      </c>
      <c r="AP29" s="83">
        <f>IFERROR(__xludf.DUMMYFUNCTION("""COMPUTED_VALUE"""),2.0)</f>
        <v>2</v>
      </c>
      <c r="AQ29" s="83">
        <f>IFERROR(__xludf.DUMMYFUNCTION("""COMPUTED_VALUE"""),3.0)</f>
        <v>3</v>
      </c>
      <c r="AR29" s="83">
        <f>IFERROR(__xludf.DUMMYFUNCTION("""COMPUTED_VALUE"""),4.0)</f>
        <v>4</v>
      </c>
      <c r="AS29" s="83">
        <f>IFERROR(__xludf.DUMMYFUNCTION("""COMPUTED_VALUE"""),5.0)</f>
        <v>5</v>
      </c>
      <c r="AT29" s="86">
        <f>IFERROR(__xludf.DUMMYFUNCTION("""COMPUTED_VALUE"""),7.0)</f>
        <v>7</v>
      </c>
      <c r="AU29" s="87">
        <f>IFERROR(__xludf.DUMMYFUNCTION("""COMPUTED_VALUE"""),46000.0)</f>
        <v>46000</v>
      </c>
      <c r="AV29" s="119">
        <f>IFERROR(__xludf.DUMMYFUNCTION("""COMPUTED_VALUE"""),46002.0)</f>
        <v>46002</v>
      </c>
      <c r="AW29" s="120">
        <f>IFERROR(__xludf.DUMMYFUNCTION("""COMPUTED_VALUE"""),46007.0)</f>
        <v>46007</v>
      </c>
      <c r="AX29" s="90"/>
      <c r="AY29" s="90"/>
      <c r="AZ29" s="90"/>
      <c r="BA29" s="11"/>
      <c r="BB29" s="104"/>
      <c r="BC29" s="104"/>
      <c r="BD29" s="104"/>
      <c r="BE29" s="104"/>
    </row>
    <row r="30">
      <c r="A30" s="12"/>
      <c r="B30" s="96"/>
      <c r="C30" s="96"/>
      <c r="D30" s="98" t="str">
        <f>IFERROR(__xludf.DUMMYFUNCTION("""COMPUTED_VALUE"""),"着丈")</f>
        <v>着丈</v>
      </c>
      <c r="E30" s="98" t="str">
        <f>IFERROR(__xludf.DUMMYFUNCTION("""COMPUTED_VALUE"""),"裏地ほつれ補修（裾）")</f>
        <v>裏地ほつれ補修（裾）</v>
      </c>
      <c r="F30" s="99"/>
      <c r="G30" s="99"/>
      <c r="H30" s="99"/>
      <c r="I30" s="99"/>
      <c r="J30" s="99"/>
      <c r="K30" s="99"/>
      <c r="L30" s="99"/>
      <c r="M30" s="99"/>
      <c r="N30" s="99"/>
      <c r="O30" s="99"/>
      <c r="P30" s="100"/>
      <c r="Q30" s="99"/>
      <c r="R30" s="99"/>
      <c r="S30" s="99"/>
      <c r="T30" s="99"/>
      <c r="U30" s="99"/>
      <c r="V30" s="86">
        <f>IFERROR(__xludf.DUMMYFUNCTION("""COMPUTED_VALUE"""),4.0)</f>
        <v>4</v>
      </c>
      <c r="W30" s="76">
        <f>IFERROR(__xludf.DUMMYFUNCTION("""COMPUTED_VALUE"""),45995.0)</f>
        <v>45995</v>
      </c>
      <c r="X30" s="110">
        <f>IFERROR(__xludf.DUMMYFUNCTION("""COMPUTED_VALUE"""),46003.0)</f>
        <v>46003</v>
      </c>
      <c r="Y30" s="111">
        <f>IFERROR(__xludf.DUMMYFUNCTION("""COMPUTED_VALUE"""),46008.0)</f>
        <v>46008</v>
      </c>
      <c r="Z30" s="80"/>
      <c r="AA30" s="80"/>
      <c r="AB30" s="80"/>
      <c r="AC30" s="12"/>
      <c r="AD30" s="94"/>
      <c r="AE30" s="94"/>
      <c r="AF30" s="108" t="str">
        <f>IFERROR(__xludf.DUMMYFUNCTION("""COMPUTED_VALUE"""),"股下")</f>
        <v>股下</v>
      </c>
      <c r="AG30" s="98" t="str">
        <f>IFERROR(__xludf.DUMMYFUNCTION("""COMPUTED_VALUE"""),"シングル")</f>
        <v>シングル</v>
      </c>
      <c r="AH30" s="84">
        <f>IFERROR(__xludf.DUMMYFUNCTION("""COMPUTED_VALUE"""),-6.0)</f>
        <v>-6</v>
      </c>
      <c r="AI30" s="84">
        <f>IFERROR(__xludf.DUMMYFUNCTION("""COMPUTED_VALUE"""),-5.0)</f>
        <v>-5</v>
      </c>
      <c r="AJ30" s="84">
        <f>IFERROR(__xludf.DUMMYFUNCTION("""COMPUTED_VALUE"""),-4.0)</f>
        <v>-4</v>
      </c>
      <c r="AK30" s="84">
        <f>IFERROR(__xludf.DUMMYFUNCTION("""COMPUTED_VALUE"""),-3.0)</f>
        <v>-3</v>
      </c>
      <c r="AL30" s="84">
        <f>IFERROR(__xludf.DUMMYFUNCTION("""COMPUTED_VALUE"""),-2.0)</f>
        <v>-2</v>
      </c>
      <c r="AM30" s="84">
        <f>IFERROR(__xludf.DUMMYFUNCTION("""COMPUTED_VALUE"""),-1.0)</f>
        <v>-1</v>
      </c>
      <c r="AN30" s="85">
        <f>IFERROR(__xludf.DUMMYFUNCTION("""COMPUTED_VALUE"""),0.0)</f>
        <v>0</v>
      </c>
      <c r="AO30" s="83">
        <f>IFERROR(__xludf.DUMMYFUNCTION("""COMPUTED_VALUE"""),1.0)</f>
        <v>1</v>
      </c>
      <c r="AP30" s="83">
        <f>IFERROR(__xludf.DUMMYFUNCTION("""COMPUTED_VALUE"""),2.0)</f>
        <v>2</v>
      </c>
      <c r="AQ30" s="83">
        <f>IFERROR(__xludf.DUMMYFUNCTION("""COMPUTED_VALUE"""),3.0)</f>
        <v>3</v>
      </c>
      <c r="AR30" s="83">
        <f>IFERROR(__xludf.DUMMYFUNCTION("""COMPUTED_VALUE"""),4.0)</f>
        <v>4</v>
      </c>
      <c r="AS30" s="83">
        <f>IFERROR(__xludf.DUMMYFUNCTION("""COMPUTED_VALUE"""),5.0)</f>
        <v>5</v>
      </c>
      <c r="AT30" s="86">
        <f>IFERROR(__xludf.DUMMYFUNCTION("""COMPUTED_VALUE"""),5.0)</f>
        <v>5</v>
      </c>
      <c r="AU30" s="87">
        <f>IFERROR(__xludf.DUMMYFUNCTION("""COMPUTED_VALUE"""),45996.0)</f>
        <v>45996</v>
      </c>
      <c r="AV30" s="119">
        <f>IFERROR(__xludf.DUMMYFUNCTION("""COMPUTED_VALUE"""),46002.0)</f>
        <v>46002</v>
      </c>
      <c r="AW30" s="120">
        <f>IFERROR(__xludf.DUMMYFUNCTION("""COMPUTED_VALUE"""),46007.0)</f>
        <v>46007</v>
      </c>
      <c r="AX30" s="90"/>
      <c r="AY30" s="90"/>
      <c r="AZ30" s="90"/>
      <c r="BA30" s="11"/>
      <c r="BB30" s="104"/>
      <c r="BC30" s="104"/>
      <c r="BD30" s="104"/>
      <c r="BE30" s="104"/>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1"/>
      <c r="AA31" s="121"/>
      <c r="AB31" s="121"/>
      <c r="AC31" s="12"/>
      <c r="AD31" s="94"/>
      <c r="AE31" s="94"/>
      <c r="AF31" s="94"/>
      <c r="AG31" s="112" t="str">
        <f>IFERROR(__xludf.DUMMYFUNCTION("""COMPUTED_VALUE"""),"ダブル")</f>
        <v>ダブル</v>
      </c>
      <c r="AH31" s="83">
        <f>IFERROR(__xludf.DUMMYFUNCTION("""COMPUTED_VALUE"""),-6.0)</f>
        <v>-6</v>
      </c>
      <c r="AI31" s="82">
        <f>IFERROR(__xludf.DUMMYFUNCTION("""COMPUTED_VALUE"""),-5.0)</f>
        <v>-5</v>
      </c>
      <c r="AJ31" s="83">
        <f>IFERROR(__xludf.DUMMYFUNCTION("""COMPUTED_VALUE"""),-4.0)</f>
        <v>-4</v>
      </c>
      <c r="AK31" s="83">
        <f>IFERROR(__xludf.DUMMYFUNCTION("""COMPUTED_VALUE"""),-3.0)</f>
        <v>-3</v>
      </c>
      <c r="AL31" s="83">
        <f>IFERROR(__xludf.DUMMYFUNCTION("""COMPUTED_VALUE"""),-2.0)</f>
        <v>-2</v>
      </c>
      <c r="AM31" s="83">
        <f>IFERROR(__xludf.DUMMYFUNCTION("""COMPUTED_VALUE"""),-1.0)</f>
        <v>-1</v>
      </c>
      <c r="AN31" s="85">
        <f>IFERROR(__xludf.DUMMYFUNCTION("""COMPUTED_VALUE"""),0.0)</f>
        <v>0</v>
      </c>
      <c r="AO31" s="83">
        <f>IFERROR(__xludf.DUMMYFUNCTION("""COMPUTED_VALUE"""),1.0)</f>
        <v>1</v>
      </c>
      <c r="AP31" s="83">
        <f>IFERROR(__xludf.DUMMYFUNCTION("""COMPUTED_VALUE"""),2.0)</f>
        <v>2</v>
      </c>
      <c r="AQ31" s="83">
        <f>IFERROR(__xludf.DUMMYFUNCTION("""COMPUTED_VALUE"""),3.0)</f>
        <v>3</v>
      </c>
      <c r="AR31" s="83">
        <f>IFERROR(__xludf.DUMMYFUNCTION("""COMPUTED_VALUE"""),4.0)</f>
        <v>4</v>
      </c>
      <c r="AS31" s="83">
        <f>IFERROR(__xludf.DUMMYFUNCTION("""COMPUTED_VALUE"""),5.0)</f>
        <v>5</v>
      </c>
      <c r="AT31" s="86" t="str">
        <f>IFERROR(__xludf.DUMMYFUNCTION("""COMPUTED_VALUE"""),"-")</f>
        <v>-</v>
      </c>
      <c r="AU31" s="122" t="str">
        <f>IFERROR(__xludf.DUMMYFUNCTION("""COMPUTED_VALUE"""),"-")</f>
        <v>-</v>
      </c>
      <c r="AV31" s="119">
        <f>IFERROR(__xludf.DUMMYFUNCTION("""COMPUTED_VALUE"""),46002.0)</f>
        <v>46002</v>
      </c>
      <c r="AW31" s="120">
        <f>IFERROR(__xludf.DUMMYFUNCTION("""COMPUTED_VALUE"""),46007.0)</f>
        <v>46007</v>
      </c>
      <c r="AX31" s="90"/>
      <c r="AY31" s="90"/>
      <c r="AZ31" s="90"/>
      <c r="BA31" s="11"/>
      <c r="BB31" s="104"/>
      <c r="BC31" s="104"/>
      <c r="BD31" s="104"/>
      <c r="BE31" s="104"/>
    </row>
    <row r="32">
      <c r="A32" s="12"/>
      <c r="B32" s="123"/>
      <c r="C32" s="104"/>
      <c r="D32" s="123"/>
      <c r="E32" s="124"/>
      <c r="F32" s="104"/>
      <c r="G32" s="104"/>
      <c r="H32" s="104"/>
      <c r="I32" s="104"/>
      <c r="J32" s="104"/>
      <c r="K32" s="104"/>
      <c r="L32" s="104"/>
      <c r="M32" s="104"/>
      <c r="N32" s="104"/>
      <c r="O32" s="104"/>
      <c r="P32" s="104"/>
      <c r="Q32" s="104"/>
      <c r="R32" s="27"/>
      <c r="S32" s="27"/>
      <c r="T32" s="27"/>
      <c r="U32" s="27"/>
      <c r="V32" s="27"/>
      <c r="W32" s="125"/>
      <c r="X32" s="125"/>
      <c r="Y32" s="125"/>
      <c r="Z32" s="126"/>
      <c r="AA32" s="126"/>
      <c r="AB32" s="126"/>
      <c r="AC32" s="27"/>
      <c r="AD32" s="94"/>
      <c r="AE32" s="94"/>
      <c r="AF32" s="96"/>
      <c r="AG32" s="112" t="str">
        <f>IFERROR(__xludf.DUMMYFUNCTION("""COMPUTED_VALUE"""),"ステッチ")</f>
        <v>ステッチ</v>
      </c>
      <c r="AH32" s="83">
        <f>IFERROR(__xludf.DUMMYFUNCTION("""COMPUTED_VALUE"""),-6.0)</f>
        <v>-6</v>
      </c>
      <c r="AI32" s="82">
        <f>IFERROR(__xludf.DUMMYFUNCTION("""COMPUTED_VALUE"""),-5.0)</f>
        <v>-5</v>
      </c>
      <c r="AJ32" s="83">
        <f>IFERROR(__xludf.DUMMYFUNCTION("""COMPUTED_VALUE"""),-4.0)</f>
        <v>-4</v>
      </c>
      <c r="AK32" s="83">
        <f>IFERROR(__xludf.DUMMYFUNCTION("""COMPUTED_VALUE"""),-3.0)</f>
        <v>-3</v>
      </c>
      <c r="AL32" s="83">
        <f>IFERROR(__xludf.DUMMYFUNCTION("""COMPUTED_VALUE"""),-2.0)</f>
        <v>-2</v>
      </c>
      <c r="AM32" s="83">
        <f>IFERROR(__xludf.DUMMYFUNCTION("""COMPUTED_VALUE"""),-1.0)</f>
        <v>-1</v>
      </c>
      <c r="AN32" s="85">
        <f>IFERROR(__xludf.DUMMYFUNCTION("""COMPUTED_VALUE"""),0.0)</f>
        <v>0</v>
      </c>
      <c r="AO32" s="83">
        <f>IFERROR(__xludf.DUMMYFUNCTION("""COMPUTED_VALUE"""),1.0)</f>
        <v>1</v>
      </c>
      <c r="AP32" s="83">
        <f>IFERROR(__xludf.DUMMYFUNCTION("""COMPUTED_VALUE"""),2.0)</f>
        <v>2</v>
      </c>
      <c r="AQ32" s="83">
        <f>IFERROR(__xludf.DUMMYFUNCTION("""COMPUTED_VALUE"""),3.0)</f>
        <v>3</v>
      </c>
      <c r="AR32" s="83">
        <f>IFERROR(__xludf.DUMMYFUNCTION("""COMPUTED_VALUE"""),4.0)</f>
        <v>4</v>
      </c>
      <c r="AS32" s="83">
        <f>IFERROR(__xludf.DUMMYFUNCTION("""COMPUTED_VALUE"""),5.0)</f>
        <v>5</v>
      </c>
      <c r="AT32" s="86" t="str">
        <f>IFERROR(__xludf.DUMMYFUNCTION("""COMPUTED_VALUE"""),"-")</f>
        <v>-</v>
      </c>
      <c r="AU32" s="76" t="str">
        <f>IFERROR(__xludf.DUMMYFUNCTION("""COMPUTED_VALUE"""),"-")</f>
        <v>-</v>
      </c>
      <c r="AV32" s="119">
        <f>IFERROR(__xludf.DUMMYFUNCTION("""COMPUTED_VALUE"""),46002.0)</f>
        <v>46002</v>
      </c>
      <c r="AW32" s="120">
        <f>IFERROR(__xludf.DUMMYFUNCTION("""COMPUTED_VALUE"""),46007.0)</f>
        <v>46007</v>
      </c>
      <c r="AX32" s="90"/>
      <c r="AY32" s="90"/>
      <c r="AZ32" s="90"/>
      <c r="BA32" s="11"/>
      <c r="BB32" s="104"/>
      <c r="BC32" s="104"/>
      <c r="BD32" s="104"/>
      <c r="BE32" s="104"/>
    </row>
    <row r="33">
      <c r="A33" s="12"/>
      <c r="B33" s="107" t="str">
        <f>IFERROR(__xludf.DUMMYFUNCTION("""COMPUTED_VALUE"""),"
シャツ長袖
タックアウト長袖")</f>
        <v>
シャツ長袖
タックアウト長袖</v>
      </c>
      <c r="C33" s="108" t="str">
        <f>IFERROR(__xludf.DUMMYFUNCTION("""COMPUTED_VALUE"""),"サイズ")</f>
        <v>サイズ</v>
      </c>
      <c r="D33" s="98" t="str">
        <f>IFERROR(__xludf.DUMMYFUNCTION("""COMPUTED_VALUE"""),"裄丈")</f>
        <v>裄丈</v>
      </c>
      <c r="E33" s="90"/>
      <c r="F33" s="71">
        <f>IFERROR(__xludf.DUMMYFUNCTION("""COMPUTED_VALUE"""),-10.0)</f>
        <v>-10</v>
      </c>
      <c r="G33" s="97">
        <f>IFERROR(__xludf.DUMMYFUNCTION("""COMPUTED_VALUE"""),-9.0)</f>
        <v>-9</v>
      </c>
      <c r="H33" s="97">
        <f>IFERROR(__xludf.DUMMYFUNCTION("""COMPUTED_VALUE"""),-8.0)</f>
        <v>-8</v>
      </c>
      <c r="I33" s="97">
        <f>IFERROR(__xludf.DUMMYFUNCTION("""COMPUTED_VALUE"""),-7.0)</f>
        <v>-7</v>
      </c>
      <c r="J33" s="97">
        <f>IFERROR(__xludf.DUMMYFUNCTION("""COMPUTED_VALUE"""),-6.0)</f>
        <v>-6</v>
      </c>
      <c r="K33" s="97">
        <f>IFERROR(__xludf.DUMMYFUNCTION("""COMPUTED_VALUE"""),-5.0)</f>
        <v>-5</v>
      </c>
      <c r="L33" s="97">
        <f>IFERROR(__xludf.DUMMYFUNCTION("""COMPUTED_VALUE"""),-4.0)</f>
        <v>-4</v>
      </c>
      <c r="M33" s="97">
        <f>IFERROR(__xludf.DUMMYFUNCTION("""COMPUTED_VALUE"""),-3.0)</f>
        <v>-3</v>
      </c>
      <c r="N33" s="97">
        <f>IFERROR(__xludf.DUMMYFUNCTION("""COMPUTED_VALUE"""),-2.0)</f>
        <v>-2</v>
      </c>
      <c r="O33" s="97">
        <f>IFERROR(__xludf.DUMMYFUNCTION("""COMPUTED_VALUE"""),-1.0)</f>
        <v>-1</v>
      </c>
      <c r="P33" s="109">
        <f>IFERROR(__xludf.DUMMYFUNCTION("""COMPUTED_VALUE"""),0.0)</f>
        <v>0</v>
      </c>
      <c r="Q33" s="71">
        <f>IFERROR(__xludf.DUMMYFUNCTION("""COMPUTED_VALUE"""),1.0)</f>
        <v>1</v>
      </c>
      <c r="R33" s="71">
        <f>IFERROR(__xludf.DUMMYFUNCTION("""COMPUTED_VALUE"""),2.0)</f>
        <v>2</v>
      </c>
      <c r="S33" s="71">
        <f>IFERROR(__xludf.DUMMYFUNCTION("""COMPUTED_VALUE"""),3.0)</f>
        <v>3</v>
      </c>
      <c r="T33" s="71">
        <f>IFERROR(__xludf.DUMMYFUNCTION("""COMPUTED_VALUE"""),4.0)</f>
        <v>4</v>
      </c>
      <c r="U33" s="71">
        <f>IFERROR(__xludf.DUMMYFUNCTION("""COMPUTED_VALUE"""),5.0)</f>
        <v>5</v>
      </c>
      <c r="V33" s="86">
        <f>IFERROR(__xludf.DUMMYFUNCTION("""COMPUTED_VALUE"""),7.0)</f>
        <v>7</v>
      </c>
      <c r="W33" s="76">
        <f>IFERROR(__xludf.DUMMYFUNCTION("""COMPUTED_VALUE"""),46000.0)</f>
        <v>46000</v>
      </c>
      <c r="X33" s="110">
        <f>IFERROR(__xludf.DUMMYFUNCTION("""COMPUTED_VALUE"""),46003.0)</f>
        <v>46003</v>
      </c>
      <c r="Y33" s="111">
        <f>IFERROR(__xludf.DUMMYFUNCTION("""COMPUTED_VALUE"""),46008.0)</f>
        <v>46008</v>
      </c>
      <c r="Z33" s="80"/>
      <c r="AA33" s="80"/>
      <c r="AB33" s="80"/>
      <c r="AC33" s="11"/>
      <c r="AD33" s="94"/>
      <c r="AE33" s="94"/>
      <c r="AF33" s="98" t="str">
        <f>IFERROR(__xludf.DUMMYFUNCTION("""COMPUTED_VALUE"""),"ワタリ巾（半寸）")</f>
        <v>ワタリ巾（半寸）</v>
      </c>
      <c r="AG33" s="90"/>
      <c r="AH33" s="83">
        <f>IFERROR(__xludf.DUMMYFUNCTION("""COMPUTED_VALUE"""),-6.0)</f>
        <v>-6</v>
      </c>
      <c r="AI33" s="82">
        <f>IFERROR(__xludf.DUMMYFUNCTION("""COMPUTED_VALUE"""),-5.0)</f>
        <v>-5</v>
      </c>
      <c r="AJ33" s="83">
        <f>IFERROR(__xludf.DUMMYFUNCTION("""COMPUTED_VALUE"""),-4.0)</f>
        <v>-4</v>
      </c>
      <c r="AK33" s="83">
        <f>IFERROR(__xludf.DUMMYFUNCTION("""COMPUTED_VALUE"""),-3.0)</f>
        <v>-3</v>
      </c>
      <c r="AL33" s="84">
        <f>IFERROR(__xludf.DUMMYFUNCTION("""COMPUTED_VALUE"""),-2.0)</f>
        <v>-2</v>
      </c>
      <c r="AM33" s="84">
        <f>IFERROR(__xludf.DUMMYFUNCTION("""COMPUTED_VALUE"""),-1.0)</f>
        <v>-1</v>
      </c>
      <c r="AN33" s="85">
        <f>IFERROR(__xludf.DUMMYFUNCTION("""COMPUTED_VALUE"""),0.0)</f>
        <v>0</v>
      </c>
      <c r="AO33" s="83">
        <f>IFERROR(__xludf.DUMMYFUNCTION("""COMPUTED_VALUE"""),1.0)</f>
        <v>1</v>
      </c>
      <c r="AP33" s="83">
        <f>IFERROR(__xludf.DUMMYFUNCTION("""COMPUTED_VALUE"""),2.0)</f>
        <v>2</v>
      </c>
      <c r="AQ33" s="83">
        <f>IFERROR(__xludf.DUMMYFUNCTION("""COMPUTED_VALUE"""),3.0)</f>
        <v>3</v>
      </c>
      <c r="AR33" s="83">
        <f>IFERROR(__xludf.DUMMYFUNCTION("""COMPUTED_VALUE"""),4.0)</f>
        <v>4</v>
      </c>
      <c r="AS33" s="83">
        <f>IFERROR(__xludf.DUMMYFUNCTION("""COMPUTED_VALUE"""),5.0)</f>
        <v>5</v>
      </c>
      <c r="AT33" s="86">
        <f>IFERROR(__xludf.DUMMYFUNCTION("""COMPUTED_VALUE"""),5.0)</f>
        <v>5</v>
      </c>
      <c r="AU33" s="87">
        <f>IFERROR(__xludf.DUMMYFUNCTION("""COMPUTED_VALUE"""),45996.0)</f>
        <v>45996</v>
      </c>
      <c r="AV33" s="119">
        <f>IFERROR(__xludf.DUMMYFUNCTION("""COMPUTED_VALUE"""),46002.0)</f>
        <v>46002</v>
      </c>
      <c r="AW33" s="120">
        <f>IFERROR(__xludf.DUMMYFUNCTION("""COMPUTED_VALUE"""),46007.0)</f>
        <v>46007</v>
      </c>
      <c r="AX33" s="90"/>
      <c r="AY33" s="90"/>
      <c r="AZ33" s="90"/>
      <c r="BA33" s="11"/>
      <c r="BB33" s="127" t="str">
        <f>IFERROR(__xludf.DUMMYFUNCTION("""COMPUTED_VALUE"""),"White Friday　一覧")</f>
        <v>White Friday　一覧</v>
      </c>
      <c r="BC33" s="128"/>
      <c r="BD33" s="128"/>
      <c r="BE33" s="104"/>
    </row>
    <row r="34">
      <c r="A34" s="11"/>
      <c r="B34" s="94"/>
      <c r="C34" s="94"/>
      <c r="D34" s="98" t="str">
        <f>IFERROR(__xludf.DUMMYFUNCTION("""COMPUTED_VALUE"""),"襟")</f>
        <v>襟</v>
      </c>
      <c r="E34" s="70"/>
      <c r="F34" s="71">
        <f>IFERROR(__xludf.DUMMYFUNCTION("""COMPUTED_VALUE"""),-10.0)</f>
        <v>-10</v>
      </c>
      <c r="G34" s="71">
        <f>IFERROR(__xludf.DUMMYFUNCTION("""COMPUTED_VALUE"""),-9.0)</f>
        <v>-9</v>
      </c>
      <c r="H34" s="71">
        <f>IFERROR(__xludf.DUMMYFUNCTION("""COMPUTED_VALUE"""),-8.0)</f>
        <v>-8</v>
      </c>
      <c r="I34" s="71">
        <f>IFERROR(__xludf.DUMMYFUNCTION("""COMPUTED_VALUE"""),-7.0)</f>
        <v>-7</v>
      </c>
      <c r="J34" s="71">
        <f>IFERROR(__xludf.DUMMYFUNCTION("""COMPUTED_VALUE"""),-6.0)</f>
        <v>-6</v>
      </c>
      <c r="K34" s="71">
        <f>IFERROR(__xludf.DUMMYFUNCTION("""COMPUTED_VALUE"""),-5.0)</f>
        <v>-5</v>
      </c>
      <c r="L34" s="71">
        <f>IFERROR(__xludf.DUMMYFUNCTION("""COMPUTED_VALUE"""),-4.0)</f>
        <v>-4</v>
      </c>
      <c r="M34" s="71">
        <f>IFERROR(__xludf.DUMMYFUNCTION("""COMPUTED_VALUE"""),-3.0)</f>
        <v>-3</v>
      </c>
      <c r="N34" s="71">
        <f>IFERROR(__xludf.DUMMYFUNCTION("""COMPUTED_VALUE"""),-2.0)</f>
        <v>-2</v>
      </c>
      <c r="O34" s="71">
        <f>IFERROR(__xludf.DUMMYFUNCTION("""COMPUTED_VALUE"""),-1.0)</f>
        <v>-1</v>
      </c>
      <c r="P34" s="109">
        <f>IFERROR(__xludf.DUMMYFUNCTION("""COMPUTED_VALUE"""),0.0)</f>
        <v>0</v>
      </c>
      <c r="Q34" s="71">
        <f>IFERROR(__xludf.DUMMYFUNCTION("""COMPUTED_VALUE"""),1.0)</f>
        <v>1</v>
      </c>
      <c r="R34" s="71">
        <f>IFERROR(__xludf.DUMMYFUNCTION("""COMPUTED_VALUE"""),2.0)</f>
        <v>2</v>
      </c>
      <c r="S34" s="71">
        <f>IFERROR(__xludf.DUMMYFUNCTION("""COMPUTED_VALUE"""),3.0)</f>
        <v>3</v>
      </c>
      <c r="T34" s="71">
        <f>IFERROR(__xludf.DUMMYFUNCTION("""COMPUTED_VALUE"""),4.0)</f>
        <v>4</v>
      </c>
      <c r="U34" s="71">
        <f>IFERROR(__xludf.DUMMYFUNCTION("""COMPUTED_VALUE"""),5.0)</f>
        <v>5</v>
      </c>
      <c r="V34" s="86" t="str">
        <f>IFERROR(__xludf.DUMMYFUNCTION("""COMPUTED_VALUE"""),"-")</f>
        <v>-</v>
      </c>
      <c r="W34" s="129" t="str">
        <f>IFERROR(__xludf.DUMMYFUNCTION("""COMPUTED_VALUE"""),"-")</f>
        <v>-</v>
      </c>
      <c r="X34" s="130" t="str">
        <f>IFERROR(__xludf.DUMMYFUNCTION("""COMPUTED_VALUE"""),"-")</f>
        <v>-</v>
      </c>
      <c r="Y34" s="131" t="str">
        <f>IFERROR(__xludf.DUMMYFUNCTION("""COMPUTED_VALUE"""),"-")</f>
        <v>-</v>
      </c>
      <c r="Z34" s="80"/>
      <c r="AA34" s="80"/>
      <c r="AB34" s="80"/>
      <c r="AC34" s="12"/>
      <c r="AD34" s="94"/>
      <c r="AE34" s="94"/>
      <c r="AF34" s="98" t="str">
        <f>IFERROR(__xludf.DUMMYFUNCTION("""COMPUTED_VALUE"""),"ヒザ巾（半寸）")</f>
        <v>ヒザ巾（半寸）</v>
      </c>
      <c r="AG34" s="90"/>
      <c r="AH34" s="83">
        <f>IFERROR(__xludf.DUMMYFUNCTION("""COMPUTED_VALUE"""),-6.0)</f>
        <v>-6</v>
      </c>
      <c r="AI34" s="82">
        <f>IFERROR(__xludf.DUMMYFUNCTION("""COMPUTED_VALUE"""),-5.0)</f>
        <v>-5</v>
      </c>
      <c r="AJ34" s="84">
        <f>IFERROR(__xludf.DUMMYFUNCTION("""COMPUTED_VALUE"""),-4.0)</f>
        <v>-4</v>
      </c>
      <c r="AK34" s="84">
        <f>IFERROR(__xludf.DUMMYFUNCTION("""COMPUTED_VALUE"""),-3.0)</f>
        <v>-3</v>
      </c>
      <c r="AL34" s="84">
        <f>IFERROR(__xludf.DUMMYFUNCTION("""COMPUTED_VALUE"""),-2.0)</f>
        <v>-2</v>
      </c>
      <c r="AM34" s="84">
        <f>IFERROR(__xludf.DUMMYFUNCTION("""COMPUTED_VALUE"""),-1.0)</f>
        <v>-1</v>
      </c>
      <c r="AN34" s="85">
        <f>IFERROR(__xludf.DUMMYFUNCTION("""COMPUTED_VALUE"""),0.0)</f>
        <v>0</v>
      </c>
      <c r="AO34" s="83">
        <f>IFERROR(__xludf.DUMMYFUNCTION("""COMPUTED_VALUE"""),1.0)</f>
        <v>1</v>
      </c>
      <c r="AP34" s="83">
        <f>IFERROR(__xludf.DUMMYFUNCTION("""COMPUTED_VALUE"""),2.0)</f>
        <v>2</v>
      </c>
      <c r="AQ34" s="83">
        <f>IFERROR(__xludf.DUMMYFUNCTION("""COMPUTED_VALUE"""),3.0)</f>
        <v>3</v>
      </c>
      <c r="AR34" s="83">
        <f>IFERROR(__xludf.DUMMYFUNCTION("""COMPUTED_VALUE"""),4.0)</f>
        <v>4</v>
      </c>
      <c r="AS34" s="83">
        <f>IFERROR(__xludf.DUMMYFUNCTION("""COMPUTED_VALUE"""),5.0)</f>
        <v>5</v>
      </c>
      <c r="AT34" s="86">
        <f>IFERROR(__xludf.DUMMYFUNCTION("""COMPUTED_VALUE"""),5.0)</f>
        <v>5</v>
      </c>
      <c r="AU34" s="87">
        <f>IFERROR(__xludf.DUMMYFUNCTION("""COMPUTED_VALUE"""),45996.0)</f>
        <v>45996</v>
      </c>
      <c r="AV34" s="119">
        <f>IFERROR(__xludf.DUMMYFUNCTION("""COMPUTED_VALUE"""),46002.0)</f>
        <v>46002</v>
      </c>
      <c r="AW34" s="120">
        <f>IFERROR(__xludf.DUMMYFUNCTION("""COMPUTED_VALUE"""),46007.0)</f>
        <v>46007</v>
      </c>
      <c r="AX34" s="70"/>
      <c r="AY34" s="70"/>
      <c r="AZ34" s="70"/>
      <c r="BA34" s="12"/>
      <c r="BB34" s="91" t="str">
        <f>IFERROR(__xludf.DUMMYFUNCTION("""COMPUTED_VALUE"""),"なめらかで極細の糸から創り上げた、着心地抜群のストレッチ新素材")</f>
        <v>なめらかで極細の糸から創り上げた、着心地抜群のストレッチ新素材</v>
      </c>
      <c r="BC34" s="95" t="str">
        <f>IFERROR(__xludf.DUMMYFUNCTION("""COMPUTED_VALUE"""),"W240001")</f>
        <v>W240001</v>
      </c>
      <c r="BD34" s="92" t="str">
        <f>IFERROR(__xludf.DUMMYFUNCTION("""COMPUTED_VALUE"""),"出しNG（再製作）ジャケット・スラックス")</f>
        <v>出しNG（再製作）ジャケット・スラックス</v>
      </c>
      <c r="BE34" s="123"/>
    </row>
    <row r="35">
      <c r="A35" s="12"/>
      <c r="B35" s="94"/>
      <c r="C35" s="94"/>
      <c r="D35" s="98" t="str">
        <f>IFERROR(__xludf.DUMMYFUNCTION("""COMPUTED_VALUE"""),"カフス")</f>
        <v>カフス</v>
      </c>
      <c r="E35" s="90"/>
      <c r="F35" s="71">
        <f>IFERROR(__xludf.DUMMYFUNCTION("""COMPUTED_VALUE"""),-10.0)</f>
        <v>-10</v>
      </c>
      <c r="G35" s="71">
        <f>IFERROR(__xludf.DUMMYFUNCTION("""COMPUTED_VALUE"""),-9.0)</f>
        <v>-9</v>
      </c>
      <c r="H35" s="71">
        <f>IFERROR(__xludf.DUMMYFUNCTION("""COMPUTED_VALUE"""),-8.0)</f>
        <v>-8</v>
      </c>
      <c r="I35" s="71">
        <f>IFERROR(__xludf.DUMMYFUNCTION("""COMPUTED_VALUE"""),-7.0)</f>
        <v>-7</v>
      </c>
      <c r="J35" s="71">
        <f>IFERROR(__xludf.DUMMYFUNCTION("""COMPUTED_VALUE"""),-6.0)</f>
        <v>-6</v>
      </c>
      <c r="K35" s="71">
        <f>IFERROR(__xludf.DUMMYFUNCTION("""COMPUTED_VALUE"""),-5.0)</f>
        <v>-5</v>
      </c>
      <c r="L35" s="71">
        <f>IFERROR(__xludf.DUMMYFUNCTION("""COMPUTED_VALUE"""),-4.0)</f>
        <v>-4</v>
      </c>
      <c r="M35" s="71">
        <f>IFERROR(__xludf.DUMMYFUNCTION("""COMPUTED_VALUE"""),-3.0)</f>
        <v>-3</v>
      </c>
      <c r="N35" s="71">
        <f>IFERROR(__xludf.DUMMYFUNCTION("""COMPUTED_VALUE"""),-2.0)</f>
        <v>-2</v>
      </c>
      <c r="O35" s="71">
        <f>IFERROR(__xludf.DUMMYFUNCTION("""COMPUTED_VALUE"""),-1.0)</f>
        <v>-1</v>
      </c>
      <c r="P35" s="109">
        <f>IFERROR(__xludf.DUMMYFUNCTION("""COMPUTED_VALUE"""),0.0)</f>
        <v>0</v>
      </c>
      <c r="Q35" s="71">
        <f>IFERROR(__xludf.DUMMYFUNCTION("""COMPUTED_VALUE"""),1.0)</f>
        <v>1</v>
      </c>
      <c r="R35" s="71">
        <f>IFERROR(__xludf.DUMMYFUNCTION("""COMPUTED_VALUE"""),2.0)</f>
        <v>2</v>
      </c>
      <c r="S35" s="71">
        <f>IFERROR(__xludf.DUMMYFUNCTION("""COMPUTED_VALUE"""),3.0)</f>
        <v>3</v>
      </c>
      <c r="T35" s="71">
        <f>IFERROR(__xludf.DUMMYFUNCTION("""COMPUTED_VALUE"""),4.0)</f>
        <v>4</v>
      </c>
      <c r="U35" s="71">
        <f>IFERROR(__xludf.DUMMYFUNCTION("""COMPUTED_VALUE"""),5.0)</f>
        <v>5</v>
      </c>
      <c r="V35" s="86" t="str">
        <f>IFERROR(__xludf.DUMMYFUNCTION("""COMPUTED_VALUE"""),"-")</f>
        <v>-</v>
      </c>
      <c r="W35" s="76" t="str">
        <f>IFERROR(__xludf.DUMMYFUNCTION("""COMPUTED_VALUE"""),"-")</f>
        <v>-</v>
      </c>
      <c r="X35" s="77" t="str">
        <f>IFERROR(__xludf.DUMMYFUNCTION("""COMPUTED_VALUE"""),"-")</f>
        <v>-</v>
      </c>
      <c r="Y35" s="132" t="str">
        <f>IFERROR(__xludf.DUMMYFUNCTION("""COMPUTED_VALUE"""),"-")</f>
        <v>-</v>
      </c>
      <c r="Z35" s="80"/>
      <c r="AA35" s="80"/>
      <c r="AB35" s="80"/>
      <c r="AC35" s="12"/>
      <c r="AD35" s="94"/>
      <c r="AE35" s="96"/>
      <c r="AF35" s="98" t="str">
        <f>IFERROR(__xludf.DUMMYFUNCTION("""COMPUTED_VALUE"""),"裾口巾（半寸）")</f>
        <v>裾口巾（半寸）</v>
      </c>
      <c r="AG35" s="90"/>
      <c r="AH35" s="83">
        <f>IFERROR(__xludf.DUMMYFUNCTION("""COMPUTED_VALUE"""),-6.0)</f>
        <v>-6</v>
      </c>
      <c r="AI35" s="82">
        <f>IFERROR(__xludf.DUMMYFUNCTION("""COMPUTED_VALUE"""),-5.0)</f>
        <v>-5</v>
      </c>
      <c r="AJ35" s="84">
        <f>IFERROR(__xludf.DUMMYFUNCTION("""COMPUTED_VALUE"""),-4.0)</f>
        <v>-4</v>
      </c>
      <c r="AK35" s="84">
        <f>IFERROR(__xludf.DUMMYFUNCTION("""COMPUTED_VALUE"""),-3.0)</f>
        <v>-3</v>
      </c>
      <c r="AL35" s="84">
        <f>IFERROR(__xludf.DUMMYFUNCTION("""COMPUTED_VALUE"""),-2.0)</f>
        <v>-2</v>
      </c>
      <c r="AM35" s="84">
        <f>IFERROR(__xludf.DUMMYFUNCTION("""COMPUTED_VALUE"""),-1.0)</f>
        <v>-1</v>
      </c>
      <c r="AN35" s="85">
        <f>IFERROR(__xludf.DUMMYFUNCTION("""COMPUTED_VALUE"""),0.0)</f>
        <v>0</v>
      </c>
      <c r="AO35" s="83">
        <f>IFERROR(__xludf.DUMMYFUNCTION("""COMPUTED_VALUE"""),1.0)</f>
        <v>1</v>
      </c>
      <c r="AP35" s="83">
        <f>IFERROR(__xludf.DUMMYFUNCTION("""COMPUTED_VALUE"""),2.0)</f>
        <v>2</v>
      </c>
      <c r="AQ35" s="83">
        <f>IFERROR(__xludf.DUMMYFUNCTION("""COMPUTED_VALUE"""),3.0)</f>
        <v>3</v>
      </c>
      <c r="AR35" s="83">
        <f>IFERROR(__xludf.DUMMYFUNCTION("""COMPUTED_VALUE"""),4.0)</f>
        <v>4</v>
      </c>
      <c r="AS35" s="83">
        <f>IFERROR(__xludf.DUMMYFUNCTION("""COMPUTED_VALUE"""),5.0)</f>
        <v>5</v>
      </c>
      <c r="AT35" s="86">
        <f>IFERROR(__xludf.DUMMYFUNCTION("""COMPUTED_VALUE"""),5.0)</f>
        <v>5</v>
      </c>
      <c r="AU35" s="87">
        <f>IFERROR(__xludf.DUMMYFUNCTION("""COMPUTED_VALUE"""),45996.0)</f>
        <v>45996</v>
      </c>
      <c r="AV35" s="119">
        <f>IFERROR(__xludf.DUMMYFUNCTION("""COMPUTED_VALUE"""),46002.0)</f>
        <v>46002</v>
      </c>
      <c r="AW35" s="120">
        <f>IFERROR(__xludf.DUMMYFUNCTION("""COMPUTED_VALUE"""),46007.0)</f>
        <v>46007</v>
      </c>
      <c r="AX35" s="70"/>
      <c r="AY35" s="70"/>
      <c r="AZ35" s="70"/>
      <c r="BA35" s="123"/>
      <c r="BB35" s="91" t="str">
        <f>IFERROR(__xludf.DUMMYFUNCTION("""COMPUTED_VALUE"""),"なめらかで極細の糸から創り上げた、着心地抜群のストレッチ新素材")</f>
        <v>なめらかで極細の糸から創り上げた、着心地抜群のストレッチ新素材</v>
      </c>
      <c r="BC35" s="95" t="str">
        <f>IFERROR(__xludf.DUMMYFUNCTION("""COMPUTED_VALUE"""),"W240002")</f>
        <v>W240002</v>
      </c>
      <c r="BD35" s="92" t="str">
        <f>IFERROR(__xludf.DUMMYFUNCTION("""COMPUTED_VALUE"""),"出しNG（再製作）ジャケット・スラックス")</f>
        <v>出しNG（再製作）ジャケット・スラックス</v>
      </c>
      <c r="BE35" s="123"/>
    </row>
    <row r="36">
      <c r="A36" s="12"/>
      <c r="B36" s="94"/>
      <c r="C36" s="94"/>
      <c r="D36" s="98" t="str">
        <f>IFERROR(__xludf.DUMMYFUNCTION("""COMPUTED_VALUE"""),"バスト")</f>
        <v>バスト</v>
      </c>
      <c r="E36" s="70"/>
      <c r="F36" s="71">
        <f>IFERROR(__xludf.DUMMYFUNCTION("""COMPUTED_VALUE"""),-10.0)</f>
        <v>-10</v>
      </c>
      <c r="G36" s="71">
        <f>IFERROR(__xludf.DUMMYFUNCTION("""COMPUTED_VALUE"""),-9.0)</f>
        <v>-9</v>
      </c>
      <c r="H36" s="71">
        <f>IFERROR(__xludf.DUMMYFUNCTION("""COMPUTED_VALUE"""),-8.0)</f>
        <v>-8</v>
      </c>
      <c r="I36" s="71">
        <f>IFERROR(__xludf.DUMMYFUNCTION("""COMPUTED_VALUE"""),-7.0)</f>
        <v>-7</v>
      </c>
      <c r="J36" s="97">
        <f>IFERROR(__xludf.DUMMYFUNCTION("""COMPUTED_VALUE"""),-6.0)</f>
        <v>-6</v>
      </c>
      <c r="K36" s="97">
        <f>IFERROR(__xludf.DUMMYFUNCTION("""COMPUTED_VALUE"""),-5.0)</f>
        <v>-5</v>
      </c>
      <c r="L36" s="97">
        <f>IFERROR(__xludf.DUMMYFUNCTION("""COMPUTED_VALUE"""),-4.0)</f>
        <v>-4</v>
      </c>
      <c r="M36" s="97">
        <f>IFERROR(__xludf.DUMMYFUNCTION("""COMPUTED_VALUE"""),-3.0)</f>
        <v>-3</v>
      </c>
      <c r="N36" s="97">
        <f>IFERROR(__xludf.DUMMYFUNCTION("""COMPUTED_VALUE"""),-2.0)</f>
        <v>-2</v>
      </c>
      <c r="O36" s="97">
        <f>IFERROR(__xludf.DUMMYFUNCTION("""COMPUTED_VALUE"""),-1.0)</f>
        <v>-1</v>
      </c>
      <c r="P36" s="109">
        <f>IFERROR(__xludf.DUMMYFUNCTION("""COMPUTED_VALUE"""),0.0)</f>
        <v>0</v>
      </c>
      <c r="Q36" s="71">
        <f>IFERROR(__xludf.DUMMYFUNCTION("""COMPUTED_VALUE"""),1.0)</f>
        <v>1</v>
      </c>
      <c r="R36" s="71">
        <f>IFERROR(__xludf.DUMMYFUNCTION("""COMPUTED_VALUE"""),2.0)</f>
        <v>2</v>
      </c>
      <c r="S36" s="71">
        <f>IFERROR(__xludf.DUMMYFUNCTION("""COMPUTED_VALUE"""),3.0)</f>
        <v>3</v>
      </c>
      <c r="T36" s="71">
        <f>IFERROR(__xludf.DUMMYFUNCTION("""COMPUTED_VALUE"""),4.0)</f>
        <v>4</v>
      </c>
      <c r="U36" s="71">
        <f>IFERROR(__xludf.DUMMYFUNCTION("""COMPUTED_VALUE"""),5.0)</f>
        <v>5</v>
      </c>
      <c r="V36" s="86">
        <f>IFERROR(__xludf.DUMMYFUNCTION("""COMPUTED_VALUE"""),7.0)</f>
        <v>7</v>
      </c>
      <c r="W36" s="76">
        <f>IFERROR(__xludf.DUMMYFUNCTION("""COMPUTED_VALUE"""),46000.0)</f>
        <v>46000</v>
      </c>
      <c r="X36" s="110">
        <f>IFERROR(__xludf.DUMMYFUNCTION("""COMPUTED_VALUE"""),46003.0)</f>
        <v>46003</v>
      </c>
      <c r="Y36" s="111">
        <f>IFERROR(__xludf.DUMMYFUNCTION("""COMPUTED_VALUE"""),46008.0)</f>
        <v>46008</v>
      </c>
      <c r="Z36" s="80"/>
      <c r="AA36" s="80"/>
      <c r="AB36" s="80"/>
      <c r="AC36" s="12"/>
      <c r="AD36" s="94"/>
      <c r="AE36" s="68" t="str">
        <f>IFERROR(__xludf.DUMMYFUNCTION("""COMPUTED_VALUE"""),"縫製")</f>
        <v>縫製</v>
      </c>
      <c r="AF36" s="69" t="str">
        <f>IFERROR(__xludf.DUMMYFUNCTION("""COMPUTED_VALUE"""),"ベルトループ付け直し")</f>
        <v>ベルトループ付け直し</v>
      </c>
      <c r="AG36" s="113" t="str">
        <f>IFERROR(__xludf.DUMMYFUNCTION("""COMPUTED_VALUE"""),"縫製/依頼シートをつけてTB出荷")</f>
        <v>縫製/依頼シートをつけてTB出荷</v>
      </c>
      <c r="AH36" s="101"/>
      <c r="AI36" s="101"/>
      <c r="AJ36" s="101"/>
      <c r="AK36" s="101"/>
      <c r="AL36" s="101"/>
      <c r="AM36" s="101"/>
      <c r="AN36" s="102"/>
      <c r="AO36" s="101"/>
      <c r="AP36" s="101"/>
      <c r="AQ36" s="101"/>
      <c r="AR36" s="101"/>
      <c r="AS36" s="101"/>
      <c r="AT36" s="86">
        <f>IFERROR(__xludf.DUMMYFUNCTION("""COMPUTED_VALUE"""),4.0)</f>
        <v>4</v>
      </c>
      <c r="AU36" s="87">
        <f>IFERROR(__xludf.DUMMYFUNCTION("""COMPUTED_VALUE"""),45995.0)</f>
        <v>45995</v>
      </c>
      <c r="AV36" s="103"/>
      <c r="AW36" s="103"/>
      <c r="AX36" s="102"/>
      <c r="AY36" s="102"/>
      <c r="AZ36" s="102"/>
      <c r="BA36" s="123"/>
      <c r="BB36" s="91" t="str">
        <f>IFERROR(__xludf.DUMMYFUNCTION("""COMPUTED_VALUE"""),"なめらかで極細の糸から創り上げた、着心地抜群のストレッチ新素材")</f>
        <v>なめらかで極細の糸から創り上げた、着心地抜群のストレッチ新素材</v>
      </c>
      <c r="BC36" s="95" t="str">
        <f>IFERROR(__xludf.DUMMYFUNCTION("""COMPUTED_VALUE"""),"W240003")</f>
        <v>W240003</v>
      </c>
      <c r="BD36" s="92" t="str">
        <f>IFERROR(__xludf.DUMMYFUNCTION("""COMPUTED_VALUE"""),"出しNG（再製作）ジャケット・スラックス")</f>
        <v>出しNG（再製作）ジャケット・スラックス</v>
      </c>
      <c r="BE36" s="123"/>
    </row>
    <row r="37">
      <c r="A37" s="12"/>
      <c r="B37" s="94"/>
      <c r="C37" s="94"/>
      <c r="D37" s="98" t="str">
        <f>IFERROR(__xludf.DUMMYFUNCTION("""COMPUTED_VALUE"""),"アームホール")</f>
        <v>アームホール</v>
      </c>
      <c r="E37" s="112" t="str">
        <f>IFERROR(__xludf.DUMMYFUNCTION("""COMPUTED_VALUE"""),"※バストと連動。
数値指定は再製作")</f>
        <v>※バストと連動。
数値指定は再製作</v>
      </c>
      <c r="F37" s="71">
        <f>IFERROR(__xludf.DUMMYFUNCTION("""COMPUTED_VALUE"""),-10.0)</f>
        <v>-10</v>
      </c>
      <c r="G37" s="71">
        <f>IFERROR(__xludf.DUMMYFUNCTION("""COMPUTED_VALUE"""),-9.0)</f>
        <v>-9</v>
      </c>
      <c r="H37" s="71">
        <f>IFERROR(__xludf.DUMMYFUNCTION("""COMPUTED_VALUE"""),-8.0)</f>
        <v>-8</v>
      </c>
      <c r="I37" s="71">
        <f>IFERROR(__xludf.DUMMYFUNCTION("""COMPUTED_VALUE"""),-7.0)</f>
        <v>-7</v>
      </c>
      <c r="J37" s="71">
        <f>IFERROR(__xludf.DUMMYFUNCTION("""COMPUTED_VALUE"""),-6.0)</f>
        <v>-6</v>
      </c>
      <c r="K37" s="71">
        <f>IFERROR(__xludf.DUMMYFUNCTION("""COMPUTED_VALUE"""),-5.0)</f>
        <v>-5</v>
      </c>
      <c r="L37" s="71">
        <f>IFERROR(__xludf.DUMMYFUNCTION("""COMPUTED_VALUE"""),-4.0)</f>
        <v>-4</v>
      </c>
      <c r="M37" s="97">
        <f>IFERROR(__xludf.DUMMYFUNCTION("""COMPUTED_VALUE"""),-3.0)</f>
        <v>-3</v>
      </c>
      <c r="N37" s="97">
        <f>IFERROR(__xludf.DUMMYFUNCTION("""COMPUTED_VALUE"""),-2.0)</f>
        <v>-2</v>
      </c>
      <c r="O37" s="97">
        <f>IFERROR(__xludf.DUMMYFUNCTION("""COMPUTED_VALUE"""),-1.0)</f>
        <v>-1</v>
      </c>
      <c r="P37" s="109">
        <f>IFERROR(__xludf.DUMMYFUNCTION("""COMPUTED_VALUE"""),0.0)</f>
        <v>0</v>
      </c>
      <c r="Q37" s="71">
        <f>IFERROR(__xludf.DUMMYFUNCTION("""COMPUTED_VALUE"""),1.0)</f>
        <v>1</v>
      </c>
      <c r="R37" s="71">
        <f>IFERROR(__xludf.DUMMYFUNCTION("""COMPUTED_VALUE"""),2.0)</f>
        <v>2</v>
      </c>
      <c r="S37" s="71">
        <f>IFERROR(__xludf.DUMMYFUNCTION("""COMPUTED_VALUE"""),3.0)</f>
        <v>3</v>
      </c>
      <c r="T37" s="71">
        <f>IFERROR(__xludf.DUMMYFUNCTION("""COMPUTED_VALUE"""),4.0)</f>
        <v>4</v>
      </c>
      <c r="U37" s="71">
        <f>IFERROR(__xludf.DUMMYFUNCTION("""COMPUTED_VALUE"""),5.0)</f>
        <v>5</v>
      </c>
      <c r="V37" s="86">
        <f>IFERROR(__xludf.DUMMYFUNCTION("""COMPUTED_VALUE"""),7.0)</f>
        <v>7</v>
      </c>
      <c r="W37" s="76">
        <f>IFERROR(__xludf.DUMMYFUNCTION("""COMPUTED_VALUE"""),46000.0)</f>
        <v>46000</v>
      </c>
      <c r="X37" s="110">
        <f>IFERROR(__xludf.DUMMYFUNCTION("""COMPUTED_VALUE"""),46003.0)</f>
        <v>46003</v>
      </c>
      <c r="Y37" s="111">
        <f>IFERROR(__xludf.DUMMYFUNCTION("""COMPUTED_VALUE"""),46008.0)</f>
        <v>46008</v>
      </c>
      <c r="Z37" s="80"/>
      <c r="AA37" s="80"/>
      <c r="AB37" s="80"/>
      <c r="AC37" s="12"/>
      <c r="AD37" s="94"/>
      <c r="AE37" s="94"/>
      <c r="AF37" s="69" t="str">
        <f>IFERROR(__xludf.DUMMYFUNCTION("""COMPUTED_VALUE"""),"裾まつり直し")</f>
        <v>裾まつり直し</v>
      </c>
      <c r="AG37" s="113" t="str">
        <f>IFERROR(__xludf.DUMMYFUNCTION("""COMPUTED_VALUE"""),"縫製/依頼シートをつけてTB出荷")</f>
        <v>縫製/依頼シートをつけてTB出荷</v>
      </c>
      <c r="AH37" s="101"/>
      <c r="AI37" s="101"/>
      <c r="AJ37" s="101"/>
      <c r="AK37" s="101"/>
      <c r="AL37" s="101"/>
      <c r="AM37" s="101"/>
      <c r="AN37" s="102"/>
      <c r="AO37" s="101"/>
      <c r="AP37" s="101"/>
      <c r="AQ37" s="101"/>
      <c r="AR37" s="101"/>
      <c r="AS37" s="101"/>
      <c r="AT37" s="86">
        <f>IFERROR(__xludf.DUMMYFUNCTION("""COMPUTED_VALUE"""),4.0)</f>
        <v>4</v>
      </c>
      <c r="AU37" s="87">
        <f>IFERROR(__xludf.DUMMYFUNCTION("""COMPUTED_VALUE"""),45995.0)</f>
        <v>45995</v>
      </c>
      <c r="AV37" s="90"/>
      <c r="AW37" s="90"/>
      <c r="AX37" s="102"/>
      <c r="AY37" s="102"/>
      <c r="AZ37" s="102"/>
      <c r="BA37" s="123"/>
      <c r="BB37" s="91" t="str">
        <f>IFERROR(__xludf.DUMMYFUNCTION("""COMPUTED_VALUE"""),"史上最軽量、KAJIFの技術が詰まったリサイクルファブリック")</f>
        <v>史上最軽量、KAJIFの技術が詰まったリサイクルファブリック</v>
      </c>
      <c r="BC37" s="95" t="str">
        <f>IFERROR(__xludf.DUMMYFUNCTION("""COMPUTED_VALUE"""),"W240004")</f>
        <v>W240004</v>
      </c>
      <c r="BD37" s="95" t="str">
        <f>IFERROR(__xludf.DUMMYFUNCTION("""COMPUTED_VALUE"""),"問題なし")</f>
        <v>問題なし</v>
      </c>
      <c r="BE37" s="123"/>
    </row>
    <row r="38">
      <c r="A38" s="12"/>
      <c r="B38" s="94"/>
      <c r="C38" s="94"/>
      <c r="D38" s="98" t="str">
        <f>IFERROR(__xludf.DUMMYFUNCTION("""COMPUTED_VALUE"""),"ウエスト")</f>
        <v>ウエスト</v>
      </c>
      <c r="E38" s="90"/>
      <c r="F38" s="71">
        <f>IFERROR(__xludf.DUMMYFUNCTION("""COMPUTED_VALUE"""),-10.0)</f>
        <v>-10</v>
      </c>
      <c r="G38" s="71">
        <f>IFERROR(__xludf.DUMMYFUNCTION("""COMPUTED_VALUE"""),-9.0)</f>
        <v>-9</v>
      </c>
      <c r="H38" s="71">
        <f>IFERROR(__xludf.DUMMYFUNCTION("""COMPUTED_VALUE"""),-8.0)</f>
        <v>-8</v>
      </c>
      <c r="I38" s="71">
        <f>IFERROR(__xludf.DUMMYFUNCTION("""COMPUTED_VALUE"""),-7.0)</f>
        <v>-7</v>
      </c>
      <c r="J38" s="97">
        <f>IFERROR(__xludf.DUMMYFUNCTION("""COMPUTED_VALUE"""),-6.0)</f>
        <v>-6</v>
      </c>
      <c r="K38" s="97">
        <f>IFERROR(__xludf.DUMMYFUNCTION("""COMPUTED_VALUE"""),-5.0)</f>
        <v>-5</v>
      </c>
      <c r="L38" s="97">
        <f>IFERROR(__xludf.DUMMYFUNCTION("""COMPUTED_VALUE"""),-4.0)</f>
        <v>-4</v>
      </c>
      <c r="M38" s="97">
        <f>IFERROR(__xludf.DUMMYFUNCTION("""COMPUTED_VALUE"""),-3.0)</f>
        <v>-3</v>
      </c>
      <c r="N38" s="97">
        <f>IFERROR(__xludf.DUMMYFUNCTION("""COMPUTED_VALUE"""),-2.0)</f>
        <v>-2</v>
      </c>
      <c r="O38" s="97">
        <f>IFERROR(__xludf.DUMMYFUNCTION("""COMPUTED_VALUE"""),-1.0)</f>
        <v>-1</v>
      </c>
      <c r="P38" s="109">
        <f>IFERROR(__xludf.DUMMYFUNCTION("""COMPUTED_VALUE"""),0.0)</f>
        <v>0</v>
      </c>
      <c r="Q38" s="71">
        <f>IFERROR(__xludf.DUMMYFUNCTION("""COMPUTED_VALUE"""),1.0)</f>
        <v>1</v>
      </c>
      <c r="R38" s="71">
        <f>IFERROR(__xludf.DUMMYFUNCTION("""COMPUTED_VALUE"""),2.0)</f>
        <v>2</v>
      </c>
      <c r="S38" s="71">
        <f>IFERROR(__xludf.DUMMYFUNCTION("""COMPUTED_VALUE"""),3.0)</f>
        <v>3</v>
      </c>
      <c r="T38" s="71">
        <f>IFERROR(__xludf.DUMMYFUNCTION("""COMPUTED_VALUE"""),4.0)</f>
        <v>4</v>
      </c>
      <c r="U38" s="71">
        <f>IFERROR(__xludf.DUMMYFUNCTION("""COMPUTED_VALUE"""),5.0)</f>
        <v>5</v>
      </c>
      <c r="V38" s="86">
        <f>IFERROR(__xludf.DUMMYFUNCTION("""COMPUTED_VALUE"""),7.0)</f>
        <v>7</v>
      </c>
      <c r="W38" s="76">
        <f>IFERROR(__xludf.DUMMYFUNCTION("""COMPUTED_VALUE"""),46000.0)</f>
        <v>46000</v>
      </c>
      <c r="X38" s="110">
        <f>IFERROR(__xludf.DUMMYFUNCTION("""COMPUTED_VALUE"""),46003.0)</f>
        <v>46003</v>
      </c>
      <c r="Y38" s="111">
        <f>IFERROR(__xludf.DUMMYFUNCTION("""COMPUTED_VALUE"""),46008.0)</f>
        <v>46008</v>
      </c>
      <c r="Z38" s="80"/>
      <c r="AA38" s="80"/>
      <c r="AB38" s="80"/>
      <c r="AC38" s="12"/>
      <c r="AD38" s="94"/>
      <c r="AE38" s="94"/>
      <c r="AF38" s="112" t="str">
        <f>IFERROR(__xludf.DUMMYFUNCTION("""COMPUTED_VALUE"""),"緩くなったボタンの付け直し")</f>
        <v>緩くなったボタンの付け直し</v>
      </c>
      <c r="AG38" s="113" t="str">
        <f>IFERROR(__xludf.DUMMYFUNCTION("""COMPUTED_VALUE"""),"縫製/依頼シートをつけてTB出荷")</f>
        <v>縫製/依頼シートをつけてTB出荷</v>
      </c>
      <c r="AH38" s="114"/>
      <c r="AI38" s="114"/>
      <c r="AJ38" s="114"/>
      <c r="AK38" s="114"/>
      <c r="AL38" s="114"/>
      <c r="AM38" s="114"/>
      <c r="AN38" s="115"/>
      <c r="AO38" s="114"/>
      <c r="AP38" s="114"/>
      <c r="AQ38" s="114"/>
      <c r="AR38" s="114"/>
      <c r="AS38" s="114"/>
      <c r="AT38" s="75">
        <f>IFERROR(__xludf.DUMMYFUNCTION("""COMPUTED_VALUE"""),4.0)</f>
        <v>4</v>
      </c>
      <c r="AU38" s="87">
        <f>IFERROR(__xludf.DUMMYFUNCTION("""COMPUTED_VALUE"""),45995.0)</f>
        <v>45995</v>
      </c>
      <c r="AV38" s="90"/>
      <c r="AW38" s="90"/>
      <c r="AX38" s="85" t="str">
        <f>IFERROR(__xludf.DUMMYFUNCTION("""COMPUTED_VALUE"""),"120/個数")</f>
        <v>120/個数</v>
      </c>
      <c r="AY38" s="85" t="str">
        <f>IFERROR(__xludf.DUMMYFUNCTION("""COMPUTED_VALUE"""),"180/個数")</f>
        <v>180/個数</v>
      </c>
      <c r="AZ38" s="102"/>
      <c r="BA38" s="123"/>
      <c r="BB38" s="91" t="str">
        <f>IFERROR(__xludf.DUMMYFUNCTION("""COMPUTED_VALUE"""),"史上最軽量、KAJIFの技術が詰まったリサイクルファブリック")</f>
        <v>史上最軽量、KAJIFの技術が詰まったリサイクルファブリック</v>
      </c>
      <c r="BC38" s="95" t="str">
        <f>IFERROR(__xludf.DUMMYFUNCTION("""COMPUTED_VALUE"""),"W240005")</f>
        <v>W240005</v>
      </c>
      <c r="BD38" s="95" t="str">
        <f>IFERROR(__xludf.DUMMYFUNCTION("""COMPUTED_VALUE"""),"問題なし")</f>
        <v>問題なし</v>
      </c>
      <c r="BE38" s="123"/>
    </row>
    <row r="39">
      <c r="A39" s="123"/>
      <c r="B39" s="94"/>
      <c r="C39" s="94"/>
      <c r="D39" s="98" t="str">
        <f>IFERROR(__xludf.DUMMYFUNCTION("""COMPUTED_VALUE"""),"着丈")</f>
        <v>着丈</v>
      </c>
      <c r="E39" s="90"/>
      <c r="F39" s="71">
        <f>IFERROR(__xludf.DUMMYFUNCTION("""COMPUTED_VALUE"""),-10.0)</f>
        <v>-10</v>
      </c>
      <c r="G39" s="71">
        <f>IFERROR(__xludf.DUMMYFUNCTION("""COMPUTED_VALUE"""),-9.0)</f>
        <v>-9</v>
      </c>
      <c r="H39" s="71">
        <f>IFERROR(__xludf.DUMMYFUNCTION("""COMPUTED_VALUE"""),-8.0)</f>
        <v>-8</v>
      </c>
      <c r="I39" s="71">
        <f>IFERROR(__xludf.DUMMYFUNCTION("""COMPUTED_VALUE"""),-7.0)</f>
        <v>-7</v>
      </c>
      <c r="J39" s="97">
        <f>IFERROR(__xludf.DUMMYFUNCTION("""COMPUTED_VALUE"""),-6.0)</f>
        <v>-6</v>
      </c>
      <c r="K39" s="97">
        <f>IFERROR(__xludf.DUMMYFUNCTION("""COMPUTED_VALUE"""),-5.0)</f>
        <v>-5</v>
      </c>
      <c r="L39" s="97">
        <f>IFERROR(__xludf.DUMMYFUNCTION("""COMPUTED_VALUE"""),-4.0)</f>
        <v>-4</v>
      </c>
      <c r="M39" s="97">
        <f>IFERROR(__xludf.DUMMYFUNCTION("""COMPUTED_VALUE"""),-3.0)</f>
        <v>-3</v>
      </c>
      <c r="N39" s="97">
        <f>IFERROR(__xludf.DUMMYFUNCTION("""COMPUTED_VALUE"""),-2.0)</f>
        <v>-2</v>
      </c>
      <c r="O39" s="97">
        <f>IFERROR(__xludf.DUMMYFUNCTION("""COMPUTED_VALUE"""),-1.0)</f>
        <v>-1</v>
      </c>
      <c r="P39" s="109">
        <f>IFERROR(__xludf.DUMMYFUNCTION("""COMPUTED_VALUE"""),0.0)</f>
        <v>0</v>
      </c>
      <c r="Q39" s="71">
        <f>IFERROR(__xludf.DUMMYFUNCTION("""COMPUTED_VALUE"""),1.0)</f>
        <v>1</v>
      </c>
      <c r="R39" s="71">
        <f>IFERROR(__xludf.DUMMYFUNCTION("""COMPUTED_VALUE"""),2.0)</f>
        <v>2</v>
      </c>
      <c r="S39" s="71">
        <f>IFERROR(__xludf.DUMMYFUNCTION("""COMPUTED_VALUE"""),3.0)</f>
        <v>3</v>
      </c>
      <c r="T39" s="71">
        <f>IFERROR(__xludf.DUMMYFUNCTION("""COMPUTED_VALUE"""),4.0)</f>
        <v>4</v>
      </c>
      <c r="U39" s="71">
        <f>IFERROR(__xludf.DUMMYFUNCTION("""COMPUTED_VALUE"""),5.0)</f>
        <v>5</v>
      </c>
      <c r="V39" s="86">
        <f>IFERROR(__xludf.DUMMYFUNCTION("""COMPUTED_VALUE"""),7.0)</f>
        <v>7</v>
      </c>
      <c r="W39" s="76">
        <f>IFERROR(__xludf.DUMMYFUNCTION("""COMPUTED_VALUE"""),46000.0)</f>
        <v>46000</v>
      </c>
      <c r="X39" s="110">
        <f>IFERROR(__xludf.DUMMYFUNCTION("""COMPUTED_VALUE"""),46003.0)</f>
        <v>46003</v>
      </c>
      <c r="Y39" s="111">
        <f>IFERROR(__xludf.DUMMYFUNCTION("""COMPUTED_VALUE"""),46008.0)</f>
        <v>46008</v>
      </c>
      <c r="Z39" s="80"/>
      <c r="AA39" s="80"/>
      <c r="AB39" s="80"/>
      <c r="AC39" s="12"/>
      <c r="AD39" s="96"/>
      <c r="AE39" s="96"/>
      <c r="AF39" s="98" t="str">
        <f>IFERROR(__xludf.DUMMYFUNCTION("""COMPUTED_VALUE"""),"再プレス")</f>
        <v>再プレス</v>
      </c>
      <c r="AG39" s="69" t="str">
        <f>IFERROR(__xludf.DUMMYFUNCTION("""COMPUTED_VALUE"""),"縫製/依頼シートをつけてTB出荷")</f>
        <v>縫製/依頼シートをつけてTB出荷</v>
      </c>
      <c r="AH39" s="101"/>
      <c r="AI39" s="101"/>
      <c r="AJ39" s="101"/>
      <c r="AK39" s="101"/>
      <c r="AL39" s="101"/>
      <c r="AM39" s="101"/>
      <c r="AN39" s="102"/>
      <c r="AO39" s="101"/>
      <c r="AP39" s="101"/>
      <c r="AQ39" s="101"/>
      <c r="AR39" s="101"/>
      <c r="AS39" s="101"/>
      <c r="AT39" s="86">
        <f>IFERROR(__xludf.DUMMYFUNCTION("""COMPUTED_VALUE"""),4.0)</f>
        <v>4</v>
      </c>
      <c r="AU39" s="87">
        <f>IFERROR(__xludf.DUMMYFUNCTION("""COMPUTED_VALUE"""),45995.0)</f>
        <v>45995</v>
      </c>
      <c r="AV39" s="70"/>
      <c r="AW39" s="70"/>
      <c r="AX39" s="85">
        <f>IFERROR(__xludf.DUMMYFUNCTION("""COMPUTED_VALUE"""),580.0)</f>
        <v>580</v>
      </c>
      <c r="AY39" s="102"/>
      <c r="AZ39" s="102"/>
      <c r="BA39" s="123"/>
      <c r="BB39" s="91" t="str">
        <f>IFERROR(__xludf.DUMMYFUNCTION("""COMPUTED_VALUE"""),"史上最軽量、KAJIFの技術が詰まったリサイクルファブリック")</f>
        <v>史上最軽量、KAJIFの技術が詰まったリサイクルファブリック</v>
      </c>
      <c r="BC39" s="95" t="str">
        <f>IFERROR(__xludf.DUMMYFUNCTION("""COMPUTED_VALUE"""),"W240006")</f>
        <v>W240006</v>
      </c>
      <c r="BD39" s="95" t="str">
        <f>IFERROR(__xludf.DUMMYFUNCTION("""COMPUTED_VALUE"""),"問題なし")</f>
        <v>問題なし</v>
      </c>
      <c r="BE39" s="123"/>
    </row>
    <row r="40">
      <c r="A40" s="93"/>
      <c r="B40" s="94"/>
      <c r="C40" s="94"/>
      <c r="D40" s="98" t="str">
        <f>IFERROR(__xludf.DUMMYFUNCTION("""COMPUTED_VALUE"""),"肩巾")</f>
        <v>肩巾</v>
      </c>
      <c r="E40" s="90"/>
      <c r="F40" s="71">
        <f>IFERROR(__xludf.DUMMYFUNCTION("""COMPUTED_VALUE"""),-10.0)</f>
        <v>-10</v>
      </c>
      <c r="G40" s="71">
        <f>IFERROR(__xludf.DUMMYFUNCTION("""COMPUTED_VALUE"""),-9.0)</f>
        <v>-9</v>
      </c>
      <c r="H40" s="71">
        <f>IFERROR(__xludf.DUMMYFUNCTION("""COMPUTED_VALUE"""),-8.0)</f>
        <v>-8</v>
      </c>
      <c r="I40" s="71">
        <f>IFERROR(__xludf.DUMMYFUNCTION("""COMPUTED_VALUE"""),-7.0)</f>
        <v>-7</v>
      </c>
      <c r="J40" s="71">
        <f>IFERROR(__xludf.DUMMYFUNCTION("""COMPUTED_VALUE"""),-6.0)</f>
        <v>-6</v>
      </c>
      <c r="K40" s="71">
        <f>IFERROR(__xludf.DUMMYFUNCTION("""COMPUTED_VALUE"""),-5.0)</f>
        <v>-5</v>
      </c>
      <c r="L40" s="71">
        <f>IFERROR(__xludf.DUMMYFUNCTION("""COMPUTED_VALUE"""),-4.0)</f>
        <v>-4</v>
      </c>
      <c r="M40" s="71">
        <f>IFERROR(__xludf.DUMMYFUNCTION("""COMPUTED_VALUE"""),-3.0)</f>
        <v>-3</v>
      </c>
      <c r="N40" s="71">
        <f>IFERROR(__xludf.DUMMYFUNCTION("""COMPUTED_VALUE"""),-2.0)</f>
        <v>-2</v>
      </c>
      <c r="O40" s="71">
        <f>IFERROR(__xludf.DUMMYFUNCTION("""COMPUTED_VALUE"""),-1.0)</f>
        <v>-1</v>
      </c>
      <c r="P40" s="109">
        <f>IFERROR(__xludf.DUMMYFUNCTION("""COMPUTED_VALUE"""),0.0)</f>
        <v>0</v>
      </c>
      <c r="Q40" s="71">
        <f>IFERROR(__xludf.DUMMYFUNCTION("""COMPUTED_VALUE"""),1.0)</f>
        <v>1</v>
      </c>
      <c r="R40" s="71">
        <f>IFERROR(__xludf.DUMMYFUNCTION("""COMPUTED_VALUE"""),2.0)</f>
        <v>2</v>
      </c>
      <c r="S40" s="71">
        <f>IFERROR(__xludf.DUMMYFUNCTION("""COMPUTED_VALUE"""),3.0)</f>
        <v>3</v>
      </c>
      <c r="T40" s="71">
        <f>IFERROR(__xludf.DUMMYFUNCTION("""COMPUTED_VALUE"""),4.0)</f>
        <v>4</v>
      </c>
      <c r="U40" s="71">
        <f>IFERROR(__xludf.DUMMYFUNCTION("""COMPUTED_VALUE"""),5.0)</f>
        <v>5</v>
      </c>
      <c r="V40" s="86">
        <f>IFERROR(__xludf.DUMMYFUNCTION("""COMPUTED_VALUE"""),7.0)</f>
        <v>7</v>
      </c>
      <c r="W40" s="76">
        <f>IFERROR(__xludf.DUMMYFUNCTION("""COMPUTED_VALUE"""),46000.0)</f>
        <v>46000</v>
      </c>
      <c r="X40" s="110">
        <f>IFERROR(__xludf.DUMMYFUNCTION("""COMPUTED_VALUE"""),46003.0)</f>
        <v>46003</v>
      </c>
      <c r="Y40" s="111">
        <f>IFERROR(__xludf.DUMMYFUNCTION("""COMPUTED_VALUE"""),46008.0)</f>
        <v>46008</v>
      </c>
      <c r="Z40" s="80"/>
      <c r="AA40" s="80"/>
      <c r="AB40" s="80"/>
      <c r="AC40" s="11"/>
      <c r="AD40" s="11"/>
      <c r="AE40" s="11"/>
      <c r="AF40" s="11"/>
      <c r="AG40" s="11"/>
      <c r="AH40" s="11"/>
      <c r="AI40" s="11"/>
      <c r="AJ40" s="11"/>
      <c r="AK40" s="11"/>
      <c r="AL40" s="11"/>
      <c r="AM40" s="11"/>
      <c r="AN40" s="11"/>
      <c r="AO40" s="11"/>
      <c r="AP40" s="11"/>
      <c r="AQ40" s="11"/>
      <c r="AR40" s="11"/>
      <c r="AS40" s="11"/>
      <c r="AT40" s="11"/>
      <c r="AU40" s="11"/>
      <c r="AV40" s="11"/>
      <c r="AW40" s="11"/>
      <c r="AX40" s="124"/>
      <c r="AY40" s="124"/>
      <c r="AZ40" s="124"/>
      <c r="BA40" s="123"/>
      <c r="BB40" s="91" t="str">
        <f>IFERROR(__xludf.DUMMYFUNCTION("""COMPUTED_VALUE"""),"史上最軽量、KAJIFの技術が詰まったリサイクルファブリック")</f>
        <v>史上最軽量、KAJIFの技術が詰まったリサイクルファブリック</v>
      </c>
      <c r="BC40" s="95" t="str">
        <f>IFERROR(__xludf.DUMMYFUNCTION("""COMPUTED_VALUE"""),"W240007")</f>
        <v>W240007</v>
      </c>
      <c r="BD40" s="95" t="str">
        <f>IFERROR(__xludf.DUMMYFUNCTION("""COMPUTED_VALUE"""),"問題なし")</f>
        <v>問題なし</v>
      </c>
      <c r="BE40" s="123"/>
    </row>
    <row r="41">
      <c r="A41" s="93"/>
      <c r="B41" s="96"/>
      <c r="C41" s="96"/>
      <c r="D41" s="98" t="str">
        <f>IFERROR(__xludf.DUMMYFUNCTION("""COMPUTED_VALUE"""),"ヒップ")</f>
        <v>ヒップ</v>
      </c>
      <c r="E41" s="70"/>
      <c r="F41" s="71">
        <f>IFERROR(__xludf.DUMMYFUNCTION("""COMPUTED_VALUE"""),-10.0)</f>
        <v>-10</v>
      </c>
      <c r="G41" s="71">
        <f>IFERROR(__xludf.DUMMYFUNCTION("""COMPUTED_VALUE"""),-9.0)</f>
        <v>-9</v>
      </c>
      <c r="H41" s="71">
        <f>IFERROR(__xludf.DUMMYFUNCTION("""COMPUTED_VALUE"""),-8.0)</f>
        <v>-8</v>
      </c>
      <c r="I41" s="71">
        <f>IFERROR(__xludf.DUMMYFUNCTION("""COMPUTED_VALUE"""),-7.0)</f>
        <v>-7</v>
      </c>
      <c r="J41" s="97">
        <f>IFERROR(__xludf.DUMMYFUNCTION("""COMPUTED_VALUE"""),-6.0)</f>
        <v>-6</v>
      </c>
      <c r="K41" s="97">
        <f>IFERROR(__xludf.DUMMYFUNCTION("""COMPUTED_VALUE"""),-5.0)</f>
        <v>-5</v>
      </c>
      <c r="L41" s="97">
        <f>IFERROR(__xludf.DUMMYFUNCTION("""COMPUTED_VALUE"""),-4.0)</f>
        <v>-4</v>
      </c>
      <c r="M41" s="97">
        <f>IFERROR(__xludf.DUMMYFUNCTION("""COMPUTED_VALUE"""),-3.0)</f>
        <v>-3</v>
      </c>
      <c r="N41" s="97">
        <f>IFERROR(__xludf.DUMMYFUNCTION("""COMPUTED_VALUE"""),-2.0)</f>
        <v>-2</v>
      </c>
      <c r="O41" s="97">
        <f>IFERROR(__xludf.DUMMYFUNCTION("""COMPUTED_VALUE"""),-1.0)</f>
        <v>-1</v>
      </c>
      <c r="P41" s="109">
        <f>IFERROR(__xludf.DUMMYFUNCTION("""COMPUTED_VALUE"""),0.0)</f>
        <v>0</v>
      </c>
      <c r="Q41" s="71">
        <f>IFERROR(__xludf.DUMMYFUNCTION("""COMPUTED_VALUE"""),1.0)</f>
        <v>1</v>
      </c>
      <c r="R41" s="71">
        <f>IFERROR(__xludf.DUMMYFUNCTION("""COMPUTED_VALUE"""),2.0)</f>
        <v>2</v>
      </c>
      <c r="S41" s="71">
        <f>IFERROR(__xludf.DUMMYFUNCTION("""COMPUTED_VALUE"""),3.0)</f>
        <v>3</v>
      </c>
      <c r="T41" s="71">
        <f>IFERROR(__xludf.DUMMYFUNCTION("""COMPUTED_VALUE"""),4.0)</f>
        <v>4</v>
      </c>
      <c r="U41" s="71">
        <f>IFERROR(__xludf.DUMMYFUNCTION("""COMPUTED_VALUE"""),5.0)</f>
        <v>5</v>
      </c>
      <c r="V41" s="86">
        <f>IFERROR(__xludf.DUMMYFUNCTION("""COMPUTED_VALUE"""),7.0)</f>
        <v>7</v>
      </c>
      <c r="W41" s="76">
        <f>IFERROR(__xludf.DUMMYFUNCTION("""COMPUTED_VALUE"""),46000.0)</f>
        <v>46000</v>
      </c>
      <c r="X41" s="110">
        <f>IFERROR(__xludf.DUMMYFUNCTION("""COMPUTED_VALUE"""),46003.0)</f>
        <v>46003</v>
      </c>
      <c r="Y41" s="111">
        <f>IFERROR(__xludf.DUMMYFUNCTION("""COMPUTED_VALUE"""),46008.0)</f>
        <v>46008</v>
      </c>
      <c r="Z41" s="80"/>
      <c r="AA41" s="80"/>
      <c r="AB41" s="80"/>
      <c r="AC41" s="12"/>
      <c r="AD41" s="133" t="str">
        <f>IFERROR(__xludf.DUMMYFUNCTION("""COMPUTED_VALUE"""),"サポ内　縫製生地不良　到着して間もなく、弊社瑕疵の可能性のあるもの　　縫製・汚れ対応依頼シートで記入")</f>
        <v>サポ内　縫製生地不良　到着して間もなく、弊社瑕疵の可能性のあるもの　　縫製・汚れ対応依頼シートで記入</v>
      </c>
      <c r="AE41" s="25"/>
      <c r="AF41" s="25"/>
      <c r="AG41" s="25"/>
      <c r="AH41" s="25"/>
      <c r="AI41" s="25"/>
      <c r="AJ41" s="25"/>
      <c r="AK41" s="25"/>
      <c r="AL41" s="25"/>
      <c r="AM41" s="25"/>
      <c r="AN41" s="25"/>
      <c r="AO41" s="25"/>
      <c r="AP41" s="25"/>
      <c r="AQ41" s="25"/>
      <c r="AR41" s="25"/>
      <c r="AS41" s="25"/>
      <c r="AT41" s="25"/>
      <c r="AU41" s="25"/>
      <c r="AV41" s="25"/>
      <c r="AW41" s="25"/>
      <c r="AX41" s="25"/>
      <c r="AY41" s="25"/>
      <c r="AZ41" s="26"/>
      <c r="BA41" s="123"/>
      <c r="BB41" s="91" t="str">
        <f>IFERROR(__xludf.DUMMYFUNCTION("""COMPUTED_VALUE"""),"世界に挑む技術、テック×テーラードで魅せる新感覚シボレザー")</f>
        <v>世界に挑む技術、テック×テーラードで魅せる新感覚シボレザー</v>
      </c>
      <c r="BC41" s="95" t="str">
        <f>IFERROR(__xludf.DUMMYFUNCTION("""COMPUTED_VALUE"""),"W240009")</f>
        <v>W240009</v>
      </c>
      <c r="BD41" s="92" t="str">
        <f>IFERROR(__xludf.DUMMYFUNCTION("""COMPUTED_VALUE"""),"出しNG（再製作）ジャケット・スラックス")</f>
        <v>出しNG（再製作）ジャケット・スラックス</v>
      </c>
      <c r="BE41" s="123"/>
    </row>
    <row r="42" ht="33.0" customHeight="1">
      <c r="A42" s="93"/>
      <c r="B42" s="93"/>
      <c r="C42" s="27"/>
      <c r="D42" s="12"/>
      <c r="E42" s="11"/>
      <c r="F42" s="104"/>
      <c r="G42" s="104"/>
      <c r="H42" s="104"/>
      <c r="I42" s="104"/>
      <c r="J42" s="104"/>
      <c r="K42" s="104"/>
      <c r="L42" s="104"/>
      <c r="M42" s="104"/>
      <c r="N42" s="104"/>
      <c r="O42" s="27"/>
      <c r="P42" s="104"/>
      <c r="Q42" s="27"/>
      <c r="R42" s="104"/>
      <c r="S42" s="27"/>
      <c r="T42" s="27"/>
      <c r="U42" s="27"/>
      <c r="V42" s="27"/>
      <c r="W42" s="27"/>
      <c r="X42" s="27"/>
      <c r="Y42" s="27"/>
      <c r="Z42" s="80"/>
      <c r="AA42" s="80"/>
      <c r="AB42" s="80"/>
      <c r="AC42" s="27"/>
      <c r="AD42" s="134" t="str">
        <f>IFERROR(__xludf.DUMMYFUNCTION("""COMPUTED_VALUE"""),"アイテム")</f>
        <v>アイテム</v>
      </c>
      <c r="AE42" s="134" t="str">
        <f>IFERROR(__xludf.DUMMYFUNCTION("""COMPUTED_VALUE"""),"ジャンル")</f>
        <v>ジャンル</v>
      </c>
      <c r="AF42" s="134" t="str">
        <f>IFERROR(__xludf.DUMMYFUNCTION("""COMPUTED_VALUE"""),"事象")</f>
        <v>事象</v>
      </c>
      <c r="AG42" s="135" t="str">
        <f>IFERROR(__xludf.DUMMYFUNCTION("""COMPUTED_VALUE"""),"対応条件　お直し内容が確定できず、不明な場合は cs確認依頼_縫製関連へ")</f>
        <v>対応条件　お直し内容が確定できず、不明な場合は cs確認依頼_縫製関連へ</v>
      </c>
      <c r="AH42" s="25"/>
      <c r="AI42" s="25"/>
      <c r="AJ42" s="25"/>
      <c r="AK42" s="25"/>
      <c r="AL42" s="25"/>
      <c r="AM42" s="26"/>
      <c r="AN42" s="136" t="str">
        <f>IFERROR(__xludf.DUMMYFUNCTION("""COMPUTED_VALUE"""),"マニュアルリンク")</f>
        <v>マニュアルリンク</v>
      </c>
      <c r="AO42" s="25"/>
      <c r="AP42" s="25"/>
      <c r="AQ42" s="25"/>
      <c r="AR42" s="25"/>
      <c r="AS42" s="26"/>
      <c r="AT42" s="137" t="str">
        <f>IFERROR(__xludf.DUMMYFUNCTION("""COMPUTED_VALUE"""),"営業日")</f>
        <v>営業日</v>
      </c>
      <c r="AU42" s="138" t="str">
        <f>IFERROR(__xludf.DUMMYFUNCTION("""COMPUTED_VALUE"""),"1箇所納期")</f>
        <v>1箇所納期</v>
      </c>
      <c r="AV42" s="139" t="str">
        <f>IFERROR(__xludf.DUMMYFUNCTION("""COMPUTED_VALUE"""),"2箇所納期")</f>
        <v>2箇所納期</v>
      </c>
      <c r="AW42" s="140" t="str">
        <f>IFERROR(__xludf.DUMMYFUNCTION("""COMPUTED_VALUE"""),"縫製・汚れ対応依頼シート                                                ")</f>
        <v>縫製・汚れ対応依頼シート                                                </v>
      </c>
      <c r="AX42" s="141" t="str">
        <f>IFERROR(__xludf.DUMMYFUNCTION("""COMPUTED_VALUE"""),"CS確認依頼する必要")</f>
        <v>CS確認依頼する必要</v>
      </c>
      <c r="AY42" s="25"/>
      <c r="AZ42" s="26"/>
      <c r="BA42" s="123"/>
      <c r="BB42" s="91" t="str">
        <f>IFERROR(__xludf.DUMMYFUNCTION("""COMPUTED_VALUE"""),"世界に挑む技術、テック×テーラードで魅せる新感覚シボレザー")</f>
        <v>世界に挑む技術、テック×テーラードで魅せる新感覚シボレザー</v>
      </c>
      <c r="BC42" s="95" t="str">
        <f>IFERROR(__xludf.DUMMYFUNCTION("""COMPUTED_VALUE"""),"W240010")</f>
        <v>W240010</v>
      </c>
      <c r="BD42" s="92" t="str">
        <f>IFERROR(__xludf.DUMMYFUNCTION("""COMPUTED_VALUE"""),"出しNG（再製作）ジャケット・スラックス")</f>
        <v>出しNG（再製作）ジャケット・スラックス</v>
      </c>
      <c r="BE42" s="123"/>
    </row>
    <row r="43">
      <c r="A43" s="93"/>
      <c r="B43" s="107" t="str">
        <f>IFERROR(__xludf.DUMMYFUNCTION("""COMPUTED_VALUE"""),"
シャツ半袖
タックアウト半袖")</f>
        <v>
シャツ半袖
タックアウト半袖</v>
      </c>
      <c r="C43" s="108" t="str">
        <f>IFERROR(__xludf.DUMMYFUNCTION("""COMPUTED_VALUE"""),"サイズ")</f>
        <v>サイズ</v>
      </c>
      <c r="D43" s="98" t="str">
        <f>IFERROR(__xludf.DUMMYFUNCTION("""COMPUTED_VALUE"""),"裄丈")</f>
        <v>裄丈</v>
      </c>
      <c r="E43" s="90"/>
      <c r="F43" s="71">
        <f>IFERROR(__xludf.DUMMYFUNCTION("""COMPUTED_VALUE"""),-10.0)</f>
        <v>-10</v>
      </c>
      <c r="G43" s="71">
        <f>IFERROR(__xludf.DUMMYFUNCTION("""COMPUTED_VALUE"""),-9.0)</f>
        <v>-9</v>
      </c>
      <c r="H43" s="71">
        <f>IFERROR(__xludf.DUMMYFUNCTION("""COMPUTED_VALUE"""),-8.0)</f>
        <v>-8</v>
      </c>
      <c r="I43" s="71">
        <f>IFERROR(__xludf.DUMMYFUNCTION("""COMPUTED_VALUE"""),-7.0)</f>
        <v>-7</v>
      </c>
      <c r="J43" s="71">
        <f>IFERROR(__xludf.DUMMYFUNCTION("""COMPUTED_VALUE"""),-6.0)</f>
        <v>-6</v>
      </c>
      <c r="K43" s="71">
        <f>IFERROR(__xludf.DUMMYFUNCTION("""COMPUTED_VALUE"""),-5.0)</f>
        <v>-5</v>
      </c>
      <c r="L43" s="71">
        <f>IFERROR(__xludf.DUMMYFUNCTION("""COMPUTED_VALUE"""),-4.0)</f>
        <v>-4</v>
      </c>
      <c r="M43" s="71">
        <f>IFERROR(__xludf.DUMMYFUNCTION("""COMPUTED_VALUE"""),-3.0)</f>
        <v>-3</v>
      </c>
      <c r="N43" s="71">
        <f>IFERROR(__xludf.DUMMYFUNCTION("""COMPUTED_VALUE"""),-2.0)</f>
        <v>-2</v>
      </c>
      <c r="O43" s="71">
        <f>IFERROR(__xludf.DUMMYFUNCTION("""COMPUTED_VALUE"""),-1.0)</f>
        <v>-1</v>
      </c>
      <c r="P43" s="109">
        <f>IFERROR(__xludf.DUMMYFUNCTION("""COMPUTED_VALUE"""),0.0)</f>
        <v>0</v>
      </c>
      <c r="Q43" s="71">
        <f>IFERROR(__xludf.DUMMYFUNCTION("""COMPUTED_VALUE"""),1.0)</f>
        <v>1</v>
      </c>
      <c r="R43" s="71">
        <f>IFERROR(__xludf.DUMMYFUNCTION("""COMPUTED_VALUE"""),2.0)</f>
        <v>2</v>
      </c>
      <c r="S43" s="71">
        <f>IFERROR(__xludf.DUMMYFUNCTION("""COMPUTED_VALUE"""),3.0)</f>
        <v>3</v>
      </c>
      <c r="T43" s="71">
        <f>IFERROR(__xludf.DUMMYFUNCTION("""COMPUTED_VALUE"""),4.0)</f>
        <v>4</v>
      </c>
      <c r="U43" s="71">
        <f>IFERROR(__xludf.DUMMYFUNCTION("""COMPUTED_VALUE"""),5.0)</f>
        <v>5</v>
      </c>
      <c r="V43" s="86" t="str">
        <f>IFERROR(__xludf.DUMMYFUNCTION("""COMPUTED_VALUE"""),"-")</f>
        <v>-</v>
      </c>
      <c r="W43" s="129" t="str">
        <f>IFERROR(__xludf.DUMMYFUNCTION("""COMPUTED_VALUE"""),"-")</f>
        <v>-</v>
      </c>
      <c r="X43" s="130" t="str">
        <f>IFERROR(__xludf.DUMMYFUNCTION("""COMPUTED_VALUE"""),"-")</f>
        <v>-</v>
      </c>
      <c r="Y43" s="131" t="str">
        <f>IFERROR(__xludf.DUMMYFUNCTION("""COMPUTED_VALUE"""),"-")</f>
        <v>-</v>
      </c>
      <c r="Z43" s="80"/>
      <c r="AA43" s="80"/>
      <c r="AB43" s="80"/>
      <c r="AC43" s="93"/>
      <c r="AD43" s="113" t="str">
        <f>IFERROR(__xludf.DUMMYFUNCTION("""COMPUTED_VALUE"""),"全アイテム")</f>
        <v>全アイテム</v>
      </c>
      <c r="AE43" s="113" t="str">
        <f>IFERROR(__xludf.DUMMYFUNCTION("""COMPUTED_VALUE"""),"縫製")</f>
        <v>縫製</v>
      </c>
      <c r="AF43" s="113" t="str">
        <f>IFERROR(__xludf.DUMMYFUNCTION("""COMPUTED_VALUE"""),"各種ほつれ")</f>
        <v>各種ほつれ</v>
      </c>
      <c r="AG43" s="142" t="str">
        <f>IFERROR(__xludf.DUMMYFUNCTION("""COMPUTED_VALUE"""),"縫製/依頼シートをつけてTB出荷
対応可否についてはマニュアル参照　")</f>
        <v>縫製/依頼シートをつけてTB出荷
対応可否についてはマニュアル参照　</v>
      </c>
      <c r="AH43" s="25"/>
      <c r="AI43" s="25"/>
      <c r="AJ43" s="25"/>
      <c r="AK43" s="25"/>
      <c r="AL43" s="25"/>
      <c r="AM43" s="26"/>
      <c r="AN43" s="143" t="str">
        <f>IFERROR(__xludf.DUMMYFUNCTION("""COMPUTED_VALUE"""),"https://www.notion.so/fabric-tokyo/10-0913b4c011c346c0b37737686571aaa1")</f>
        <v>https://www.notion.so/fabric-tokyo/10-0913b4c011c346c0b37737686571aaa1</v>
      </c>
      <c r="AO43" s="25"/>
      <c r="AP43" s="25"/>
      <c r="AQ43" s="25"/>
      <c r="AR43" s="25"/>
      <c r="AS43" s="26"/>
      <c r="AT43" s="75">
        <f>IFERROR(__xludf.DUMMYFUNCTION("""COMPUTED_VALUE"""),7.0)</f>
        <v>7</v>
      </c>
      <c r="AU43" s="144">
        <f>IFERROR(__xludf.DUMMYFUNCTION("""COMPUTED_VALUE"""),46000.0)</f>
        <v>46000</v>
      </c>
      <c r="AV43" s="145">
        <f>IFERROR(__xludf.DUMMYFUNCTION("""COMPUTED_VALUE"""),46009.0)</f>
        <v>46009</v>
      </c>
      <c r="AW43" s="146" t="str">
        <f>IFERROR(__xludf.DUMMYFUNCTION("""COMPUTED_VALUE"""),"必要")</f>
        <v>必要</v>
      </c>
      <c r="AX43" s="147" t="str">
        <f>IFERROR(__xludf.DUMMYFUNCTION("""COMPUTED_VALUE"""),"確認不要")</f>
        <v>確認不要</v>
      </c>
      <c r="AY43" s="25"/>
      <c r="AZ43" s="26"/>
      <c r="BA43" s="123"/>
      <c r="BB43" s="91" t="str">
        <f>IFERROR(__xludf.DUMMYFUNCTION("""COMPUTED_VALUE"""),"世界に挑む技術、レザーを超える艶レザー調テックサテン")</f>
        <v>世界に挑む技術、レザーを超える艶レザー調テックサテン</v>
      </c>
      <c r="BC43" s="95" t="str">
        <f>IFERROR(__xludf.DUMMYFUNCTION("""COMPUTED_VALUE"""),"W240011")</f>
        <v>W240011</v>
      </c>
      <c r="BD43" s="92" t="str">
        <f>IFERROR(__xludf.DUMMYFUNCTION("""COMPUTED_VALUE"""),"出しNG（再製作）ジャケット・スラックス")</f>
        <v>出しNG（再製作）ジャケット・スラックス</v>
      </c>
      <c r="BE43" s="123"/>
    </row>
    <row r="44">
      <c r="A44" s="93"/>
      <c r="B44" s="94"/>
      <c r="C44" s="94"/>
      <c r="D44" s="98" t="str">
        <f>IFERROR(__xludf.DUMMYFUNCTION("""COMPUTED_VALUE"""),"襟")</f>
        <v>襟</v>
      </c>
      <c r="E44" s="70"/>
      <c r="F44" s="71">
        <f>IFERROR(__xludf.DUMMYFUNCTION("""COMPUTED_VALUE"""),-10.0)</f>
        <v>-10</v>
      </c>
      <c r="G44" s="71">
        <f>IFERROR(__xludf.DUMMYFUNCTION("""COMPUTED_VALUE"""),-9.0)</f>
        <v>-9</v>
      </c>
      <c r="H44" s="71">
        <f>IFERROR(__xludf.DUMMYFUNCTION("""COMPUTED_VALUE"""),-8.0)</f>
        <v>-8</v>
      </c>
      <c r="I44" s="71">
        <f>IFERROR(__xludf.DUMMYFUNCTION("""COMPUTED_VALUE"""),-7.0)</f>
        <v>-7</v>
      </c>
      <c r="J44" s="71">
        <f>IFERROR(__xludf.DUMMYFUNCTION("""COMPUTED_VALUE"""),-6.0)</f>
        <v>-6</v>
      </c>
      <c r="K44" s="71">
        <f>IFERROR(__xludf.DUMMYFUNCTION("""COMPUTED_VALUE"""),-5.0)</f>
        <v>-5</v>
      </c>
      <c r="L44" s="71">
        <f>IFERROR(__xludf.DUMMYFUNCTION("""COMPUTED_VALUE"""),-4.0)</f>
        <v>-4</v>
      </c>
      <c r="M44" s="71">
        <f>IFERROR(__xludf.DUMMYFUNCTION("""COMPUTED_VALUE"""),-3.0)</f>
        <v>-3</v>
      </c>
      <c r="N44" s="71">
        <f>IFERROR(__xludf.DUMMYFUNCTION("""COMPUTED_VALUE"""),-2.0)</f>
        <v>-2</v>
      </c>
      <c r="O44" s="71">
        <f>IFERROR(__xludf.DUMMYFUNCTION("""COMPUTED_VALUE"""),-1.0)</f>
        <v>-1</v>
      </c>
      <c r="P44" s="109">
        <f>IFERROR(__xludf.DUMMYFUNCTION("""COMPUTED_VALUE"""),0.0)</f>
        <v>0</v>
      </c>
      <c r="Q44" s="71">
        <f>IFERROR(__xludf.DUMMYFUNCTION("""COMPUTED_VALUE"""),1.0)</f>
        <v>1</v>
      </c>
      <c r="R44" s="71">
        <f>IFERROR(__xludf.DUMMYFUNCTION("""COMPUTED_VALUE"""),2.0)</f>
        <v>2</v>
      </c>
      <c r="S44" s="71">
        <f>IFERROR(__xludf.DUMMYFUNCTION("""COMPUTED_VALUE"""),3.0)</f>
        <v>3</v>
      </c>
      <c r="T44" s="71">
        <f>IFERROR(__xludf.DUMMYFUNCTION("""COMPUTED_VALUE"""),4.0)</f>
        <v>4</v>
      </c>
      <c r="U44" s="71">
        <f>IFERROR(__xludf.DUMMYFUNCTION("""COMPUTED_VALUE"""),5.0)</f>
        <v>5</v>
      </c>
      <c r="V44" s="86" t="str">
        <f>IFERROR(__xludf.DUMMYFUNCTION("""COMPUTED_VALUE"""),"-")</f>
        <v>-</v>
      </c>
      <c r="W44" s="129" t="str">
        <f>IFERROR(__xludf.DUMMYFUNCTION("""COMPUTED_VALUE"""),"-")</f>
        <v>-</v>
      </c>
      <c r="X44" s="130" t="str">
        <f>IFERROR(__xludf.DUMMYFUNCTION("""COMPUTED_VALUE"""),"-")</f>
        <v>-</v>
      </c>
      <c r="Y44" s="131" t="str">
        <f>IFERROR(__xludf.DUMMYFUNCTION("""COMPUTED_VALUE"""),"-")</f>
        <v>-</v>
      </c>
      <c r="Z44" s="80"/>
      <c r="AA44" s="80"/>
      <c r="AB44" s="80"/>
      <c r="AC44" s="93"/>
      <c r="AD44" s="113" t="str">
        <f>IFERROR(__xludf.DUMMYFUNCTION("""COMPUTED_VALUE"""),"全アイテム")</f>
        <v>全アイテム</v>
      </c>
      <c r="AE44" s="113" t="str">
        <f>IFERROR(__xludf.DUMMYFUNCTION("""COMPUTED_VALUE"""),"縫製")</f>
        <v>縫製</v>
      </c>
      <c r="AF44" s="113" t="str">
        <f>IFERROR(__xludf.DUMMYFUNCTION("""COMPUTED_VALUE"""),"糸飛び")</f>
        <v>糸飛び</v>
      </c>
      <c r="AG44" s="142" t="str">
        <f>IFERROR(__xludf.DUMMYFUNCTION("""COMPUTED_VALUE"""),"縫製/依頼シートをつけてTB出荷
対応可否についてはマニュアル参照　")</f>
        <v>縫製/依頼シートをつけてTB出荷
対応可否についてはマニュアル参照　</v>
      </c>
      <c r="AH44" s="25"/>
      <c r="AI44" s="25"/>
      <c r="AJ44" s="25"/>
      <c r="AK44" s="25"/>
      <c r="AL44" s="25"/>
      <c r="AM44" s="26"/>
      <c r="AN44" s="143" t="str">
        <f>IFERROR(__xludf.DUMMYFUNCTION("""COMPUTED_VALUE"""),"https://www.notion.so/fabric-tokyo/10-20-27d49967a235803aa6a6cb4a27095ff6")</f>
        <v>https://www.notion.so/fabric-tokyo/10-20-27d49967a235803aa6a6cb4a27095ff6</v>
      </c>
      <c r="AO44" s="25"/>
      <c r="AP44" s="25"/>
      <c r="AQ44" s="25"/>
      <c r="AR44" s="25"/>
      <c r="AS44" s="26"/>
      <c r="AT44" s="75">
        <f>IFERROR(__xludf.DUMMYFUNCTION("""COMPUTED_VALUE"""),7.0)</f>
        <v>7</v>
      </c>
      <c r="AU44" s="144">
        <f>IFERROR(__xludf.DUMMYFUNCTION("""COMPUTED_VALUE"""),46000.0)</f>
        <v>46000</v>
      </c>
      <c r="AV44" s="145">
        <f>IFERROR(__xludf.DUMMYFUNCTION("""COMPUTED_VALUE"""),46009.0)</f>
        <v>46009</v>
      </c>
      <c r="AW44" s="146" t="str">
        <f>IFERROR(__xludf.DUMMYFUNCTION("""COMPUTED_VALUE"""),"必要")</f>
        <v>必要</v>
      </c>
      <c r="AX44" s="147" t="str">
        <f>IFERROR(__xludf.DUMMYFUNCTION("""COMPUTED_VALUE"""),"確認不要")</f>
        <v>確認不要</v>
      </c>
      <c r="AY44" s="25"/>
      <c r="AZ44" s="26"/>
      <c r="BA44" s="123"/>
      <c r="BB44" s="91" t="str">
        <f>IFERROR(__xludf.DUMMYFUNCTION("""COMPUTED_VALUE"""),"世界に挑む技術、テック×テーラードで魅せる新感覚シボレザー")</f>
        <v>世界に挑む技術、テック×テーラードで魅せる新感覚シボレザー</v>
      </c>
      <c r="BC44" s="95" t="str">
        <f>IFERROR(__xludf.DUMMYFUNCTION("""COMPUTED_VALUE"""),"W240012")</f>
        <v>W240012</v>
      </c>
      <c r="BD44" s="92" t="str">
        <f>IFERROR(__xludf.DUMMYFUNCTION("""COMPUTED_VALUE"""),"出しNG（再製作）ジャケット・スラックス")</f>
        <v>出しNG（再製作）ジャケット・スラックス</v>
      </c>
      <c r="BE44" s="123"/>
    </row>
    <row r="45">
      <c r="A45" s="93"/>
      <c r="B45" s="94"/>
      <c r="C45" s="94"/>
      <c r="D45" s="98" t="str">
        <f>IFERROR(__xludf.DUMMYFUNCTION("""COMPUTED_VALUE"""),"カフス")</f>
        <v>カフス</v>
      </c>
      <c r="E45" s="90"/>
      <c r="F45" s="71">
        <f>IFERROR(__xludf.DUMMYFUNCTION("""COMPUTED_VALUE"""),-10.0)</f>
        <v>-10</v>
      </c>
      <c r="G45" s="71">
        <f>IFERROR(__xludf.DUMMYFUNCTION("""COMPUTED_VALUE"""),-9.0)</f>
        <v>-9</v>
      </c>
      <c r="H45" s="71">
        <f>IFERROR(__xludf.DUMMYFUNCTION("""COMPUTED_VALUE"""),-8.0)</f>
        <v>-8</v>
      </c>
      <c r="I45" s="71">
        <f>IFERROR(__xludf.DUMMYFUNCTION("""COMPUTED_VALUE"""),-7.0)</f>
        <v>-7</v>
      </c>
      <c r="J45" s="71">
        <f>IFERROR(__xludf.DUMMYFUNCTION("""COMPUTED_VALUE"""),-6.0)</f>
        <v>-6</v>
      </c>
      <c r="K45" s="71">
        <f>IFERROR(__xludf.DUMMYFUNCTION("""COMPUTED_VALUE"""),-5.0)</f>
        <v>-5</v>
      </c>
      <c r="L45" s="71">
        <f>IFERROR(__xludf.DUMMYFUNCTION("""COMPUTED_VALUE"""),-4.0)</f>
        <v>-4</v>
      </c>
      <c r="M45" s="71">
        <f>IFERROR(__xludf.DUMMYFUNCTION("""COMPUTED_VALUE"""),-3.0)</f>
        <v>-3</v>
      </c>
      <c r="N45" s="71">
        <f>IFERROR(__xludf.DUMMYFUNCTION("""COMPUTED_VALUE"""),-2.0)</f>
        <v>-2</v>
      </c>
      <c r="O45" s="71">
        <f>IFERROR(__xludf.DUMMYFUNCTION("""COMPUTED_VALUE"""),-1.0)</f>
        <v>-1</v>
      </c>
      <c r="P45" s="109">
        <f>IFERROR(__xludf.DUMMYFUNCTION("""COMPUTED_VALUE"""),0.0)</f>
        <v>0</v>
      </c>
      <c r="Q45" s="71">
        <f>IFERROR(__xludf.DUMMYFUNCTION("""COMPUTED_VALUE"""),1.0)</f>
        <v>1</v>
      </c>
      <c r="R45" s="71">
        <f>IFERROR(__xludf.DUMMYFUNCTION("""COMPUTED_VALUE"""),2.0)</f>
        <v>2</v>
      </c>
      <c r="S45" s="71">
        <f>IFERROR(__xludf.DUMMYFUNCTION("""COMPUTED_VALUE"""),3.0)</f>
        <v>3</v>
      </c>
      <c r="T45" s="71">
        <f>IFERROR(__xludf.DUMMYFUNCTION("""COMPUTED_VALUE"""),4.0)</f>
        <v>4</v>
      </c>
      <c r="U45" s="71">
        <f>IFERROR(__xludf.DUMMYFUNCTION("""COMPUTED_VALUE"""),5.0)</f>
        <v>5</v>
      </c>
      <c r="V45" s="86" t="str">
        <f>IFERROR(__xludf.DUMMYFUNCTION("""COMPUTED_VALUE"""),"-")</f>
        <v>-</v>
      </c>
      <c r="W45" s="76" t="str">
        <f>IFERROR(__xludf.DUMMYFUNCTION("""COMPUTED_VALUE"""),"-")</f>
        <v>-</v>
      </c>
      <c r="X45" s="77" t="str">
        <f>IFERROR(__xludf.DUMMYFUNCTION("""COMPUTED_VALUE"""),"-")</f>
        <v>-</v>
      </c>
      <c r="Y45" s="132" t="str">
        <f>IFERROR(__xludf.DUMMYFUNCTION("""COMPUTED_VALUE"""),"-")</f>
        <v>-</v>
      </c>
      <c r="Z45" s="80"/>
      <c r="AA45" s="80"/>
      <c r="AB45" s="80"/>
      <c r="AC45" s="93"/>
      <c r="AD45" s="113" t="str">
        <f>IFERROR(__xludf.DUMMYFUNCTION("""COMPUTED_VALUE"""),"全アイテム")</f>
        <v>全アイテム</v>
      </c>
      <c r="AE45" s="113" t="str">
        <f>IFERROR(__xludf.DUMMYFUNCTION("""COMPUTED_VALUE"""),"生地不良")</f>
        <v>生地不良</v>
      </c>
      <c r="AF45" s="113" t="str">
        <f>IFERROR(__xludf.DUMMYFUNCTION("""COMPUTED_VALUE"""),"生地のネップ")</f>
        <v>生地のネップ</v>
      </c>
      <c r="AG45" s="142" t="str">
        <f>IFERROR(__xludf.DUMMYFUNCTION("""COMPUTED_VALUE"""),"縫製/依頼シートをつけてTB出荷
対応可否についてはマニュアル参照　")</f>
        <v>縫製/依頼シートをつけてTB出荷
対応可否についてはマニュアル参照　</v>
      </c>
      <c r="AH45" s="25"/>
      <c r="AI45" s="25"/>
      <c r="AJ45" s="25"/>
      <c r="AK45" s="25"/>
      <c r="AL45" s="25"/>
      <c r="AM45" s="26"/>
      <c r="AN45" s="143" t="str">
        <f>IFERROR(__xludf.DUMMYFUNCTION("""COMPUTED_VALUE"""),"https://www.notion.so/fabric-tokyo/10-21-27d49967a2358001a3b5f0b7164773ac")</f>
        <v>https://www.notion.so/fabric-tokyo/10-21-27d49967a2358001a3b5f0b7164773ac</v>
      </c>
      <c r="AO45" s="25"/>
      <c r="AP45" s="25"/>
      <c r="AQ45" s="25"/>
      <c r="AR45" s="25"/>
      <c r="AS45" s="26"/>
      <c r="AT45" s="75">
        <f>IFERROR(__xludf.DUMMYFUNCTION("""COMPUTED_VALUE"""),7.0)</f>
        <v>7</v>
      </c>
      <c r="AU45" s="144">
        <f>IFERROR(__xludf.DUMMYFUNCTION("""COMPUTED_VALUE"""),46000.0)</f>
        <v>46000</v>
      </c>
      <c r="AV45" s="145">
        <f>IFERROR(__xludf.DUMMYFUNCTION("""COMPUTED_VALUE"""),46009.0)</f>
        <v>46009</v>
      </c>
      <c r="AW45" s="146" t="str">
        <f>IFERROR(__xludf.DUMMYFUNCTION("""COMPUTED_VALUE"""),"必要")</f>
        <v>必要</v>
      </c>
      <c r="AX45" s="147" t="str">
        <f>IFERROR(__xludf.DUMMYFUNCTION("""COMPUTED_VALUE"""),"確認不要")</f>
        <v>確認不要</v>
      </c>
      <c r="AY45" s="25"/>
      <c r="AZ45" s="26"/>
      <c r="BA45" s="123"/>
      <c r="BB45" s="91" t="str">
        <f>IFERROR(__xludf.DUMMYFUNCTION("""COMPUTED_VALUE"""),"天然の消臭抗菌、和紙から作った風通しのいいデニム")</f>
        <v>天然の消臭抗菌、和紙から作った風通しのいいデニム</v>
      </c>
      <c r="BC45" s="95" t="str">
        <f>IFERROR(__xludf.DUMMYFUNCTION("""COMPUTED_VALUE"""),"W240013")</f>
        <v>W240013</v>
      </c>
      <c r="BD45" s="92" t="str">
        <f>IFERROR(__xludf.DUMMYFUNCTION("""COMPUTED_VALUE"""),"出しNG（再製作）ジャケット・スラックス")</f>
        <v>出しNG（再製作）ジャケット・スラックス</v>
      </c>
      <c r="BE45" s="123"/>
    </row>
    <row r="46">
      <c r="A46" s="93"/>
      <c r="B46" s="94"/>
      <c r="C46" s="94"/>
      <c r="D46" s="98" t="str">
        <f>IFERROR(__xludf.DUMMYFUNCTION("""COMPUTED_VALUE"""),"バスト")</f>
        <v>バスト</v>
      </c>
      <c r="E46" s="70"/>
      <c r="F46" s="71">
        <f>IFERROR(__xludf.DUMMYFUNCTION("""COMPUTED_VALUE"""),-10.0)</f>
        <v>-10</v>
      </c>
      <c r="G46" s="71">
        <f>IFERROR(__xludf.DUMMYFUNCTION("""COMPUTED_VALUE"""),-9.0)</f>
        <v>-9</v>
      </c>
      <c r="H46" s="71">
        <f>IFERROR(__xludf.DUMMYFUNCTION("""COMPUTED_VALUE"""),-8.0)</f>
        <v>-8</v>
      </c>
      <c r="I46" s="71">
        <f>IFERROR(__xludf.DUMMYFUNCTION("""COMPUTED_VALUE"""),-7.0)</f>
        <v>-7</v>
      </c>
      <c r="J46" s="71">
        <f>IFERROR(__xludf.DUMMYFUNCTION("""COMPUTED_VALUE"""),-6.0)</f>
        <v>-6</v>
      </c>
      <c r="K46" s="71">
        <f>IFERROR(__xludf.DUMMYFUNCTION("""COMPUTED_VALUE"""),-5.0)</f>
        <v>-5</v>
      </c>
      <c r="L46" s="97">
        <f>IFERROR(__xludf.DUMMYFUNCTION("""COMPUTED_VALUE"""),-4.0)</f>
        <v>-4</v>
      </c>
      <c r="M46" s="97">
        <f>IFERROR(__xludf.DUMMYFUNCTION("""COMPUTED_VALUE"""),-3.0)</f>
        <v>-3</v>
      </c>
      <c r="N46" s="97">
        <f>IFERROR(__xludf.DUMMYFUNCTION("""COMPUTED_VALUE"""),-2.0)</f>
        <v>-2</v>
      </c>
      <c r="O46" s="97">
        <f>IFERROR(__xludf.DUMMYFUNCTION("""COMPUTED_VALUE"""),-1.0)</f>
        <v>-1</v>
      </c>
      <c r="P46" s="109">
        <f>IFERROR(__xludf.DUMMYFUNCTION("""COMPUTED_VALUE"""),0.0)</f>
        <v>0</v>
      </c>
      <c r="Q46" s="71">
        <f>IFERROR(__xludf.DUMMYFUNCTION("""COMPUTED_VALUE"""),1.0)</f>
        <v>1</v>
      </c>
      <c r="R46" s="71">
        <f>IFERROR(__xludf.DUMMYFUNCTION("""COMPUTED_VALUE"""),2.0)</f>
        <v>2</v>
      </c>
      <c r="S46" s="71">
        <f>IFERROR(__xludf.DUMMYFUNCTION("""COMPUTED_VALUE"""),3.0)</f>
        <v>3</v>
      </c>
      <c r="T46" s="71">
        <f>IFERROR(__xludf.DUMMYFUNCTION("""COMPUTED_VALUE"""),4.0)</f>
        <v>4</v>
      </c>
      <c r="U46" s="71">
        <f>IFERROR(__xludf.DUMMYFUNCTION("""COMPUTED_VALUE"""),5.0)</f>
        <v>5</v>
      </c>
      <c r="V46" s="86">
        <f>IFERROR(__xludf.DUMMYFUNCTION("""COMPUTED_VALUE"""),7.0)</f>
        <v>7</v>
      </c>
      <c r="W46" s="76">
        <f>IFERROR(__xludf.DUMMYFUNCTION("""COMPUTED_VALUE"""),46000.0)</f>
        <v>46000</v>
      </c>
      <c r="X46" s="110">
        <f>IFERROR(__xludf.DUMMYFUNCTION("""COMPUTED_VALUE"""),46003.0)</f>
        <v>46003</v>
      </c>
      <c r="Y46" s="111">
        <f>IFERROR(__xludf.DUMMYFUNCTION("""COMPUTED_VALUE"""),46008.0)</f>
        <v>46008</v>
      </c>
      <c r="Z46" s="80"/>
      <c r="AA46" s="80"/>
      <c r="AB46" s="80"/>
      <c r="AC46" s="93"/>
      <c r="AD46" s="113" t="str">
        <f>IFERROR(__xludf.DUMMYFUNCTION("""COMPUTED_VALUE"""),"スラックス・チノ")</f>
        <v>スラックス・チノ</v>
      </c>
      <c r="AE46" s="113" t="str">
        <f>IFERROR(__xludf.DUMMYFUNCTION("""COMPUTED_VALUE"""),"縫製")</f>
        <v>縫製</v>
      </c>
      <c r="AF46" s="113" t="str">
        <f>IFERROR(__xludf.DUMMYFUNCTION("""COMPUTED_VALUE"""),"ファスナー破損交換")</f>
        <v>ファスナー破損交換</v>
      </c>
      <c r="AG46" s="142" t="str">
        <f>IFERROR(__xludf.DUMMYFUNCTION("""COMPUTED_VALUE"""),"縫製/依頼シートをつけてTB出荷
対応可否についてはマニュアル参照　")</f>
        <v>縫製/依頼シートをつけてTB出荷
対応可否についてはマニュアル参照　</v>
      </c>
      <c r="AH46" s="25"/>
      <c r="AI46" s="25"/>
      <c r="AJ46" s="25"/>
      <c r="AK46" s="25"/>
      <c r="AL46" s="25"/>
      <c r="AM46" s="26"/>
      <c r="AN46" s="143" t="str">
        <f>IFERROR(__xludf.DUMMYFUNCTION("""COMPUTED_VALUE"""),"https://www.notion.so/fabric-tokyo/10-15-6fd0369bf9524f398f3379c18f7b3fdf")</f>
        <v>https://www.notion.so/fabric-tokyo/10-15-6fd0369bf9524f398f3379c18f7b3fdf</v>
      </c>
      <c r="AO46" s="25"/>
      <c r="AP46" s="25"/>
      <c r="AQ46" s="25"/>
      <c r="AR46" s="25"/>
      <c r="AS46" s="26"/>
      <c r="AT46" s="75">
        <f>IFERROR(__xludf.DUMMYFUNCTION("""COMPUTED_VALUE"""),7.0)</f>
        <v>7</v>
      </c>
      <c r="AU46" s="144">
        <f>IFERROR(__xludf.DUMMYFUNCTION("""COMPUTED_VALUE"""),46000.0)</f>
        <v>46000</v>
      </c>
      <c r="AV46" s="148" t="str">
        <f>IFERROR(__xludf.DUMMYFUNCTION("""COMPUTED_VALUE"""),"-")</f>
        <v>-</v>
      </c>
      <c r="AW46" s="146" t="str">
        <f>IFERROR(__xludf.DUMMYFUNCTION("""COMPUTED_VALUE"""),"必要")</f>
        <v>必要</v>
      </c>
      <c r="AX46" s="147" t="str">
        <f>IFERROR(__xludf.DUMMYFUNCTION("""COMPUTED_VALUE"""),"確認不要")</f>
        <v>確認不要</v>
      </c>
      <c r="AY46" s="25"/>
      <c r="AZ46" s="26"/>
      <c r="BA46" s="123"/>
      <c r="BB46" s="91" t="str">
        <f>IFERROR(__xludf.DUMMYFUNCTION("""COMPUTED_VALUE"""),"北陸の柔軟さが実現させた、高密度でなめらかなリッチブラックサテン")</f>
        <v>北陸の柔軟さが実現させた、高密度でなめらかなリッチブラックサテン</v>
      </c>
      <c r="BC46" s="95" t="str">
        <f>IFERROR(__xludf.DUMMYFUNCTION("""COMPUTED_VALUE"""),"W240014")</f>
        <v>W240014</v>
      </c>
      <c r="BD46" s="92" t="str">
        <f>IFERROR(__xludf.DUMMYFUNCTION("""COMPUTED_VALUE"""),"出しNG（再製作）ジャケット・スラックス")</f>
        <v>出しNG（再製作）ジャケット・スラックス</v>
      </c>
      <c r="BE46" s="123"/>
    </row>
    <row r="47">
      <c r="A47" s="93"/>
      <c r="B47" s="94"/>
      <c r="C47" s="94"/>
      <c r="D47" s="98" t="str">
        <f>IFERROR(__xludf.DUMMYFUNCTION("""COMPUTED_VALUE"""),"アームホール")</f>
        <v>アームホール</v>
      </c>
      <c r="E47" s="112" t="str">
        <f>IFERROR(__xludf.DUMMYFUNCTION("""COMPUTED_VALUE"""),"※バストと連動。
数値指定は再製作")</f>
        <v>※バストと連動。
数値指定は再製作</v>
      </c>
      <c r="F47" s="71">
        <f>IFERROR(__xludf.DUMMYFUNCTION("""COMPUTED_VALUE"""),-10.0)</f>
        <v>-10</v>
      </c>
      <c r="G47" s="71">
        <f>IFERROR(__xludf.DUMMYFUNCTION("""COMPUTED_VALUE"""),-9.0)</f>
        <v>-9</v>
      </c>
      <c r="H47" s="71">
        <f>IFERROR(__xludf.DUMMYFUNCTION("""COMPUTED_VALUE"""),-8.0)</f>
        <v>-8</v>
      </c>
      <c r="I47" s="71">
        <f>IFERROR(__xludf.DUMMYFUNCTION("""COMPUTED_VALUE"""),-7.0)</f>
        <v>-7</v>
      </c>
      <c r="J47" s="71">
        <f>IFERROR(__xludf.DUMMYFUNCTION("""COMPUTED_VALUE"""),-6.0)</f>
        <v>-6</v>
      </c>
      <c r="K47" s="71">
        <f>IFERROR(__xludf.DUMMYFUNCTION("""COMPUTED_VALUE"""),-5.0)</f>
        <v>-5</v>
      </c>
      <c r="L47" s="71">
        <f>IFERROR(__xludf.DUMMYFUNCTION("""COMPUTED_VALUE"""),-4.0)</f>
        <v>-4</v>
      </c>
      <c r="M47" s="71">
        <f>IFERROR(__xludf.DUMMYFUNCTION("""COMPUTED_VALUE"""),-3.0)</f>
        <v>-3</v>
      </c>
      <c r="N47" s="97">
        <f>IFERROR(__xludf.DUMMYFUNCTION("""COMPUTED_VALUE"""),-2.0)</f>
        <v>-2</v>
      </c>
      <c r="O47" s="97">
        <f>IFERROR(__xludf.DUMMYFUNCTION("""COMPUTED_VALUE"""),-1.0)</f>
        <v>-1</v>
      </c>
      <c r="P47" s="109">
        <f>IFERROR(__xludf.DUMMYFUNCTION("""COMPUTED_VALUE"""),0.0)</f>
        <v>0</v>
      </c>
      <c r="Q47" s="71">
        <f>IFERROR(__xludf.DUMMYFUNCTION("""COMPUTED_VALUE"""),1.0)</f>
        <v>1</v>
      </c>
      <c r="R47" s="71">
        <f>IFERROR(__xludf.DUMMYFUNCTION("""COMPUTED_VALUE"""),2.0)</f>
        <v>2</v>
      </c>
      <c r="S47" s="71">
        <f>IFERROR(__xludf.DUMMYFUNCTION("""COMPUTED_VALUE"""),3.0)</f>
        <v>3</v>
      </c>
      <c r="T47" s="71">
        <f>IFERROR(__xludf.DUMMYFUNCTION("""COMPUTED_VALUE"""),4.0)</f>
        <v>4</v>
      </c>
      <c r="U47" s="71">
        <f>IFERROR(__xludf.DUMMYFUNCTION("""COMPUTED_VALUE"""),5.0)</f>
        <v>5</v>
      </c>
      <c r="V47" s="86">
        <f>IFERROR(__xludf.DUMMYFUNCTION("""COMPUTED_VALUE"""),7.0)</f>
        <v>7</v>
      </c>
      <c r="W47" s="76">
        <f>IFERROR(__xludf.DUMMYFUNCTION("""COMPUTED_VALUE"""),46000.0)</f>
        <v>46000</v>
      </c>
      <c r="X47" s="110">
        <f>IFERROR(__xludf.DUMMYFUNCTION("""COMPUTED_VALUE"""),46003.0)</f>
        <v>46003</v>
      </c>
      <c r="Y47" s="111">
        <f>IFERROR(__xludf.DUMMYFUNCTION("""COMPUTED_VALUE"""),46008.0)</f>
        <v>46008</v>
      </c>
      <c r="Z47" s="80"/>
      <c r="AA47" s="80"/>
      <c r="AB47" s="80"/>
      <c r="AC47" s="93"/>
      <c r="AD47" s="113" t="str">
        <f>IFERROR(__xludf.DUMMYFUNCTION("""COMPUTED_VALUE"""),"シャツ")</f>
        <v>シャツ</v>
      </c>
      <c r="AE47" s="113" t="str">
        <f>IFERROR(__xludf.DUMMYFUNCTION("""COMPUTED_VALUE"""),"カスタマイズ")</f>
        <v>カスタマイズ</v>
      </c>
      <c r="AF47" s="113" t="str">
        <f>IFERROR(__xludf.DUMMYFUNCTION("""COMPUTED_VALUE"""),"胸ポケットつけ忘れ")</f>
        <v>胸ポケットつけ忘れ</v>
      </c>
      <c r="AG47" s="135" t="str">
        <f>IFERROR(__xludf.DUMMYFUNCTION("""COMPUTED_VALUE"""),"弊社瑕疵、胸ポケットのカスタマイズ指示がされているが、ついていない場合　国内工場製作分でのみ対応可")</f>
        <v>弊社瑕疵、胸ポケットのカスタマイズ指示がされているが、ついていない場合　国内工場製作分でのみ対応可</v>
      </c>
      <c r="AH47" s="25"/>
      <c r="AI47" s="25"/>
      <c r="AJ47" s="25"/>
      <c r="AK47" s="25"/>
      <c r="AL47" s="25"/>
      <c r="AM47" s="25"/>
      <c r="AN47" s="149"/>
      <c r="AO47" s="25"/>
      <c r="AP47" s="25"/>
      <c r="AQ47" s="25"/>
      <c r="AR47" s="25"/>
      <c r="AS47" s="26"/>
      <c r="AT47" s="75">
        <f>IFERROR(__xludf.DUMMYFUNCTION("""COMPUTED_VALUE"""),10.0)</f>
        <v>10</v>
      </c>
      <c r="AU47" s="144">
        <f>IFERROR(__xludf.DUMMYFUNCTION("""COMPUTED_VALUE"""),46003.0)</f>
        <v>46003</v>
      </c>
      <c r="AV47" s="148" t="str">
        <f>IFERROR(__xludf.DUMMYFUNCTION("""COMPUTED_VALUE"""),"-")</f>
        <v>-</v>
      </c>
      <c r="AW47" s="146" t="str">
        <f>IFERROR(__xludf.DUMMYFUNCTION("""COMPUTED_VALUE"""),"必要")</f>
        <v>必要</v>
      </c>
      <c r="AX47" s="150" t="str">
        <f>IFERROR(__xludf.DUMMYFUNCTION("""COMPUTED_VALUE"""),"確認必要")</f>
        <v>確認必要</v>
      </c>
      <c r="AY47" s="25"/>
      <c r="AZ47" s="26"/>
      <c r="BA47" s="123"/>
      <c r="BB47" s="91" t="str">
        <f>IFERROR(__xludf.DUMMYFUNCTION("""COMPUTED_VALUE"""),"織物のような美しい光沢感と発色で、北陸と尾州を旅したラグジュアリージャージー")</f>
        <v>織物のような美しい光沢感と発色で、北陸と尾州を旅したラグジュアリージャージー</v>
      </c>
      <c r="BC47" s="95" t="str">
        <f>IFERROR(__xludf.DUMMYFUNCTION("""COMPUTED_VALUE"""),"W240015")</f>
        <v>W240015</v>
      </c>
      <c r="BD47" s="92" t="str">
        <f>IFERROR(__xludf.DUMMYFUNCTION("""COMPUTED_VALUE"""),"出しNG（再製作）ジャケット・スラックス")</f>
        <v>出しNG（再製作）ジャケット・スラックス</v>
      </c>
      <c r="BE47" s="123"/>
    </row>
    <row r="48">
      <c r="A48" s="93"/>
      <c r="B48" s="94"/>
      <c r="C48" s="94"/>
      <c r="D48" s="98" t="str">
        <f>IFERROR(__xludf.DUMMYFUNCTION("""COMPUTED_VALUE"""),"ウエスト")</f>
        <v>ウエスト</v>
      </c>
      <c r="E48" s="90"/>
      <c r="F48" s="71">
        <f>IFERROR(__xludf.DUMMYFUNCTION("""COMPUTED_VALUE"""),-10.0)</f>
        <v>-10</v>
      </c>
      <c r="G48" s="71">
        <f>IFERROR(__xludf.DUMMYFUNCTION("""COMPUTED_VALUE"""),-9.0)</f>
        <v>-9</v>
      </c>
      <c r="H48" s="71">
        <f>IFERROR(__xludf.DUMMYFUNCTION("""COMPUTED_VALUE"""),-8.0)</f>
        <v>-8</v>
      </c>
      <c r="I48" s="71">
        <f>IFERROR(__xludf.DUMMYFUNCTION("""COMPUTED_VALUE"""),-7.0)</f>
        <v>-7</v>
      </c>
      <c r="J48" s="97">
        <f>IFERROR(__xludf.DUMMYFUNCTION("""COMPUTED_VALUE"""),-6.0)</f>
        <v>-6</v>
      </c>
      <c r="K48" s="97">
        <f>IFERROR(__xludf.DUMMYFUNCTION("""COMPUTED_VALUE"""),-5.0)</f>
        <v>-5</v>
      </c>
      <c r="L48" s="97">
        <f>IFERROR(__xludf.DUMMYFUNCTION("""COMPUTED_VALUE"""),-4.0)</f>
        <v>-4</v>
      </c>
      <c r="M48" s="97">
        <f>IFERROR(__xludf.DUMMYFUNCTION("""COMPUTED_VALUE"""),-3.0)</f>
        <v>-3</v>
      </c>
      <c r="N48" s="97">
        <f>IFERROR(__xludf.DUMMYFUNCTION("""COMPUTED_VALUE"""),-2.0)</f>
        <v>-2</v>
      </c>
      <c r="O48" s="97">
        <f>IFERROR(__xludf.DUMMYFUNCTION("""COMPUTED_VALUE"""),-1.0)</f>
        <v>-1</v>
      </c>
      <c r="P48" s="109">
        <f>IFERROR(__xludf.DUMMYFUNCTION("""COMPUTED_VALUE"""),0.0)</f>
        <v>0</v>
      </c>
      <c r="Q48" s="71">
        <f>IFERROR(__xludf.DUMMYFUNCTION("""COMPUTED_VALUE"""),1.0)</f>
        <v>1</v>
      </c>
      <c r="R48" s="71">
        <f>IFERROR(__xludf.DUMMYFUNCTION("""COMPUTED_VALUE"""),2.0)</f>
        <v>2</v>
      </c>
      <c r="S48" s="71">
        <f>IFERROR(__xludf.DUMMYFUNCTION("""COMPUTED_VALUE"""),3.0)</f>
        <v>3</v>
      </c>
      <c r="T48" s="71">
        <f>IFERROR(__xludf.DUMMYFUNCTION("""COMPUTED_VALUE"""),4.0)</f>
        <v>4</v>
      </c>
      <c r="U48" s="71">
        <f>IFERROR(__xludf.DUMMYFUNCTION("""COMPUTED_VALUE"""),5.0)</f>
        <v>5</v>
      </c>
      <c r="V48" s="86">
        <f>IFERROR(__xludf.DUMMYFUNCTION("""COMPUTED_VALUE"""),7.0)</f>
        <v>7</v>
      </c>
      <c r="W48" s="76">
        <f>IFERROR(__xludf.DUMMYFUNCTION("""COMPUTED_VALUE"""),46000.0)</f>
        <v>46000</v>
      </c>
      <c r="X48" s="110">
        <f>IFERROR(__xludf.DUMMYFUNCTION("""COMPUTED_VALUE"""),46003.0)</f>
        <v>46003</v>
      </c>
      <c r="Y48" s="111">
        <f>IFERROR(__xludf.DUMMYFUNCTION("""COMPUTED_VALUE"""),46008.0)</f>
        <v>46008</v>
      </c>
      <c r="Z48" s="80"/>
      <c r="AA48" s="80"/>
      <c r="AB48" s="80"/>
      <c r="AC48" s="123"/>
      <c r="AD48" s="113" t="str">
        <f>IFERROR(__xludf.DUMMYFUNCTION("""COMPUTED_VALUE"""),"スラックス・チノ")</f>
        <v>スラックス・チノ</v>
      </c>
      <c r="AE48" s="113" t="str">
        <f>IFERROR(__xludf.DUMMYFUNCTION("""COMPUTED_VALUE"""),"縫製")</f>
        <v>縫製</v>
      </c>
      <c r="AF48" s="113" t="str">
        <f>IFERROR(__xludf.DUMMYFUNCTION("""COMPUTED_VALUE"""),"クリースステッチ")</f>
        <v>クリースステッチ</v>
      </c>
      <c r="AG48" s="151" t="str">
        <f>IFERROR(__xludf.DUMMYFUNCTION("""COMPUTED_VALUE"""),"クリースの糸のみが切れている場合に限り対応可能")</f>
        <v>クリースの糸のみが切れている場合に限り対応可能</v>
      </c>
      <c r="AH48" s="25"/>
      <c r="AI48" s="25"/>
      <c r="AJ48" s="25"/>
      <c r="AK48" s="25"/>
      <c r="AL48" s="25"/>
      <c r="AM48" s="26"/>
      <c r="AN48" s="143" t="str">
        <f>IFERROR(__xludf.DUMMYFUNCTION("""COMPUTED_VALUE"""),"https://www.notion.so/fabric-tokyo/10-16-4c1fa9072e024588b94a67997bf1af95")</f>
        <v>https://www.notion.so/fabric-tokyo/10-16-4c1fa9072e024588b94a67997bf1af95</v>
      </c>
      <c r="AO48" s="25"/>
      <c r="AP48" s="25"/>
      <c r="AQ48" s="25"/>
      <c r="AR48" s="25"/>
      <c r="AS48" s="26"/>
      <c r="AT48" s="90">
        <f>IFERROR(__xludf.DUMMYFUNCTION("""COMPUTED_VALUE"""),12.0)</f>
        <v>12</v>
      </c>
      <c r="AU48" s="152">
        <f>IFERROR(__xludf.DUMMYFUNCTION("""COMPUTED_VALUE"""),46007.0)</f>
        <v>46007</v>
      </c>
      <c r="AV48" s="145">
        <f>IFERROR(__xludf.DUMMYFUNCTION("""COMPUTED_VALUE"""),46037.0)</f>
        <v>46037</v>
      </c>
      <c r="AW48" s="146" t="str">
        <f>IFERROR(__xludf.DUMMYFUNCTION("""COMPUTED_VALUE"""),"必要")</f>
        <v>必要</v>
      </c>
      <c r="AX48" s="147" t="str">
        <f>IFERROR(__xludf.DUMMYFUNCTION("""COMPUTED_VALUE"""),"確認不要")</f>
        <v>確認不要</v>
      </c>
      <c r="AY48" s="25"/>
      <c r="AZ48" s="26"/>
      <c r="BA48" s="123"/>
      <c r="BB48" s="91" t="str">
        <f>IFERROR(__xludf.DUMMYFUNCTION("""COMPUTED_VALUE"""),"織物のような美しい光沢感と発色で、北陸と尾州を旅したラグジュアリージャージー")</f>
        <v>織物のような美しい光沢感と発色で、北陸と尾州を旅したラグジュアリージャージー</v>
      </c>
      <c r="BC48" s="95" t="str">
        <f>IFERROR(__xludf.DUMMYFUNCTION("""COMPUTED_VALUE"""),"W240016")</f>
        <v>W240016</v>
      </c>
      <c r="BD48" s="92" t="str">
        <f>IFERROR(__xludf.DUMMYFUNCTION("""COMPUTED_VALUE"""),"出しNG（再製作）ジャケット・スラックス")</f>
        <v>出しNG（再製作）ジャケット・スラックス</v>
      </c>
      <c r="BE48" s="123"/>
    </row>
    <row r="49">
      <c r="A49" s="93"/>
      <c r="B49" s="94"/>
      <c r="C49" s="94"/>
      <c r="D49" s="98" t="str">
        <f>IFERROR(__xludf.DUMMYFUNCTION("""COMPUTED_VALUE"""),"着丈")</f>
        <v>着丈</v>
      </c>
      <c r="E49" s="90"/>
      <c r="F49" s="71">
        <f>IFERROR(__xludf.DUMMYFUNCTION("""COMPUTED_VALUE"""),-10.0)</f>
        <v>-10</v>
      </c>
      <c r="G49" s="71">
        <f>IFERROR(__xludf.DUMMYFUNCTION("""COMPUTED_VALUE"""),-9.0)</f>
        <v>-9</v>
      </c>
      <c r="H49" s="71">
        <f>IFERROR(__xludf.DUMMYFUNCTION("""COMPUTED_VALUE"""),-8.0)</f>
        <v>-8</v>
      </c>
      <c r="I49" s="71">
        <f>IFERROR(__xludf.DUMMYFUNCTION("""COMPUTED_VALUE"""),-7.0)</f>
        <v>-7</v>
      </c>
      <c r="J49" s="97">
        <f>IFERROR(__xludf.DUMMYFUNCTION("""COMPUTED_VALUE"""),-6.0)</f>
        <v>-6</v>
      </c>
      <c r="K49" s="97">
        <f>IFERROR(__xludf.DUMMYFUNCTION("""COMPUTED_VALUE"""),-5.0)</f>
        <v>-5</v>
      </c>
      <c r="L49" s="97">
        <f>IFERROR(__xludf.DUMMYFUNCTION("""COMPUTED_VALUE"""),-4.0)</f>
        <v>-4</v>
      </c>
      <c r="M49" s="97">
        <f>IFERROR(__xludf.DUMMYFUNCTION("""COMPUTED_VALUE"""),-3.0)</f>
        <v>-3</v>
      </c>
      <c r="N49" s="97">
        <f>IFERROR(__xludf.DUMMYFUNCTION("""COMPUTED_VALUE"""),-2.0)</f>
        <v>-2</v>
      </c>
      <c r="O49" s="97">
        <f>IFERROR(__xludf.DUMMYFUNCTION("""COMPUTED_VALUE"""),-1.0)</f>
        <v>-1</v>
      </c>
      <c r="P49" s="109">
        <f>IFERROR(__xludf.DUMMYFUNCTION("""COMPUTED_VALUE"""),0.0)</f>
        <v>0</v>
      </c>
      <c r="Q49" s="71">
        <f>IFERROR(__xludf.DUMMYFUNCTION("""COMPUTED_VALUE"""),1.0)</f>
        <v>1</v>
      </c>
      <c r="R49" s="71">
        <f>IFERROR(__xludf.DUMMYFUNCTION("""COMPUTED_VALUE"""),2.0)</f>
        <v>2</v>
      </c>
      <c r="S49" s="71">
        <f>IFERROR(__xludf.DUMMYFUNCTION("""COMPUTED_VALUE"""),3.0)</f>
        <v>3</v>
      </c>
      <c r="T49" s="71">
        <f>IFERROR(__xludf.DUMMYFUNCTION("""COMPUTED_VALUE"""),4.0)</f>
        <v>4</v>
      </c>
      <c r="U49" s="71">
        <f>IFERROR(__xludf.DUMMYFUNCTION("""COMPUTED_VALUE"""),5.0)</f>
        <v>5</v>
      </c>
      <c r="V49" s="86">
        <f>IFERROR(__xludf.DUMMYFUNCTION("""COMPUTED_VALUE"""),7.0)</f>
        <v>7</v>
      </c>
      <c r="W49" s="76">
        <f>IFERROR(__xludf.DUMMYFUNCTION("""COMPUTED_VALUE"""),46000.0)</f>
        <v>46000</v>
      </c>
      <c r="X49" s="110">
        <f>IFERROR(__xludf.DUMMYFUNCTION("""COMPUTED_VALUE"""),46003.0)</f>
        <v>46003</v>
      </c>
      <c r="Y49" s="111">
        <f>IFERROR(__xludf.DUMMYFUNCTION("""COMPUTED_VALUE"""),46008.0)</f>
        <v>46008</v>
      </c>
      <c r="Z49" s="80"/>
      <c r="AA49" s="80"/>
      <c r="AB49" s="80"/>
      <c r="AC49" s="12"/>
      <c r="AD49" s="90"/>
      <c r="AE49" s="90"/>
      <c r="AF49" s="90"/>
      <c r="AG49" s="149"/>
      <c r="AH49" s="25"/>
      <c r="AI49" s="25"/>
      <c r="AJ49" s="25"/>
      <c r="AK49" s="25"/>
      <c r="AL49" s="25"/>
      <c r="AM49" s="26"/>
      <c r="AN49" s="149"/>
      <c r="AO49" s="25"/>
      <c r="AP49" s="25"/>
      <c r="AQ49" s="25"/>
      <c r="AR49" s="25"/>
      <c r="AS49" s="26"/>
      <c r="AT49" s="90"/>
      <c r="AU49" s="153"/>
      <c r="AV49" s="154"/>
      <c r="AW49" s="155"/>
      <c r="AX49" s="147"/>
      <c r="AY49" s="25"/>
      <c r="AZ49" s="26"/>
      <c r="BA49" s="123"/>
      <c r="BB49" s="91" t="str">
        <f>IFERROR(__xludf.DUMMYFUNCTION("""COMPUTED_VALUE"""),"やわらかい上品さに包みこまれる、北陸素材で作った世界初の近江晒シャツ")</f>
        <v>やわらかい上品さに包みこまれる、北陸素材で作った世界初の近江晒シャツ</v>
      </c>
      <c r="BC49" s="95" t="str">
        <f>IFERROR(__xludf.DUMMYFUNCTION("""COMPUTED_VALUE"""),"W240017")</f>
        <v>W240017</v>
      </c>
      <c r="BD49" s="92" t="str">
        <f>IFERROR(__xludf.DUMMYFUNCTION("""COMPUTED_VALUE"""),"出しNG（再製作）ジャケット・スラックス")</f>
        <v>出しNG（再製作）ジャケット・スラックス</v>
      </c>
      <c r="BE49" s="123"/>
    </row>
    <row r="50">
      <c r="A50" s="123"/>
      <c r="B50" s="94"/>
      <c r="C50" s="94"/>
      <c r="D50" s="98" t="str">
        <f>IFERROR(__xludf.DUMMYFUNCTION("""COMPUTED_VALUE"""),"肩巾")</f>
        <v>肩巾</v>
      </c>
      <c r="E50" s="90"/>
      <c r="F50" s="71">
        <f>IFERROR(__xludf.DUMMYFUNCTION("""COMPUTED_VALUE"""),-10.0)</f>
        <v>-10</v>
      </c>
      <c r="G50" s="71">
        <f>IFERROR(__xludf.DUMMYFUNCTION("""COMPUTED_VALUE"""),-9.0)</f>
        <v>-9</v>
      </c>
      <c r="H50" s="71">
        <f>IFERROR(__xludf.DUMMYFUNCTION("""COMPUTED_VALUE"""),-8.0)</f>
        <v>-8</v>
      </c>
      <c r="I50" s="71">
        <f>IFERROR(__xludf.DUMMYFUNCTION("""COMPUTED_VALUE"""),-7.0)</f>
        <v>-7</v>
      </c>
      <c r="J50" s="71">
        <f>IFERROR(__xludf.DUMMYFUNCTION("""COMPUTED_VALUE"""),-6.0)</f>
        <v>-6</v>
      </c>
      <c r="K50" s="71">
        <f>IFERROR(__xludf.DUMMYFUNCTION("""COMPUTED_VALUE"""),-5.0)</f>
        <v>-5</v>
      </c>
      <c r="L50" s="71">
        <f>IFERROR(__xludf.DUMMYFUNCTION("""COMPUTED_VALUE"""),-4.0)</f>
        <v>-4</v>
      </c>
      <c r="M50" s="71">
        <f>IFERROR(__xludf.DUMMYFUNCTION("""COMPUTED_VALUE"""),-3.0)</f>
        <v>-3</v>
      </c>
      <c r="N50" s="71">
        <f>IFERROR(__xludf.DUMMYFUNCTION("""COMPUTED_VALUE"""),-2.0)</f>
        <v>-2</v>
      </c>
      <c r="O50" s="71">
        <f>IFERROR(__xludf.DUMMYFUNCTION("""COMPUTED_VALUE"""),-1.0)</f>
        <v>-1</v>
      </c>
      <c r="P50" s="109">
        <f>IFERROR(__xludf.DUMMYFUNCTION("""COMPUTED_VALUE"""),0.0)</f>
        <v>0</v>
      </c>
      <c r="Q50" s="71">
        <f>IFERROR(__xludf.DUMMYFUNCTION("""COMPUTED_VALUE"""),1.0)</f>
        <v>1</v>
      </c>
      <c r="R50" s="71">
        <f>IFERROR(__xludf.DUMMYFUNCTION("""COMPUTED_VALUE"""),2.0)</f>
        <v>2</v>
      </c>
      <c r="S50" s="71">
        <f>IFERROR(__xludf.DUMMYFUNCTION("""COMPUTED_VALUE"""),3.0)</f>
        <v>3</v>
      </c>
      <c r="T50" s="71">
        <f>IFERROR(__xludf.DUMMYFUNCTION("""COMPUTED_VALUE"""),4.0)</f>
        <v>4</v>
      </c>
      <c r="U50" s="71">
        <f>IFERROR(__xludf.DUMMYFUNCTION("""COMPUTED_VALUE"""),5.0)</f>
        <v>5</v>
      </c>
      <c r="V50" s="86" t="str">
        <f>IFERROR(__xludf.DUMMYFUNCTION("""COMPUTED_VALUE"""),"-")</f>
        <v>-</v>
      </c>
      <c r="W50" s="76" t="str">
        <f>IFERROR(__xludf.DUMMYFUNCTION("""COMPUTED_VALUE"""),"-")</f>
        <v>-</v>
      </c>
      <c r="X50" s="77" t="str">
        <f>IFERROR(__xludf.DUMMYFUNCTION("""COMPUTED_VALUE"""),"-")</f>
        <v>-</v>
      </c>
      <c r="Y50" s="132" t="str">
        <f>IFERROR(__xludf.DUMMYFUNCTION("""COMPUTED_VALUE"""),"-")</f>
        <v>-</v>
      </c>
      <c r="Z50" s="80"/>
      <c r="AA50" s="80"/>
      <c r="AB50" s="80"/>
      <c r="AC50" s="12"/>
      <c r="AD50" s="90"/>
      <c r="AE50" s="90"/>
      <c r="AF50" s="90"/>
      <c r="AG50" s="149"/>
      <c r="AH50" s="25"/>
      <c r="AI50" s="25"/>
      <c r="AJ50" s="25"/>
      <c r="AK50" s="25"/>
      <c r="AL50" s="25"/>
      <c r="AM50" s="26"/>
      <c r="AN50" s="149"/>
      <c r="AO50" s="25"/>
      <c r="AP50" s="25"/>
      <c r="AQ50" s="25"/>
      <c r="AR50" s="25"/>
      <c r="AS50" s="26"/>
      <c r="AT50" s="90"/>
      <c r="AU50" s="153"/>
      <c r="AV50" s="154"/>
      <c r="AW50" s="155"/>
      <c r="AX50" s="147"/>
      <c r="AY50" s="25"/>
      <c r="AZ50" s="26"/>
      <c r="BA50" s="123"/>
      <c r="BB50" s="91" t="str">
        <f>IFERROR(__xludf.DUMMYFUNCTION("""COMPUTED_VALUE"""),"保温性・軽さ・イージーケアを実現させた、福井県産のオールラウンダーコート")</f>
        <v>保温性・軽さ・イージーケアを実現させた、福井県産のオールラウンダーコート</v>
      </c>
      <c r="BC50" s="95" t="str">
        <f>IFERROR(__xludf.DUMMYFUNCTION("""COMPUTED_VALUE"""),"W240018")</f>
        <v>W240018</v>
      </c>
      <c r="BD50" s="92" t="str">
        <f>IFERROR(__xludf.DUMMYFUNCTION("""COMPUTED_VALUE"""),"出しNG（再製作）ジャケット・スラックス")</f>
        <v>出しNG（再製作）ジャケット・スラックス</v>
      </c>
      <c r="BE50" s="123"/>
    </row>
    <row r="51">
      <c r="A51" s="12"/>
      <c r="B51" s="96"/>
      <c r="C51" s="96"/>
      <c r="D51" s="98" t="str">
        <f>IFERROR(__xludf.DUMMYFUNCTION("""COMPUTED_VALUE"""),"ヒップ")</f>
        <v>ヒップ</v>
      </c>
      <c r="E51" s="70"/>
      <c r="F51" s="71">
        <f>IFERROR(__xludf.DUMMYFUNCTION("""COMPUTED_VALUE"""),-10.0)</f>
        <v>-10</v>
      </c>
      <c r="G51" s="71">
        <f>IFERROR(__xludf.DUMMYFUNCTION("""COMPUTED_VALUE"""),-9.0)</f>
        <v>-9</v>
      </c>
      <c r="H51" s="71">
        <f>IFERROR(__xludf.DUMMYFUNCTION("""COMPUTED_VALUE"""),-8.0)</f>
        <v>-8</v>
      </c>
      <c r="I51" s="71">
        <f>IFERROR(__xludf.DUMMYFUNCTION("""COMPUTED_VALUE"""),-7.0)</f>
        <v>-7</v>
      </c>
      <c r="J51" s="97">
        <f>IFERROR(__xludf.DUMMYFUNCTION("""COMPUTED_VALUE"""),-6.0)</f>
        <v>-6</v>
      </c>
      <c r="K51" s="97">
        <f>IFERROR(__xludf.DUMMYFUNCTION("""COMPUTED_VALUE"""),-5.0)</f>
        <v>-5</v>
      </c>
      <c r="L51" s="97">
        <f>IFERROR(__xludf.DUMMYFUNCTION("""COMPUTED_VALUE"""),-4.0)</f>
        <v>-4</v>
      </c>
      <c r="M51" s="97">
        <f>IFERROR(__xludf.DUMMYFUNCTION("""COMPUTED_VALUE"""),-3.0)</f>
        <v>-3</v>
      </c>
      <c r="N51" s="97">
        <f>IFERROR(__xludf.DUMMYFUNCTION("""COMPUTED_VALUE"""),-2.0)</f>
        <v>-2</v>
      </c>
      <c r="O51" s="97">
        <f>IFERROR(__xludf.DUMMYFUNCTION("""COMPUTED_VALUE"""),-1.0)</f>
        <v>-1</v>
      </c>
      <c r="P51" s="109">
        <f>IFERROR(__xludf.DUMMYFUNCTION("""COMPUTED_VALUE"""),0.0)</f>
        <v>0</v>
      </c>
      <c r="Q51" s="71">
        <f>IFERROR(__xludf.DUMMYFUNCTION("""COMPUTED_VALUE"""),1.0)</f>
        <v>1</v>
      </c>
      <c r="R51" s="71">
        <f>IFERROR(__xludf.DUMMYFUNCTION("""COMPUTED_VALUE"""),2.0)</f>
        <v>2</v>
      </c>
      <c r="S51" s="71">
        <f>IFERROR(__xludf.DUMMYFUNCTION("""COMPUTED_VALUE"""),3.0)</f>
        <v>3</v>
      </c>
      <c r="T51" s="71">
        <f>IFERROR(__xludf.DUMMYFUNCTION("""COMPUTED_VALUE"""),4.0)</f>
        <v>4</v>
      </c>
      <c r="U51" s="71">
        <f>IFERROR(__xludf.DUMMYFUNCTION("""COMPUTED_VALUE"""),5.0)</f>
        <v>5</v>
      </c>
      <c r="V51" s="86">
        <f>IFERROR(__xludf.DUMMYFUNCTION("""COMPUTED_VALUE"""),7.0)</f>
        <v>7</v>
      </c>
      <c r="W51" s="76">
        <f>IFERROR(__xludf.DUMMYFUNCTION("""COMPUTED_VALUE"""),46000.0)</f>
        <v>46000</v>
      </c>
      <c r="X51" s="110">
        <f>IFERROR(__xludf.DUMMYFUNCTION("""COMPUTED_VALUE"""),46003.0)</f>
        <v>46003</v>
      </c>
      <c r="Y51" s="111">
        <f>IFERROR(__xludf.DUMMYFUNCTION("""COMPUTED_VALUE"""),46008.0)</f>
        <v>46008</v>
      </c>
      <c r="Z51" s="80"/>
      <c r="AA51" s="80"/>
      <c r="AB51" s="80"/>
      <c r="AC51" s="12"/>
      <c r="AD51" s="90"/>
      <c r="AE51" s="90"/>
      <c r="AF51" s="90"/>
      <c r="AG51" s="149"/>
      <c r="AH51" s="25"/>
      <c r="AI51" s="25"/>
      <c r="AJ51" s="25"/>
      <c r="AK51" s="25"/>
      <c r="AL51" s="25"/>
      <c r="AM51" s="26"/>
      <c r="AN51" s="149"/>
      <c r="AO51" s="25"/>
      <c r="AP51" s="25"/>
      <c r="AQ51" s="25"/>
      <c r="AR51" s="25"/>
      <c r="AS51" s="26"/>
      <c r="AT51" s="90"/>
      <c r="AU51" s="153"/>
      <c r="AV51" s="154"/>
      <c r="AW51" s="155"/>
      <c r="AX51" s="147"/>
      <c r="AY51" s="25"/>
      <c r="AZ51" s="26"/>
      <c r="BA51" s="123"/>
      <c r="BB51" s="91" t="str">
        <f>IFERROR(__xludf.DUMMYFUNCTION("""COMPUTED_VALUE"""),"保温性・軽さ・イージーケアを実現させた、福井県産のオールラウンダーコート")</f>
        <v>保温性・軽さ・イージーケアを実現させた、福井県産のオールラウンダーコート</v>
      </c>
      <c r="BC51" s="95" t="str">
        <f>IFERROR(__xludf.DUMMYFUNCTION("""COMPUTED_VALUE"""),"W240019")</f>
        <v>W240019</v>
      </c>
      <c r="BD51" s="92" t="str">
        <f>IFERROR(__xludf.DUMMYFUNCTION("""COMPUTED_VALUE"""),"出しNG（再製作）ジャケット・スラックス")</f>
        <v>出しNG（再製作）ジャケット・スラックス</v>
      </c>
      <c r="BE51" s="123"/>
    </row>
    <row r="52">
      <c r="A52" s="12"/>
      <c r="B52" s="93"/>
      <c r="C52" s="27"/>
      <c r="D52" s="12"/>
      <c r="E52" s="12"/>
      <c r="F52" s="104"/>
      <c r="G52" s="104"/>
      <c r="H52" s="104"/>
      <c r="I52" s="104"/>
      <c r="J52" s="104"/>
      <c r="K52" s="104"/>
      <c r="L52" s="104"/>
      <c r="M52" s="104"/>
      <c r="N52" s="104"/>
      <c r="O52" s="27"/>
      <c r="P52" s="104"/>
      <c r="Q52" s="27"/>
      <c r="R52" s="27"/>
      <c r="S52" s="27"/>
      <c r="T52" s="27"/>
      <c r="U52" s="27"/>
      <c r="V52" s="27"/>
      <c r="W52" s="27"/>
      <c r="X52" s="27"/>
      <c r="Y52" s="27"/>
      <c r="Z52" s="80"/>
      <c r="AA52" s="80"/>
      <c r="AB52" s="80"/>
      <c r="AC52" s="12"/>
      <c r="AD52" s="90"/>
      <c r="AE52" s="90"/>
      <c r="AF52" s="90"/>
      <c r="AG52" s="149"/>
      <c r="AH52" s="25"/>
      <c r="AI52" s="25"/>
      <c r="AJ52" s="25"/>
      <c r="AK52" s="25"/>
      <c r="AL52" s="25"/>
      <c r="AM52" s="26"/>
      <c r="AN52" s="149"/>
      <c r="AO52" s="25"/>
      <c r="AP52" s="25"/>
      <c r="AQ52" s="25"/>
      <c r="AR52" s="25"/>
      <c r="AS52" s="26"/>
      <c r="AT52" s="90"/>
      <c r="AU52" s="153"/>
      <c r="AV52" s="154"/>
      <c r="AW52" s="155"/>
      <c r="AX52" s="147"/>
      <c r="AY52" s="25"/>
      <c r="AZ52" s="26"/>
      <c r="BA52" s="123"/>
      <c r="BB52" s="91" t="str">
        <f>IFERROR(__xludf.DUMMYFUNCTION("""COMPUTED_VALUE"""),"保温性・軽さ・イージーケアを実現させた、福井県産のオールラウンダーコート")</f>
        <v>保温性・軽さ・イージーケアを実現させた、福井県産のオールラウンダーコート</v>
      </c>
      <c r="BC52" s="95" t="str">
        <f>IFERROR(__xludf.DUMMYFUNCTION("""COMPUTED_VALUE"""),"W240020")</f>
        <v>W240020</v>
      </c>
      <c r="BD52" s="92" t="str">
        <f>IFERROR(__xludf.DUMMYFUNCTION("""COMPUTED_VALUE"""),"出しNG（再製作）ジャケット・スラックス")</f>
        <v>出しNG（再製作）ジャケット・スラックス</v>
      </c>
      <c r="BE52" s="123"/>
    </row>
    <row r="53">
      <c r="A53" s="12"/>
      <c r="B53" s="107" t="str">
        <f>IFERROR(__xludf.DUMMYFUNCTION("""COMPUTED_VALUE"""),"
オーダーポロ　半袖")</f>
        <v>
オーダーポロ　半袖</v>
      </c>
      <c r="C53" s="68" t="str">
        <f>IFERROR(__xludf.DUMMYFUNCTION("""COMPUTED_VALUE"""),"サイズ")</f>
        <v>サイズ</v>
      </c>
      <c r="D53" s="98" t="str">
        <f>IFERROR(__xludf.DUMMYFUNCTION("""COMPUTED_VALUE"""),"裄丈")</f>
        <v>裄丈</v>
      </c>
      <c r="E53" s="70"/>
      <c r="F53" s="71">
        <f>IFERROR(__xludf.DUMMYFUNCTION("""COMPUTED_VALUE"""),-10.0)</f>
        <v>-10</v>
      </c>
      <c r="G53" s="71">
        <f>IFERROR(__xludf.DUMMYFUNCTION("""COMPUTED_VALUE"""),-9.0)</f>
        <v>-9</v>
      </c>
      <c r="H53" s="71">
        <f>IFERROR(__xludf.DUMMYFUNCTION("""COMPUTED_VALUE"""),-8.0)</f>
        <v>-8</v>
      </c>
      <c r="I53" s="71">
        <f>IFERROR(__xludf.DUMMYFUNCTION("""COMPUTED_VALUE"""),-7.0)</f>
        <v>-7</v>
      </c>
      <c r="J53" s="71">
        <f>IFERROR(__xludf.DUMMYFUNCTION("""COMPUTED_VALUE"""),-6.0)</f>
        <v>-6</v>
      </c>
      <c r="K53" s="71">
        <f>IFERROR(__xludf.DUMMYFUNCTION("""COMPUTED_VALUE"""),-5.0)</f>
        <v>-5</v>
      </c>
      <c r="L53" s="71">
        <f>IFERROR(__xludf.DUMMYFUNCTION("""COMPUTED_VALUE"""),-4.0)</f>
        <v>-4</v>
      </c>
      <c r="M53" s="71">
        <f>IFERROR(__xludf.DUMMYFUNCTION("""COMPUTED_VALUE"""),-3.0)</f>
        <v>-3</v>
      </c>
      <c r="N53" s="71">
        <f>IFERROR(__xludf.DUMMYFUNCTION("""COMPUTED_VALUE"""),-2.0)</f>
        <v>-2</v>
      </c>
      <c r="O53" s="71">
        <f>IFERROR(__xludf.DUMMYFUNCTION("""COMPUTED_VALUE"""),-1.0)</f>
        <v>-1</v>
      </c>
      <c r="P53" s="109">
        <f>IFERROR(__xludf.DUMMYFUNCTION("""COMPUTED_VALUE"""),0.0)</f>
        <v>0</v>
      </c>
      <c r="Q53" s="71">
        <f>IFERROR(__xludf.DUMMYFUNCTION("""COMPUTED_VALUE"""),1.0)</f>
        <v>1</v>
      </c>
      <c r="R53" s="71">
        <f>IFERROR(__xludf.DUMMYFUNCTION("""COMPUTED_VALUE"""),2.0)</f>
        <v>2</v>
      </c>
      <c r="S53" s="71">
        <f>IFERROR(__xludf.DUMMYFUNCTION("""COMPUTED_VALUE"""),3.0)</f>
        <v>3</v>
      </c>
      <c r="T53" s="71">
        <f>IFERROR(__xludf.DUMMYFUNCTION("""COMPUTED_VALUE"""),4.0)</f>
        <v>4</v>
      </c>
      <c r="U53" s="71">
        <f>IFERROR(__xludf.DUMMYFUNCTION("""COMPUTED_VALUE"""),5.0)</f>
        <v>5</v>
      </c>
      <c r="V53" s="86" t="str">
        <f>IFERROR(__xludf.DUMMYFUNCTION("""COMPUTED_VALUE"""),"-")</f>
        <v>-</v>
      </c>
      <c r="W53" s="129" t="str">
        <f>IFERROR(__xludf.DUMMYFUNCTION("""COMPUTED_VALUE"""),"-")</f>
        <v>-</v>
      </c>
      <c r="X53" s="130" t="str">
        <f>IFERROR(__xludf.DUMMYFUNCTION("""COMPUTED_VALUE"""),"-")</f>
        <v>-</v>
      </c>
      <c r="Y53" s="131" t="str">
        <f>IFERROR(__xludf.DUMMYFUNCTION("""COMPUTED_VALUE"""),"-")</f>
        <v>-</v>
      </c>
      <c r="Z53" s="80"/>
      <c r="AA53" s="80"/>
      <c r="AB53" s="80"/>
      <c r="AC53" s="12"/>
      <c r="AD53" s="90"/>
      <c r="AE53" s="90"/>
      <c r="AF53" s="90"/>
      <c r="AG53" s="149"/>
      <c r="AH53" s="25"/>
      <c r="AI53" s="25"/>
      <c r="AJ53" s="25"/>
      <c r="AK53" s="25"/>
      <c r="AL53" s="25"/>
      <c r="AM53" s="26"/>
      <c r="AN53" s="149"/>
      <c r="AO53" s="25"/>
      <c r="AP53" s="25"/>
      <c r="AQ53" s="25"/>
      <c r="AR53" s="25"/>
      <c r="AS53" s="26"/>
      <c r="AT53" s="90"/>
      <c r="AU53" s="153"/>
      <c r="AV53" s="154"/>
      <c r="AW53" s="155"/>
      <c r="AX53" s="147"/>
      <c r="AY53" s="25"/>
      <c r="AZ53" s="26"/>
      <c r="BA53" s="123"/>
      <c r="BB53" s="91" t="str">
        <f>IFERROR(__xludf.DUMMYFUNCTION("""COMPUTED_VALUE"""),"極上の着心地とハリ感が調和する、ウルトラハイゲージジャージーシャツ")</f>
        <v>極上の着心地とハリ感が調和する、ウルトラハイゲージジャージーシャツ</v>
      </c>
      <c r="BC53" s="95" t="str">
        <f>IFERROR(__xludf.DUMMYFUNCTION("""COMPUTED_VALUE"""),"W240021")</f>
        <v>W240021</v>
      </c>
      <c r="BD53" s="92" t="str">
        <f>IFERROR(__xludf.DUMMYFUNCTION("""COMPUTED_VALUE"""),"出しNG（再製作）ジャケット・スラックス")</f>
        <v>出しNG（再製作）ジャケット・スラックス</v>
      </c>
      <c r="BE53" s="123"/>
    </row>
    <row r="54">
      <c r="A54" s="12"/>
      <c r="B54" s="94"/>
      <c r="C54" s="94"/>
      <c r="D54" s="98" t="str">
        <f>IFERROR(__xludf.DUMMYFUNCTION("""COMPUTED_VALUE"""),"襟")</f>
        <v>襟</v>
      </c>
      <c r="E54" s="70"/>
      <c r="F54" s="71">
        <f>IFERROR(__xludf.DUMMYFUNCTION("""COMPUTED_VALUE"""),-10.0)</f>
        <v>-10</v>
      </c>
      <c r="G54" s="71">
        <f>IFERROR(__xludf.DUMMYFUNCTION("""COMPUTED_VALUE"""),-9.0)</f>
        <v>-9</v>
      </c>
      <c r="H54" s="71">
        <f>IFERROR(__xludf.DUMMYFUNCTION("""COMPUTED_VALUE"""),-8.0)</f>
        <v>-8</v>
      </c>
      <c r="I54" s="71">
        <f>IFERROR(__xludf.DUMMYFUNCTION("""COMPUTED_VALUE"""),-7.0)</f>
        <v>-7</v>
      </c>
      <c r="J54" s="71">
        <f>IFERROR(__xludf.DUMMYFUNCTION("""COMPUTED_VALUE"""),-6.0)</f>
        <v>-6</v>
      </c>
      <c r="K54" s="71">
        <f>IFERROR(__xludf.DUMMYFUNCTION("""COMPUTED_VALUE"""),-5.0)</f>
        <v>-5</v>
      </c>
      <c r="L54" s="71">
        <f>IFERROR(__xludf.DUMMYFUNCTION("""COMPUTED_VALUE"""),-4.0)</f>
        <v>-4</v>
      </c>
      <c r="M54" s="71">
        <f>IFERROR(__xludf.DUMMYFUNCTION("""COMPUTED_VALUE"""),-3.0)</f>
        <v>-3</v>
      </c>
      <c r="N54" s="71">
        <f>IFERROR(__xludf.DUMMYFUNCTION("""COMPUTED_VALUE"""),-2.0)</f>
        <v>-2</v>
      </c>
      <c r="O54" s="71">
        <f>IFERROR(__xludf.DUMMYFUNCTION("""COMPUTED_VALUE"""),-1.0)</f>
        <v>-1</v>
      </c>
      <c r="P54" s="109">
        <f>IFERROR(__xludf.DUMMYFUNCTION("""COMPUTED_VALUE"""),0.0)</f>
        <v>0</v>
      </c>
      <c r="Q54" s="71">
        <f>IFERROR(__xludf.DUMMYFUNCTION("""COMPUTED_VALUE"""),1.0)</f>
        <v>1</v>
      </c>
      <c r="R54" s="71">
        <f>IFERROR(__xludf.DUMMYFUNCTION("""COMPUTED_VALUE"""),2.0)</f>
        <v>2</v>
      </c>
      <c r="S54" s="71">
        <f>IFERROR(__xludf.DUMMYFUNCTION("""COMPUTED_VALUE"""),3.0)</f>
        <v>3</v>
      </c>
      <c r="T54" s="71">
        <f>IFERROR(__xludf.DUMMYFUNCTION("""COMPUTED_VALUE"""),4.0)</f>
        <v>4</v>
      </c>
      <c r="U54" s="71">
        <f>IFERROR(__xludf.DUMMYFUNCTION("""COMPUTED_VALUE"""),5.0)</f>
        <v>5</v>
      </c>
      <c r="V54" s="86" t="str">
        <f>IFERROR(__xludf.DUMMYFUNCTION("""COMPUTED_VALUE"""),"-")</f>
        <v>-</v>
      </c>
      <c r="W54" s="129" t="str">
        <f>IFERROR(__xludf.DUMMYFUNCTION("""COMPUTED_VALUE"""),"-")</f>
        <v>-</v>
      </c>
      <c r="X54" s="130" t="str">
        <f>IFERROR(__xludf.DUMMYFUNCTION("""COMPUTED_VALUE"""),"-")</f>
        <v>-</v>
      </c>
      <c r="Y54" s="131" t="str">
        <f>IFERROR(__xludf.DUMMYFUNCTION("""COMPUTED_VALUE"""),"-")</f>
        <v>-</v>
      </c>
      <c r="Z54" s="80"/>
      <c r="AA54" s="80"/>
      <c r="AB54" s="80"/>
      <c r="AC54" s="12"/>
      <c r="AD54" s="149"/>
      <c r="AE54" s="26"/>
      <c r="AF54" s="155"/>
      <c r="AG54" s="149"/>
      <c r="AH54" s="25"/>
      <c r="AI54" s="25"/>
      <c r="AJ54" s="25"/>
      <c r="AK54" s="25"/>
      <c r="AL54" s="25"/>
      <c r="AM54" s="26"/>
      <c r="AN54" s="149"/>
      <c r="AO54" s="25"/>
      <c r="AP54" s="25"/>
      <c r="AQ54" s="25"/>
      <c r="AR54" s="25"/>
      <c r="AS54" s="26"/>
      <c r="AT54" s="90"/>
      <c r="AU54" s="153"/>
      <c r="AV54" s="154"/>
      <c r="AW54" s="155"/>
      <c r="AX54" s="149"/>
      <c r="AY54" s="25"/>
      <c r="AZ54" s="26"/>
      <c r="BA54" s="123"/>
      <c r="BB54" s="91" t="str">
        <f>IFERROR(__xludf.DUMMYFUNCTION("""COMPUTED_VALUE"""),"極上の着心地とハリ感が調和する、ウルトラハイゲージジャージーシャツ")</f>
        <v>極上の着心地とハリ感が調和する、ウルトラハイゲージジャージーシャツ</v>
      </c>
      <c r="BC54" s="95" t="str">
        <f>IFERROR(__xludf.DUMMYFUNCTION("""COMPUTED_VALUE"""),"W240022")</f>
        <v>W240022</v>
      </c>
      <c r="BD54" s="92" t="str">
        <f>IFERROR(__xludf.DUMMYFUNCTION("""COMPUTED_VALUE"""),"出しNG（再製作）ジャケット・スラックス")</f>
        <v>出しNG（再製作）ジャケット・スラックス</v>
      </c>
      <c r="BE54" s="123"/>
    </row>
    <row r="55">
      <c r="A55" s="12"/>
      <c r="B55" s="94"/>
      <c r="C55" s="94"/>
      <c r="D55" s="98" t="str">
        <f>IFERROR(__xludf.DUMMYFUNCTION("""COMPUTED_VALUE"""),"カフス")</f>
        <v>カフス</v>
      </c>
      <c r="E55" s="70"/>
      <c r="F55" s="71">
        <f>IFERROR(__xludf.DUMMYFUNCTION("""COMPUTED_VALUE"""),-10.0)</f>
        <v>-10</v>
      </c>
      <c r="G55" s="71">
        <f>IFERROR(__xludf.DUMMYFUNCTION("""COMPUTED_VALUE"""),-9.0)</f>
        <v>-9</v>
      </c>
      <c r="H55" s="71">
        <f>IFERROR(__xludf.DUMMYFUNCTION("""COMPUTED_VALUE"""),-8.0)</f>
        <v>-8</v>
      </c>
      <c r="I55" s="71">
        <f>IFERROR(__xludf.DUMMYFUNCTION("""COMPUTED_VALUE"""),-7.0)</f>
        <v>-7</v>
      </c>
      <c r="J55" s="71">
        <f>IFERROR(__xludf.DUMMYFUNCTION("""COMPUTED_VALUE"""),-6.0)</f>
        <v>-6</v>
      </c>
      <c r="K55" s="71">
        <f>IFERROR(__xludf.DUMMYFUNCTION("""COMPUTED_VALUE"""),-5.0)</f>
        <v>-5</v>
      </c>
      <c r="L55" s="71">
        <f>IFERROR(__xludf.DUMMYFUNCTION("""COMPUTED_VALUE"""),-4.0)</f>
        <v>-4</v>
      </c>
      <c r="M55" s="71">
        <f>IFERROR(__xludf.DUMMYFUNCTION("""COMPUTED_VALUE"""),-3.0)</f>
        <v>-3</v>
      </c>
      <c r="N55" s="71">
        <f>IFERROR(__xludf.DUMMYFUNCTION("""COMPUTED_VALUE"""),-2.0)</f>
        <v>-2</v>
      </c>
      <c r="O55" s="71">
        <f>IFERROR(__xludf.DUMMYFUNCTION("""COMPUTED_VALUE"""),-1.0)</f>
        <v>-1</v>
      </c>
      <c r="P55" s="109">
        <f>IFERROR(__xludf.DUMMYFUNCTION("""COMPUTED_VALUE"""),0.0)</f>
        <v>0</v>
      </c>
      <c r="Q55" s="71">
        <f>IFERROR(__xludf.DUMMYFUNCTION("""COMPUTED_VALUE"""),1.0)</f>
        <v>1</v>
      </c>
      <c r="R55" s="71">
        <f>IFERROR(__xludf.DUMMYFUNCTION("""COMPUTED_VALUE"""),2.0)</f>
        <v>2</v>
      </c>
      <c r="S55" s="71">
        <f>IFERROR(__xludf.DUMMYFUNCTION("""COMPUTED_VALUE"""),3.0)</f>
        <v>3</v>
      </c>
      <c r="T55" s="71">
        <f>IFERROR(__xludf.DUMMYFUNCTION("""COMPUTED_VALUE"""),4.0)</f>
        <v>4</v>
      </c>
      <c r="U55" s="71">
        <f>IFERROR(__xludf.DUMMYFUNCTION("""COMPUTED_VALUE"""),5.0)</f>
        <v>5</v>
      </c>
      <c r="V55" s="86" t="str">
        <f>IFERROR(__xludf.DUMMYFUNCTION("""COMPUTED_VALUE"""),"-")</f>
        <v>-</v>
      </c>
      <c r="W55" s="76" t="str">
        <f>IFERROR(__xludf.DUMMYFUNCTION("""COMPUTED_VALUE"""),"-")</f>
        <v>-</v>
      </c>
      <c r="X55" s="77" t="str">
        <f>IFERROR(__xludf.DUMMYFUNCTION("""COMPUTED_VALUE"""),"-")</f>
        <v>-</v>
      </c>
      <c r="Y55" s="132" t="str">
        <f>IFERROR(__xludf.DUMMYFUNCTION("""COMPUTED_VALUE"""),"-")</f>
        <v>-</v>
      </c>
      <c r="Z55" s="80"/>
      <c r="AA55" s="80"/>
      <c r="AB55" s="80"/>
      <c r="AC55" s="123"/>
      <c r="AD55" s="149"/>
      <c r="AE55" s="26"/>
      <c r="AF55" s="155"/>
      <c r="AG55" s="149"/>
      <c r="AH55" s="25"/>
      <c r="AI55" s="25"/>
      <c r="AJ55" s="25"/>
      <c r="AK55" s="25"/>
      <c r="AL55" s="25"/>
      <c r="AM55" s="26"/>
      <c r="AN55" s="149"/>
      <c r="AO55" s="25"/>
      <c r="AP55" s="25"/>
      <c r="AQ55" s="25"/>
      <c r="AR55" s="25"/>
      <c r="AS55" s="26"/>
      <c r="AT55" s="90"/>
      <c r="AU55" s="153"/>
      <c r="AV55" s="154"/>
      <c r="AW55" s="155"/>
      <c r="AX55" s="149"/>
      <c r="AY55" s="25"/>
      <c r="AZ55" s="26"/>
      <c r="BA55" s="123"/>
      <c r="BB55" s="91" t="str">
        <f>IFERROR(__xludf.DUMMYFUNCTION("""COMPUTED_VALUE"""),"極上の着心地とハリ感が調和する、ウルトラハイゲージジャージーシャツ")</f>
        <v>極上の着心地とハリ感が調和する、ウルトラハイゲージジャージーシャツ</v>
      </c>
      <c r="BC55" s="95" t="str">
        <f>IFERROR(__xludf.DUMMYFUNCTION("""COMPUTED_VALUE"""),"W240023")</f>
        <v>W240023</v>
      </c>
      <c r="BD55" s="92" t="str">
        <f>IFERROR(__xludf.DUMMYFUNCTION("""COMPUTED_VALUE"""),"出しNG（再製作）ジャケット・スラックス")</f>
        <v>出しNG（再製作）ジャケット・スラックス</v>
      </c>
      <c r="BE55" s="123"/>
    </row>
    <row r="56">
      <c r="A56" s="12"/>
      <c r="B56" s="94"/>
      <c r="C56" s="94"/>
      <c r="D56" s="98" t="str">
        <f>IFERROR(__xludf.DUMMYFUNCTION("""COMPUTED_VALUE"""),"バスト")</f>
        <v>バスト</v>
      </c>
      <c r="E56" s="70"/>
      <c r="F56" s="71">
        <f>IFERROR(__xludf.DUMMYFUNCTION("""COMPUTED_VALUE"""),-10.0)</f>
        <v>-10</v>
      </c>
      <c r="G56" s="71">
        <f>IFERROR(__xludf.DUMMYFUNCTION("""COMPUTED_VALUE"""),-9.0)</f>
        <v>-9</v>
      </c>
      <c r="H56" s="71">
        <f>IFERROR(__xludf.DUMMYFUNCTION("""COMPUTED_VALUE"""),-8.0)</f>
        <v>-8</v>
      </c>
      <c r="I56" s="71">
        <f>IFERROR(__xludf.DUMMYFUNCTION("""COMPUTED_VALUE"""),-7.0)</f>
        <v>-7</v>
      </c>
      <c r="J56" s="71">
        <f>IFERROR(__xludf.DUMMYFUNCTION("""COMPUTED_VALUE"""),-6.0)</f>
        <v>-6</v>
      </c>
      <c r="K56" s="71">
        <f>IFERROR(__xludf.DUMMYFUNCTION("""COMPUTED_VALUE"""),-5.0)</f>
        <v>-5</v>
      </c>
      <c r="L56" s="71">
        <f>IFERROR(__xludf.DUMMYFUNCTION("""COMPUTED_VALUE"""),-4.0)</f>
        <v>-4</v>
      </c>
      <c r="M56" s="71">
        <f>IFERROR(__xludf.DUMMYFUNCTION("""COMPUTED_VALUE"""),-3.0)</f>
        <v>-3</v>
      </c>
      <c r="N56" s="97">
        <f>IFERROR(__xludf.DUMMYFUNCTION("""COMPUTED_VALUE"""),-2.0)</f>
        <v>-2</v>
      </c>
      <c r="O56" s="97">
        <f>IFERROR(__xludf.DUMMYFUNCTION("""COMPUTED_VALUE"""),-1.0)</f>
        <v>-1</v>
      </c>
      <c r="P56" s="109">
        <f>IFERROR(__xludf.DUMMYFUNCTION("""COMPUTED_VALUE"""),0.0)</f>
        <v>0</v>
      </c>
      <c r="Q56" s="71">
        <f>IFERROR(__xludf.DUMMYFUNCTION("""COMPUTED_VALUE"""),1.0)</f>
        <v>1</v>
      </c>
      <c r="R56" s="71">
        <f>IFERROR(__xludf.DUMMYFUNCTION("""COMPUTED_VALUE"""),2.0)</f>
        <v>2</v>
      </c>
      <c r="S56" s="71">
        <f>IFERROR(__xludf.DUMMYFUNCTION("""COMPUTED_VALUE"""),3.0)</f>
        <v>3</v>
      </c>
      <c r="T56" s="71">
        <f>IFERROR(__xludf.DUMMYFUNCTION("""COMPUTED_VALUE"""),4.0)</f>
        <v>4</v>
      </c>
      <c r="U56" s="71">
        <f>IFERROR(__xludf.DUMMYFUNCTION("""COMPUTED_VALUE"""),5.0)</f>
        <v>5</v>
      </c>
      <c r="V56" s="86">
        <f>IFERROR(__xludf.DUMMYFUNCTION("""COMPUTED_VALUE"""),7.0)</f>
        <v>7</v>
      </c>
      <c r="W56" s="76">
        <f>IFERROR(__xludf.DUMMYFUNCTION("""COMPUTED_VALUE"""),46000.0)</f>
        <v>46000</v>
      </c>
      <c r="X56" s="110">
        <f>IFERROR(__xludf.DUMMYFUNCTION("""COMPUTED_VALUE"""),46003.0)</f>
        <v>46003</v>
      </c>
      <c r="Y56" s="111">
        <f>IFERROR(__xludf.DUMMYFUNCTION("""COMPUTED_VALUE"""),46008.0)</f>
        <v>46008</v>
      </c>
      <c r="Z56" s="80"/>
      <c r="AA56" s="80"/>
      <c r="AB56" s="80"/>
      <c r="AC56" s="12"/>
      <c r="AD56" s="11"/>
      <c r="AE56" s="11"/>
      <c r="AF56" s="11"/>
      <c r="AG56" s="11"/>
      <c r="AH56" s="11"/>
      <c r="AI56" s="11"/>
      <c r="AJ56" s="11"/>
      <c r="AK56" s="11"/>
      <c r="AL56" s="11"/>
      <c r="AM56" s="11"/>
      <c r="AN56" s="11"/>
      <c r="AO56" s="11"/>
      <c r="AP56" s="11"/>
      <c r="AQ56" s="11"/>
      <c r="AR56" s="11"/>
      <c r="AS56" s="11"/>
      <c r="AT56" s="11"/>
      <c r="AU56" s="11"/>
      <c r="AV56" s="11"/>
      <c r="AW56" s="11"/>
      <c r="AX56" s="11"/>
      <c r="AY56" s="123"/>
      <c r="AZ56" s="123"/>
      <c r="BA56" s="123"/>
      <c r="BB56" s="91" t="str">
        <f>IFERROR(__xludf.DUMMYFUNCTION("""COMPUTED_VALUE"""),"極上の着心地とハリ感が調和する、ウルトラハイゲージジャージーシャツ")</f>
        <v>極上の着心地とハリ感が調和する、ウルトラハイゲージジャージーシャツ</v>
      </c>
      <c r="BC56" s="95" t="str">
        <f>IFERROR(__xludf.DUMMYFUNCTION("""COMPUTED_VALUE"""),"W240026")</f>
        <v>W240026</v>
      </c>
      <c r="BD56" s="92" t="str">
        <f>IFERROR(__xludf.DUMMYFUNCTION("""COMPUTED_VALUE"""),"出しNG（再製作）ジャケット・スラックス")</f>
        <v>出しNG（再製作）ジャケット・スラックス</v>
      </c>
      <c r="BE56" s="123"/>
    </row>
    <row r="57">
      <c r="A57" s="12"/>
      <c r="B57" s="94"/>
      <c r="C57" s="94"/>
      <c r="D57" s="98" t="str">
        <f>IFERROR(__xludf.DUMMYFUNCTION("""COMPUTED_VALUE"""),"アームホール")</f>
        <v>アームホール</v>
      </c>
      <c r="E57" s="98" t="str">
        <f>IFERROR(__xludf.DUMMYFUNCTION("""COMPUTED_VALUE"""),"※バストと連動。
数値指定は再製作")</f>
        <v>※バストと連動。
数値指定は再製作</v>
      </c>
      <c r="F57" s="71">
        <f>IFERROR(__xludf.DUMMYFUNCTION("""COMPUTED_VALUE"""),-10.0)</f>
        <v>-10</v>
      </c>
      <c r="G57" s="71">
        <f>IFERROR(__xludf.DUMMYFUNCTION("""COMPUTED_VALUE"""),-9.0)</f>
        <v>-9</v>
      </c>
      <c r="H57" s="71">
        <f>IFERROR(__xludf.DUMMYFUNCTION("""COMPUTED_VALUE"""),-8.0)</f>
        <v>-8</v>
      </c>
      <c r="I57" s="71">
        <f>IFERROR(__xludf.DUMMYFUNCTION("""COMPUTED_VALUE"""),-7.0)</f>
        <v>-7</v>
      </c>
      <c r="J57" s="71">
        <f>IFERROR(__xludf.DUMMYFUNCTION("""COMPUTED_VALUE"""),-6.0)</f>
        <v>-6</v>
      </c>
      <c r="K57" s="71">
        <f>IFERROR(__xludf.DUMMYFUNCTION("""COMPUTED_VALUE"""),-5.0)</f>
        <v>-5</v>
      </c>
      <c r="L57" s="71">
        <f>IFERROR(__xludf.DUMMYFUNCTION("""COMPUTED_VALUE"""),-4.0)</f>
        <v>-4</v>
      </c>
      <c r="M57" s="71">
        <f>IFERROR(__xludf.DUMMYFUNCTION("""COMPUTED_VALUE"""),-3.0)</f>
        <v>-3</v>
      </c>
      <c r="N57" s="71">
        <f>IFERROR(__xludf.DUMMYFUNCTION("""COMPUTED_VALUE"""),-2.0)</f>
        <v>-2</v>
      </c>
      <c r="O57" s="97">
        <f>IFERROR(__xludf.DUMMYFUNCTION("""COMPUTED_VALUE"""),-1.0)</f>
        <v>-1</v>
      </c>
      <c r="P57" s="109">
        <f>IFERROR(__xludf.DUMMYFUNCTION("""COMPUTED_VALUE"""),0.0)</f>
        <v>0</v>
      </c>
      <c r="Q57" s="71">
        <f>IFERROR(__xludf.DUMMYFUNCTION("""COMPUTED_VALUE"""),1.0)</f>
        <v>1</v>
      </c>
      <c r="R57" s="71">
        <f>IFERROR(__xludf.DUMMYFUNCTION("""COMPUTED_VALUE"""),2.0)</f>
        <v>2</v>
      </c>
      <c r="S57" s="71">
        <f>IFERROR(__xludf.DUMMYFUNCTION("""COMPUTED_VALUE"""),3.0)</f>
        <v>3</v>
      </c>
      <c r="T57" s="71">
        <f>IFERROR(__xludf.DUMMYFUNCTION("""COMPUTED_VALUE"""),4.0)</f>
        <v>4</v>
      </c>
      <c r="U57" s="71">
        <f>IFERROR(__xludf.DUMMYFUNCTION("""COMPUTED_VALUE"""),5.0)</f>
        <v>5</v>
      </c>
      <c r="V57" s="86">
        <f>IFERROR(__xludf.DUMMYFUNCTION("""COMPUTED_VALUE"""),7.0)</f>
        <v>7</v>
      </c>
      <c r="W57" s="76">
        <f>IFERROR(__xludf.DUMMYFUNCTION("""COMPUTED_VALUE"""),46000.0)</f>
        <v>46000</v>
      </c>
      <c r="X57" s="110">
        <f>IFERROR(__xludf.DUMMYFUNCTION("""COMPUTED_VALUE"""),46003.0)</f>
        <v>46003</v>
      </c>
      <c r="Y57" s="111">
        <f>IFERROR(__xludf.DUMMYFUNCTION("""COMPUTED_VALUE"""),46008.0)</f>
        <v>46008</v>
      </c>
      <c r="Z57" s="80"/>
      <c r="AA57" s="80"/>
      <c r="AB57" s="80"/>
      <c r="AC57" s="12"/>
      <c r="AD57" s="11"/>
      <c r="AE57" s="11"/>
      <c r="AF57" s="11"/>
      <c r="AG57" s="11"/>
      <c r="AH57" s="11"/>
      <c r="AI57" s="11"/>
      <c r="AJ57" s="11"/>
      <c r="AK57" s="11"/>
      <c r="AL57" s="11"/>
      <c r="AM57" s="11"/>
      <c r="AN57" s="11"/>
      <c r="AO57" s="11"/>
      <c r="AP57" s="11"/>
      <c r="AQ57" s="11"/>
      <c r="AR57" s="11"/>
      <c r="AS57" s="11"/>
      <c r="AT57" s="11"/>
      <c r="AU57" s="11"/>
      <c r="AV57" s="11"/>
      <c r="AW57" s="11"/>
      <c r="AX57" s="11"/>
      <c r="AY57" s="124"/>
      <c r="AZ57" s="124"/>
      <c r="BA57" s="124"/>
      <c r="BB57" s="91" t="str">
        <f>IFERROR(__xludf.DUMMYFUNCTION("""COMPUTED_VALUE"""),"極上の着心地とハリ感が調和する、ウルトラハイゲージジャージーシャツ")</f>
        <v>極上の着心地とハリ感が調和する、ウルトラハイゲージジャージーシャツ</v>
      </c>
      <c r="BC57" s="95" t="str">
        <f>IFERROR(__xludf.DUMMYFUNCTION("""COMPUTED_VALUE"""),"W240027")</f>
        <v>W240027</v>
      </c>
      <c r="BD57" s="92" t="str">
        <f>IFERROR(__xludf.DUMMYFUNCTION("""COMPUTED_VALUE"""),"出しNG（再製作）ジャケット・スラックス")</f>
        <v>出しNG（再製作）ジャケット・スラックス</v>
      </c>
      <c r="BE57" s="123"/>
    </row>
    <row r="58">
      <c r="A58" s="12"/>
      <c r="B58" s="94"/>
      <c r="C58" s="94"/>
      <c r="D58" s="98" t="str">
        <f>IFERROR(__xludf.DUMMYFUNCTION("""COMPUTED_VALUE"""),"ウエスト")</f>
        <v>ウエスト</v>
      </c>
      <c r="E58" s="70"/>
      <c r="F58" s="71">
        <f>IFERROR(__xludf.DUMMYFUNCTION("""COMPUTED_VALUE"""),-10.0)</f>
        <v>-10</v>
      </c>
      <c r="G58" s="71">
        <f>IFERROR(__xludf.DUMMYFUNCTION("""COMPUTED_VALUE"""),-9.0)</f>
        <v>-9</v>
      </c>
      <c r="H58" s="71">
        <f>IFERROR(__xludf.DUMMYFUNCTION("""COMPUTED_VALUE"""),-8.0)</f>
        <v>-8</v>
      </c>
      <c r="I58" s="71">
        <f>IFERROR(__xludf.DUMMYFUNCTION("""COMPUTED_VALUE"""),-7.0)</f>
        <v>-7</v>
      </c>
      <c r="J58" s="71">
        <f>IFERROR(__xludf.DUMMYFUNCTION("""COMPUTED_VALUE"""),-6.0)</f>
        <v>-6</v>
      </c>
      <c r="K58" s="71">
        <f>IFERROR(__xludf.DUMMYFUNCTION("""COMPUTED_VALUE"""),-5.0)</f>
        <v>-5</v>
      </c>
      <c r="L58" s="71">
        <f>IFERROR(__xludf.DUMMYFUNCTION("""COMPUTED_VALUE"""),-4.0)</f>
        <v>-4</v>
      </c>
      <c r="M58" s="71">
        <f>IFERROR(__xludf.DUMMYFUNCTION("""COMPUTED_VALUE"""),-3.0)</f>
        <v>-3</v>
      </c>
      <c r="N58" s="97">
        <f>IFERROR(__xludf.DUMMYFUNCTION("""COMPUTED_VALUE"""),-2.0)</f>
        <v>-2</v>
      </c>
      <c r="O58" s="97">
        <f>IFERROR(__xludf.DUMMYFUNCTION("""COMPUTED_VALUE"""),-1.0)</f>
        <v>-1</v>
      </c>
      <c r="P58" s="109">
        <f>IFERROR(__xludf.DUMMYFUNCTION("""COMPUTED_VALUE"""),0.0)</f>
        <v>0</v>
      </c>
      <c r="Q58" s="71">
        <f>IFERROR(__xludf.DUMMYFUNCTION("""COMPUTED_VALUE"""),1.0)</f>
        <v>1</v>
      </c>
      <c r="R58" s="71">
        <f>IFERROR(__xludf.DUMMYFUNCTION("""COMPUTED_VALUE"""),2.0)</f>
        <v>2</v>
      </c>
      <c r="S58" s="71">
        <f>IFERROR(__xludf.DUMMYFUNCTION("""COMPUTED_VALUE"""),3.0)</f>
        <v>3</v>
      </c>
      <c r="T58" s="71">
        <f>IFERROR(__xludf.DUMMYFUNCTION("""COMPUTED_VALUE"""),4.0)</f>
        <v>4</v>
      </c>
      <c r="U58" s="71">
        <f>IFERROR(__xludf.DUMMYFUNCTION("""COMPUTED_VALUE"""),5.0)</f>
        <v>5</v>
      </c>
      <c r="V58" s="86">
        <f>IFERROR(__xludf.DUMMYFUNCTION("""COMPUTED_VALUE"""),7.0)</f>
        <v>7</v>
      </c>
      <c r="W58" s="76">
        <f>IFERROR(__xludf.DUMMYFUNCTION("""COMPUTED_VALUE"""),46000.0)</f>
        <v>46000</v>
      </c>
      <c r="X58" s="110">
        <f>IFERROR(__xludf.DUMMYFUNCTION("""COMPUTED_VALUE"""),46003.0)</f>
        <v>46003</v>
      </c>
      <c r="Y58" s="111">
        <f>IFERROR(__xludf.DUMMYFUNCTION("""COMPUTED_VALUE"""),46008.0)</f>
        <v>46008</v>
      </c>
      <c r="Z58" s="80"/>
      <c r="AA58" s="80"/>
      <c r="AB58" s="80"/>
      <c r="AC58" s="12"/>
      <c r="AD58" s="11"/>
      <c r="AE58" s="11"/>
      <c r="AF58" s="11"/>
      <c r="AG58" s="11"/>
      <c r="AH58" s="11"/>
      <c r="AI58" s="11"/>
      <c r="AJ58" s="11"/>
      <c r="AK58" s="11"/>
      <c r="AL58" s="11"/>
      <c r="AM58" s="11"/>
      <c r="AN58" s="11"/>
      <c r="AO58" s="11"/>
      <c r="AP58" s="11"/>
      <c r="AQ58" s="11"/>
      <c r="AR58" s="11"/>
      <c r="AS58" s="11"/>
      <c r="AT58" s="11"/>
      <c r="AU58" s="11"/>
      <c r="AV58" s="11"/>
      <c r="AW58" s="11"/>
      <c r="AX58" s="11"/>
      <c r="AY58" s="124"/>
      <c r="AZ58" s="124"/>
      <c r="BA58" s="11"/>
      <c r="BB58" s="104"/>
      <c r="BC58" s="104"/>
      <c r="BD58" s="104"/>
      <c r="BE58" s="104"/>
    </row>
    <row r="59">
      <c r="A59" s="93"/>
      <c r="B59" s="94"/>
      <c r="C59" s="94"/>
      <c r="D59" s="98" t="str">
        <f>IFERROR(__xludf.DUMMYFUNCTION("""COMPUTED_VALUE"""),"着丈")</f>
        <v>着丈</v>
      </c>
      <c r="E59" s="156" t="str">
        <f>IFERROR(__xludf.DUMMYFUNCTION("""COMPUTED_VALUE"""),"※スリット移動の為、かんぬきの後が残る
ステッチ幅(2.5cm)以下の詰めの場合、素材により修理跡が残ります。")</f>
        <v>※スリット移動の為、かんぬきの後が残る
ステッチ幅(2.5cm)以下の詰めの場合、素材により修理跡が残ります。</v>
      </c>
      <c r="F59" s="71">
        <f>IFERROR(__xludf.DUMMYFUNCTION("""COMPUTED_VALUE"""),-10.0)</f>
        <v>-10</v>
      </c>
      <c r="G59" s="71">
        <f>IFERROR(__xludf.DUMMYFUNCTION("""COMPUTED_VALUE"""),-9.0)</f>
        <v>-9</v>
      </c>
      <c r="H59" s="71">
        <f>IFERROR(__xludf.DUMMYFUNCTION("""COMPUTED_VALUE"""),-8.0)</f>
        <v>-8</v>
      </c>
      <c r="I59" s="71">
        <f>IFERROR(__xludf.DUMMYFUNCTION("""COMPUTED_VALUE"""),-7.0)</f>
        <v>-7</v>
      </c>
      <c r="J59" s="71">
        <f>IFERROR(__xludf.DUMMYFUNCTION("""COMPUTED_VALUE"""),-6.0)</f>
        <v>-6</v>
      </c>
      <c r="K59" s="71">
        <f>IFERROR(__xludf.DUMMYFUNCTION("""COMPUTED_VALUE"""),-5.0)</f>
        <v>-5</v>
      </c>
      <c r="L59" s="71">
        <f>IFERROR(__xludf.DUMMYFUNCTION("""COMPUTED_VALUE"""),-4.0)</f>
        <v>-4</v>
      </c>
      <c r="M59" s="71">
        <f>IFERROR(__xludf.DUMMYFUNCTION("""COMPUTED_VALUE"""),-3.0)</f>
        <v>-3</v>
      </c>
      <c r="N59" s="97">
        <f>IFERROR(__xludf.DUMMYFUNCTION("""COMPUTED_VALUE"""),-2.0)</f>
        <v>-2</v>
      </c>
      <c r="O59" s="97">
        <f>IFERROR(__xludf.DUMMYFUNCTION("""COMPUTED_VALUE"""),-1.0)</f>
        <v>-1</v>
      </c>
      <c r="P59" s="109">
        <f>IFERROR(__xludf.DUMMYFUNCTION("""COMPUTED_VALUE"""),0.0)</f>
        <v>0</v>
      </c>
      <c r="Q59" s="71">
        <f>IFERROR(__xludf.DUMMYFUNCTION("""COMPUTED_VALUE"""),1.0)</f>
        <v>1</v>
      </c>
      <c r="R59" s="71">
        <f>IFERROR(__xludf.DUMMYFUNCTION("""COMPUTED_VALUE"""),2.0)</f>
        <v>2</v>
      </c>
      <c r="S59" s="71">
        <f>IFERROR(__xludf.DUMMYFUNCTION("""COMPUTED_VALUE"""),3.0)</f>
        <v>3</v>
      </c>
      <c r="T59" s="71">
        <f>IFERROR(__xludf.DUMMYFUNCTION("""COMPUTED_VALUE"""),4.0)</f>
        <v>4</v>
      </c>
      <c r="U59" s="71">
        <f>IFERROR(__xludf.DUMMYFUNCTION("""COMPUTED_VALUE"""),5.0)</f>
        <v>5</v>
      </c>
      <c r="V59" s="86">
        <f>IFERROR(__xludf.DUMMYFUNCTION("""COMPUTED_VALUE"""),7.0)</f>
        <v>7</v>
      </c>
      <c r="W59" s="76">
        <f>IFERROR(__xludf.DUMMYFUNCTION("""COMPUTED_VALUE"""),46000.0)</f>
        <v>46000</v>
      </c>
      <c r="X59" s="110">
        <f>IFERROR(__xludf.DUMMYFUNCTION("""COMPUTED_VALUE"""),46003.0)</f>
        <v>46003</v>
      </c>
      <c r="Y59" s="111">
        <f>IFERROR(__xludf.DUMMYFUNCTION("""COMPUTED_VALUE"""),46008.0)</f>
        <v>46008</v>
      </c>
      <c r="Z59" s="80"/>
      <c r="AA59" s="80"/>
      <c r="AB59" s="80"/>
      <c r="AC59" s="12"/>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04"/>
      <c r="BC59" s="123"/>
      <c r="BD59" s="104"/>
      <c r="BE59" s="104"/>
    </row>
    <row r="60">
      <c r="A60" s="12"/>
      <c r="B60" s="94"/>
      <c r="C60" s="94"/>
      <c r="D60" s="98" t="str">
        <f>IFERROR(__xludf.DUMMYFUNCTION("""COMPUTED_VALUE"""),"肩巾")</f>
        <v>肩巾</v>
      </c>
      <c r="E60" s="70"/>
      <c r="F60" s="71">
        <f>IFERROR(__xludf.DUMMYFUNCTION("""COMPUTED_VALUE"""),-10.0)</f>
        <v>-10</v>
      </c>
      <c r="G60" s="71">
        <f>IFERROR(__xludf.DUMMYFUNCTION("""COMPUTED_VALUE"""),-9.0)</f>
        <v>-9</v>
      </c>
      <c r="H60" s="71">
        <f>IFERROR(__xludf.DUMMYFUNCTION("""COMPUTED_VALUE"""),-8.0)</f>
        <v>-8</v>
      </c>
      <c r="I60" s="71">
        <f>IFERROR(__xludf.DUMMYFUNCTION("""COMPUTED_VALUE"""),-7.0)</f>
        <v>-7</v>
      </c>
      <c r="J60" s="71">
        <f>IFERROR(__xludf.DUMMYFUNCTION("""COMPUTED_VALUE"""),-6.0)</f>
        <v>-6</v>
      </c>
      <c r="K60" s="71">
        <f>IFERROR(__xludf.DUMMYFUNCTION("""COMPUTED_VALUE"""),-5.0)</f>
        <v>-5</v>
      </c>
      <c r="L60" s="71">
        <f>IFERROR(__xludf.DUMMYFUNCTION("""COMPUTED_VALUE"""),-4.0)</f>
        <v>-4</v>
      </c>
      <c r="M60" s="71">
        <f>IFERROR(__xludf.DUMMYFUNCTION("""COMPUTED_VALUE"""),-3.0)</f>
        <v>-3</v>
      </c>
      <c r="N60" s="71">
        <f>IFERROR(__xludf.DUMMYFUNCTION("""COMPUTED_VALUE"""),-2.0)</f>
        <v>-2</v>
      </c>
      <c r="O60" s="71">
        <f>IFERROR(__xludf.DUMMYFUNCTION("""COMPUTED_VALUE"""),-1.0)</f>
        <v>-1</v>
      </c>
      <c r="P60" s="109">
        <f>IFERROR(__xludf.DUMMYFUNCTION("""COMPUTED_VALUE"""),0.0)</f>
        <v>0</v>
      </c>
      <c r="Q60" s="71">
        <f>IFERROR(__xludf.DUMMYFUNCTION("""COMPUTED_VALUE"""),1.0)</f>
        <v>1</v>
      </c>
      <c r="R60" s="71">
        <f>IFERROR(__xludf.DUMMYFUNCTION("""COMPUTED_VALUE"""),2.0)</f>
        <v>2</v>
      </c>
      <c r="S60" s="71">
        <f>IFERROR(__xludf.DUMMYFUNCTION("""COMPUTED_VALUE"""),3.0)</f>
        <v>3</v>
      </c>
      <c r="T60" s="71">
        <f>IFERROR(__xludf.DUMMYFUNCTION("""COMPUTED_VALUE"""),4.0)</f>
        <v>4</v>
      </c>
      <c r="U60" s="71">
        <f>IFERROR(__xludf.DUMMYFUNCTION("""COMPUTED_VALUE"""),5.0)</f>
        <v>5</v>
      </c>
      <c r="V60" s="86" t="str">
        <f>IFERROR(__xludf.DUMMYFUNCTION("""COMPUTED_VALUE"""),"-")</f>
        <v>-</v>
      </c>
      <c r="W60" s="129" t="str">
        <f>IFERROR(__xludf.DUMMYFUNCTION("""COMPUTED_VALUE"""),"-")</f>
        <v>-</v>
      </c>
      <c r="X60" s="130" t="str">
        <f>IFERROR(__xludf.DUMMYFUNCTION("""COMPUTED_VALUE"""),"-")</f>
        <v>-</v>
      </c>
      <c r="Y60" s="131" t="str">
        <f>IFERROR(__xludf.DUMMYFUNCTION("""COMPUTED_VALUE"""),"-")</f>
        <v>-</v>
      </c>
      <c r="Z60" s="80"/>
      <c r="AA60" s="80"/>
      <c r="AB60" s="80"/>
      <c r="AC60" s="12"/>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04"/>
      <c r="BC60" s="123"/>
      <c r="BD60" s="104"/>
      <c r="BE60" s="104"/>
    </row>
    <row r="61">
      <c r="A61" s="12"/>
      <c r="B61" s="96"/>
      <c r="C61" s="96"/>
      <c r="D61" s="112" t="str">
        <f>IFERROR(__xludf.DUMMYFUNCTION("""COMPUTED_VALUE"""),"ヒップ")</f>
        <v>ヒップ</v>
      </c>
      <c r="E61" s="90"/>
      <c r="F61" s="157">
        <f>IFERROR(__xludf.DUMMYFUNCTION("""COMPUTED_VALUE"""),-10.0)</f>
        <v>-10</v>
      </c>
      <c r="G61" s="157">
        <f>IFERROR(__xludf.DUMMYFUNCTION("""COMPUTED_VALUE"""),-9.0)</f>
        <v>-9</v>
      </c>
      <c r="H61" s="157">
        <f>IFERROR(__xludf.DUMMYFUNCTION("""COMPUTED_VALUE"""),-8.0)</f>
        <v>-8</v>
      </c>
      <c r="I61" s="157">
        <f>IFERROR(__xludf.DUMMYFUNCTION("""COMPUTED_VALUE"""),-7.0)</f>
        <v>-7</v>
      </c>
      <c r="J61" s="157">
        <f>IFERROR(__xludf.DUMMYFUNCTION("""COMPUTED_VALUE"""),-6.0)</f>
        <v>-6</v>
      </c>
      <c r="K61" s="157">
        <f>IFERROR(__xludf.DUMMYFUNCTION("""COMPUTED_VALUE"""),-5.0)</f>
        <v>-5</v>
      </c>
      <c r="L61" s="157">
        <f>IFERROR(__xludf.DUMMYFUNCTION("""COMPUTED_VALUE"""),-4.0)</f>
        <v>-4</v>
      </c>
      <c r="M61" s="157">
        <f>IFERROR(__xludf.DUMMYFUNCTION("""COMPUTED_VALUE"""),-3.0)</f>
        <v>-3</v>
      </c>
      <c r="N61" s="157">
        <f>IFERROR(__xludf.DUMMYFUNCTION("""COMPUTED_VALUE"""),-2.0)</f>
        <v>-2</v>
      </c>
      <c r="O61" s="157">
        <f>IFERROR(__xludf.DUMMYFUNCTION("""COMPUTED_VALUE"""),-1.0)</f>
        <v>-1</v>
      </c>
      <c r="P61" s="158">
        <f>IFERROR(__xludf.DUMMYFUNCTION("""COMPUTED_VALUE"""),0.0)</f>
        <v>0</v>
      </c>
      <c r="Q61" s="71">
        <f>IFERROR(__xludf.DUMMYFUNCTION("""COMPUTED_VALUE"""),1.0)</f>
        <v>1</v>
      </c>
      <c r="R61" s="71">
        <f>IFERROR(__xludf.DUMMYFUNCTION("""COMPUTED_VALUE"""),2.0)</f>
        <v>2</v>
      </c>
      <c r="S61" s="71">
        <f>IFERROR(__xludf.DUMMYFUNCTION("""COMPUTED_VALUE"""),3.0)</f>
        <v>3</v>
      </c>
      <c r="T61" s="71">
        <f>IFERROR(__xludf.DUMMYFUNCTION("""COMPUTED_VALUE"""),4.0)</f>
        <v>4</v>
      </c>
      <c r="U61" s="71">
        <f>IFERROR(__xludf.DUMMYFUNCTION("""COMPUTED_VALUE"""),5.0)</f>
        <v>5</v>
      </c>
      <c r="V61" s="86" t="str">
        <f>IFERROR(__xludf.DUMMYFUNCTION("""COMPUTED_VALUE"""),"-")</f>
        <v>-</v>
      </c>
      <c r="W61" s="129" t="str">
        <f>IFERROR(__xludf.DUMMYFUNCTION("""COMPUTED_VALUE"""),"-")</f>
        <v>-</v>
      </c>
      <c r="X61" s="130" t="str">
        <f>IFERROR(__xludf.DUMMYFUNCTION("""COMPUTED_VALUE"""),"-")</f>
        <v>-</v>
      </c>
      <c r="Y61" s="131" t="str">
        <f>IFERROR(__xludf.DUMMYFUNCTION("""COMPUTED_VALUE"""),"-")</f>
        <v>-</v>
      </c>
      <c r="Z61" s="80"/>
      <c r="AA61" s="80"/>
      <c r="AB61" s="80"/>
      <c r="AC61" s="12"/>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04"/>
      <c r="BC61" s="123"/>
      <c r="BD61" s="104"/>
      <c r="BE61" s="104"/>
    </row>
    <row r="62">
      <c r="A62" s="12"/>
      <c r="B62" s="12"/>
      <c r="C62" s="12"/>
      <c r="D62" s="12"/>
      <c r="E62" s="12"/>
      <c r="F62" s="27"/>
      <c r="G62" s="27"/>
      <c r="H62" s="27"/>
      <c r="I62" s="27"/>
      <c r="J62" s="27"/>
      <c r="K62" s="27"/>
      <c r="L62" s="27"/>
      <c r="M62" s="27"/>
      <c r="N62" s="27"/>
      <c r="O62" s="27"/>
      <c r="P62" s="27"/>
      <c r="Q62" s="27"/>
      <c r="R62" s="27"/>
      <c r="S62" s="27"/>
      <c r="T62" s="27"/>
      <c r="U62" s="27"/>
      <c r="V62" s="27"/>
      <c r="W62" s="125"/>
      <c r="X62" s="125"/>
      <c r="Y62" s="125"/>
      <c r="Z62" s="80"/>
      <c r="AA62" s="80"/>
      <c r="AB62" s="80"/>
      <c r="AC62" s="123"/>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04"/>
      <c r="BC62" s="123"/>
      <c r="BD62" s="104"/>
      <c r="BE62" s="104"/>
    </row>
    <row r="63">
      <c r="A63" s="12"/>
      <c r="B63" s="107" t="str">
        <f>IFERROR(__xludf.DUMMYFUNCTION("""COMPUTED_VALUE"""),"
オーダーポロ　長袖")</f>
        <v>
オーダーポロ　長袖</v>
      </c>
      <c r="C63" s="68" t="str">
        <f>IFERROR(__xludf.DUMMYFUNCTION("""COMPUTED_VALUE"""),"サイズ")</f>
        <v>サイズ</v>
      </c>
      <c r="D63" s="98" t="str">
        <f>IFERROR(__xludf.DUMMYFUNCTION("""COMPUTED_VALUE"""),"裄丈")</f>
        <v>裄丈</v>
      </c>
      <c r="E63" s="69" t="str">
        <f>IFERROR(__xludf.DUMMYFUNCTION("""COMPUTED_VALUE"""),"カフスあり")</f>
        <v>カフスあり</v>
      </c>
      <c r="F63" s="71">
        <f>IFERROR(__xludf.DUMMYFUNCTION("""COMPUTED_VALUE"""),-10.0)</f>
        <v>-10</v>
      </c>
      <c r="G63" s="71">
        <f>IFERROR(__xludf.DUMMYFUNCTION("""COMPUTED_VALUE"""),-9.0)</f>
        <v>-9</v>
      </c>
      <c r="H63" s="71">
        <f>IFERROR(__xludf.DUMMYFUNCTION("""COMPUTED_VALUE"""),-8.0)</f>
        <v>-8</v>
      </c>
      <c r="I63" s="71">
        <f>IFERROR(__xludf.DUMMYFUNCTION("""COMPUTED_VALUE"""),-7.0)</f>
        <v>-7</v>
      </c>
      <c r="J63" s="71">
        <f>IFERROR(__xludf.DUMMYFUNCTION("""COMPUTED_VALUE"""),-6.0)</f>
        <v>-6</v>
      </c>
      <c r="K63" s="71">
        <f>IFERROR(__xludf.DUMMYFUNCTION("""COMPUTED_VALUE"""),-5.0)</f>
        <v>-5</v>
      </c>
      <c r="L63" s="71">
        <f>IFERROR(__xludf.DUMMYFUNCTION("""COMPUTED_VALUE"""),-4.0)</f>
        <v>-4</v>
      </c>
      <c r="M63" s="97">
        <f>IFERROR(__xludf.DUMMYFUNCTION("""COMPUTED_VALUE"""),-3.0)</f>
        <v>-3</v>
      </c>
      <c r="N63" s="97">
        <f>IFERROR(__xludf.DUMMYFUNCTION("""COMPUTED_VALUE"""),-2.0)</f>
        <v>-2</v>
      </c>
      <c r="O63" s="97">
        <f>IFERROR(__xludf.DUMMYFUNCTION("""COMPUTED_VALUE"""),-1.0)</f>
        <v>-1</v>
      </c>
      <c r="P63" s="109">
        <f>IFERROR(__xludf.DUMMYFUNCTION("""COMPUTED_VALUE"""),0.0)</f>
        <v>0</v>
      </c>
      <c r="Q63" s="71">
        <f>IFERROR(__xludf.DUMMYFUNCTION("""COMPUTED_VALUE"""),1.0)</f>
        <v>1</v>
      </c>
      <c r="R63" s="71">
        <f>IFERROR(__xludf.DUMMYFUNCTION("""COMPUTED_VALUE"""),2.0)</f>
        <v>2</v>
      </c>
      <c r="S63" s="71">
        <f>IFERROR(__xludf.DUMMYFUNCTION("""COMPUTED_VALUE"""),3.0)</f>
        <v>3</v>
      </c>
      <c r="T63" s="71">
        <f>IFERROR(__xludf.DUMMYFUNCTION("""COMPUTED_VALUE"""),4.0)</f>
        <v>4</v>
      </c>
      <c r="U63" s="71">
        <f>IFERROR(__xludf.DUMMYFUNCTION("""COMPUTED_VALUE"""),5.0)</f>
        <v>5</v>
      </c>
      <c r="V63" s="86">
        <f>IFERROR(__xludf.DUMMYFUNCTION("""COMPUTED_VALUE"""),7.0)</f>
        <v>7</v>
      </c>
      <c r="W63" s="76">
        <f>IFERROR(__xludf.DUMMYFUNCTION("""COMPUTED_VALUE"""),46000.0)</f>
        <v>46000</v>
      </c>
      <c r="X63" s="110">
        <f>IFERROR(__xludf.DUMMYFUNCTION("""COMPUTED_VALUE"""),46003.0)</f>
        <v>46003</v>
      </c>
      <c r="Y63" s="111">
        <f>IFERROR(__xludf.DUMMYFUNCTION("""COMPUTED_VALUE"""),46008.0)</f>
        <v>46008</v>
      </c>
      <c r="Z63" s="80"/>
      <c r="AA63" s="80"/>
      <c r="AB63" s="80"/>
      <c r="AC63" s="93"/>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04"/>
      <c r="BC63" s="123"/>
      <c r="BD63" s="104"/>
      <c r="BE63" s="104"/>
    </row>
    <row r="64">
      <c r="A64" s="12"/>
      <c r="B64" s="94"/>
      <c r="C64" s="94"/>
      <c r="D64" s="98" t="str">
        <f>IFERROR(__xludf.DUMMYFUNCTION("""COMPUTED_VALUE"""),"裄丈")</f>
        <v>裄丈</v>
      </c>
      <c r="E64" s="69" t="str">
        <f>IFERROR(__xludf.DUMMYFUNCTION("""COMPUTED_VALUE"""),"カフスなし")</f>
        <v>カフスなし</v>
      </c>
      <c r="F64" s="71">
        <f>IFERROR(__xludf.DUMMYFUNCTION("""COMPUTED_VALUE"""),-10.0)</f>
        <v>-10</v>
      </c>
      <c r="G64" s="71">
        <f>IFERROR(__xludf.DUMMYFUNCTION("""COMPUTED_VALUE"""),-9.0)</f>
        <v>-9</v>
      </c>
      <c r="H64" s="71">
        <f>IFERROR(__xludf.DUMMYFUNCTION("""COMPUTED_VALUE"""),-8.0)</f>
        <v>-8</v>
      </c>
      <c r="I64" s="71">
        <f>IFERROR(__xludf.DUMMYFUNCTION("""COMPUTED_VALUE"""),-7.0)</f>
        <v>-7</v>
      </c>
      <c r="J64" s="71">
        <f>IFERROR(__xludf.DUMMYFUNCTION("""COMPUTED_VALUE"""),-6.0)</f>
        <v>-6</v>
      </c>
      <c r="K64" s="71">
        <f>IFERROR(__xludf.DUMMYFUNCTION("""COMPUTED_VALUE"""),-5.0)</f>
        <v>-5</v>
      </c>
      <c r="L64" s="71">
        <f>IFERROR(__xludf.DUMMYFUNCTION("""COMPUTED_VALUE"""),-4.0)</f>
        <v>-4</v>
      </c>
      <c r="M64" s="97">
        <f>IFERROR(__xludf.DUMMYFUNCTION("""COMPUTED_VALUE"""),-3.0)</f>
        <v>-3</v>
      </c>
      <c r="N64" s="97">
        <f>IFERROR(__xludf.DUMMYFUNCTION("""COMPUTED_VALUE"""),-2.0)</f>
        <v>-2</v>
      </c>
      <c r="O64" s="97">
        <f>IFERROR(__xludf.DUMMYFUNCTION("""COMPUTED_VALUE"""),-1.0)</f>
        <v>-1</v>
      </c>
      <c r="P64" s="109">
        <f>IFERROR(__xludf.DUMMYFUNCTION("""COMPUTED_VALUE"""),0.0)</f>
        <v>0</v>
      </c>
      <c r="Q64" s="71">
        <f>IFERROR(__xludf.DUMMYFUNCTION("""COMPUTED_VALUE"""),1.0)</f>
        <v>1</v>
      </c>
      <c r="R64" s="71">
        <f>IFERROR(__xludf.DUMMYFUNCTION("""COMPUTED_VALUE"""),2.0)</f>
        <v>2</v>
      </c>
      <c r="S64" s="71">
        <f>IFERROR(__xludf.DUMMYFUNCTION("""COMPUTED_VALUE"""),3.0)</f>
        <v>3</v>
      </c>
      <c r="T64" s="71">
        <f>IFERROR(__xludf.DUMMYFUNCTION("""COMPUTED_VALUE"""),4.0)</f>
        <v>4</v>
      </c>
      <c r="U64" s="71">
        <f>IFERROR(__xludf.DUMMYFUNCTION("""COMPUTED_VALUE"""),5.0)</f>
        <v>5</v>
      </c>
      <c r="V64" s="86">
        <f>IFERROR(__xludf.DUMMYFUNCTION("""COMPUTED_VALUE"""),7.0)</f>
        <v>7</v>
      </c>
      <c r="W64" s="76">
        <f>IFERROR(__xludf.DUMMYFUNCTION("""COMPUTED_VALUE"""),46000.0)</f>
        <v>46000</v>
      </c>
      <c r="X64" s="110">
        <f>IFERROR(__xludf.DUMMYFUNCTION("""COMPUTED_VALUE"""),46003.0)</f>
        <v>46003</v>
      </c>
      <c r="Y64" s="111">
        <f>IFERROR(__xludf.DUMMYFUNCTION("""COMPUTED_VALUE"""),46008.0)</f>
        <v>46008</v>
      </c>
      <c r="Z64" s="80"/>
      <c r="AA64" s="80"/>
      <c r="AB64" s="80"/>
      <c r="AC64" s="93"/>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04"/>
      <c r="BC64" s="123"/>
      <c r="BD64" s="104"/>
      <c r="BE64" s="104"/>
    </row>
    <row r="65">
      <c r="A65" s="12"/>
      <c r="B65" s="94"/>
      <c r="C65" s="94"/>
      <c r="D65" s="98" t="str">
        <f>IFERROR(__xludf.DUMMYFUNCTION("""COMPUTED_VALUE"""),"襟")</f>
        <v>襟</v>
      </c>
      <c r="E65" s="70"/>
      <c r="F65" s="71">
        <f>IFERROR(__xludf.DUMMYFUNCTION("""COMPUTED_VALUE"""),-10.0)</f>
        <v>-10</v>
      </c>
      <c r="G65" s="71">
        <f>IFERROR(__xludf.DUMMYFUNCTION("""COMPUTED_VALUE"""),-9.0)</f>
        <v>-9</v>
      </c>
      <c r="H65" s="71">
        <f>IFERROR(__xludf.DUMMYFUNCTION("""COMPUTED_VALUE"""),-8.0)</f>
        <v>-8</v>
      </c>
      <c r="I65" s="71">
        <f>IFERROR(__xludf.DUMMYFUNCTION("""COMPUTED_VALUE"""),-7.0)</f>
        <v>-7</v>
      </c>
      <c r="J65" s="71">
        <f>IFERROR(__xludf.DUMMYFUNCTION("""COMPUTED_VALUE"""),-6.0)</f>
        <v>-6</v>
      </c>
      <c r="K65" s="71">
        <f>IFERROR(__xludf.DUMMYFUNCTION("""COMPUTED_VALUE"""),-5.0)</f>
        <v>-5</v>
      </c>
      <c r="L65" s="71">
        <f>IFERROR(__xludf.DUMMYFUNCTION("""COMPUTED_VALUE"""),-4.0)</f>
        <v>-4</v>
      </c>
      <c r="M65" s="71">
        <f>IFERROR(__xludf.DUMMYFUNCTION("""COMPUTED_VALUE"""),-3.0)</f>
        <v>-3</v>
      </c>
      <c r="N65" s="71">
        <f>IFERROR(__xludf.DUMMYFUNCTION("""COMPUTED_VALUE"""),-2.0)</f>
        <v>-2</v>
      </c>
      <c r="O65" s="71">
        <f>IFERROR(__xludf.DUMMYFUNCTION("""COMPUTED_VALUE"""),-1.0)</f>
        <v>-1</v>
      </c>
      <c r="P65" s="109">
        <f>IFERROR(__xludf.DUMMYFUNCTION("""COMPUTED_VALUE"""),0.0)</f>
        <v>0</v>
      </c>
      <c r="Q65" s="71">
        <f>IFERROR(__xludf.DUMMYFUNCTION("""COMPUTED_VALUE"""),1.0)</f>
        <v>1</v>
      </c>
      <c r="R65" s="71">
        <f>IFERROR(__xludf.DUMMYFUNCTION("""COMPUTED_VALUE"""),2.0)</f>
        <v>2</v>
      </c>
      <c r="S65" s="71">
        <f>IFERROR(__xludf.DUMMYFUNCTION("""COMPUTED_VALUE"""),3.0)</f>
        <v>3</v>
      </c>
      <c r="T65" s="71">
        <f>IFERROR(__xludf.DUMMYFUNCTION("""COMPUTED_VALUE"""),4.0)</f>
        <v>4</v>
      </c>
      <c r="U65" s="71">
        <f>IFERROR(__xludf.DUMMYFUNCTION("""COMPUTED_VALUE"""),5.0)</f>
        <v>5</v>
      </c>
      <c r="V65" s="86" t="str">
        <f>IFERROR(__xludf.DUMMYFUNCTION("""COMPUTED_VALUE"""),"-")</f>
        <v>-</v>
      </c>
      <c r="W65" s="129" t="str">
        <f>IFERROR(__xludf.DUMMYFUNCTION("""COMPUTED_VALUE"""),"-")</f>
        <v>-</v>
      </c>
      <c r="X65" s="130" t="str">
        <f>IFERROR(__xludf.DUMMYFUNCTION("""COMPUTED_VALUE"""),"-")</f>
        <v>-</v>
      </c>
      <c r="Y65" s="131" t="str">
        <f>IFERROR(__xludf.DUMMYFUNCTION("""COMPUTED_VALUE"""),"-")</f>
        <v>-</v>
      </c>
      <c r="Z65" s="80"/>
      <c r="AA65" s="80"/>
      <c r="AB65" s="80"/>
      <c r="AC65" s="93"/>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04"/>
      <c r="BC65" s="123"/>
      <c r="BD65" s="104"/>
      <c r="BE65" s="104"/>
    </row>
    <row r="66">
      <c r="A66" s="12"/>
      <c r="B66" s="94"/>
      <c r="C66" s="94"/>
      <c r="D66" s="98" t="str">
        <f>IFERROR(__xludf.DUMMYFUNCTION("""COMPUTED_VALUE"""),"カフス")</f>
        <v>カフス</v>
      </c>
      <c r="E66" s="70"/>
      <c r="F66" s="71">
        <f>IFERROR(__xludf.DUMMYFUNCTION("""COMPUTED_VALUE"""),-10.0)</f>
        <v>-10</v>
      </c>
      <c r="G66" s="71">
        <f>IFERROR(__xludf.DUMMYFUNCTION("""COMPUTED_VALUE"""),-9.0)</f>
        <v>-9</v>
      </c>
      <c r="H66" s="71">
        <f>IFERROR(__xludf.DUMMYFUNCTION("""COMPUTED_VALUE"""),-8.0)</f>
        <v>-8</v>
      </c>
      <c r="I66" s="71">
        <f>IFERROR(__xludf.DUMMYFUNCTION("""COMPUTED_VALUE"""),-7.0)</f>
        <v>-7</v>
      </c>
      <c r="J66" s="71">
        <f>IFERROR(__xludf.DUMMYFUNCTION("""COMPUTED_VALUE"""),-6.0)</f>
        <v>-6</v>
      </c>
      <c r="K66" s="71">
        <f>IFERROR(__xludf.DUMMYFUNCTION("""COMPUTED_VALUE"""),-5.0)</f>
        <v>-5</v>
      </c>
      <c r="L66" s="71">
        <f>IFERROR(__xludf.DUMMYFUNCTION("""COMPUTED_VALUE"""),-4.0)</f>
        <v>-4</v>
      </c>
      <c r="M66" s="71">
        <f>IFERROR(__xludf.DUMMYFUNCTION("""COMPUTED_VALUE"""),-3.0)</f>
        <v>-3</v>
      </c>
      <c r="N66" s="71">
        <f>IFERROR(__xludf.DUMMYFUNCTION("""COMPUTED_VALUE"""),-2.0)</f>
        <v>-2</v>
      </c>
      <c r="O66" s="71">
        <f>IFERROR(__xludf.DUMMYFUNCTION("""COMPUTED_VALUE"""),-1.0)</f>
        <v>-1</v>
      </c>
      <c r="P66" s="109">
        <f>IFERROR(__xludf.DUMMYFUNCTION("""COMPUTED_VALUE"""),0.0)</f>
        <v>0</v>
      </c>
      <c r="Q66" s="71">
        <f>IFERROR(__xludf.DUMMYFUNCTION("""COMPUTED_VALUE"""),1.0)</f>
        <v>1</v>
      </c>
      <c r="R66" s="71">
        <f>IFERROR(__xludf.DUMMYFUNCTION("""COMPUTED_VALUE"""),2.0)</f>
        <v>2</v>
      </c>
      <c r="S66" s="71">
        <f>IFERROR(__xludf.DUMMYFUNCTION("""COMPUTED_VALUE"""),3.0)</f>
        <v>3</v>
      </c>
      <c r="T66" s="71">
        <f>IFERROR(__xludf.DUMMYFUNCTION("""COMPUTED_VALUE"""),4.0)</f>
        <v>4</v>
      </c>
      <c r="U66" s="71">
        <f>IFERROR(__xludf.DUMMYFUNCTION("""COMPUTED_VALUE"""),5.0)</f>
        <v>5</v>
      </c>
      <c r="V66" s="86" t="str">
        <f>IFERROR(__xludf.DUMMYFUNCTION("""COMPUTED_VALUE"""),"-")</f>
        <v>-</v>
      </c>
      <c r="W66" s="76" t="str">
        <f>IFERROR(__xludf.DUMMYFUNCTION("""COMPUTED_VALUE"""),"-")</f>
        <v>-</v>
      </c>
      <c r="X66" s="77" t="str">
        <f>IFERROR(__xludf.DUMMYFUNCTION("""COMPUTED_VALUE"""),"-")</f>
        <v>-</v>
      </c>
      <c r="Y66" s="132" t="str">
        <f>IFERROR(__xludf.DUMMYFUNCTION("""COMPUTED_VALUE"""),"-")</f>
        <v>-</v>
      </c>
      <c r="Z66" s="80"/>
      <c r="AA66" s="80"/>
      <c r="AB66" s="80"/>
      <c r="AC66" s="93"/>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04"/>
      <c r="BC66" s="123"/>
      <c r="BD66" s="104"/>
      <c r="BE66" s="104"/>
    </row>
    <row r="67">
      <c r="A67" s="12"/>
      <c r="B67" s="94"/>
      <c r="C67" s="94"/>
      <c r="D67" s="98" t="str">
        <f>IFERROR(__xludf.DUMMYFUNCTION("""COMPUTED_VALUE"""),"バスト")</f>
        <v>バスト</v>
      </c>
      <c r="E67" s="70"/>
      <c r="F67" s="71">
        <f>IFERROR(__xludf.DUMMYFUNCTION("""COMPUTED_VALUE"""),-10.0)</f>
        <v>-10</v>
      </c>
      <c r="G67" s="71">
        <f>IFERROR(__xludf.DUMMYFUNCTION("""COMPUTED_VALUE"""),-9.0)</f>
        <v>-9</v>
      </c>
      <c r="H67" s="71">
        <f>IFERROR(__xludf.DUMMYFUNCTION("""COMPUTED_VALUE"""),-8.0)</f>
        <v>-8</v>
      </c>
      <c r="I67" s="71">
        <f>IFERROR(__xludf.DUMMYFUNCTION("""COMPUTED_VALUE"""),-7.0)</f>
        <v>-7</v>
      </c>
      <c r="J67" s="71">
        <f>IFERROR(__xludf.DUMMYFUNCTION("""COMPUTED_VALUE"""),-6.0)</f>
        <v>-6</v>
      </c>
      <c r="K67" s="71">
        <f>IFERROR(__xludf.DUMMYFUNCTION("""COMPUTED_VALUE"""),-5.0)</f>
        <v>-5</v>
      </c>
      <c r="L67" s="71">
        <f>IFERROR(__xludf.DUMMYFUNCTION("""COMPUTED_VALUE"""),-4.0)</f>
        <v>-4</v>
      </c>
      <c r="M67" s="71">
        <f>IFERROR(__xludf.DUMMYFUNCTION("""COMPUTED_VALUE"""),-3.0)</f>
        <v>-3</v>
      </c>
      <c r="N67" s="97">
        <f>IFERROR(__xludf.DUMMYFUNCTION("""COMPUTED_VALUE"""),-2.0)</f>
        <v>-2</v>
      </c>
      <c r="O67" s="97">
        <f>IFERROR(__xludf.DUMMYFUNCTION("""COMPUTED_VALUE"""),-1.0)</f>
        <v>-1</v>
      </c>
      <c r="P67" s="109">
        <f>IFERROR(__xludf.DUMMYFUNCTION("""COMPUTED_VALUE"""),0.0)</f>
        <v>0</v>
      </c>
      <c r="Q67" s="71">
        <f>IFERROR(__xludf.DUMMYFUNCTION("""COMPUTED_VALUE"""),1.0)</f>
        <v>1</v>
      </c>
      <c r="R67" s="71">
        <f>IFERROR(__xludf.DUMMYFUNCTION("""COMPUTED_VALUE"""),2.0)</f>
        <v>2</v>
      </c>
      <c r="S67" s="71">
        <f>IFERROR(__xludf.DUMMYFUNCTION("""COMPUTED_VALUE"""),3.0)</f>
        <v>3</v>
      </c>
      <c r="T67" s="71">
        <f>IFERROR(__xludf.DUMMYFUNCTION("""COMPUTED_VALUE"""),4.0)</f>
        <v>4</v>
      </c>
      <c r="U67" s="71">
        <f>IFERROR(__xludf.DUMMYFUNCTION("""COMPUTED_VALUE"""),5.0)</f>
        <v>5</v>
      </c>
      <c r="V67" s="86">
        <f>IFERROR(__xludf.DUMMYFUNCTION("""COMPUTED_VALUE"""),7.0)</f>
        <v>7</v>
      </c>
      <c r="W67" s="76">
        <f>IFERROR(__xludf.DUMMYFUNCTION("""COMPUTED_VALUE"""),46000.0)</f>
        <v>46000</v>
      </c>
      <c r="X67" s="110">
        <f>IFERROR(__xludf.DUMMYFUNCTION("""COMPUTED_VALUE"""),46003.0)</f>
        <v>46003</v>
      </c>
      <c r="Y67" s="111">
        <f>IFERROR(__xludf.DUMMYFUNCTION("""COMPUTED_VALUE"""),46008.0)</f>
        <v>46008</v>
      </c>
      <c r="Z67" s="80"/>
      <c r="AA67" s="80"/>
      <c r="AB67" s="80"/>
      <c r="AC67" s="93"/>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04"/>
      <c r="BC67" s="123"/>
      <c r="BD67" s="104"/>
      <c r="BE67" s="104"/>
    </row>
    <row r="68">
      <c r="A68" s="93"/>
      <c r="B68" s="94"/>
      <c r="C68" s="94"/>
      <c r="D68" s="98" t="str">
        <f>IFERROR(__xludf.DUMMYFUNCTION("""COMPUTED_VALUE"""),"アームホール")</f>
        <v>アームホール</v>
      </c>
      <c r="E68" s="98" t="str">
        <f>IFERROR(__xludf.DUMMYFUNCTION("""COMPUTED_VALUE"""),"※バストと連動。
数値指定は再製作")</f>
        <v>※バストと連動。
数値指定は再製作</v>
      </c>
      <c r="F68" s="71">
        <f>IFERROR(__xludf.DUMMYFUNCTION("""COMPUTED_VALUE"""),-10.0)</f>
        <v>-10</v>
      </c>
      <c r="G68" s="71">
        <f>IFERROR(__xludf.DUMMYFUNCTION("""COMPUTED_VALUE"""),-9.0)</f>
        <v>-9</v>
      </c>
      <c r="H68" s="71">
        <f>IFERROR(__xludf.DUMMYFUNCTION("""COMPUTED_VALUE"""),-8.0)</f>
        <v>-8</v>
      </c>
      <c r="I68" s="71">
        <f>IFERROR(__xludf.DUMMYFUNCTION("""COMPUTED_VALUE"""),-7.0)</f>
        <v>-7</v>
      </c>
      <c r="J68" s="71">
        <f>IFERROR(__xludf.DUMMYFUNCTION("""COMPUTED_VALUE"""),-6.0)</f>
        <v>-6</v>
      </c>
      <c r="K68" s="71">
        <f>IFERROR(__xludf.DUMMYFUNCTION("""COMPUTED_VALUE"""),-5.0)</f>
        <v>-5</v>
      </c>
      <c r="L68" s="71">
        <f>IFERROR(__xludf.DUMMYFUNCTION("""COMPUTED_VALUE"""),-4.0)</f>
        <v>-4</v>
      </c>
      <c r="M68" s="71">
        <f>IFERROR(__xludf.DUMMYFUNCTION("""COMPUTED_VALUE"""),-3.0)</f>
        <v>-3</v>
      </c>
      <c r="N68" s="71">
        <f>IFERROR(__xludf.DUMMYFUNCTION("""COMPUTED_VALUE"""),-2.0)</f>
        <v>-2</v>
      </c>
      <c r="O68" s="97">
        <f>IFERROR(__xludf.DUMMYFUNCTION("""COMPUTED_VALUE"""),-1.0)</f>
        <v>-1</v>
      </c>
      <c r="P68" s="109">
        <f>IFERROR(__xludf.DUMMYFUNCTION("""COMPUTED_VALUE"""),0.0)</f>
        <v>0</v>
      </c>
      <c r="Q68" s="71">
        <f>IFERROR(__xludf.DUMMYFUNCTION("""COMPUTED_VALUE"""),1.0)</f>
        <v>1</v>
      </c>
      <c r="R68" s="71">
        <f>IFERROR(__xludf.DUMMYFUNCTION("""COMPUTED_VALUE"""),2.0)</f>
        <v>2</v>
      </c>
      <c r="S68" s="71">
        <f>IFERROR(__xludf.DUMMYFUNCTION("""COMPUTED_VALUE"""),3.0)</f>
        <v>3</v>
      </c>
      <c r="T68" s="71">
        <f>IFERROR(__xludf.DUMMYFUNCTION("""COMPUTED_VALUE"""),4.0)</f>
        <v>4</v>
      </c>
      <c r="U68" s="71">
        <f>IFERROR(__xludf.DUMMYFUNCTION("""COMPUTED_VALUE"""),5.0)</f>
        <v>5</v>
      </c>
      <c r="V68" s="86">
        <f>IFERROR(__xludf.DUMMYFUNCTION("""COMPUTED_VALUE"""),7.0)</f>
        <v>7</v>
      </c>
      <c r="W68" s="159">
        <f>IFERROR(__xludf.DUMMYFUNCTION("""COMPUTED_VALUE"""),46000.0)</f>
        <v>46000</v>
      </c>
      <c r="X68" s="110">
        <f>IFERROR(__xludf.DUMMYFUNCTION("""COMPUTED_VALUE"""),46003.0)</f>
        <v>46003</v>
      </c>
      <c r="Y68" s="111">
        <f>IFERROR(__xludf.DUMMYFUNCTION("""COMPUTED_VALUE"""),46008.0)</f>
        <v>46008</v>
      </c>
      <c r="Z68" s="80"/>
      <c r="AA68" s="80"/>
      <c r="AB68" s="80"/>
      <c r="AC68" s="160"/>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04"/>
      <c r="BC68" s="123"/>
      <c r="BD68" s="104"/>
      <c r="BE68" s="104"/>
    </row>
    <row r="69">
      <c r="A69" s="93"/>
      <c r="B69" s="94"/>
      <c r="C69" s="94"/>
      <c r="D69" s="98" t="str">
        <f>IFERROR(__xludf.DUMMYFUNCTION("""COMPUTED_VALUE"""),"ウエスト")</f>
        <v>ウエスト</v>
      </c>
      <c r="E69" s="70"/>
      <c r="F69" s="71">
        <f>IFERROR(__xludf.DUMMYFUNCTION("""COMPUTED_VALUE"""),-10.0)</f>
        <v>-10</v>
      </c>
      <c r="G69" s="71">
        <f>IFERROR(__xludf.DUMMYFUNCTION("""COMPUTED_VALUE"""),-9.0)</f>
        <v>-9</v>
      </c>
      <c r="H69" s="71">
        <f>IFERROR(__xludf.DUMMYFUNCTION("""COMPUTED_VALUE"""),-8.0)</f>
        <v>-8</v>
      </c>
      <c r="I69" s="71">
        <f>IFERROR(__xludf.DUMMYFUNCTION("""COMPUTED_VALUE"""),-7.0)</f>
        <v>-7</v>
      </c>
      <c r="J69" s="71">
        <f>IFERROR(__xludf.DUMMYFUNCTION("""COMPUTED_VALUE"""),-6.0)</f>
        <v>-6</v>
      </c>
      <c r="K69" s="71">
        <f>IFERROR(__xludf.DUMMYFUNCTION("""COMPUTED_VALUE"""),-5.0)</f>
        <v>-5</v>
      </c>
      <c r="L69" s="71">
        <f>IFERROR(__xludf.DUMMYFUNCTION("""COMPUTED_VALUE"""),-4.0)</f>
        <v>-4</v>
      </c>
      <c r="M69" s="71">
        <f>IFERROR(__xludf.DUMMYFUNCTION("""COMPUTED_VALUE"""),-3.0)</f>
        <v>-3</v>
      </c>
      <c r="N69" s="97">
        <f>IFERROR(__xludf.DUMMYFUNCTION("""COMPUTED_VALUE"""),-2.0)</f>
        <v>-2</v>
      </c>
      <c r="O69" s="97">
        <f>IFERROR(__xludf.DUMMYFUNCTION("""COMPUTED_VALUE"""),-1.0)</f>
        <v>-1</v>
      </c>
      <c r="P69" s="109">
        <f>IFERROR(__xludf.DUMMYFUNCTION("""COMPUTED_VALUE"""),0.0)</f>
        <v>0</v>
      </c>
      <c r="Q69" s="71">
        <f>IFERROR(__xludf.DUMMYFUNCTION("""COMPUTED_VALUE"""),1.0)</f>
        <v>1</v>
      </c>
      <c r="R69" s="71">
        <f>IFERROR(__xludf.DUMMYFUNCTION("""COMPUTED_VALUE"""),2.0)</f>
        <v>2</v>
      </c>
      <c r="S69" s="71">
        <f>IFERROR(__xludf.DUMMYFUNCTION("""COMPUTED_VALUE"""),3.0)</f>
        <v>3</v>
      </c>
      <c r="T69" s="71">
        <f>IFERROR(__xludf.DUMMYFUNCTION("""COMPUTED_VALUE"""),4.0)</f>
        <v>4</v>
      </c>
      <c r="U69" s="71">
        <f>IFERROR(__xludf.DUMMYFUNCTION("""COMPUTED_VALUE"""),5.0)</f>
        <v>5</v>
      </c>
      <c r="V69" s="86">
        <f>IFERROR(__xludf.DUMMYFUNCTION("""COMPUTED_VALUE"""),7.0)</f>
        <v>7</v>
      </c>
      <c r="W69" s="159">
        <f>IFERROR(__xludf.DUMMYFUNCTION("""COMPUTED_VALUE"""),46000.0)</f>
        <v>46000</v>
      </c>
      <c r="X69" s="110">
        <f>IFERROR(__xludf.DUMMYFUNCTION("""COMPUTED_VALUE"""),46003.0)</f>
        <v>46003</v>
      </c>
      <c r="Y69" s="111">
        <f>IFERROR(__xludf.DUMMYFUNCTION("""COMPUTED_VALUE"""),46008.0)</f>
        <v>46008</v>
      </c>
      <c r="Z69" s="80"/>
      <c r="AA69" s="80"/>
      <c r="AB69" s="80"/>
      <c r="AC69" s="160"/>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04"/>
      <c r="BC69" s="123"/>
      <c r="BD69" s="104"/>
      <c r="BE69" s="104"/>
    </row>
    <row r="70">
      <c r="A70" s="93"/>
      <c r="B70" s="94"/>
      <c r="C70" s="94"/>
      <c r="D70" s="98" t="str">
        <f>IFERROR(__xludf.DUMMYFUNCTION("""COMPUTED_VALUE"""),"着丈")</f>
        <v>着丈</v>
      </c>
      <c r="E70" s="156" t="str">
        <f>IFERROR(__xludf.DUMMYFUNCTION("""COMPUTED_VALUE"""),"※スリット移動の為、かんぬきの後が残る
ステッチ幅(2.5cm)以下の詰めの場合、素材により修理跡が残ります。")</f>
        <v>※スリット移動の為、かんぬきの後が残る
ステッチ幅(2.5cm)以下の詰めの場合、素材により修理跡が残ります。</v>
      </c>
      <c r="F70" s="71">
        <f>IFERROR(__xludf.DUMMYFUNCTION("""COMPUTED_VALUE"""),-10.0)</f>
        <v>-10</v>
      </c>
      <c r="G70" s="71">
        <f>IFERROR(__xludf.DUMMYFUNCTION("""COMPUTED_VALUE"""),-9.0)</f>
        <v>-9</v>
      </c>
      <c r="H70" s="71">
        <f>IFERROR(__xludf.DUMMYFUNCTION("""COMPUTED_VALUE"""),-8.0)</f>
        <v>-8</v>
      </c>
      <c r="I70" s="71">
        <f>IFERROR(__xludf.DUMMYFUNCTION("""COMPUTED_VALUE"""),-7.0)</f>
        <v>-7</v>
      </c>
      <c r="J70" s="71">
        <f>IFERROR(__xludf.DUMMYFUNCTION("""COMPUTED_VALUE"""),-6.0)</f>
        <v>-6</v>
      </c>
      <c r="K70" s="71">
        <f>IFERROR(__xludf.DUMMYFUNCTION("""COMPUTED_VALUE"""),-5.0)</f>
        <v>-5</v>
      </c>
      <c r="L70" s="71">
        <f>IFERROR(__xludf.DUMMYFUNCTION("""COMPUTED_VALUE"""),-4.0)</f>
        <v>-4</v>
      </c>
      <c r="M70" s="71">
        <f>IFERROR(__xludf.DUMMYFUNCTION("""COMPUTED_VALUE"""),-3.0)</f>
        <v>-3</v>
      </c>
      <c r="N70" s="97">
        <f>IFERROR(__xludf.DUMMYFUNCTION("""COMPUTED_VALUE"""),-2.0)</f>
        <v>-2</v>
      </c>
      <c r="O70" s="97">
        <f>IFERROR(__xludf.DUMMYFUNCTION("""COMPUTED_VALUE"""),-1.0)</f>
        <v>-1</v>
      </c>
      <c r="P70" s="109">
        <f>IFERROR(__xludf.DUMMYFUNCTION("""COMPUTED_VALUE"""),0.0)</f>
        <v>0</v>
      </c>
      <c r="Q70" s="71">
        <f>IFERROR(__xludf.DUMMYFUNCTION("""COMPUTED_VALUE"""),1.0)</f>
        <v>1</v>
      </c>
      <c r="R70" s="71">
        <f>IFERROR(__xludf.DUMMYFUNCTION("""COMPUTED_VALUE"""),2.0)</f>
        <v>2</v>
      </c>
      <c r="S70" s="71">
        <f>IFERROR(__xludf.DUMMYFUNCTION("""COMPUTED_VALUE"""),3.0)</f>
        <v>3</v>
      </c>
      <c r="T70" s="71">
        <f>IFERROR(__xludf.DUMMYFUNCTION("""COMPUTED_VALUE"""),4.0)</f>
        <v>4</v>
      </c>
      <c r="U70" s="71">
        <f>IFERROR(__xludf.DUMMYFUNCTION("""COMPUTED_VALUE"""),5.0)</f>
        <v>5</v>
      </c>
      <c r="V70" s="86">
        <f>IFERROR(__xludf.DUMMYFUNCTION("""COMPUTED_VALUE"""),7.0)</f>
        <v>7</v>
      </c>
      <c r="W70" s="159">
        <f>IFERROR(__xludf.DUMMYFUNCTION("""COMPUTED_VALUE"""),46000.0)</f>
        <v>46000</v>
      </c>
      <c r="X70" s="110">
        <f>IFERROR(__xludf.DUMMYFUNCTION("""COMPUTED_VALUE"""),46003.0)</f>
        <v>46003</v>
      </c>
      <c r="Y70" s="111">
        <f>IFERROR(__xludf.DUMMYFUNCTION("""COMPUTED_VALUE"""),46008.0)</f>
        <v>46008</v>
      </c>
      <c r="Z70" s="80"/>
      <c r="AA70" s="80"/>
      <c r="AB70" s="80"/>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04"/>
      <c r="BC70" s="123"/>
      <c r="BD70" s="104"/>
      <c r="BE70" s="104"/>
    </row>
    <row r="71">
      <c r="A71" s="93"/>
      <c r="B71" s="94"/>
      <c r="C71" s="94"/>
      <c r="D71" s="98" t="str">
        <f>IFERROR(__xludf.DUMMYFUNCTION("""COMPUTED_VALUE"""),"肩巾")</f>
        <v>肩巾</v>
      </c>
      <c r="E71" s="70"/>
      <c r="F71" s="71">
        <f>IFERROR(__xludf.DUMMYFUNCTION("""COMPUTED_VALUE"""),-10.0)</f>
        <v>-10</v>
      </c>
      <c r="G71" s="71">
        <f>IFERROR(__xludf.DUMMYFUNCTION("""COMPUTED_VALUE"""),-9.0)</f>
        <v>-9</v>
      </c>
      <c r="H71" s="71">
        <f>IFERROR(__xludf.DUMMYFUNCTION("""COMPUTED_VALUE"""),-8.0)</f>
        <v>-8</v>
      </c>
      <c r="I71" s="71">
        <f>IFERROR(__xludf.DUMMYFUNCTION("""COMPUTED_VALUE"""),-7.0)</f>
        <v>-7</v>
      </c>
      <c r="J71" s="71">
        <f>IFERROR(__xludf.DUMMYFUNCTION("""COMPUTED_VALUE"""),-6.0)</f>
        <v>-6</v>
      </c>
      <c r="K71" s="71">
        <f>IFERROR(__xludf.DUMMYFUNCTION("""COMPUTED_VALUE"""),-5.0)</f>
        <v>-5</v>
      </c>
      <c r="L71" s="71">
        <f>IFERROR(__xludf.DUMMYFUNCTION("""COMPUTED_VALUE"""),-4.0)</f>
        <v>-4</v>
      </c>
      <c r="M71" s="71">
        <f>IFERROR(__xludf.DUMMYFUNCTION("""COMPUTED_VALUE"""),-3.0)</f>
        <v>-3</v>
      </c>
      <c r="N71" s="71">
        <f>IFERROR(__xludf.DUMMYFUNCTION("""COMPUTED_VALUE"""),-2.0)</f>
        <v>-2</v>
      </c>
      <c r="O71" s="71">
        <f>IFERROR(__xludf.DUMMYFUNCTION("""COMPUTED_VALUE"""),-1.0)</f>
        <v>-1</v>
      </c>
      <c r="P71" s="109">
        <f>IFERROR(__xludf.DUMMYFUNCTION("""COMPUTED_VALUE"""),0.0)</f>
        <v>0</v>
      </c>
      <c r="Q71" s="71">
        <f>IFERROR(__xludf.DUMMYFUNCTION("""COMPUTED_VALUE"""),1.0)</f>
        <v>1</v>
      </c>
      <c r="R71" s="71">
        <f>IFERROR(__xludf.DUMMYFUNCTION("""COMPUTED_VALUE"""),2.0)</f>
        <v>2</v>
      </c>
      <c r="S71" s="71">
        <f>IFERROR(__xludf.DUMMYFUNCTION("""COMPUTED_VALUE"""),3.0)</f>
        <v>3</v>
      </c>
      <c r="T71" s="71">
        <f>IFERROR(__xludf.DUMMYFUNCTION("""COMPUTED_VALUE"""),4.0)</f>
        <v>4</v>
      </c>
      <c r="U71" s="71">
        <f>IFERROR(__xludf.DUMMYFUNCTION("""COMPUTED_VALUE"""),5.0)</f>
        <v>5</v>
      </c>
      <c r="V71" s="86" t="str">
        <f>IFERROR(__xludf.DUMMYFUNCTION("""COMPUTED_VALUE"""),"-")</f>
        <v>-</v>
      </c>
      <c r="W71" s="129" t="str">
        <f>IFERROR(__xludf.DUMMYFUNCTION("""COMPUTED_VALUE"""),"-")</f>
        <v>-</v>
      </c>
      <c r="X71" s="130" t="str">
        <f>IFERROR(__xludf.DUMMYFUNCTION("""COMPUTED_VALUE"""),"-")</f>
        <v>-</v>
      </c>
      <c r="Y71" s="131" t="str">
        <f>IFERROR(__xludf.DUMMYFUNCTION("""COMPUTED_VALUE"""),"-")</f>
        <v>-</v>
      </c>
      <c r="Z71" s="80"/>
      <c r="AA71" s="80"/>
      <c r="AB71" s="80"/>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04"/>
      <c r="BC71" s="123"/>
      <c r="BD71" s="104"/>
      <c r="BE71" s="104"/>
    </row>
    <row r="72">
      <c r="A72" s="93"/>
      <c r="B72" s="96"/>
      <c r="C72" s="96"/>
      <c r="D72" s="112" t="str">
        <f>IFERROR(__xludf.DUMMYFUNCTION("""COMPUTED_VALUE"""),"ヒップ")</f>
        <v>ヒップ</v>
      </c>
      <c r="E72" s="90"/>
      <c r="F72" s="157">
        <f>IFERROR(__xludf.DUMMYFUNCTION("""COMPUTED_VALUE"""),-10.0)</f>
        <v>-10</v>
      </c>
      <c r="G72" s="157">
        <f>IFERROR(__xludf.DUMMYFUNCTION("""COMPUTED_VALUE"""),-9.0)</f>
        <v>-9</v>
      </c>
      <c r="H72" s="157">
        <f>IFERROR(__xludf.DUMMYFUNCTION("""COMPUTED_VALUE"""),-8.0)</f>
        <v>-8</v>
      </c>
      <c r="I72" s="157">
        <f>IFERROR(__xludf.DUMMYFUNCTION("""COMPUTED_VALUE"""),-7.0)</f>
        <v>-7</v>
      </c>
      <c r="J72" s="157">
        <f>IFERROR(__xludf.DUMMYFUNCTION("""COMPUTED_VALUE"""),-6.0)</f>
        <v>-6</v>
      </c>
      <c r="K72" s="157">
        <f>IFERROR(__xludf.DUMMYFUNCTION("""COMPUTED_VALUE"""),-5.0)</f>
        <v>-5</v>
      </c>
      <c r="L72" s="157">
        <f>IFERROR(__xludf.DUMMYFUNCTION("""COMPUTED_VALUE"""),-4.0)</f>
        <v>-4</v>
      </c>
      <c r="M72" s="157">
        <f>IFERROR(__xludf.DUMMYFUNCTION("""COMPUTED_VALUE"""),-3.0)</f>
        <v>-3</v>
      </c>
      <c r="N72" s="157">
        <f>IFERROR(__xludf.DUMMYFUNCTION("""COMPUTED_VALUE"""),-2.0)</f>
        <v>-2</v>
      </c>
      <c r="O72" s="157">
        <f>IFERROR(__xludf.DUMMYFUNCTION("""COMPUTED_VALUE"""),-1.0)</f>
        <v>-1</v>
      </c>
      <c r="P72" s="158">
        <f>IFERROR(__xludf.DUMMYFUNCTION("""COMPUTED_VALUE"""),0.0)</f>
        <v>0</v>
      </c>
      <c r="Q72" s="71">
        <f>IFERROR(__xludf.DUMMYFUNCTION("""COMPUTED_VALUE"""),1.0)</f>
        <v>1</v>
      </c>
      <c r="R72" s="71">
        <f>IFERROR(__xludf.DUMMYFUNCTION("""COMPUTED_VALUE"""),2.0)</f>
        <v>2</v>
      </c>
      <c r="S72" s="71">
        <f>IFERROR(__xludf.DUMMYFUNCTION("""COMPUTED_VALUE"""),3.0)</f>
        <v>3</v>
      </c>
      <c r="T72" s="71">
        <f>IFERROR(__xludf.DUMMYFUNCTION("""COMPUTED_VALUE"""),4.0)</f>
        <v>4</v>
      </c>
      <c r="U72" s="71">
        <f>IFERROR(__xludf.DUMMYFUNCTION("""COMPUTED_VALUE"""),5.0)</f>
        <v>5</v>
      </c>
      <c r="V72" s="86" t="str">
        <f>IFERROR(__xludf.DUMMYFUNCTION("""COMPUTED_VALUE"""),"-")</f>
        <v>-</v>
      </c>
      <c r="W72" s="129" t="str">
        <f>IFERROR(__xludf.DUMMYFUNCTION("""COMPUTED_VALUE"""),"-")</f>
        <v>-</v>
      </c>
      <c r="X72" s="130" t="str">
        <f>IFERROR(__xludf.DUMMYFUNCTION("""COMPUTED_VALUE"""),"-")</f>
        <v>-</v>
      </c>
      <c r="Y72" s="131" t="str">
        <f>IFERROR(__xludf.DUMMYFUNCTION("""COMPUTED_VALUE"""),"-")</f>
        <v>-</v>
      </c>
      <c r="Z72" s="80"/>
      <c r="AA72" s="80"/>
      <c r="AB72" s="80"/>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04"/>
      <c r="BC72" s="123"/>
      <c r="BD72" s="104"/>
      <c r="BE72" s="104"/>
    </row>
    <row r="73">
      <c r="A73" s="93"/>
      <c r="B73" s="12"/>
      <c r="C73" s="12"/>
      <c r="D73" s="12"/>
      <c r="E73" s="12"/>
      <c r="F73" s="27"/>
      <c r="G73" s="27"/>
      <c r="H73" s="27"/>
      <c r="I73" s="27"/>
      <c r="J73" s="27"/>
      <c r="K73" s="27"/>
      <c r="L73" s="27"/>
      <c r="M73" s="27"/>
      <c r="N73" s="27"/>
      <c r="O73" s="27"/>
      <c r="P73" s="27"/>
      <c r="Q73" s="27"/>
      <c r="R73" s="27"/>
      <c r="S73" s="27"/>
      <c r="T73" s="27"/>
      <c r="U73" s="27"/>
      <c r="V73" s="27"/>
      <c r="W73" s="161"/>
      <c r="X73" s="125"/>
      <c r="Y73" s="125"/>
      <c r="Z73" s="80"/>
      <c r="AA73" s="80"/>
      <c r="AB73" s="80"/>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04"/>
      <c r="BC73" s="123"/>
      <c r="BD73" s="104"/>
      <c r="BE73" s="104"/>
    </row>
    <row r="74">
      <c r="A74" s="93"/>
      <c r="B74" s="67" t="str">
        <f>IFERROR(__xludf.DUMMYFUNCTION("""COMPUTED_VALUE"""),"
チェスター")</f>
        <v>
チェスター</v>
      </c>
      <c r="C74" s="68" t="str">
        <f>IFERROR(__xludf.DUMMYFUNCTION("""COMPUTED_VALUE"""),"サイズ")</f>
        <v>サイズ</v>
      </c>
      <c r="D74" s="69" t="str">
        <f>IFERROR(__xludf.DUMMYFUNCTION("""COMPUTED_VALUE"""),"肩巾")</f>
        <v>肩巾</v>
      </c>
      <c r="E74" s="162" t="str">
        <f>IFERROR(__xludf.DUMMYFUNCTION("""COMPUTED_VALUE"""),"パターン限界値 -4cm~+6cm")</f>
        <v>パターン限界値 -4cm~+6cm</v>
      </c>
      <c r="F74" s="71">
        <f>IFERROR(__xludf.DUMMYFUNCTION("""COMPUTED_VALUE"""),-10.0)</f>
        <v>-10</v>
      </c>
      <c r="G74" s="71">
        <f>IFERROR(__xludf.DUMMYFUNCTION("""COMPUTED_VALUE"""),-9.0)</f>
        <v>-9</v>
      </c>
      <c r="H74" s="71">
        <f>IFERROR(__xludf.DUMMYFUNCTION("""COMPUTED_VALUE"""),-8.0)</f>
        <v>-8</v>
      </c>
      <c r="I74" s="71">
        <f>IFERROR(__xludf.DUMMYFUNCTION("""COMPUTED_VALUE"""),-7.0)</f>
        <v>-7</v>
      </c>
      <c r="J74" s="71">
        <f>IFERROR(__xludf.DUMMYFUNCTION("""COMPUTED_VALUE"""),-6.0)</f>
        <v>-6</v>
      </c>
      <c r="K74" s="71">
        <f>IFERROR(__xludf.DUMMYFUNCTION("""COMPUTED_VALUE"""),-5.0)</f>
        <v>-5</v>
      </c>
      <c r="L74" s="71">
        <f>IFERROR(__xludf.DUMMYFUNCTION("""COMPUTED_VALUE"""),-4.0)</f>
        <v>-4</v>
      </c>
      <c r="M74" s="71">
        <f>IFERROR(__xludf.DUMMYFUNCTION("""COMPUTED_VALUE"""),-3.0)</f>
        <v>-3</v>
      </c>
      <c r="N74" s="71">
        <f>IFERROR(__xludf.DUMMYFUNCTION("""COMPUTED_VALUE"""),-2.0)</f>
        <v>-2</v>
      </c>
      <c r="O74" s="73">
        <f>IFERROR(__xludf.DUMMYFUNCTION("""COMPUTED_VALUE"""),-1.0)</f>
        <v>-1</v>
      </c>
      <c r="P74" s="74">
        <f>IFERROR(__xludf.DUMMYFUNCTION("""COMPUTED_VALUE"""),0.0)</f>
        <v>0</v>
      </c>
      <c r="Q74" s="71">
        <f>IFERROR(__xludf.DUMMYFUNCTION("""COMPUTED_VALUE"""),1.0)</f>
        <v>1</v>
      </c>
      <c r="R74" s="71">
        <f>IFERROR(__xludf.DUMMYFUNCTION("""COMPUTED_VALUE"""),2.0)</f>
        <v>2</v>
      </c>
      <c r="S74" s="71">
        <f>IFERROR(__xludf.DUMMYFUNCTION("""COMPUTED_VALUE"""),3.0)</f>
        <v>3</v>
      </c>
      <c r="T74" s="71">
        <f>IFERROR(__xludf.DUMMYFUNCTION("""COMPUTED_VALUE"""),4.0)</f>
        <v>4</v>
      </c>
      <c r="U74" s="71">
        <f>IFERROR(__xludf.DUMMYFUNCTION("""COMPUTED_VALUE"""),5.0)</f>
        <v>5</v>
      </c>
      <c r="V74" s="86">
        <f>IFERROR(__xludf.DUMMYFUNCTION("""COMPUTED_VALUE"""),7.0)</f>
        <v>7</v>
      </c>
      <c r="W74" s="159">
        <f>IFERROR(__xludf.DUMMYFUNCTION("""COMPUTED_VALUE"""),46000.0)</f>
        <v>46000</v>
      </c>
      <c r="X74" s="110">
        <f>IFERROR(__xludf.DUMMYFUNCTION("""COMPUTED_VALUE"""),46003.0)</f>
        <v>46003</v>
      </c>
      <c r="Y74" s="111">
        <f>IFERROR(__xludf.DUMMYFUNCTION("""COMPUTED_VALUE"""),46008.0)</f>
        <v>46008</v>
      </c>
      <c r="Z74" s="80"/>
      <c r="AA74" s="80"/>
      <c r="AB74" s="80"/>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04"/>
      <c r="BC74" s="123"/>
      <c r="BD74" s="104"/>
      <c r="BE74" s="104"/>
    </row>
    <row r="75">
      <c r="A75" s="93"/>
      <c r="B75" s="94"/>
      <c r="C75" s="94"/>
      <c r="D75" s="69" t="str">
        <f>IFERROR(__xludf.DUMMYFUNCTION("""COMPUTED_VALUE"""),"バスト")</f>
        <v>バスト</v>
      </c>
      <c r="E75" s="70"/>
      <c r="F75" s="71">
        <f>IFERROR(__xludf.DUMMYFUNCTION("""COMPUTED_VALUE"""),-10.0)</f>
        <v>-10</v>
      </c>
      <c r="G75" s="71">
        <f>IFERROR(__xludf.DUMMYFUNCTION("""COMPUTED_VALUE"""),-9.0)</f>
        <v>-9</v>
      </c>
      <c r="H75" s="71">
        <f>IFERROR(__xludf.DUMMYFUNCTION("""COMPUTED_VALUE"""),-8.0)</f>
        <v>-8</v>
      </c>
      <c r="I75" s="71">
        <f>IFERROR(__xludf.DUMMYFUNCTION("""COMPUTED_VALUE"""),-7.0)</f>
        <v>-7</v>
      </c>
      <c r="J75" s="71">
        <f>IFERROR(__xludf.DUMMYFUNCTION("""COMPUTED_VALUE"""),-6.0)</f>
        <v>-6</v>
      </c>
      <c r="K75" s="71">
        <f>IFERROR(__xludf.DUMMYFUNCTION("""COMPUTED_VALUE"""),-5.0)</f>
        <v>-5</v>
      </c>
      <c r="L75" s="71">
        <f>IFERROR(__xludf.DUMMYFUNCTION("""COMPUTED_VALUE"""),-4.0)</f>
        <v>-4</v>
      </c>
      <c r="M75" s="71">
        <f>IFERROR(__xludf.DUMMYFUNCTION("""COMPUTED_VALUE"""),-3.0)</f>
        <v>-3</v>
      </c>
      <c r="N75" s="71">
        <f>IFERROR(__xludf.DUMMYFUNCTION("""COMPUTED_VALUE"""),-2.0)</f>
        <v>-2</v>
      </c>
      <c r="O75" s="71">
        <f>IFERROR(__xludf.DUMMYFUNCTION("""COMPUTED_VALUE"""),-1.0)</f>
        <v>-1</v>
      </c>
      <c r="P75" s="74">
        <f>IFERROR(__xludf.DUMMYFUNCTION("""COMPUTED_VALUE"""),0.0)</f>
        <v>0</v>
      </c>
      <c r="Q75" s="71">
        <f>IFERROR(__xludf.DUMMYFUNCTION("""COMPUTED_VALUE"""),1.0)</f>
        <v>1</v>
      </c>
      <c r="R75" s="71">
        <f>IFERROR(__xludf.DUMMYFUNCTION("""COMPUTED_VALUE"""),2.0)</f>
        <v>2</v>
      </c>
      <c r="S75" s="71">
        <f>IFERROR(__xludf.DUMMYFUNCTION("""COMPUTED_VALUE"""),3.0)</f>
        <v>3</v>
      </c>
      <c r="T75" s="71">
        <f>IFERROR(__xludf.DUMMYFUNCTION("""COMPUTED_VALUE"""),4.0)</f>
        <v>4</v>
      </c>
      <c r="U75" s="71">
        <f>IFERROR(__xludf.DUMMYFUNCTION("""COMPUTED_VALUE"""),5.0)</f>
        <v>5</v>
      </c>
      <c r="V75" s="86" t="str">
        <f>IFERROR(__xludf.DUMMYFUNCTION("""COMPUTED_VALUE"""),"-")</f>
        <v>-</v>
      </c>
      <c r="W75" s="159" t="str">
        <f>IFERROR(__xludf.DUMMYFUNCTION("""COMPUTED_VALUE"""),"-")</f>
        <v>-</v>
      </c>
      <c r="X75" s="110">
        <f>IFERROR(__xludf.DUMMYFUNCTION("""COMPUTED_VALUE"""),46003.0)</f>
        <v>46003</v>
      </c>
      <c r="Y75" s="111">
        <f>IFERROR(__xludf.DUMMYFUNCTION("""COMPUTED_VALUE"""),46008.0)</f>
        <v>46008</v>
      </c>
      <c r="Z75" s="80"/>
      <c r="AA75" s="80"/>
      <c r="AB75" s="80"/>
      <c r="AC75" s="12"/>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04"/>
      <c r="BC75" s="123"/>
      <c r="BD75" s="104"/>
      <c r="BE75" s="104"/>
    </row>
    <row r="76">
      <c r="A76" s="93"/>
      <c r="B76" s="94"/>
      <c r="C76" s="94"/>
      <c r="D76" s="98" t="str">
        <f>IFERROR(__xludf.DUMMYFUNCTION("""COMPUTED_VALUE"""),"ウエスト")</f>
        <v>ウエスト</v>
      </c>
      <c r="E76" s="162" t="str">
        <f>IFERROR(__xludf.DUMMYFUNCTION("""COMPUTED_VALUE"""),"パターン限界値-4cm~+6cm 
かつドロップ16cm ")</f>
        <v>パターン限界値-4cm~+6cm 
かつドロップ16cm </v>
      </c>
      <c r="F76" s="71">
        <f>IFERROR(__xludf.DUMMYFUNCTION("""COMPUTED_VALUE"""),-10.0)</f>
        <v>-10</v>
      </c>
      <c r="G76" s="71">
        <f>IFERROR(__xludf.DUMMYFUNCTION("""COMPUTED_VALUE"""),-9.0)</f>
        <v>-9</v>
      </c>
      <c r="H76" s="73">
        <f>IFERROR(__xludf.DUMMYFUNCTION("""COMPUTED_VALUE"""),-8.0)</f>
        <v>-8</v>
      </c>
      <c r="I76" s="73">
        <f>IFERROR(__xludf.DUMMYFUNCTION("""COMPUTED_VALUE"""),-7.0)</f>
        <v>-7</v>
      </c>
      <c r="J76" s="73">
        <f>IFERROR(__xludf.DUMMYFUNCTION("""COMPUTED_VALUE"""),-6.0)</f>
        <v>-6</v>
      </c>
      <c r="K76" s="73">
        <f>IFERROR(__xludf.DUMMYFUNCTION("""COMPUTED_VALUE"""),-5.0)</f>
        <v>-5</v>
      </c>
      <c r="L76" s="73">
        <f>IFERROR(__xludf.DUMMYFUNCTION("""COMPUTED_VALUE"""),-4.0)</f>
        <v>-4</v>
      </c>
      <c r="M76" s="73">
        <f>IFERROR(__xludf.DUMMYFUNCTION("""COMPUTED_VALUE"""),-3.0)</f>
        <v>-3</v>
      </c>
      <c r="N76" s="73">
        <f>IFERROR(__xludf.DUMMYFUNCTION("""COMPUTED_VALUE"""),-2.0)</f>
        <v>-2</v>
      </c>
      <c r="O76" s="73">
        <f>IFERROR(__xludf.DUMMYFUNCTION("""COMPUTED_VALUE"""),-1.0)</f>
        <v>-1</v>
      </c>
      <c r="P76" s="74">
        <f>IFERROR(__xludf.DUMMYFUNCTION("""COMPUTED_VALUE"""),0.0)</f>
        <v>0</v>
      </c>
      <c r="Q76" s="71">
        <f>IFERROR(__xludf.DUMMYFUNCTION("""COMPUTED_VALUE"""),1.0)</f>
        <v>1</v>
      </c>
      <c r="R76" s="71">
        <f>IFERROR(__xludf.DUMMYFUNCTION("""COMPUTED_VALUE"""),2.0)</f>
        <v>2</v>
      </c>
      <c r="S76" s="71">
        <f>IFERROR(__xludf.DUMMYFUNCTION("""COMPUTED_VALUE"""),3.0)</f>
        <v>3</v>
      </c>
      <c r="T76" s="71">
        <f>IFERROR(__xludf.DUMMYFUNCTION("""COMPUTED_VALUE"""),4.0)</f>
        <v>4</v>
      </c>
      <c r="U76" s="71">
        <f>IFERROR(__xludf.DUMMYFUNCTION("""COMPUTED_VALUE"""),5.0)</f>
        <v>5</v>
      </c>
      <c r="V76" s="86">
        <f>IFERROR(__xludf.DUMMYFUNCTION("""COMPUTED_VALUE"""),7.0)</f>
        <v>7</v>
      </c>
      <c r="W76" s="159">
        <f>IFERROR(__xludf.DUMMYFUNCTION("""COMPUTED_VALUE"""),46000.0)</f>
        <v>46000</v>
      </c>
      <c r="X76" s="110">
        <f>IFERROR(__xludf.DUMMYFUNCTION("""COMPUTED_VALUE"""),46003.0)</f>
        <v>46003</v>
      </c>
      <c r="Y76" s="111">
        <f>IFERROR(__xludf.DUMMYFUNCTION("""COMPUTED_VALUE"""),46008.0)</f>
        <v>46008</v>
      </c>
      <c r="Z76" s="80"/>
      <c r="AA76" s="80"/>
      <c r="AB76" s="80"/>
      <c r="AC76" s="124"/>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04"/>
      <c r="BC76" s="123"/>
      <c r="BD76" s="104"/>
      <c r="BE76" s="104"/>
    </row>
    <row r="77">
      <c r="A77" s="93"/>
      <c r="B77" s="94"/>
      <c r="C77" s="94"/>
      <c r="D77" s="69" t="str">
        <f>IFERROR(__xludf.DUMMYFUNCTION("""COMPUTED_VALUE"""),"袖丈")</f>
        <v>袖丈</v>
      </c>
      <c r="E77" s="70"/>
      <c r="F77" s="71">
        <f>IFERROR(__xludf.DUMMYFUNCTION("""COMPUTED_VALUE"""),-10.0)</f>
        <v>-10</v>
      </c>
      <c r="G77" s="71">
        <f>IFERROR(__xludf.DUMMYFUNCTION("""COMPUTED_VALUE"""),-9.0)</f>
        <v>-9</v>
      </c>
      <c r="H77" s="71">
        <f>IFERROR(__xludf.DUMMYFUNCTION("""COMPUTED_VALUE"""),-8.0)</f>
        <v>-8</v>
      </c>
      <c r="I77" s="71">
        <f>IFERROR(__xludf.DUMMYFUNCTION("""COMPUTED_VALUE"""),-7.0)</f>
        <v>-7</v>
      </c>
      <c r="J77" s="71">
        <f>IFERROR(__xludf.DUMMYFUNCTION("""COMPUTED_VALUE"""),-6.0)</f>
        <v>-6</v>
      </c>
      <c r="K77" s="71">
        <f>IFERROR(__xludf.DUMMYFUNCTION("""COMPUTED_VALUE"""),-5.0)</f>
        <v>-5</v>
      </c>
      <c r="L77" s="71">
        <f>IFERROR(__xludf.DUMMYFUNCTION("""COMPUTED_VALUE"""),-4.0)</f>
        <v>-4</v>
      </c>
      <c r="M77" s="71">
        <f>IFERROR(__xludf.DUMMYFUNCTION("""COMPUTED_VALUE"""),-3.0)</f>
        <v>-3</v>
      </c>
      <c r="N77" s="73">
        <f>IFERROR(__xludf.DUMMYFUNCTION("""COMPUTED_VALUE"""),-1.5)</f>
        <v>-1.5</v>
      </c>
      <c r="O77" s="73">
        <f>IFERROR(__xludf.DUMMYFUNCTION("""COMPUTED_VALUE"""),-1.0)</f>
        <v>-1</v>
      </c>
      <c r="P77" s="74">
        <f>IFERROR(__xludf.DUMMYFUNCTION("""COMPUTED_VALUE"""),0.0)</f>
        <v>0</v>
      </c>
      <c r="Q77" s="71">
        <f>IFERROR(__xludf.DUMMYFUNCTION("""COMPUTED_VALUE"""),1.0)</f>
        <v>1</v>
      </c>
      <c r="R77" s="71">
        <f>IFERROR(__xludf.DUMMYFUNCTION("""COMPUTED_VALUE"""),2.0)</f>
        <v>2</v>
      </c>
      <c r="S77" s="71">
        <f>IFERROR(__xludf.DUMMYFUNCTION("""COMPUTED_VALUE"""),3.0)</f>
        <v>3</v>
      </c>
      <c r="T77" s="71">
        <f>IFERROR(__xludf.DUMMYFUNCTION("""COMPUTED_VALUE"""),4.0)</f>
        <v>4</v>
      </c>
      <c r="U77" s="71">
        <f>IFERROR(__xludf.DUMMYFUNCTION("""COMPUTED_VALUE"""),5.0)</f>
        <v>5</v>
      </c>
      <c r="V77" s="86">
        <f>IFERROR(__xludf.DUMMYFUNCTION("""COMPUTED_VALUE"""),7.0)</f>
        <v>7</v>
      </c>
      <c r="W77" s="159">
        <f>IFERROR(__xludf.DUMMYFUNCTION("""COMPUTED_VALUE"""),46000.0)</f>
        <v>46000</v>
      </c>
      <c r="X77" s="110">
        <f>IFERROR(__xludf.DUMMYFUNCTION("""COMPUTED_VALUE"""),46003.0)</f>
        <v>46003</v>
      </c>
      <c r="Y77" s="111">
        <f>IFERROR(__xludf.DUMMYFUNCTION("""COMPUTED_VALUE"""),46008.0)</f>
        <v>46008</v>
      </c>
      <c r="Z77" s="80"/>
      <c r="AA77" s="80"/>
      <c r="AB77" s="80"/>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04"/>
      <c r="BC77" s="123"/>
      <c r="BD77" s="104"/>
      <c r="BE77" s="104"/>
    </row>
    <row r="78">
      <c r="A78" s="93"/>
      <c r="B78" s="94"/>
      <c r="C78" s="94"/>
      <c r="D78" s="69" t="str">
        <f>IFERROR(__xludf.DUMMYFUNCTION("""COMPUTED_VALUE"""),"着丈")</f>
        <v>着丈</v>
      </c>
      <c r="E78" s="162" t="str">
        <f>IFERROR(__xludf.DUMMYFUNCTION("""COMPUTED_VALUE"""),"パターン限界値±20cm")</f>
        <v>パターン限界値±20cm</v>
      </c>
      <c r="F78" s="71">
        <f>IFERROR(__xludf.DUMMYFUNCTION("""COMPUTED_VALUE"""),-10.0)</f>
        <v>-10</v>
      </c>
      <c r="G78" s="71">
        <f>IFERROR(__xludf.DUMMYFUNCTION("""COMPUTED_VALUE"""),-9.0)</f>
        <v>-9</v>
      </c>
      <c r="H78" s="71">
        <f>IFERROR(__xludf.DUMMYFUNCTION("""COMPUTED_VALUE"""),-8.0)</f>
        <v>-8</v>
      </c>
      <c r="I78" s="71">
        <f>IFERROR(__xludf.DUMMYFUNCTION("""COMPUTED_VALUE"""),-7.0)</f>
        <v>-7</v>
      </c>
      <c r="J78" s="71">
        <f>IFERROR(__xludf.DUMMYFUNCTION("""COMPUTED_VALUE"""),-6.0)</f>
        <v>-6</v>
      </c>
      <c r="K78" s="73">
        <f>IFERROR(__xludf.DUMMYFUNCTION("""COMPUTED_VALUE"""),-5.0)</f>
        <v>-5</v>
      </c>
      <c r="L78" s="73">
        <f>IFERROR(__xludf.DUMMYFUNCTION("""COMPUTED_VALUE"""),-4.0)</f>
        <v>-4</v>
      </c>
      <c r="M78" s="73">
        <f>IFERROR(__xludf.DUMMYFUNCTION("""COMPUTED_VALUE"""),-3.0)</f>
        <v>-3</v>
      </c>
      <c r="N78" s="73">
        <f>IFERROR(__xludf.DUMMYFUNCTION("""COMPUTED_VALUE"""),-2.0)</f>
        <v>-2</v>
      </c>
      <c r="O78" s="73">
        <f>IFERROR(__xludf.DUMMYFUNCTION("""COMPUTED_VALUE"""),-1.0)</f>
        <v>-1</v>
      </c>
      <c r="P78" s="74">
        <f>IFERROR(__xludf.DUMMYFUNCTION("""COMPUTED_VALUE"""),0.0)</f>
        <v>0</v>
      </c>
      <c r="Q78" s="71">
        <f>IFERROR(__xludf.DUMMYFUNCTION("""COMPUTED_VALUE"""),1.0)</f>
        <v>1</v>
      </c>
      <c r="R78" s="71">
        <f>IFERROR(__xludf.DUMMYFUNCTION("""COMPUTED_VALUE"""),2.0)</f>
        <v>2</v>
      </c>
      <c r="S78" s="71">
        <f>IFERROR(__xludf.DUMMYFUNCTION("""COMPUTED_VALUE"""),3.0)</f>
        <v>3</v>
      </c>
      <c r="T78" s="71">
        <f>IFERROR(__xludf.DUMMYFUNCTION("""COMPUTED_VALUE"""),4.0)</f>
        <v>4</v>
      </c>
      <c r="U78" s="71">
        <f>IFERROR(__xludf.DUMMYFUNCTION("""COMPUTED_VALUE"""),5.0)</f>
        <v>5</v>
      </c>
      <c r="V78" s="86">
        <f>IFERROR(__xludf.DUMMYFUNCTION("""COMPUTED_VALUE"""),7.0)</f>
        <v>7</v>
      </c>
      <c r="W78" s="159">
        <f>IFERROR(__xludf.DUMMYFUNCTION("""COMPUTED_VALUE"""),46000.0)</f>
        <v>46000</v>
      </c>
      <c r="X78" s="110">
        <f>IFERROR(__xludf.DUMMYFUNCTION("""COMPUTED_VALUE"""),46003.0)</f>
        <v>46003</v>
      </c>
      <c r="Y78" s="111">
        <f>IFERROR(__xludf.DUMMYFUNCTION("""COMPUTED_VALUE"""),46008.0)</f>
        <v>46008</v>
      </c>
      <c r="Z78" s="80"/>
      <c r="AA78" s="80"/>
      <c r="AB78" s="80"/>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04"/>
      <c r="BC78" s="123"/>
      <c r="BD78" s="104"/>
      <c r="BE78" s="104"/>
    </row>
    <row r="79">
      <c r="A79" s="93"/>
      <c r="B79" s="96"/>
      <c r="C79" s="96"/>
      <c r="D79" s="113" t="str">
        <f>IFERROR(__xludf.DUMMYFUNCTION("""COMPUTED_VALUE"""),"けまわし")</f>
        <v>けまわし</v>
      </c>
      <c r="E79" s="163" t="str">
        <f>IFERROR(__xludf.DUMMYFUNCTION("""COMPUTED_VALUE"""),"パターン限界値±8cm")</f>
        <v>パターン限界値±8cm</v>
      </c>
      <c r="F79" s="157">
        <f>IFERROR(__xludf.DUMMYFUNCTION("""COMPUTED_VALUE"""),-10.0)</f>
        <v>-10</v>
      </c>
      <c r="G79" s="157">
        <f>IFERROR(__xludf.DUMMYFUNCTION("""COMPUTED_VALUE"""),-9.0)</f>
        <v>-9</v>
      </c>
      <c r="H79" s="164">
        <f>IFERROR(__xludf.DUMMYFUNCTION("""COMPUTED_VALUE"""),-8.0)</f>
        <v>-8</v>
      </c>
      <c r="I79" s="164">
        <f>IFERROR(__xludf.DUMMYFUNCTION("""COMPUTED_VALUE"""),-7.0)</f>
        <v>-7</v>
      </c>
      <c r="J79" s="164">
        <f>IFERROR(__xludf.DUMMYFUNCTION("""COMPUTED_VALUE"""),-6.0)</f>
        <v>-6</v>
      </c>
      <c r="K79" s="164">
        <f>IFERROR(__xludf.DUMMYFUNCTION("""COMPUTED_VALUE"""),-5.0)</f>
        <v>-5</v>
      </c>
      <c r="L79" s="164">
        <f>IFERROR(__xludf.DUMMYFUNCTION("""COMPUTED_VALUE"""),-4.0)</f>
        <v>-4</v>
      </c>
      <c r="M79" s="164">
        <f>IFERROR(__xludf.DUMMYFUNCTION("""COMPUTED_VALUE"""),-3.0)</f>
        <v>-3</v>
      </c>
      <c r="N79" s="164">
        <f>IFERROR(__xludf.DUMMYFUNCTION("""COMPUTED_VALUE"""),-2.0)</f>
        <v>-2</v>
      </c>
      <c r="O79" s="164">
        <f>IFERROR(__xludf.DUMMYFUNCTION("""COMPUTED_VALUE"""),-1.0)</f>
        <v>-1</v>
      </c>
      <c r="P79" s="165">
        <f>IFERROR(__xludf.DUMMYFUNCTION("""COMPUTED_VALUE"""),0.0)</f>
        <v>0</v>
      </c>
      <c r="Q79" s="71">
        <f>IFERROR(__xludf.DUMMYFUNCTION("""COMPUTED_VALUE"""),1.0)</f>
        <v>1</v>
      </c>
      <c r="R79" s="71">
        <f>IFERROR(__xludf.DUMMYFUNCTION("""COMPUTED_VALUE"""),2.0)</f>
        <v>2</v>
      </c>
      <c r="S79" s="71">
        <f>IFERROR(__xludf.DUMMYFUNCTION("""COMPUTED_VALUE"""),3.0)</f>
        <v>3</v>
      </c>
      <c r="T79" s="71">
        <f>IFERROR(__xludf.DUMMYFUNCTION("""COMPUTED_VALUE"""),4.0)</f>
        <v>4</v>
      </c>
      <c r="U79" s="71">
        <f>IFERROR(__xludf.DUMMYFUNCTION("""COMPUTED_VALUE"""),5.0)</f>
        <v>5</v>
      </c>
      <c r="V79" s="86">
        <f>IFERROR(__xludf.DUMMYFUNCTION("""COMPUTED_VALUE"""),10.0)</f>
        <v>10</v>
      </c>
      <c r="W79" s="159">
        <f>IFERROR(__xludf.DUMMYFUNCTION("""COMPUTED_VALUE"""),46003.0)</f>
        <v>46003</v>
      </c>
      <c r="X79" s="110">
        <f>IFERROR(__xludf.DUMMYFUNCTION("""COMPUTED_VALUE"""),46003.0)</f>
        <v>46003</v>
      </c>
      <c r="Y79" s="111">
        <f>IFERROR(__xludf.DUMMYFUNCTION("""COMPUTED_VALUE"""),46008.0)</f>
        <v>46008</v>
      </c>
      <c r="Z79" s="80"/>
      <c r="AA79" s="80"/>
      <c r="AB79" s="80"/>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04"/>
      <c r="BC79" s="123"/>
      <c r="BD79" s="104"/>
      <c r="BE79" s="104"/>
    </row>
    <row r="80">
      <c r="A80" s="93"/>
      <c r="B80" s="12"/>
      <c r="C80" s="12"/>
      <c r="D80" s="12"/>
      <c r="E80" s="12"/>
      <c r="F80" s="27"/>
      <c r="G80" s="27"/>
      <c r="H80" s="27"/>
      <c r="I80" s="27"/>
      <c r="J80" s="27"/>
      <c r="K80" s="27"/>
      <c r="L80" s="27"/>
      <c r="M80" s="27"/>
      <c r="N80" s="27"/>
      <c r="O80" s="27"/>
      <c r="P80" s="27"/>
      <c r="Q80" s="27"/>
      <c r="R80" s="27"/>
      <c r="S80" s="27"/>
      <c r="T80" s="27"/>
      <c r="U80" s="27"/>
      <c r="V80" s="27"/>
      <c r="W80" s="40"/>
      <c r="X80" s="125"/>
      <c r="Y80" s="125"/>
      <c r="Z80" s="80"/>
      <c r="AA80" s="80"/>
      <c r="AB80" s="80"/>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04"/>
      <c r="BC80" s="123"/>
      <c r="BD80" s="104"/>
      <c r="BE80" s="104"/>
    </row>
    <row r="81">
      <c r="A81" s="93"/>
      <c r="B81" s="67" t="str">
        <f>IFERROR(__xludf.DUMMYFUNCTION("""COMPUTED_VALUE"""),"トレンチ")</f>
        <v>トレンチ</v>
      </c>
      <c r="C81" s="68" t="str">
        <f>IFERROR(__xludf.DUMMYFUNCTION("""COMPUTED_VALUE"""),"サイズ")</f>
        <v>サイズ</v>
      </c>
      <c r="D81" s="69" t="str">
        <f>IFERROR(__xludf.DUMMYFUNCTION("""COMPUTED_VALUE"""),"肩巾")</f>
        <v>肩巾</v>
      </c>
      <c r="E81" s="162" t="str">
        <f>IFERROR(__xludf.DUMMYFUNCTION("""COMPUTED_VALUE"""),"パターン限界値 -4cm~+6cm")</f>
        <v>パターン限界値 -4cm~+6cm</v>
      </c>
      <c r="F81" s="72">
        <f>IFERROR(__xludf.DUMMYFUNCTION("""COMPUTED_VALUE"""),-10.0)</f>
        <v>-10</v>
      </c>
      <c r="G81" s="72">
        <f>IFERROR(__xludf.DUMMYFUNCTION("""COMPUTED_VALUE"""),-9.0)</f>
        <v>-9</v>
      </c>
      <c r="H81" s="72">
        <f>IFERROR(__xludf.DUMMYFUNCTION("""COMPUTED_VALUE"""),-8.0)</f>
        <v>-8</v>
      </c>
      <c r="I81" s="72">
        <f>IFERROR(__xludf.DUMMYFUNCTION("""COMPUTED_VALUE"""),-7.0)</f>
        <v>-7</v>
      </c>
      <c r="J81" s="72">
        <f>IFERROR(__xludf.DUMMYFUNCTION("""COMPUTED_VALUE"""),-6.0)</f>
        <v>-6</v>
      </c>
      <c r="K81" s="72">
        <f>IFERROR(__xludf.DUMMYFUNCTION("""COMPUTED_VALUE"""),-5.0)</f>
        <v>-5</v>
      </c>
      <c r="L81" s="72">
        <f>IFERROR(__xludf.DUMMYFUNCTION("""COMPUTED_VALUE"""),-4.0)</f>
        <v>-4</v>
      </c>
      <c r="M81" s="72">
        <f>IFERROR(__xludf.DUMMYFUNCTION("""COMPUTED_VALUE"""),-3.0)</f>
        <v>-3</v>
      </c>
      <c r="N81" s="72">
        <f>IFERROR(__xludf.DUMMYFUNCTION("""COMPUTED_VALUE"""),-2.0)</f>
        <v>-2</v>
      </c>
      <c r="O81" s="72">
        <f>IFERROR(__xludf.DUMMYFUNCTION("""COMPUTED_VALUE"""),-1.0)</f>
        <v>-1</v>
      </c>
      <c r="P81" s="74">
        <f>IFERROR(__xludf.DUMMYFUNCTION("""COMPUTED_VALUE"""),0.0)</f>
        <v>0</v>
      </c>
      <c r="Q81" s="71">
        <f>IFERROR(__xludf.DUMMYFUNCTION("""COMPUTED_VALUE"""),1.0)</f>
        <v>1</v>
      </c>
      <c r="R81" s="71">
        <f>IFERROR(__xludf.DUMMYFUNCTION("""COMPUTED_VALUE"""),2.0)</f>
        <v>2</v>
      </c>
      <c r="S81" s="71">
        <f>IFERROR(__xludf.DUMMYFUNCTION("""COMPUTED_VALUE"""),3.0)</f>
        <v>3</v>
      </c>
      <c r="T81" s="71">
        <f>IFERROR(__xludf.DUMMYFUNCTION("""COMPUTED_VALUE"""),4.0)</f>
        <v>4</v>
      </c>
      <c r="U81" s="71">
        <f>IFERROR(__xludf.DUMMYFUNCTION("""COMPUTED_VALUE"""),5.0)</f>
        <v>5</v>
      </c>
      <c r="V81" s="86" t="str">
        <f>IFERROR(__xludf.DUMMYFUNCTION("""COMPUTED_VALUE"""),"-")</f>
        <v>-</v>
      </c>
      <c r="W81" s="122" t="str">
        <f>IFERROR(__xludf.DUMMYFUNCTION("""COMPUTED_VALUE"""),"-")</f>
        <v>-</v>
      </c>
      <c r="X81" s="110">
        <f>IFERROR(__xludf.DUMMYFUNCTION("""COMPUTED_VALUE"""),46003.0)</f>
        <v>46003</v>
      </c>
      <c r="Y81" s="111">
        <f>IFERROR(__xludf.DUMMYFUNCTION("""COMPUTED_VALUE"""),46008.0)</f>
        <v>46008</v>
      </c>
      <c r="Z81" s="80"/>
      <c r="AA81" s="80"/>
      <c r="AB81" s="80"/>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04"/>
      <c r="BC81" s="123"/>
      <c r="BD81" s="104"/>
      <c r="BE81" s="104"/>
    </row>
    <row r="82">
      <c r="A82" s="93"/>
      <c r="B82" s="94"/>
      <c r="C82" s="94"/>
      <c r="D82" s="69" t="str">
        <f>IFERROR(__xludf.DUMMYFUNCTION("""COMPUTED_VALUE"""),"バスト")</f>
        <v>バスト</v>
      </c>
      <c r="E82" s="70"/>
      <c r="F82" s="72">
        <f>IFERROR(__xludf.DUMMYFUNCTION("""COMPUTED_VALUE"""),-10.0)</f>
        <v>-10</v>
      </c>
      <c r="G82" s="72">
        <f>IFERROR(__xludf.DUMMYFUNCTION("""COMPUTED_VALUE"""),-9.0)</f>
        <v>-9</v>
      </c>
      <c r="H82" s="72">
        <f>IFERROR(__xludf.DUMMYFUNCTION("""COMPUTED_VALUE"""),-8.0)</f>
        <v>-8</v>
      </c>
      <c r="I82" s="72">
        <f>IFERROR(__xludf.DUMMYFUNCTION("""COMPUTED_VALUE"""),-7.0)</f>
        <v>-7</v>
      </c>
      <c r="J82" s="72">
        <f>IFERROR(__xludf.DUMMYFUNCTION("""COMPUTED_VALUE"""),-6.0)</f>
        <v>-6</v>
      </c>
      <c r="K82" s="72">
        <f>IFERROR(__xludf.DUMMYFUNCTION("""COMPUTED_VALUE"""),-5.0)</f>
        <v>-5</v>
      </c>
      <c r="L82" s="72">
        <f>IFERROR(__xludf.DUMMYFUNCTION("""COMPUTED_VALUE"""),-4.0)</f>
        <v>-4</v>
      </c>
      <c r="M82" s="72">
        <f>IFERROR(__xludf.DUMMYFUNCTION("""COMPUTED_VALUE"""),-3.0)</f>
        <v>-3</v>
      </c>
      <c r="N82" s="72">
        <f>IFERROR(__xludf.DUMMYFUNCTION("""COMPUTED_VALUE"""),-2.0)</f>
        <v>-2</v>
      </c>
      <c r="O82" s="72">
        <f>IFERROR(__xludf.DUMMYFUNCTION("""COMPUTED_VALUE"""),-1.0)</f>
        <v>-1</v>
      </c>
      <c r="P82" s="74">
        <f>IFERROR(__xludf.DUMMYFUNCTION("""COMPUTED_VALUE"""),0.0)</f>
        <v>0</v>
      </c>
      <c r="Q82" s="71">
        <f>IFERROR(__xludf.DUMMYFUNCTION("""COMPUTED_VALUE"""),1.0)</f>
        <v>1</v>
      </c>
      <c r="R82" s="71">
        <f>IFERROR(__xludf.DUMMYFUNCTION("""COMPUTED_VALUE"""),2.0)</f>
        <v>2</v>
      </c>
      <c r="S82" s="71">
        <f>IFERROR(__xludf.DUMMYFUNCTION("""COMPUTED_VALUE"""),3.0)</f>
        <v>3</v>
      </c>
      <c r="T82" s="71">
        <f>IFERROR(__xludf.DUMMYFUNCTION("""COMPUTED_VALUE"""),4.0)</f>
        <v>4</v>
      </c>
      <c r="U82" s="71">
        <f>IFERROR(__xludf.DUMMYFUNCTION("""COMPUTED_VALUE"""),5.0)</f>
        <v>5</v>
      </c>
      <c r="V82" s="86" t="str">
        <f>IFERROR(__xludf.DUMMYFUNCTION("""COMPUTED_VALUE"""),"-")</f>
        <v>-</v>
      </c>
      <c r="W82" s="159" t="str">
        <f>IFERROR(__xludf.DUMMYFUNCTION("""COMPUTED_VALUE"""),"-")</f>
        <v>-</v>
      </c>
      <c r="X82" s="110">
        <f>IFERROR(__xludf.DUMMYFUNCTION("""COMPUTED_VALUE"""),46003.0)</f>
        <v>46003</v>
      </c>
      <c r="Y82" s="111">
        <f>IFERROR(__xludf.DUMMYFUNCTION("""COMPUTED_VALUE"""),46008.0)</f>
        <v>46008</v>
      </c>
      <c r="Z82" s="80"/>
      <c r="AA82" s="80"/>
      <c r="AB82" s="80"/>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04"/>
      <c r="BC82" s="123"/>
      <c r="BD82" s="104"/>
      <c r="BE82" s="104"/>
    </row>
    <row r="83">
      <c r="A83" s="93"/>
      <c r="B83" s="94"/>
      <c r="C83" s="94"/>
      <c r="D83" s="98" t="str">
        <f>IFERROR(__xludf.DUMMYFUNCTION("""COMPUTED_VALUE"""),"ウエスト")</f>
        <v>ウエスト</v>
      </c>
      <c r="E83" s="162" t="str">
        <f>IFERROR(__xludf.DUMMYFUNCTION("""COMPUTED_VALUE"""),"パターン限界値 ±4cm")</f>
        <v>パターン限界値 ±4cm</v>
      </c>
      <c r="F83" s="72">
        <f>IFERROR(__xludf.DUMMYFUNCTION("""COMPUTED_VALUE"""),-10.0)</f>
        <v>-10</v>
      </c>
      <c r="G83" s="72">
        <f>IFERROR(__xludf.DUMMYFUNCTION("""COMPUTED_VALUE"""),-9.0)</f>
        <v>-9</v>
      </c>
      <c r="H83" s="72">
        <f>IFERROR(__xludf.DUMMYFUNCTION("""COMPUTED_VALUE"""),-8.0)</f>
        <v>-8</v>
      </c>
      <c r="I83" s="72">
        <f>IFERROR(__xludf.DUMMYFUNCTION("""COMPUTED_VALUE"""),-7.0)</f>
        <v>-7</v>
      </c>
      <c r="J83" s="73">
        <f>IFERROR(__xludf.DUMMYFUNCTION("""COMPUTED_VALUE"""),-6.0)</f>
        <v>-6</v>
      </c>
      <c r="K83" s="73">
        <f>IFERROR(__xludf.DUMMYFUNCTION("""COMPUTED_VALUE"""),-5.0)</f>
        <v>-5</v>
      </c>
      <c r="L83" s="73">
        <f>IFERROR(__xludf.DUMMYFUNCTION("""COMPUTED_VALUE"""),-4.0)</f>
        <v>-4</v>
      </c>
      <c r="M83" s="73">
        <f>IFERROR(__xludf.DUMMYFUNCTION("""COMPUTED_VALUE"""),-3.0)</f>
        <v>-3</v>
      </c>
      <c r="N83" s="73">
        <f>IFERROR(__xludf.DUMMYFUNCTION("""COMPUTED_VALUE"""),-2.0)</f>
        <v>-2</v>
      </c>
      <c r="O83" s="73">
        <f>IFERROR(__xludf.DUMMYFUNCTION("""COMPUTED_VALUE"""),-1.0)</f>
        <v>-1</v>
      </c>
      <c r="P83" s="74">
        <f>IFERROR(__xludf.DUMMYFUNCTION("""COMPUTED_VALUE"""),0.0)</f>
        <v>0</v>
      </c>
      <c r="Q83" s="71">
        <f>IFERROR(__xludf.DUMMYFUNCTION("""COMPUTED_VALUE"""),1.0)</f>
        <v>1</v>
      </c>
      <c r="R83" s="71">
        <f>IFERROR(__xludf.DUMMYFUNCTION("""COMPUTED_VALUE"""),2.0)</f>
        <v>2</v>
      </c>
      <c r="S83" s="71">
        <f>IFERROR(__xludf.DUMMYFUNCTION("""COMPUTED_VALUE"""),3.0)</f>
        <v>3</v>
      </c>
      <c r="T83" s="71">
        <f>IFERROR(__xludf.DUMMYFUNCTION("""COMPUTED_VALUE"""),4.0)</f>
        <v>4</v>
      </c>
      <c r="U83" s="71">
        <f>IFERROR(__xludf.DUMMYFUNCTION("""COMPUTED_VALUE"""),5.0)</f>
        <v>5</v>
      </c>
      <c r="V83" s="86">
        <f>IFERROR(__xludf.DUMMYFUNCTION("""COMPUTED_VALUE"""),7.0)</f>
        <v>7</v>
      </c>
      <c r="W83" s="159">
        <f>IFERROR(__xludf.DUMMYFUNCTION("""COMPUTED_VALUE"""),46000.0)</f>
        <v>46000</v>
      </c>
      <c r="X83" s="110">
        <f>IFERROR(__xludf.DUMMYFUNCTION("""COMPUTED_VALUE"""),46003.0)</f>
        <v>46003</v>
      </c>
      <c r="Y83" s="111">
        <f>IFERROR(__xludf.DUMMYFUNCTION("""COMPUTED_VALUE"""),46008.0)</f>
        <v>46008</v>
      </c>
      <c r="Z83" s="80"/>
      <c r="AA83" s="80"/>
      <c r="AB83" s="80"/>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04"/>
      <c r="BC83" s="104"/>
      <c r="BD83" s="104"/>
      <c r="BE83" s="104"/>
    </row>
    <row r="84">
      <c r="A84" s="93"/>
      <c r="B84" s="94"/>
      <c r="C84" s="94"/>
      <c r="D84" s="69" t="str">
        <f>IFERROR(__xludf.DUMMYFUNCTION("""COMPUTED_VALUE"""),"袖丈")</f>
        <v>袖丈</v>
      </c>
      <c r="E84" s="70"/>
      <c r="F84" s="72">
        <f>IFERROR(__xludf.DUMMYFUNCTION("""COMPUTED_VALUE"""),-10.0)</f>
        <v>-10</v>
      </c>
      <c r="G84" s="72">
        <f>IFERROR(__xludf.DUMMYFUNCTION("""COMPUTED_VALUE"""),-9.0)</f>
        <v>-9</v>
      </c>
      <c r="H84" s="72">
        <f>IFERROR(__xludf.DUMMYFUNCTION("""COMPUTED_VALUE"""),-8.0)</f>
        <v>-8</v>
      </c>
      <c r="I84" s="72">
        <f>IFERROR(__xludf.DUMMYFUNCTION("""COMPUTED_VALUE"""),-7.0)</f>
        <v>-7</v>
      </c>
      <c r="J84" s="72">
        <f>IFERROR(__xludf.DUMMYFUNCTION("""COMPUTED_VALUE"""),-6.0)</f>
        <v>-6</v>
      </c>
      <c r="K84" s="72">
        <f>IFERROR(__xludf.DUMMYFUNCTION("""COMPUTED_VALUE"""),-5.0)</f>
        <v>-5</v>
      </c>
      <c r="L84" s="72">
        <f>IFERROR(__xludf.DUMMYFUNCTION("""COMPUTED_VALUE"""),-4.0)</f>
        <v>-4</v>
      </c>
      <c r="M84" s="72">
        <f>IFERROR(__xludf.DUMMYFUNCTION("""COMPUTED_VALUE"""),-3.0)</f>
        <v>-3</v>
      </c>
      <c r="N84" s="73">
        <f>IFERROR(__xludf.DUMMYFUNCTION("""COMPUTED_VALUE"""),-2.0)</f>
        <v>-2</v>
      </c>
      <c r="O84" s="73">
        <f>IFERROR(__xludf.DUMMYFUNCTION("""COMPUTED_VALUE"""),-1.0)</f>
        <v>-1</v>
      </c>
      <c r="P84" s="165">
        <f>IFERROR(__xludf.DUMMYFUNCTION("""COMPUTED_VALUE"""),0.0)</f>
        <v>0</v>
      </c>
      <c r="Q84" s="71">
        <f>IFERROR(__xludf.DUMMYFUNCTION("""COMPUTED_VALUE"""),1.0)</f>
        <v>1</v>
      </c>
      <c r="R84" s="71">
        <f>IFERROR(__xludf.DUMMYFUNCTION("""COMPUTED_VALUE"""),2.0)</f>
        <v>2</v>
      </c>
      <c r="S84" s="71">
        <f>IFERROR(__xludf.DUMMYFUNCTION("""COMPUTED_VALUE"""),3.0)</f>
        <v>3</v>
      </c>
      <c r="T84" s="71">
        <f>IFERROR(__xludf.DUMMYFUNCTION("""COMPUTED_VALUE"""),4.0)</f>
        <v>4</v>
      </c>
      <c r="U84" s="71">
        <f>IFERROR(__xludf.DUMMYFUNCTION("""COMPUTED_VALUE"""),5.0)</f>
        <v>5</v>
      </c>
      <c r="V84" s="86">
        <f>IFERROR(__xludf.DUMMYFUNCTION("""COMPUTED_VALUE"""),7.0)</f>
        <v>7</v>
      </c>
      <c r="W84" s="159">
        <f>IFERROR(__xludf.DUMMYFUNCTION("""COMPUTED_VALUE"""),46000.0)</f>
        <v>46000</v>
      </c>
      <c r="X84" s="110">
        <f>IFERROR(__xludf.DUMMYFUNCTION("""COMPUTED_VALUE"""),46003.0)</f>
        <v>46003</v>
      </c>
      <c r="Y84" s="111">
        <f>IFERROR(__xludf.DUMMYFUNCTION("""COMPUTED_VALUE"""),46008.0)</f>
        <v>46008</v>
      </c>
      <c r="Z84" s="80"/>
      <c r="AA84" s="80"/>
      <c r="AB84" s="80"/>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04"/>
      <c r="BC84" s="104"/>
      <c r="BD84" s="104"/>
      <c r="BE84" s="104"/>
    </row>
    <row r="85">
      <c r="A85" s="93"/>
      <c r="B85" s="94"/>
      <c r="C85" s="94"/>
      <c r="D85" s="69" t="str">
        <f>IFERROR(__xludf.DUMMYFUNCTION("""COMPUTED_VALUE"""),"着丈")</f>
        <v>着丈</v>
      </c>
      <c r="E85" s="162" t="str">
        <f>IFERROR(__xludf.DUMMYFUNCTION("""COMPUTED_VALUE"""),"パターン限界値　着丈±20cm")</f>
        <v>パターン限界値　着丈±20cm</v>
      </c>
      <c r="F85" s="72">
        <f>IFERROR(__xludf.DUMMYFUNCTION("""COMPUTED_VALUE"""),-10.0)</f>
        <v>-10</v>
      </c>
      <c r="G85" s="72">
        <f>IFERROR(__xludf.DUMMYFUNCTION("""COMPUTED_VALUE"""),-9.0)</f>
        <v>-9</v>
      </c>
      <c r="H85" s="72">
        <f>IFERROR(__xludf.DUMMYFUNCTION("""COMPUTED_VALUE"""),-8.0)</f>
        <v>-8</v>
      </c>
      <c r="I85" s="72">
        <f>IFERROR(__xludf.DUMMYFUNCTION("""COMPUTED_VALUE"""),-7.0)</f>
        <v>-7</v>
      </c>
      <c r="J85" s="72">
        <f>IFERROR(__xludf.DUMMYFUNCTION("""COMPUTED_VALUE"""),-6.0)</f>
        <v>-6</v>
      </c>
      <c r="K85" s="73">
        <f>IFERROR(__xludf.DUMMYFUNCTION("""COMPUTED_VALUE"""),-5.0)</f>
        <v>-5</v>
      </c>
      <c r="L85" s="73">
        <f>IFERROR(__xludf.DUMMYFUNCTION("""COMPUTED_VALUE"""),-4.0)</f>
        <v>-4</v>
      </c>
      <c r="M85" s="73">
        <f>IFERROR(__xludf.DUMMYFUNCTION("""COMPUTED_VALUE"""),-3.0)</f>
        <v>-3</v>
      </c>
      <c r="N85" s="164">
        <f>IFERROR(__xludf.DUMMYFUNCTION("""COMPUTED_VALUE"""),-2.0)</f>
        <v>-2</v>
      </c>
      <c r="O85" s="164">
        <f>IFERROR(__xludf.DUMMYFUNCTION("""COMPUTED_VALUE"""),-1.0)</f>
        <v>-1</v>
      </c>
      <c r="P85" s="165">
        <f>IFERROR(__xludf.DUMMYFUNCTION("""COMPUTED_VALUE"""),0.0)</f>
        <v>0</v>
      </c>
      <c r="Q85" s="71">
        <f>IFERROR(__xludf.DUMMYFUNCTION("""COMPUTED_VALUE"""),1.0)</f>
        <v>1</v>
      </c>
      <c r="R85" s="71">
        <f>IFERROR(__xludf.DUMMYFUNCTION("""COMPUTED_VALUE"""),2.0)</f>
        <v>2</v>
      </c>
      <c r="S85" s="71">
        <f>IFERROR(__xludf.DUMMYFUNCTION("""COMPUTED_VALUE"""),3.0)</f>
        <v>3</v>
      </c>
      <c r="T85" s="71">
        <f>IFERROR(__xludf.DUMMYFUNCTION("""COMPUTED_VALUE"""),4.0)</f>
        <v>4</v>
      </c>
      <c r="U85" s="71">
        <f>IFERROR(__xludf.DUMMYFUNCTION("""COMPUTED_VALUE"""),5.0)</f>
        <v>5</v>
      </c>
      <c r="V85" s="86">
        <f>IFERROR(__xludf.DUMMYFUNCTION("""COMPUTED_VALUE"""),7.0)</f>
        <v>7</v>
      </c>
      <c r="W85" s="159">
        <f>IFERROR(__xludf.DUMMYFUNCTION("""COMPUTED_VALUE"""),46000.0)</f>
        <v>46000</v>
      </c>
      <c r="X85" s="110">
        <f>IFERROR(__xludf.DUMMYFUNCTION("""COMPUTED_VALUE"""),46003.0)</f>
        <v>46003</v>
      </c>
      <c r="Y85" s="111">
        <f>IFERROR(__xludf.DUMMYFUNCTION("""COMPUTED_VALUE"""),46008.0)</f>
        <v>46008</v>
      </c>
      <c r="Z85" s="80"/>
      <c r="AA85" s="80"/>
      <c r="AB85" s="80"/>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04"/>
      <c r="BC85" s="104"/>
      <c r="BD85" s="104"/>
      <c r="BE85" s="104"/>
    </row>
    <row r="86">
      <c r="A86" s="93"/>
      <c r="B86" s="96"/>
      <c r="C86" s="96"/>
      <c r="D86" s="69" t="str">
        <f>IFERROR(__xludf.DUMMYFUNCTION("""COMPUTED_VALUE"""),"けまわし")</f>
        <v>けまわし</v>
      </c>
      <c r="E86" s="162" t="str">
        <f>IFERROR(__xludf.DUMMYFUNCTION("""COMPUTED_VALUE"""),"パターン限界値±8cm")</f>
        <v>パターン限界値±8cm</v>
      </c>
      <c r="F86" s="73">
        <f>IFERROR(__xludf.DUMMYFUNCTION("""COMPUTED_VALUE"""),-10.0)</f>
        <v>-10</v>
      </c>
      <c r="G86" s="73">
        <f>IFERROR(__xludf.DUMMYFUNCTION("""COMPUTED_VALUE"""),-9.0)</f>
        <v>-9</v>
      </c>
      <c r="H86" s="73">
        <f>IFERROR(__xludf.DUMMYFUNCTION("""COMPUTED_VALUE"""),-8.0)</f>
        <v>-8</v>
      </c>
      <c r="I86" s="73">
        <f>IFERROR(__xludf.DUMMYFUNCTION("""COMPUTED_VALUE"""),-7.0)</f>
        <v>-7</v>
      </c>
      <c r="J86" s="73">
        <f>IFERROR(__xludf.DUMMYFUNCTION("""COMPUTED_VALUE"""),-6.0)</f>
        <v>-6</v>
      </c>
      <c r="K86" s="73">
        <f>IFERROR(__xludf.DUMMYFUNCTION("""COMPUTED_VALUE"""),-5.0)</f>
        <v>-5</v>
      </c>
      <c r="L86" s="73">
        <f>IFERROR(__xludf.DUMMYFUNCTION("""COMPUTED_VALUE"""),-4.0)</f>
        <v>-4</v>
      </c>
      <c r="M86" s="73">
        <f>IFERROR(__xludf.DUMMYFUNCTION("""COMPUTED_VALUE"""),-3.0)</f>
        <v>-3</v>
      </c>
      <c r="N86" s="73">
        <f>IFERROR(__xludf.DUMMYFUNCTION("""COMPUTED_VALUE"""),-2.0)</f>
        <v>-2</v>
      </c>
      <c r="O86" s="73">
        <f>IFERROR(__xludf.DUMMYFUNCTION("""COMPUTED_VALUE"""),-1.0)</f>
        <v>-1</v>
      </c>
      <c r="P86" s="74">
        <f>IFERROR(__xludf.DUMMYFUNCTION("""COMPUTED_VALUE"""),0.0)</f>
        <v>0</v>
      </c>
      <c r="Q86" s="71">
        <f>IFERROR(__xludf.DUMMYFUNCTION("""COMPUTED_VALUE"""),1.0)</f>
        <v>1</v>
      </c>
      <c r="R86" s="71">
        <f>IFERROR(__xludf.DUMMYFUNCTION("""COMPUTED_VALUE"""),2.0)</f>
        <v>2</v>
      </c>
      <c r="S86" s="71">
        <f>IFERROR(__xludf.DUMMYFUNCTION("""COMPUTED_VALUE"""),3.0)</f>
        <v>3</v>
      </c>
      <c r="T86" s="71">
        <f>IFERROR(__xludf.DUMMYFUNCTION("""COMPUTED_VALUE"""),4.0)</f>
        <v>4</v>
      </c>
      <c r="U86" s="71">
        <f>IFERROR(__xludf.DUMMYFUNCTION("""COMPUTED_VALUE"""),5.0)</f>
        <v>5</v>
      </c>
      <c r="V86" s="86">
        <f>IFERROR(__xludf.DUMMYFUNCTION("""COMPUTED_VALUE"""),10.0)</f>
        <v>10</v>
      </c>
      <c r="W86" s="159">
        <f>IFERROR(__xludf.DUMMYFUNCTION("""COMPUTED_VALUE"""),46003.0)</f>
        <v>46003</v>
      </c>
      <c r="X86" s="110">
        <f>IFERROR(__xludf.DUMMYFUNCTION("""COMPUTED_VALUE"""),46003.0)</f>
        <v>46003</v>
      </c>
      <c r="Y86" s="166">
        <f>IFERROR(__xludf.DUMMYFUNCTION("""COMPUTED_VALUE"""),46008.0)</f>
        <v>46008</v>
      </c>
      <c r="Z86" s="80"/>
      <c r="AA86" s="80"/>
      <c r="AB86" s="80"/>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04"/>
      <c r="BC86" s="104"/>
      <c r="BD86" s="104"/>
      <c r="BE86" s="104"/>
    </row>
    <row r="87">
      <c r="A87" s="93"/>
      <c r="B87" s="123"/>
      <c r="C87" s="123"/>
      <c r="D87" s="123"/>
      <c r="E87" s="123"/>
      <c r="F87" s="104"/>
      <c r="G87" s="104"/>
      <c r="H87" s="104"/>
      <c r="I87" s="104"/>
      <c r="J87" s="104"/>
      <c r="K87" s="104"/>
      <c r="L87" s="104"/>
      <c r="M87" s="104"/>
      <c r="N87" s="104"/>
      <c r="O87" s="104"/>
      <c r="P87" s="167"/>
      <c r="Q87" s="27"/>
      <c r="R87" s="27"/>
      <c r="S87" s="27"/>
      <c r="T87" s="27"/>
      <c r="U87" s="27"/>
      <c r="V87" s="27"/>
      <c r="W87" s="40"/>
      <c r="X87" s="125"/>
      <c r="Y87" s="125"/>
      <c r="Z87" s="80"/>
      <c r="AA87" s="80"/>
      <c r="AB87" s="80"/>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04"/>
      <c r="BC87" s="104"/>
      <c r="BD87" s="104"/>
      <c r="BE87" s="104"/>
    </row>
    <row r="88">
      <c r="A88" s="93"/>
      <c r="B88" s="67" t="str">
        <f>IFERROR(__xludf.DUMMYFUNCTION("""COMPUTED_VALUE"""),"ステンカラー
フーデッド")</f>
        <v>ステンカラー
フーデッド</v>
      </c>
      <c r="C88" s="68" t="str">
        <f>IFERROR(__xludf.DUMMYFUNCTION("""COMPUTED_VALUE"""),"サイズ")</f>
        <v>サイズ</v>
      </c>
      <c r="D88" s="69" t="str">
        <f>IFERROR(__xludf.DUMMYFUNCTION("""COMPUTED_VALUE"""),"肩巾")</f>
        <v>肩巾</v>
      </c>
      <c r="E88" s="162" t="str">
        <f>IFERROR(__xludf.DUMMYFUNCTION("""COMPUTED_VALUE"""),"パターン限界値 -4cm~+6cm")</f>
        <v>パターン限界値 -4cm~+6cm</v>
      </c>
      <c r="F88" s="72">
        <f>IFERROR(__xludf.DUMMYFUNCTION("""COMPUTED_VALUE"""),-10.0)</f>
        <v>-10</v>
      </c>
      <c r="G88" s="72">
        <f>IFERROR(__xludf.DUMMYFUNCTION("""COMPUTED_VALUE"""),-9.0)</f>
        <v>-9</v>
      </c>
      <c r="H88" s="72">
        <f>IFERROR(__xludf.DUMMYFUNCTION("""COMPUTED_VALUE"""),-8.0)</f>
        <v>-8</v>
      </c>
      <c r="I88" s="72">
        <f>IFERROR(__xludf.DUMMYFUNCTION("""COMPUTED_VALUE"""),-7.0)</f>
        <v>-7</v>
      </c>
      <c r="J88" s="72">
        <f>IFERROR(__xludf.DUMMYFUNCTION("""COMPUTED_VALUE"""),-6.0)</f>
        <v>-6</v>
      </c>
      <c r="K88" s="72">
        <f>IFERROR(__xludf.DUMMYFUNCTION("""COMPUTED_VALUE"""),-5.0)</f>
        <v>-5</v>
      </c>
      <c r="L88" s="72">
        <f>IFERROR(__xludf.DUMMYFUNCTION("""COMPUTED_VALUE"""),-4.0)</f>
        <v>-4</v>
      </c>
      <c r="M88" s="72">
        <f>IFERROR(__xludf.DUMMYFUNCTION("""COMPUTED_VALUE"""),-3.0)</f>
        <v>-3</v>
      </c>
      <c r="N88" s="72">
        <f>IFERROR(__xludf.DUMMYFUNCTION("""COMPUTED_VALUE"""),-2.0)</f>
        <v>-2</v>
      </c>
      <c r="O88" s="72">
        <f>IFERROR(__xludf.DUMMYFUNCTION("""COMPUTED_VALUE"""),-1.0)</f>
        <v>-1</v>
      </c>
      <c r="P88" s="165">
        <f>IFERROR(__xludf.DUMMYFUNCTION("""COMPUTED_VALUE"""),0.0)</f>
        <v>0</v>
      </c>
      <c r="Q88" s="71">
        <f>IFERROR(__xludf.DUMMYFUNCTION("""COMPUTED_VALUE"""),1.0)</f>
        <v>1</v>
      </c>
      <c r="R88" s="71">
        <f>IFERROR(__xludf.DUMMYFUNCTION("""COMPUTED_VALUE"""),2.0)</f>
        <v>2</v>
      </c>
      <c r="S88" s="71">
        <f>IFERROR(__xludf.DUMMYFUNCTION("""COMPUTED_VALUE"""),3.0)</f>
        <v>3</v>
      </c>
      <c r="T88" s="71">
        <f>IFERROR(__xludf.DUMMYFUNCTION("""COMPUTED_VALUE"""),4.0)</f>
        <v>4</v>
      </c>
      <c r="U88" s="71">
        <f>IFERROR(__xludf.DUMMYFUNCTION("""COMPUTED_VALUE"""),5.0)</f>
        <v>5</v>
      </c>
      <c r="V88" s="86" t="str">
        <f>IFERROR(__xludf.DUMMYFUNCTION("""COMPUTED_VALUE"""),"-")</f>
        <v>-</v>
      </c>
      <c r="W88" s="122" t="str">
        <f>IFERROR(__xludf.DUMMYFUNCTION("""COMPUTED_VALUE"""),"-")</f>
        <v>-</v>
      </c>
      <c r="X88" s="110">
        <f>IFERROR(__xludf.DUMMYFUNCTION("""COMPUTED_VALUE"""),46003.0)</f>
        <v>46003</v>
      </c>
      <c r="Y88" s="111">
        <f>IFERROR(__xludf.DUMMYFUNCTION("""COMPUTED_VALUE"""),46008.0)</f>
        <v>46008</v>
      </c>
      <c r="Z88" s="80"/>
      <c r="AA88" s="80"/>
      <c r="AB88" s="80"/>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04"/>
      <c r="BC88" s="104"/>
      <c r="BD88" s="104"/>
      <c r="BE88" s="104"/>
    </row>
    <row r="89">
      <c r="A89" s="93"/>
      <c r="B89" s="94"/>
      <c r="C89" s="94"/>
      <c r="D89" s="69" t="str">
        <f>IFERROR(__xludf.DUMMYFUNCTION("""COMPUTED_VALUE"""),"バスト")</f>
        <v>バスト</v>
      </c>
      <c r="E89" s="70"/>
      <c r="F89" s="72">
        <f>IFERROR(__xludf.DUMMYFUNCTION("""COMPUTED_VALUE"""),-10.0)</f>
        <v>-10</v>
      </c>
      <c r="G89" s="72">
        <f>IFERROR(__xludf.DUMMYFUNCTION("""COMPUTED_VALUE"""),-9.0)</f>
        <v>-9</v>
      </c>
      <c r="H89" s="72">
        <f>IFERROR(__xludf.DUMMYFUNCTION("""COMPUTED_VALUE"""),-8.0)</f>
        <v>-8</v>
      </c>
      <c r="I89" s="72">
        <f>IFERROR(__xludf.DUMMYFUNCTION("""COMPUTED_VALUE"""),-7.0)</f>
        <v>-7</v>
      </c>
      <c r="J89" s="72">
        <f>IFERROR(__xludf.DUMMYFUNCTION("""COMPUTED_VALUE"""),-6.0)</f>
        <v>-6</v>
      </c>
      <c r="K89" s="72">
        <f>IFERROR(__xludf.DUMMYFUNCTION("""COMPUTED_VALUE"""),-5.0)</f>
        <v>-5</v>
      </c>
      <c r="L89" s="72">
        <f>IFERROR(__xludf.DUMMYFUNCTION("""COMPUTED_VALUE"""),-4.0)</f>
        <v>-4</v>
      </c>
      <c r="M89" s="72">
        <f>IFERROR(__xludf.DUMMYFUNCTION("""COMPUTED_VALUE"""),-3.0)</f>
        <v>-3</v>
      </c>
      <c r="N89" s="72">
        <f>IFERROR(__xludf.DUMMYFUNCTION("""COMPUTED_VALUE"""),-2.0)</f>
        <v>-2</v>
      </c>
      <c r="O89" s="72">
        <f>IFERROR(__xludf.DUMMYFUNCTION("""COMPUTED_VALUE"""),-1.0)</f>
        <v>-1</v>
      </c>
      <c r="P89" s="165">
        <f>IFERROR(__xludf.DUMMYFUNCTION("""COMPUTED_VALUE"""),0.0)</f>
        <v>0</v>
      </c>
      <c r="Q89" s="71">
        <f>IFERROR(__xludf.DUMMYFUNCTION("""COMPUTED_VALUE"""),1.0)</f>
        <v>1</v>
      </c>
      <c r="R89" s="71">
        <f>IFERROR(__xludf.DUMMYFUNCTION("""COMPUTED_VALUE"""),2.0)</f>
        <v>2</v>
      </c>
      <c r="S89" s="71">
        <f>IFERROR(__xludf.DUMMYFUNCTION("""COMPUTED_VALUE"""),3.0)</f>
        <v>3</v>
      </c>
      <c r="T89" s="71">
        <f>IFERROR(__xludf.DUMMYFUNCTION("""COMPUTED_VALUE"""),4.0)</f>
        <v>4</v>
      </c>
      <c r="U89" s="71">
        <f>IFERROR(__xludf.DUMMYFUNCTION("""COMPUTED_VALUE"""),5.0)</f>
        <v>5</v>
      </c>
      <c r="V89" s="86" t="str">
        <f>IFERROR(__xludf.DUMMYFUNCTION("""COMPUTED_VALUE"""),"-")</f>
        <v>-</v>
      </c>
      <c r="W89" s="159" t="str">
        <f>IFERROR(__xludf.DUMMYFUNCTION("""COMPUTED_VALUE"""),"-")</f>
        <v>-</v>
      </c>
      <c r="X89" s="110">
        <f>IFERROR(__xludf.DUMMYFUNCTION("""COMPUTED_VALUE"""),46003.0)</f>
        <v>46003</v>
      </c>
      <c r="Y89" s="111">
        <f>IFERROR(__xludf.DUMMYFUNCTION("""COMPUTED_VALUE"""),46008.0)</f>
        <v>46008</v>
      </c>
      <c r="Z89" s="80"/>
      <c r="AA89" s="80"/>
      <c r="AB89" s="80"/>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04"/>
      <c r="BC89" s="104"/>
      <c r="BD89" s="104"/>
      <c r="BE89" s="104"/>
    </row>
    <row r="90">
      <c r="A90" s="93"/>
      <c r="B90" s="94"/>
      <c r="C90" s="94"/>
      <c r="D90" s="98" t="str">
        <f>IFERROR(__xludf.DUMMYFUNCTION("""COMPUTED_VALUE"""),"ウエスト")</f>
        <v>ウエスト</v>
      </c>
      <c r="E90" s="162" t="str">
        <f>IFERROR(__xludf.DUMMYFUNCTION("""COMPUTED_VALUE"""),"パターン限界値 ±4cm")</f>
        <v>パターン限界値 ±4cm</v>
      </c>
      <c r="F90" s="72">
        <f>IFERROR(__xludf.DUMMYFUNCTION("""COMPUTED_VALUE"""),-10.0)</f>
        <v>-10</v>
      </c>
      <c r="G90" s="72">
        <f>IFERROR(__xludf.DUMMYFUNCTION("""COMPUTED_VALUE"""),-9.0)</f>
        <v>-9</v>
      </c>
      <c r="H90" s="72">
        <f>IFERROR(__xludf.DUMMYFUNCTION("""COMPUTED_VALUE"""),-8.0)</f>
        <v>-8</v>
      </c>
      <c r="I90" s="72">
        <f>IFERROR(__xludf.DUMMYFUNCTION("""COMPUTED_VALUE"""),-7.0)</f>
        <v>-7</v>
      </c>
      <c r="J90" s="73">
        <f>IFERROR(__xludf.DUMMYFUNCTION("""COMPUTED_VALUE"""),-6.0)</f>
        <v>-6</v>
      </c>
      <c r="K90" s="73">
        <f>IFERROR(__xludf.DUMMYFUNCTION("""COMPUTED_VALUE"""),-5.0)</f>
        <v>-5</v>
      </c>
      <c r="L90" s="73">
        <f>IFERROR(__xludf.DUMMYFUNCTION("""COMPUTED_VALUE"""),-4.0)</f>
        <v>-4</v>
      </c>
      <c r="M90" s="73">
        <f>IFERROR(__xludf.DUMMYFUNCTION("""COMPUTED_VALUE"""),-3.0)</f>
        <v>-3</v>
      </c>
      <c r="N90" s="73">
        <f>IFERROR(__xludf.DUMMYFUNCTION("""COMPUTED_VALUE"""),-2.0)</f>
        <v>-2</v>
      </c>
      <c r="O90" s="73">
        <f>IFERROR(__xludf.DUMMYFUNCTION("""COMPUTED_VALUE"""),-1.0)</f>
        <v>-1</v>
      </c>
      <c r="P90" s="165">
        <f>IFERROR(__xludf.DUMMYFUNCTION("""COMPUTED_VALUE"""),0.0)</f>
        <v>0</v>
      </c>
      <c r="Q90" s="71">
        <f>IFERROR(__xludf.DUMMYFUNCTION("""COMPUTED_VALUE"""),1.0)</f>
        <v>1</v>
      </c>
      <c r="R90" s="71">
        <f>IFERROR(__xludf.DUMMYFUNCTION("""COMPUTED_VALUE"""),2.0)</f>
        <v>2</v>
      </c>
      <c r="S90" s="71">
        <f>IFERROR(__xludf.DUMMYFUNCTION("""COMPUTED_VALUE"""),3.0)</f>
        <v>3</v>
      </c>
      <c r="T90" s="71">
        <f>IFERROR(__xludf.DUMMYFUNCTION("""COMPUTED_VALUE"""),4.0)</f>
        <v>4</v>
      </c>
      <c r="U90" s="71">
        <f>IFERROR(__xludf.DUMMYFUNCTION("""COMPUTED_VALUE"""),5.0)</f>
        <v>5</v>
      </c>
      <c r="V90" s="86">
        <f>IFERROR(__xludf.DUMMYFUNCTION("""COMPUTED_VALUE"""),7.0)</f>
        <v>7</v>
      </c>
      <c r="W90" s="159">
        <f>IFERROR(__xludf.DUMMYFUNCTION("""COMPUTED_VALUE"""),46000.0)</f>
        <v>46000</v>
      </c>
      <c r="X90" s="110">
        <f>IFERROR(__xludf.DUMMYFUNCTION("""COMPUTED_VALUE"""),46003.0)</f>
        <v>46003</v>
      </c>
      <c r="Y90" s="111">
        <f>IFERROR(__xludf.DUMMYFUNCTION("""COMPUTED_VALUE"""),46008.0)</f>
        <v>46008</v>
      </c>
      <c r="Z90" s="80"/>
      <c r="AA90" s="80"/>
      <c r="AB90" s="80"/>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04"/>
      <c r="BC90" s="104"/>
      <c r="BD90" s="104"/>
      <c r="BE90" s="104"/>
    </row>
    <row r="91">
      <c r="A91" s="93"/>
      <c r="B91" s="94"/>
      <c r="C91" s="94"/>
      <c r="D91" s="69" t="str">
        <f>IFERROR(__xludf.DUMMYFUNCTION("""COMPUTED_VALUE"""),"袖丈")</f>
        <v>袖丈</v>
      </c>
      <c r="E91" s="70"/>
      <c r="F91" s="72">
        <f>IFERROR(__xludf.DUMMYFUNCTION("""COMPUTED_VALUE"""),-10.0)</f>
        <v>-10</v>
      </c>
      <c r="G91" s="72">
        <f>IFERROR(__xludf.DUMMYFUNCTION("""COMPUTED_VALUE"""),-9.0)</f>
        <v>-9</v>
      </c>
      <c r="H91" s="72">
        <f>IFERROR(__xludf.DUMMYFUNCTION("""COMPUTED_VALUE"""),-8.0)</f>
        <v>-8</v>
      </c>
      <c r="I91" s="72">
        <f>IFERROR(__xludf.DUMMYFUNCTION("""COMPUTED_VALUE"""),-7.0)</f>
        <v>-7</v>
      </c>
      <c r="J91" s="72">
        <f>IFERROR(__xludf.DUMMYFUNCTION("""COMPUTED_VALUE"""),-6.0)</f>
        <v>-6</v>
      </c>
      <c r="K91" s="72">
        <f>IFERROR(__xludf.DUMMYFUNCTION("""COMPUTED_VALUE"""),-5.0)</f>
        <v>-5</v>
      </c>
      <c r="L91" s="72">
        <f>IFERROR(__xludf.DUMMYFUNCTION("""COMPUTED_VALUE"""),-4.0)</f>
        <v>-4</v>
      </c>
      <c r="M91" s="72">
        <f>IFERROR(__xludf.DUMMYFUNCTION("""COMPUTED_VALUE"""),-3.0)</f>
        <v>-3</v>
      </c>
      <c r="N91" s="73">
        <f>IFERROR(__xludf.DUMMYFUNCTION("""COMPUTED_VALUE"""),-2.0)</f>
        <v>-2</v>
      </c>
      <c r="O91" s="73">
        <f>IFERROR(__xludf.DUMMYFUNCTION("""COMPUTED_VALUE"""),-1.0)</f>
        <v>-1</v>
      </c>
      <c r="P91" s="165">
        <f>IFERROR(__xludf.DUMMYFUNCTION("""COMPUTED_VALUE"""),0.0)</f>
        <v>0</v>
      </c>
      <c r="Q91" s="71">
        <f>IFERROR(__xludf.DUMMYFUNCTION("""COMPUTED_VALUE"""),1.0)</f>
        <v>1</v>
      </c>
      <c r="R91" s="71">
        <f>IFERROR(__xludf.DUMMYFUNCTION("""COMPUTED_VALUE"""),2.0)</f>
        <v>2</v>
      </c>
      <c r="S91" s="71">
        <f>IFERROR(__xludf.DUMMYFUNCTION("""COMPUTED_VALUE"""),3.0)</f>
        <v>3</v>
      </c>
      <c r="T91" s="71">
        <f>IFERROR(__xludf.DUMMYFUNCTION("""COMPUTED_VALUE"""),4.0)</f>
        <v>4</v>
      </c>
      <c r="U91" s="71">
        <f>IFERROR(__xludf.DUMMYFUNCTION("""COMPUTED_VALUE"""),5.0)</f>
        <v>5</v>
      </c>
      <c r="V91" s="86">
        <f>IFERROR(__xludf.DUMMYFUNCTION("""COMPUTED_VALUE"""),7.0)</f>
        <v>7</v>
      </c>
      <c r="W91" s="159">
        <f>IFERROR(__xludf.DUMMYFUNCTION("""COMPUTED_VALUE"""),46000.0)</f>
        <v>46000</v>
      </c>
      <c r="X91" s="110">
        <f>IFERROR(__xludf.DUMMYFUNCTION("""COMPUTED_VALUE"""),46003.0)</f>
        <v>46003</v>
      </c>
      <c r="Y91" s="111">
        <f>IFERROR(__xludf.DUMMYFUNCTION("""COMPUTED_VALUE"""),46008.0)</f>
        <v>46008</v>
      </c>
      <c r="Z91" s="80"/>
      <c r="AA91" s="80"/>
      <c r="AB91" s="80"/>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04"/>
      <c r="BC91" s="104"/>
      <c r="BD91" s="104"/>
      <c r="BE91" s="104"/>
    </row>
    <row r="92">
      <c r="A92" s="93"/>
      <c r="B92" s="94"/>
      <c r="C92" s="94"/>
      <c r="D92" s="69" t="str">
        <f>IFERROR(__xludf.DUMMYFUNCTION("""COMPUTED_VALUE"""),"着丈")</f>
        <v>着丈</v>
      </c>
      <c r="E92" s="162" t="str">
        <f>IFERROR(__xludf.DUMMYFUNCTION("""COMPUTED_VALUE"""),"パターン限界値　着丈±20cm")</f>
        <v>パターン限界値　着丈±20cm</v>
      </c>
      <c r="F92" s="72">
        <f>IFERROR(__xludf.DUMMYFUNCTION("""COMPUTED_VALUE"""),-10.0)</f>
        <v>-10</v>
      </c>
      <c r="G92" s="72">
        <f>IFERROR(__xludf.DUMMYFUNCTION("""COMPUTED_VALUE"""),-9.0)</f>
        <v>-9</v>
      </c>
      <c r="H92" s="72">
        <f>IFERROR(__xludf.DUMMYFUNCTION("""COMPUTED_VALUE"""),-8.0)</f>
        <v>-8</v>
      </c>
      <c r="I92" s="72">
        <f>IFERROR(__xludf.DUMMYFUNCTION("""COMPUTED_VALUE"""),-7.0)</f>
        <v>-7</v>
      </c>
      <c r="J92" s="72">
        <f>IFERROR(__xludf.DUMMYFUNCTION("""COMPUTED_VALUE"""),-6.0)</f>
        <v>-6</v>
      </c>
      <c r="K92" s="73">
        <f>IFERROR(__xludf.DUMMYFUNCTION("""COMPUTED_VALUE"""),-5.0)</f>
        <v>-5</v>
      </c>
      <c r="L92" s="73">
        <f>IFERROR(__xludf.DUMMYFUNCTION("""COMPUTED_VALUE"""),-4.0)</f>
        <v>-4</v>
      </c>
      <c r="M92" s="73">
        <f>IFERROR(__xludf.DUMMYFUNCTION("""COMPUTED_VALUE"""),-3.0)</f>
        <v>-3</v>
      </c>
      <c r="N92" s="164">
        <f>IFERROR(__xludf.DUMMYFUNCTION("""COMPUTED_VALUE"""),-2.0)</f>
        <v>-2</v>
      </c>
      <c r="O92" s="164">
        <f>IFERROR(__xludf.DUMMYFUNCTION("""COMPUTED_VALUE"""),-1.0)</f>
        <v>-1</v>
      </c>
      <c r="P92" s="165">
        <f>IFERROR(__xludf.DUMMYFUNCTION("""COMPUTED_VALUE"""),0.0)</f>
        <v>0</v>
      </c>
      <c r="Q92" s="71">
        <f>IFERROR(__xludf.DUMMYFUNCTION("""COMPUTED_VALUE"""),1.0)</f>
        <v>1</v>
      </c>
      <c r="R92" s="71">
        <f>IFERROR(__xludf.DUMMYFUNCTION("""COMPUTED_VALUE"""),2.0)</f>
        <v>2</v>
      </c>
      <c r="S92" s="71">
        <f>IFERROR(__xludf.DUMMYFUNCTION("""COMPUTED_VALUE"""),3.0)</f>
        <v>3</v>
      </c>
      <c r="T92" s="71">
        <f>IFERROR(__xludf.DUMMYFUNCTION("""COMPUTED_VALUE"""),4.0)</f>
        <v>4</v>
      </c>
      <c r="U92" s="71">
        <f>IFERROR(__xludf.DUMMYFUNCTION("""COMPUTED_VALUE"""),5.0)</f>
        <v>5</v>
      </c>
      <c r="V92" s="86">
        <f>IFERROR(__xludf.DUMMYFUNCTION("""COMPUTED_VALUE"""),7.0)</f>
        <v>7</v>
      </c>
      <c r="W92" s="159">
        <f>IFERROR(__xludf.DUMMYFUNCTION("""COMPUTED_VALUE"""),46000.0)</f>
        <v>46000</v>
      </c>
      <c r="X92" s="110">
        <f>IFERROR(__xludf.DUMMYFUNCTION("""COMPUTED_VALUE"""),46003.0)</f>
        <v>46003</v>
      </c>
      <c r="Y92" s="111">
        <f>IFERROR(__xludf.DUMMYFUNCTION("""COMPUTED_VALUE"""),46008.0)</f>
        <v>46008</v>
      </c>
      <c r="Z92" s="80"/>
      <c r="AA92" s="80"/>
      <c r="AB92" s="80"/>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04"/>
      <c r="BC92" s="104"/>
      <c r="BD92" s="104"/>
      <c r="BE92" s="104"/>
    </row>
    <row r="93">
      <c r="A93" s="93"/>
      <c r="B93" s="96"/>
      <c r="C93" s="96"/>
      <c r="D93" s="69" t="str">
        <f>IFERROR(__xludf.DUMMYFUNCTION("""COMPUTED_VALUE"""),"けまわし")</f>
        <v>けまわし</v>
      </c>
      <c r="E93" s="162" t="str">
        <f>IFERROR(__xludf.DUMMYFUNCTION("""COMPUTED_VALUE"""),"パターン限界値±8cm")</f>
        <v>パターン限界値±8cm</v>
      </c>
      <c r="F93" s="73">
        <f>IFERROR(__xludf.DUMMYFUNCTION("""COMPUTED_VALUE"""),-10.0)</f>
        <v>-10</v>
      </c>
      <c r="G93" s="73">
        <f>IFERROR(__xludf.DUMMYFUNCTION("""COMPUTED_VALUE"""),-9.0)</f>
        <v>-9</v>
      </c>
      <c r="H93" s="73">
        <f>IFERROR(__xludf.DUMMYFUNCTION("""COMPUTED_VALUE"""),-8.0)</f>
        <v>-8</v>
      </c>
      <c r="I93" s="73">
        <f>IFERROR(__xludf.DUMMYFUNCTION("""COMPUTED_VALUE"""),-7.0)</f>
        <v>-7</v>
      </c>
      <c r="J93" s="73">
        <f>IFERROR(__xludf.DUMMYFUNCTION("""COMPUTED_VALUE"""),-6.0)</f>
        <v>-6</v>
      </c>
      <c r="K93" s="73">
        <f>IFERROR(__xludf.DUMMYFUNCTION("""COMPUTED_VALUE"""),-5.0)</f>
        <v>-5</v>
      </c>
      <c r="L93" s="73">
        <f>IFERROR(__xludf.DUMMYFUNCTION("""COMPUTED_VALUE"""),-4.0)</f>
        <v>-4</v>
      </c>
      <c r="M93" s="73">
        <f>IFERROR(__xludf.DUMMYFUNCTION("""COMPUTED_VALUE"""),-3.0)</f>
        <v>-3</v>
      </c>
      <c r="N93" s="73">
        <f>IFERROR(__xludf.DUMMYFUNCTION("""COMPUTED_VALUE"""),-2.0)</f>
        <v>-2</v>
      </c>
      <c r="O93" s="73">
        <f>IFERROR(__xludf.DUMMYFUNCTION("""COMPUTED_VALUE"""),-1.0)</f>
        <v>-1</v>
      </c>
      <c r="P93" s="74">
        <f>IFERROR(__xludf.DUMMYFUNCTION("""COMPUTED_VALUE"""),0.0)</f>
        <v>0</v>
      </c>
      <c r="Q93" s="71">
        <f>IFERROR(__xludf.DUMMYFUNCTION("""COMPUTED_VALUE"""),1.0)</f>
        <v>1</v>
      </c>
      <c r="R93" s="71">
        <f>IFERROR(__xludf.DUMMYFUNCTION("""COMPUTED_VALUE"""),2.0)</f>
        <v>2</v>
      </c>
      <c r="S93" s="71">
        <f>IFERROR(__xludf.DUMMYFUNCTION("""COMPUTED_VALUE"""),3.0)</f>
        <v>3</v>
      </c>
      <c r="T93" s="71">
        <f>IFERROR(__xludf.DUMMYFUNCTION("""COMPUTED_VALUE"""),4.0)</f>
        <v>4</v>
      </c>
      <c r="U93" s="71">
        <f>IFERROR(__xludf.DUMMYFUNCTION("""COMPUTED_VALUE"""),5.0)</f>
        <v>5</v>
      </c>
      <c r="V93" s="86">
        <f>IFERROR(__xludf.DUMMYFUNCTION("""COMPUTED_VALUE"""),10.0)</f>
        <v>10</v>
      </c>
      <c r="W93" s="159">
        <f>IFERROR(__xludf.DUMMYFUNCTION("""COMPUTED_VALUE"""),46003.0)</f>
        <v>46003</v>
      </c>
      <c r="X93" s="110">
        <f>IFERROR(__xludf.DUMMYFUNCTION("""COMPUTED_VALUE"""),46003.0)</f>
        <v>46003</v>
      </c>
      <c r="Y93" s="111">
        <f>IFERROR(__xludf.DUMMYFUNCTION("""COMPUTED_VALUE"""),46008.0)</f>
        <v>46008</v>
      </c>
      <c r="Z93" s="80"/>
      <c r="AA93" s="80"/>
      <c r="AB93" s="80"/>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04"/>
      <c r="BC93" s="104"/>
      <c r="BD93" s="104"/>
      <c r="BE93" s="104"/>
    </row>
    <row r="94">
      <c r="A94" s="93"/>
      <c r="B94" s="123"/>
      <c r="C94" s="123"/>
      <c r="D94" s="123"/>
      <c r="E94" s="123"/>
      <c r="F94" s="104"/>
      <c r="G94" s="104"/>
      <c r="H94" s="104"/>
      <c r="I94" s="104"/>
      <c r="J94" s="104"/>
      <c r="K94" s="104"/>
      <c r="L94" s="104"/>
      <c r="M94" s="104"/>
      <c r="N94" s="104"/>
      <c r="O94" s="104"/>
      <c r="P94" s="167"/>
      <c r="Q94" s="27"/>
      <c r="R94" s="27"/>
      <c r="S94" s="27"/>
      <c r="T94" s="27"/>
      <c r="U94" s="27"/>
      <c r="V94" s="27"/>
      <c r="W94" s="125"/>
      <c r="X94" s="125"/>
      <c r="Y94" s="125"/>
      <c r="Z94" s="80"/>
      <c r="AA94" s="80"/>
      <c r="AB94" s="80"/>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04"/>
      <c r="BC94" s="104"/>
      <c r="BD94" s="104"/>
      <c r="BE94" s="104"/>
    </row>
    <row r="95">
      <c r="A95" s="93"/>
      <c r="B95" s="67" t="str">
        <f>IFERROR(__xludf.DUMMYFUNCTION("""COMPUTED_VALUE"""),"
アルスター")</f>
        <v>
アルスター</v>
      </c>
      <c r="C95" s="68" t="str">
        <f>IFERROR(__xludf.DUMMYFUNCTION("""COMPUTED_VALUE"""),"サイズ")</f>
        <v>サイズ</v>
      </c>
      <c r="D95" s="69" t="str">
        <f>IFERROR(__xludf.DUMMYFUNCTION("""COMPUTED_VALUE"""),"肩巾")</f>
        <v>肩巾</v>
      </c>
      <c r="E95" s="162" t="str">
        <f>IFERROR(__xludf.DUMMYFUNCTION("""COMPUTED_VALUE"""),"パターン限界値 -4cm~+3cm")</f>
        <v>パターン限界値 -4cm~+3cm</v>
      </c>
      <c r="F95" s="72">
        <f>IFERROR(__xludf.DUMMYFUNCTION("""COMPUTED_VALUE"""),-10.0)</f>
        <v>-10</v>
      </c>
      <c r="G95" s="72">
        <f>IFERROR(__xludf.DUMMYFUNCTION("""COMPUTED_VALUE"""),-9.0)</f>
        <v>-9</v>
      </c>
      <c r="H95" s="72">
        <f>IFERROR(__xludf.DUMMYFUNCTION("""COMPUTED_VALUE"""),-8.0)</f>
        <v>-8</v>
      </c>
      <c r="I95" s="72">
        <f>IFERROR(__xludf.DUMMYFUNCTION("""COMPUTED_VALUE"""),-7.0)</f>
        <v>-7</v>
      </c>
      <c r="J95" s="72">
        <f>IFERROR(__xludf.DUMMYFUNCTION("""COMPUTED_VALUE"""),-6.0)</f>
        <v>-6</v>
      </c>
      <c r="K95" s="72">
        <f>IFERROR(__xludf.DUMMYFUNCTION("""COMPUTED_VALUE"""),-5.0)</f>
        <v>-5</v>
      </c>
      <c r="L95" s="72">
        <f>IFERROR(__xludf.DUMMYFUNCTION("""COMPUTED_VALUE"""),-4.0)</f>
        <v>-4</v>
      </c>
      <c r="M95" s="72">
        <f>IFERROR(__xludf.DUMMYFUNCTION("""COMPUTED_VALUE"""),-3.0)</f>
        <v>-3</v>
      </c>
      <c r="N95" s="72">
        <f>IFERROR(__xludf.DUMMYFUNCTION("""COMPUTED_VALUE"""),-2.0)</f>
        <v>-2</v>
      </c>
      <c r="O95" s="73">
        <f>IFERROR(__xludf.DUMMYFUNCTION("""COMPUTED_VALUE"""),-1.0)</f>
        <v>-1</v>
      </c>
      <c r="P95" s="165">
        <f>IFERROR(__xludf.DUMMYFUNCTION("""COMPUTED_VALUE"""),0.0)</f>
        <v>0</v>
      </c>
      <c r="Q95" s="71">
        <f>IFERROR(__xludf.DUMMYFUNCTION("""COMPUTED_VALUE"""),1.0)</f>
        <v>1</v>
      </c>
      <c r="R95" s="71">
        <f>IFERROR(__xludf.DUMMYFUNCTION("""COMPUTED_VALUE"""),2.0)</f>
        <v>2</v>
      </c>
      <c r="S95" s="71">
        <f>IFERROR(__xludf.DUMMYFUNCTION("""COMPUTED_VALUE"""),3.0)</f>
        <v>3</v>
      </c>
      <c r="T95" s="71">
        <f>IFERROR(__xludf.DUMMYFUNCTION("""COMPUTED_VALUE"""),4.0)</f>
        <v>4</v>
      </c>
      <c r="U95" s="71">
        <f>IFERROR(__xludf.DUMMYFUNCTION("""COMPUTED_VALUE"""),5.0)</f>
        <v>5</v>
      </c>
      <c r="V95" s="86">
        <f>IFERROR(__xludf.DUMMYFUNCTION("""COMPUTED_VALUE"""),7.0)</f>
        <v>7</v>
      </c>
      <c r="W95" s="168">
        <f>IFERROR(__xludf.DUMMYFUNCTION("""COMPUTED_VALUE"""),46000.0)</f>
        <v>46000</v>
      </c>
      <c r="X95" s="110">
        <f>IFERROR(__xludf.DUMMYFUNCTION("""COMPUTED_VALUE"""),46003.0)</f>
        <v>46003</v>
      </c>
      <c r="Y95" s="111">
        <f>IFERROR(__xludf.DUMMYFUNCTION("""COMPUTED_VALUE"""),46008.0)</f>
        <v>46008</v>
      </c>
      <c r="Z95" s="80"/>
      <c r="AA95" s="80"/>
      <c r="AB95" s="80"/>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04"/>
      <c r="BC95" s="104"/>
      <c r="BD95" s="104"/>
      <c r="BE95" s="104"/>
    </row>
    <row r="96">
      <c r="A96" s="93"/>
      <c r="B96" s="94"/>
      <c r="C96" s="94"/>
      <c r="D96" s="69" t="str">
        <f>IFERROR(__xludf.DUMMYFUNCTION("""COMPUTED_VALUE"""),"バスト")</f>
        <v>バスト</v>
      </c>
      <c r="E96" s="70"/>
      <c r="F96" s="72">
        <f>IFERROR(__xludf.DUMMYFUNCTION("""COMPUTED_VALUE"""),-10.0)</f>
        <v>-10</v>
      </c>
      <c r="G96" s="72">
        <f>IFERROR(__xludf.DUMMYFUNCTION("""COMPUTED_VALUE"""),-9.0)</f>
        <v>-9</v>
      </c>
      <c r="H96" s="72">
        <f>IFERROR(__xludf.DUMMYFUNCTION("""COMPUTED_VALUE"""),-8.0)</f>
        <v>-8</v>
      </c>
      <c r="I96" s="72">
        <f>IFERROR(__xludf.DUMMYFUNCTION("""COMPUTED_VALUE"""),-7.0)</f>
        <v>-7</v>
      </c>
      <c r="J96" s="72">
        <f>IFERROR(__xludf.DUMMYFUNCTION("""COMPUTED_VALUE"""),-6.0)</f>
        <v>-6</v>
      </c>
      <c r="K96" s="72">
        <f>IFERROR(__xludf.DUMMYFUNCTION("""COMPUTED_VALUE"""),-5.0)</f>
        <v>-5</v>
      </c>
      <c r="L96" s="72">
        <f>IFERROR(__xludf.DUMMYFUNCTION("""COMPUTED_VALUE"""),-4.0)</f>
        <v>-4</v>
      </c>
      <c r="M96" s="72">
        <f>IFERROR(__xludf.DUMMYFUNCTION("""COMPUTED_VALUE"""),-3.0)</f>
        <v>-3</v>
      </c>
      <c r="N96" s="72">
        <f>IFERROR(__xludf.DUMMYFUNCTION("""COMPUTED_VALUE"""),-2.0)</f>
        <v>-2</v>
      </c>
      <c r="O96" s="72">
        <f>IFERROR(__xludf.DUMMYFUNCTION("""COMPUTED_VALUE"""),-1.0)</f>
        <v>-1</v>
      </c>
      <c r="P96" s="165">
        <f>IFERROR(__xludf.DUMMYFUNCTION("""COMPUTED_VALUE"""),0.0)</f>
        <v>0</v>
      </c>
      <c r="Q96" s="71">
        <f>IFERROR(__xludf.DUMMYFUNCTION("""COMPUTED_VALUE"""),1.0)</f>
        <v>1</v>
      </c>
      <c r="R96" s="71">
        <f>IFERROR(__xludf.DUMMYFUNCTION("""COMPUTED_VALUE"""),2.0)</f>
        <v>2</v>
      </c>
      <c r="S96" s="71">
        <f>IFERROR(__xludf.DUMMYFUNCTION("""COMPUTED_VALUE"""),3.0)</f>
        <v>3</v>
      </c>
      <c r="T96" s="71">
        <f>IFERROR(__xludf.DUMMYFUNCTION("""COMPUTED_VALUE"""),4.0)</f>
        <v>4</v>
      </c>
      <c r="U96" s="71">
        <f>IFERROR(__xludf.DUMMYFUNCTION("""COMPUTED_VALUE"""),5.0)</f>
        <v>5</v>
      </c>
      <c r="V96" s="86" t="str">
        <f>IFERROR(__xludf.DUMMYFUNCTION("""COMPUTED_VALUE"""),"-")</f>
        <v>-</v>
      </c>
      <c r="W96" s="159" t="str">
        <f>IFERROR(__xludf.DUMMYFUNCTION("""COMPUTED_VALUE"""),"-")</f>
        <v>-</v>
      </c>
      <c r="X96" s="110">
        <f>IFERROR(__xludf.DUMMYFUNCTION("""COMPUTED_VALUE"""),46003.0)</f>
        <v>46003</v>
      </c>
      <c r="Y96" s="111">
        <f>IFERROR(__xludf.DUMMYFUNCTION("""COMPUTED_VALUE"""),46008.0)</f>
        <v>46008</v>
      </c>
      <c r="Z96" s="80"/>
      <c r="AA96" s="80"/>
      <c r="AB96" s="80"/>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04"/>
      <c r="BC96" s="104"/>
      <c r="BD96" s="104"/>
      <c r="BE96" s="104"/>
    </row>
    <row r="97">
      <c r="A97" s="93"/>
      <c r="B97" s="94"/>
      <c r="C97" s="94"/>
      <c r="D97" s="98" t="str">
        <f>IFERROR(__xludf.DUMMYFUNCTION("""COMPUTED_VALUE"""),"ウエスト")</f>
        <v>ウエスト</v>
      </c>
      <c r="E97" s="162" t="str">
        <f>IFERROR(__xludf.DUMMYFUNCTION("""COMPUTED_VALUE"""),"パターン限界値 ±4cm")</f>
        <v>パターン限界値 ±4cm</v>
      </c>
      <c r="F97" s="72">
        <f>IFERROR(__xludf.DUMMYFUNCTION("""COMPUTED_VALUE"""),-10.0)</f>
        <v>-10</v>
      </c>
      <c r="G97" s="72">
        <f>IFERROR(__xludf.DUMMYFUNCTION("""COMPUTED_VALUE"""),-9.0)</f>
        <v>-9</v>
      </c>
      <c r="H97" s="72">
        <f>IFERROR(__xludf.DUMMYFUNCTION("""COMPUTED_VALUE"""),-8.0)</f>
        <v>-8</v>
      </c>
      <c r="I97" s="72">
        <f>IFERROR(__xludf.DUMMYFUNCTION("""COMPUTED_VALUE"""),-7.0)</f>
        <v>-7</v>
      </c>
      <c r="J97" s="73">
        <f>IFERROR(__xludf.DUMMYFUNCTION("""COMPUTED_VALUE"""),-6.0)</f>
        <v>-6</v>
      </c>
      <c r="K97" s="73">
        <f>IFERROR(__xludf.DUMMYFUNCTION("""COMPUTED_VALUE"""),-5.0)</f>
        <v>-5</v>
      </c>
      <c r="L97" s="73">
        <f>IFERROR(__xludf.DUMMYFUNCTION("""COMPUTED_VALUE"""),-4.0)</f>
        <v>-4</v>
      </c>
      <c r="M97" s="73">
        <f>IFERROR(__xludf.DUMMYFUNCTION("""COMPUTED_VALUE"""),-3.0)</f>
        <v>-3</v>
      </c>
      <c r="N97" s="73">
        <f>IFERROR(__xludf.DUMMYFUNCTION("""COMPUTED_VALUE"""),-2.0)</f>
        <v>-2</v>
      </c>
      <c r="O97" s="73">
        <f>IFERROR(__xludf.DUMMYFUNCTION("""COMPUTED_VALUE"""),-1.0)</f>
        <v>-1</v>
      </c>
      <c r="P97" s="165">
        <f>IFERROR(__xludf.DUMMYFUNCTION("""COMPUTED_VALUE"""),0.0)</f>
        <v>0</v>
      </c>
      <c r="Q97" s="71">
        <f>IFERROR(__xludf.DUMMYFUNCTION("""COMPUTED_VALUE"""),1.0)</f>
        <v>1</v>
      </c>
      <c r="R97" s="71">
        <f>IFERROR(__xludf.DUMMYFUNCTION("""COMPUTED_VALUE"""),2.0)</f>
        <v>2</v>
      </c>
      <c r="S97" s="71">
        <f>IFERROR(__xludf.DUMMYFUNCTION("""COMPUTED_VALUE"""),3.0)</f>
        <v>3</v>
      </c>
      <c r="T97" s="71">
        <f>IFERROR(__xludf.DUMMYFUNCTION("""COMPUTED_VALUE"""),4.0)</f>
        <v>4</v>
      </c>
      <c r="U97" s="71">
        <f>IFERROR(__xludf.DUMMYFUNCTION("""COMPUTED_VALUE"""),5.0)</f>
        <v>5</v>
      </c>
      <c r="V97" s="86">
        <f>IFERROR(__xludf.DUMMYFUNCTION("""COMPUTED_VALUE"""),7.0)</f>
        <v>7</v>
      </c>
      <c r="W97" s="159">
        <f>IFERROR(__xludf.DUMMYFUNCTION("""COMPUTED_VALUE"""),46000.0)</f>
        <v>46000</v>
      </c>
      <c r="X97" s="110">
        <f>IFERROR(__xludf.DUMMYFUNCTION("""COMPUTED_VALUE"""),46003.0)</f>
        <v>46003</v>
      </c>
      <c r="Y97" s="111">
        <f>IFERROR(__xludf.DUMMYFUNCTION("""COMPUTED_VALUE"""),46008.0)</f>
        <v>46008</v>
      </c>
      <c r="Z97" s="80"/>
      <c r="AA97" s="80"/>
      <c r="AB97" s="80"/>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04"/>
      <c r="BC97" s="104"/>
      <c r="BD97" s="104"/>
      <c r="BE97" s="104"/>
    </row>
    <row r="98">
      <c r="A98" s="93"/>
      <c r="B98" s="94"/>
      <c r="C98" s="94"/>
      <c r="D98" s="69" t="str">
        <f>IFERROR(__xludf.DUMMYFUNCTION("""COMPUTED_VALUE"""),"袖丈")</f>
        <v>袖丈</v>
      </c>
      <c r="E98" s="70"/>
      <c r="F98" s="72">
        <f>IFERROR(__xludf.DUMMYFUNCTION("""COMPUTED_VALUE"""),-10.0)</f>
        <v>-10</v>
      </c>
      <c r="G98" s="72">
        <f>IFERROR(__xludf.DUMMYFUNCTION("""COMPUTED_VALUE"""),-9.0)</f>
        <v>-9</v>
      </c>
      <c r="H98" s="72">
        <f>IFERROR(__xludf.DUMMYFUNCTION("""COMPUTED_VALUE"""),-8.0)</f>
        <v>-8</v>
      </c>
      <c r="I98" s="72">
        <f>IFERROR(__xludf.DUMMYFUNCTION("""COMPUTED_VALUE"""),-7.0)</f>
        <v>-7</v>
      </c>
      <c r="J98" s="72">
        <f>IFERROR(__xludf.DUMMYFUNCTION("""COMPUTED_VALUE"""),-6.0)</f>
        <v>-6</v>
      </c>
      <c r="K98" s="72">
        <f>IFERROR(__xludf.DUMMYFUNCTION("""COMPUTED_VALUE"""),-5.0)</f>
        <v>-5</v>
      </c>
      <c r="L98" s="72">
        <f>IFERROR(__xludf.DUMMYFUNCTION("""COMPUTED_VALUE"""),-4.0)</f>
        <v>-4</v>
      </c>
      <c r="M98" s="72">
        <f>IFERROR(__xludf.DUMMYFUNCTION("""COMPUTED_VALUE"""),-3.0)</f>
        <v>-3</v>
      </c>
      <c r="N98" s="72">
        <f>IFERROR(__xludf.DUMMYFUNCTION("""COMPUTED_VALUE"""),-2.0)</f>
        <v>-2</v>
      </c>
      <c r="O98" s="73">
        <f>IFERROR(__xludf.DUMMYFUNCTION("""COMPUTED_VALUE"""),-1.0)</f>
        <v>-1</v>
      </c>
      <c r="P98" s="165">
        <f>IFERROR(__xludf.DUMMYFUNCTION("""COMPUTED_VALUE"""),0.0)</f>
        <v>0</v>
      </c>
      <c r="Q98" s="71">
        <f>IFERROR(__xludf.DUMMYFUNCTION("""COMPUTED_VALUE"""),1.0)</f>
        <v>1</v>
      </c>
      <c r="R98" s="71">
        <f>IFERROR(__xludf.DUMMYFUNCTION("""COMPUTED_VALUE"""),2.0)</f>
        <v>2</v>
      </c>
      <c r="S98" s="71">
        <f>IFERROR(__xludf.DUMMYFUNCTION("""COMPUTED_VALUE"""),3.0)</f>
        <v>3</v>
      </c>
      <c r="T98" s="71">
        <f>IFERROR(__xludf.DUMMYFUNCTION("""COMPUTED_VALUE"""),4.0)</f>
        <v>4</v>
      </c>
      <c r="U98" s="71">
        <f>IFERROR(__xludf.DUMMYFUNCTION("""COMPUTED_VALUE"""),5.0)</f>
        <v>5</v>
      </c>
      <c r="V98" s="86">
        <f>IFERROR(__xludf.DUMMYFUNCTION("""COMPUTED_VALUE"""),7.0)</f>
        <v>7</v>
      </c>
      <c r="W98" s="159">
        <f>IFERROR(__xludf.DUMMYFUNCTION("""COMPUTED_VALUE"""),46000.0)</f>
        <v>46000</v>
      </c>
      <c r="X98" s="110">
        <f>IFERROR(__xludf.DUMMYFUNCTION("""COMPUTED_VALUE"""),46003.0)</f>
        <v>46003</v>
      </c>
      <c r="Y98" s="111">
        <f>IFERROR(__xludf.DUMMYFUNCTION("""COMPUTED_VALUE"""),46008.0)</f>
        <v>46008</v>
      </c>
      <c r="Z98" s="80"/>
      <c r="AA98" s="80"/>
      <c r="AB98" s="80"/>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04"/>
      <c r="BC98" s="104"/>
      <c r="BD98" s="104"/>
      <c r="BE98" s="104"/>
    </row>
    <row r="99">
      <c r="A99" s="93"/>
      <c r="B99" s="94"/>
      <c r="C99" s="94"/>
      <c r="D99" s="69" t="str">
        <f>IFERROR(__xludf.DUMMYFUNCTION("""COMPUTED_VALUE"""),"着丈")</f>
        <v>着丈</v>
      </c>
      <c r="E99" s="162" t="str">
        <f>IFERROR(__xludf.DUMMYFUNCTION("""COMPUTED_VALUE"""),"パターン限界値　着丈±20cm")</f>
        <v>パターン限界値　着丈±20cm</v>
      </c>
      <c r="F99" s="72">
        <f>IFERROR(__xludf.DUMMYFUNCTION("""COMPUTED_VALUE"""),-10.0)</f>
        <v>-10</v>
      </c>
      <c r="G99" s="72">
        <f>IFERROR(__xludf.DUMMYFUNCTION("""COMPUTED_VALUE"""),-9.0)</f>
        <v>-9</v>
      </c>
      <c r="H99" s="72">
        <f>IFERROR(__xludf.DUMMYFUNCTION("""COMPUTED_VALUE"""),-8.0)</f>
        <v>-8</v>
      </c>
      <c r="I99" s="72">
        <f>IFERROR(__xludf.DUMMYFUNCTION("""COMPUTED_VALUE"""),-7.0)</f>
        <v>-7</v>
      </c>
      <c r="J99" s="72">
        <f>IFERROR(__xludf.DUMMYFUNCTION("""COMPUTED_VALUE"""),-6.0)</f>
        <v>-6</v>
      </c>
      <c r="K99" s="73">
        <f>IFERROR(__xludf.DUMMYFUNCTION("""COMPUTED_VALUE"""),-5.0)</f>
        <v>-5</v>
      </c>
      <c r="L99" s="73">
        <f>IFERROR(__xludf.DUMMYFUNCTION("""COMPUTED_VALUE"""),-4.0)</f>
        <v>-4</v>
      </c>
      <c r="M99" s="73">
        <f>IFERROR(__xludf.DUMMYFUNCTION("""COMPUTED_VALUE"""),-3.0)</f>
        <v>-3</v>
      </c>
      <c r="N99" s="73">
        <f>IFERROR(__xludf.DUMMYFUNCTION("""COMPUTED_VALUE"""),-2.0)</f>
        <v>-2</v>
      </c>
      <c r="O99" s="73">
        <f>IFERROR(__xludf.DUMMYFUNCTION("""COMPUTED_VALUE"""),-1.0)</f>
        <v>-1</v>
      </c>
      <c r="P99" s="165">
        <f>IFERROR(__xludf.DUMMYFUNCTION("""COMPUTED_VALUE"""),0.0)</f>
        <v>0</v>
      </c>
      <c r="Q99" s="71">
        <f>IFERROR(__xludf.DUMMYFUNCTION("""COMPUTED_VALUE"""),1.0)</f>
        <v>1</v>
      </c>
      <c r="R99" s="71">
        <f>IFERROR(__xludf.DUMMYFUNCTION("""COMPUTED_VALUE"""),2.0)</f>
        <v>2</v>
      </c>
      <c r="S99" s="71">
        <f>IFERROR(__xludf.DUMMYFUNCTION("""COMPUTED_VALUE"""),3.0)</f>
        <v>3</v>
      </c>
      <c r="T99" s="71">
        <f>IFERROR(__xludf.DUMMYFUNCTION("""COMPUTED_VALUE"""),4.0)</f>
        <v>4</v>
      </c>
      <c r="U99" s="71">
        <f>IFERROR(__xludf.DUMMYFUNCTION("""COMPUTED_VALUE"""),5.0)</f>
        <v>5</v>
      </c>
      <c r="V99" s="86">
        <f>IFERROR(__xludf.DUMMYFUNCTION("""COMPUTED_VALUE"""),7.0)</f>
        <v>7</v>
      </c>
      <c r="W99" s="159">
        <f>IFERROR(__xludf.DUMMYFUNCTION("""COMPUTED_VALUE"""),46000.0)</f>
        <v>46000</v>
      </c>
      <c r="X99" s="110">
        <f>IFERROR(__xludf.DUMMYFUNCTION("""COMPUTED_VALUE"""),46003.0)</f>
        <v>46003</v>
      </c>
      <c r="Y99" s="111">
        <f>IFERROR(__xludf.DUMMYFUNCTION("""COMPUTED_VALUE"""),46008.0)</f>
        <v>46008</v>
      </c>
      <c r="Z99" s="80"/>
      <c r="AA99" s="80"/>
      <c r="AB99" s="80"/>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04"/>
      <c r="BC99" s="104"/>
      <c r="BD99" s="104"/>
      <c r="BE99" s="104"/>
    </row>
    <row r="100">
      <c r="A100" s="93"/>
      <c r="B100" s="96"/>
      <c r="C100" s="96"/>
      <c r="D100" s="69" t="str">
        <f>IFERROR(__xludf.DUMMYFUNCTION("""COMPUTED_VALUE"""),"けまわし")</f>
        <v>けまわし</v>
      </c>
      <c r="E100" s="162" t="str">
        <f>IFERROR(__xludf.DUMMYFUNCTION("""COMPUTED_VALUE"""),"パターン限界値±8cm")</f>
        <v>パターン限界値±8cm</v>
      </c>
      <c r="F100" s="72">
        <f>IFERROR(__xludf.DUMMYFUNCTION("""COMPUTED_VALUE"""),-10.0)</f>
        <v>-10</v>
      </c>
      <c r="G100" s="72">
        <f>IFERROR(__xludf.DUMMYFUNCTION("""COMPUTED_VALUE"""),-9.0)</f>
        <v>-9</v>
      </c>
      <c r="H100" s="72">
        <f>IFERROR(__xludf.DUMMYFUNCTION("""COMPUTED_VALUE"""),-8.0)</f>
        <v>-8</v>
      </c>
      <c r="I100" s="72">
        <f>IFERROR(__xludf.DUMMYFUNCTION("""COMPUTED_VALUE"""),-7.0)</f>
        <v>-7</v>
      </c>
      <c r="J100" s="72">
        <f>IFERROR(__xludf.DUMMYFUNCTION("""COMPUTED_VALUE"""),-6.0)</f>
        <v>-6</v>
      </c>
      <c r="K100" s="72">
        <f>IFERROR(__xludf.DUMMYFUNCTION("""COMPUTED_VALUE"""),-5.0)</f>
        <v>-5</v>
      </c>
      <c r="L100" s="73">
        <f>IFERROR(__xludf.DUMMYFUNCTION("""COMPUTED_VALUE"""),-4.0)</f>
        <v>-4</v>
      </c>
      <c r="M100" s="73">
        <f>IFERROR(__xludf.DUMMYFUNCTION("""COMPUTED_VALUE"""),-3.0)</f>
        <v>-3</v>
      </c>
      <c r="N100" s="73">
        <f>IFERROR(__xludf.DUMMYFUNCTION("""COMPUTED_VALUE"""),-2.0)</f>
        <v>-2</v>
      </c>
      <c r="O100" s="73">
        <f>IFERROR(__xludf.DUMMYFUNCTION("""COMPUTED_VALUE"""),-1.0)</f>
        <v>-1</v>
      </c>
      <c r="P100" s="74">
        <f>IFERROR(__xludf.DUMMYFUNCTION("""COMPUTED_VALUE"""),0.0)</f>
        <v>0</v>
      </c>
      <c r="Q100" s="71">
        <f>IFERROR(__xludf.DUMMYFUNCTION("""COMPUTED_VALUE"""),1.0)</f>
        <v>1</v>
      </c>
      <c r="R100" s="71">
        <f>IFERROR(__xludf.DUMMYFUNCTION("""COMPUTED_VALUE"""),2.0)</f>
        <v>2</v>
      </c>
      <c r="S100" s="71">
        <f>IFERROR(__xludf.DUMMYFUNCTION("""COMPUTED_VALUE"""),3.0)</f>
        <v>3</v>
      </c>
      <c r="T100" s="71">
        <f>IFERROR(__xludf.DUMMYFUNCTION("""COMPUTED_VALUE"""),4.0)</f>
        <v>4</v>
      </c>
      <c r="U100" s="71">
        <f>IFERROR(__xludf.DUMMYFUNCTION("""COMPUTED_VALUE"""),5.0)</f>
        <v>5</v>
      </c>
      <c r="V100" s="86">
        <f>IFERROR(__xludf.DUMMYFUNCTION("""COMPUTED_VALUE"""),10.0)</f>
        <v>10</v>
      </c>
      <c r="W100" s="159">
        <f>IFERROR(__xludf.DUMMYFUNCTION("""COMPUTED_VALUE"""),46003.0)</f>
        <v>46003</v>
      </c>
      <c r="X100" s="110">
        <f>IFERROR(__xludf.DUMMYFUNCTION("""COMPUTED_VALUE"""),46003.0)</f>
        <v>46003</v>
      </c>
      <c r="Y100" s="111">
        <f>IFERROR(__xludf.DUMMYFUNCTION("""COMPUTED_VALUE"""),46008.0)</f>
        <v>46008</v>
      </c>
      <c r="Z100" s="80"/>
      <c r="AA100" s="80"/>
      <c r="AB100" s="80"/>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04"/>
      <c r="BC100" s="104"/>
      <c r="BD100" s="104"/>
      <c r="BE100" s="104"/>
    </row>
    <row r="101">
      <c r="A101" s="93"/>
      <c r="B101" s="123"/>
      <c r="C101" s="123"/>
      <c r="D101" s="124"/>
      <c r="E101" s="123"/>
      <c r="F101" s="104"/>
      <c r="G101" s="104"/>
      <c r="H101" s="104"/>
      <c r="I101" s="104"/>
      <c r="J101" s="104"/>
      <c r="K101" s="104"/>
      <c r="L101" s="104"/>
      <c r="M101" s="104"/>
      <c r="N101" s="104"/>
      <c r="O101" s="104"/>
      <c r="P101" s="167"/>
      <c r="Q101" s="27"/>
      <c r="R101" s="27"/>
      <c r="S101" s="27"/>
      <c r="T101" s="27"/>
      <c r="U101" s="27"/>
      <c r="V101" s="27"/>
      <c r="W101" s="40"/>
      <c r="X101" s="125"/>
      <c r="Y101" s="125"/>
      <c r="Z101" s="80"/>
      <c r="AA101" s="80"/>
      <c r="AB101" s="80"/>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04"/>
      <c r="BC101" s="104"/>
      <c r="BD101" s="104"/>
      <c r="BE101" s="104"/>
    </row>
    <row r="102">
      <c r="A102" s="93"/>
      <c r="B102" s="67" t="str">
        <f>IFERROR(__xludf.DUMMYFUNCTION("""COMPUTED_VALUE"""),"
ショートステン")</f>
        <v>
ショートステン</v>
      </c>
      <c r="C102" s="68" t="str">
        <f>IFERROR(__xludf.DUMMYFUNCTION("""COMPUTED_VALUE"""),"サイズ")</f>
        <v>サイズ</v>
      </c>
      <c r="D102" s="113" t="str">
        <f>IFERROR(__xludf.DUMMYFUNCTION("""COMPUTED_VALUE"""),"肩巾")</f>
        <v>肩巾</v>
      </c>
      <c r="E102" s="162" t="str">
        <f>IFERROR(__xludf.DUMMYFUNCTION("""COMPUTED_VALUE"""),"パターン限界値 -4cm~+3cm")</f>
        <v>パターン限界値 -4cm~+3cm</v>
      </c>
      <c r="F102" s="72">
        <f>IFERROR(__xludf.DUMMYFUNCTION("""COMPUTED_VALUE"""),-10.0)</f>
        <v>-10</v>
      </c>
      <c r="G102" s="72">
        <f>IFERROR(__xludf.DUMMYFUNCTION("""COMPUTED_VALUE"""),-9.0)</f>
        <v>-9</v>
      </c>
      <c r="H102" s="72">
        <f>IFERROR(__xludf.DUMMYFUNCTION("""COMPUTED_VALUE"""),-8.0)</f>
        <v>-8</v>
      </c>
      <c r="I102" s="72">
        <f>IFERROR(__xludf.DUMMYFUNCTION("""COMPUTED_VALUE"""),-7.0)</f>
        <v>-7</v>
      </c>
      <c r="J102" s="72">
        <f>IFERROR(__xludf.DUMMYFUNCTION("""COMPUTED_VALUE"""),-6.0)</f>
        <v>-6</v>
      </c>
      <c r="K102" s="72">
        <f>IFERROR(__xludf.DUMMYFUNCTION("""COMPUTED_VALUE"""),-5.0)</f>
        <v>-5</v>
      </c>
      <c r="L102" s="72">
        <f>IFERROR(__xludf.DUMMYFUNCTION("""COMPUTED_VALUE"""),-4.0)</f>
        <v>-4</v>
      </c>
      <c r="M102" s="72">
        <f>IFERROR(__xludf.DUMMYFUNCTION("""COMPUTED_VALUE"""),-3.0)</f>
        <v>-3</v>
      </c>
      <c r="N102" s="72">
        <f>IFERROR(__xludf.DUMMYFUNCTION("""COMPUTED_VALUE"""),-2.0)</f>
        <v>-2</v>
      </c>
      <c r="O102" s="72">
        <f>IFERROR(__xludf.DUMMYFUNCTION("""COMPUTED_VALUE"""),-1.0)</f>
        <v>-1</v>
      </c>
      <c r="P102" s="165">
        <f>IFERROR(__xludf.DUMMYFUNCTION("""COMPUTED_VALUE"""),0.0)</f>
        <v>0</v>
      </c>
      <c r="Q102" s="71">
        <f>IFERROR(__xludf.DUMMYFUNCTION("""COMPUTED_VALUE"""),1.0)</f>
        <v>1</v>
      </c>
      <c r="R102" s="71">
        <f>IFERROR(__xludf.DUMMYFUNCTION("""COMPUTED_VALUE"""),2.0)</f>
        <v>2</v>
      </c>
      <c r="S102" s="71">
        <f>IFERROR(__xludf.DUMMYFUNCTION("""COMPUTED_VALUE"""),3.0)</f>
        <v>3</v>
      </c>
      <c r="T102" s="71">
        <f>IFERROR(__xludf.DUMMYFUNCTION("""COMPUTED_VALUE"""),4.0)</f>
        <v>4</v>
      </c>
      <c r="U102" s="71">
        <f>IFERROR(__xludf.DUMMYFUNCTION("""COMPUTED_VALUE"""),5.0)</f>
        <v>5</v>
      </c>
      <c r="V102" s="86" t="str">
        <f>IFERROR(__xludf.DUMMYFUNCTION("""COMPUTED_VALUE"""),"-")</f>
        <v>-</v>
      </c>
      <c r="W102" s="122" t="str">
        <f>IFERROR(__xludf.DUMMYFUNCTION("""COMPUTED_VALUE"""),"-")</f>
        <v>-</v>
      </c>
      <c r="X102" s="110">
        <f>IFERROR(__xludf.DUMMYFUNCTION("""COMPUTED_VALUE"""),46003.0)</f>
        <v>46003</v>
      </c>
      <c r="Y102" s="111">
        <f>IFERROR(__xludf.DUMMYFUNCTION("""COMPUTED_VALUE"""),46008.0)</f>
        <v>46008</v>
      </c>
      <c r="Z102" s="80"/>
      <c r="AA102" s="80"/>
      <c r="AB102" s="80"/>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04"/>
      <c r="BC102" s="104"/>
      <c r="BD102" s="104"/>
      <c r="BE102" s="104"/>
    </row>
    <row r="103">
      <c r="A103" s="93"/>
      <c r="B103" s="94"/>
      <c r="C103" s="94"/>
      <c r="D103" s="113" t="str">
        <f>IFERROR(__xludf.DUMMYFUNCTION("""COMPUTED_VALUE"""),"バスト")</f>
        <v>バスト</v>
      </c>
      <c r="E103" s="70"/>
      <c r="F103" s="72">
        <f>IFERROR(__xludf.DUMMYFUNCTION("""COMPUTED_VALUE"""),-10.0)</f>
        <v>-10</v>
      </c>
      <c r="G103" s="72">
        <f>IFERROR(__xludf.DUMMYFUNCTION("""COMPUTED_VALUE"""),-9.0)</f>
        <v>-9</v>
      </c>
      <c r="H103" s="72">
        <f>IFERROR(__xludf.DUMMYFUNCTION("""COMPUTED_VALUE"""),-8.0)</f>
        <v>-8</v>
      </c>
      <c r="I103" s="72">
        <f>IFERROR(__xludf.DUMMYFUNCTION("""COMPUTED_VALUE"""),-7.0)</f>
        <v>-7</v>
      </c>
      <c r="J103" s="72">
        <f>IFERROR(__xludf.DUMMYFUNCTION("""COMPUTED_VALUE"""),-6.0)</f>
        <v>-6</v>
      </c>
      <c r="K103" s="72">
        <f>IFERROR(__xludf.DUMMYFUNCTION("""COMPUTED_VALUE"""),-5.0)</f>
        <v>-5</v>
      </c>
      <c r="L103" s="72">
        <f>IFERROR(__xludf.DUMMYFUNCTION("""COMPUTED_VALUE"""),-4.0)</f>
        <v>-4</v>
      </c>
      <c r="M103" s="72">
        <f>IFERROR(__xludf.DUMMYFUNCTION("""COMPUTED_VALUE"""),-3.0)</f>
        <v>-3</v>
      </c>
      <c r="N103" s="72">
        <f>IFERROR(__xludf.DUMMYFUNCTION("""COMPUTED_VALUE"""),-2.0)</f>
        <v>-2</v>
      </c>
      <c r="O103" s="72">
        <f>IFERROR(__xludf.DUMMYFUNCTION("""COMPUTED_VALUE"""),-1.0)</f>
        <v>-1</v>
      </c>
      <c r="P103" s="165">
        <f>IFERROR(__xludf.DUMMYFUNCTION("""COMPUTED_VALUE"""),0.0)</f>
        <v>0</v>
      </c>
      <c r="Q103" s="71">
        <f>IFERROR(__xludf.DUMMYFUNCTION("""COMPUTED_VALUE"""),1.0)</f>
        <v>1</v>
      </c>
      <c r="R103" s="71">
        <f>IFERROR(__xludf.DUMMYFUNCTION("""COMPUTED_VALUE"""),2.0)</f>
        <v>2</v>
      </c>
      <c r="S103" s="71">
        <f>IFERROR(__xludf.DUMMYFUNCTION("""COMPUTED_VALUE"""),3.0)</f>
        <v>3</v>
      </c>
      <c r="T103" s="71">
        <f>IFERROR(__xludf.DUMMYFUNCTION("""COMPUTED_VALUE"""),4.0)</f>
        <v>4</v>
      </c>
      <c r="U103" s="71">
        <f>IFERROR(__xludf.DUMMYFUNCTION("""COMPUTED_VALUE"""),5.0)</f>
        <v>5</v>
      </c>
      <c r="V103" s="86" t="str">
        <f>IFERROR(__xludf.DUMMYFUNCTION("""COMPUTED_VALUE"""),"-")</f>
        <v>-</v>
      </c>
      <c r="W103" s="159" t="str">
        <f>IFERROR(__xludf.DUMMYFUNCTION("""COMPUTED_VALUE"""),"-")</f>
        <v>-</v>
      </c>
      <c r="X103" s="110">
        <f>IFERROR(__xludf.DUMMYFUNCTION("""COMPUTED_VALUE"""),46003.0)</f>
        <v>46003</v>
      </c>
      <c r="Y103" s="111">
        <f>IFERROR(__xludf.DUMMYFUNCTION("""COMPUTED_VALUE"""),46008.0)</f>
        <v>46008</v>
      </c>
      <c r="Z103" s="80"/>
      <c r="AA103" s="80"/>
      <c r="AB103" s="80"/>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04"/>
      <c r="BC103" s="104"/>
      <c r="BD103" s="104"/>
      <c r="BE103" s="104"/>
    </row>
    <row r="104">
      <c r="A104" s="93"/>
      <c r="B104" s="94"/>
      <c r="C104" s="94"/>
      <c r="D104" s="112" t="str">
        <f>IFERROR(__xludf.DUMMYFUNCTION("""COMPUTED_VALUE"""),"ウエスト")</f>
        <v>ウエスト</v>
      </c>
      <c r="E104" s="162" t="str">
        <f>IFERROR(__xludf.DUMMYFUNCTION("""COMPUTED_VALUE"""),"パターン限界値 ±4cm")</f>
        <v>パターン限界値 ±4cm</v>
      </c>
      <c r="F104" s="72">
        <f>IFERROR(__xludf.DUMMYFUNCTION("""COMPUTED_VALUE"""),-10.0)</f>
        <v>-10</v>
      </c>
      <c r="G104" s="72">
        <f>IFERROR(__xludf.DUMMYFUNCTION("""COMPUTED_VALUE"""),-9.0)</f>
        <v>-9</v>
      </c>
      <c r="H104" s="72">
        <f>IFERROR(__xludf.DUMMYFUNCTION("""COMPUTED_VALUE"""),-8.0)</f>
        <v>-8</v>
      </c>
      <c r="I104" s="72">
        <f>IFERROR(__xludf.DUMMYFUNCTION("""COMPUTED_VALUE"""),-7.0)</f>
        <v>-7</v>
      </c>
      <c r="J104" s="73">
        <f>IFERROR(__xludf.DUMMYFUNCTION("""COMPUTED_VALUE"""),-6.0)</f>
        <v>-6</v>
      </c>
      <c r="K104" s="73">
        <f>IFERROR(__xludf.DUMMYFUNCTION("""COMPUTED_VALUE"""),-5.0)</f>
        <v>-5</v>
      </c>
      <c r="L104" s="73">
        <f>IFERROR(__xludf.DUMMYFUNCTION("""COMPUTED_VALUE"""),-4.0)</f>
        <v>-4</v>
      </c>
      <c r="M104" s="73">
        <f>IFERROR(__xludf.DUMMYFUNCTION("""COMPUTED_VALUE"""),-3.0)</f>
        <v>-3</v>
      </c>
      <c r="N104" s="73">
        <f>IFERROR(__xludf.DUMMYFUNCTION("""COMPUTED_VALUE"""),-2.0)</f>
        <v>-2</v>
      </c>
      <c r="O104" s="73">
        <f>IFERROR(__xludf.DUMMYFUNCTION("""COMPUTED_VALUE"""),-1.0)</f>
        <v>-1</v>
      </c>
      <c r="P104" s="165">
        <f>IFERROR(__xludf.DUMMYFUNCTION("""COMPUTED_VALUE"""),0.0)</f>
        <v>0</v>
      </c>
      <c r="Q104" s="71">
        <f>IFERROR(__xludf.DUMMYFUNCTION("""COMPUTED_VALUE"""),1.0)</f>
        <v>1</v>
      </c>
      <c r="R104" s="71">
        <f>IFERROR(__xludf.DUMMYFUNCTION("""COMPUTED_VALUE"""),2.0)</f>
        <v>2</v>
      </c>
      <c r="S104" s="71">
        <f>IFERROR(__xludf.DUMMYFUNCTION("""COMPUTED_VALUE"""),3.0)</f>
        <v>3</v>
      </c>
      <c r="T104" s="71">
        <f>IFERROR(__xludf.DUMMYFUNCTION("""COMPUTED_VALUE"""),4.0)</f>
        <v>4</v>
      </c>
      <c r="U104" s="71">
        <f>IFERROR(__xludf.DUMMYFUNCTION("""COMPUTED_VALUE"""),5.0)</f>
        <v>5</v>
      </c>
      <c r="V104" s="86">
        <f>IFERROR(__xludf.DUMMYFUNCTION("""COMPUTED_VALUE"""),7.0)</f>
        <v>7</v>
      </c>
      <c r="W104" s="159">
        <f>IFERROR(__xludf.DUMMYFUNCTION("""COMPUTED_VALUE"""),46000.0)</f>
        <v>46000</v>
      </c>
      <c r="X104" s="110">
        <f>IFERROR(__xludf.DUMMYFUNCTION("""COMPUTED_VALUE"""),46003.0)</f>
        <v>46003</v>
      </c>
      <c r="Y104" s="111">
        <f>IFERROR(__xludf.DUMMYFUNCTION("""COMPUTED_VALUE"""),46008.0)</f>
        <v>46008</v>
      </c>
      <c r="Z104" s="80"/>
      <c r="AA104" s="80"/>
      <c r="AB104" s="80"/>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04"/>
      <c r="BC104" s="104"/>
      <c r="BD104" s="104"/>
      <c r="BE104" s="104"/>
    </row>
    <row r="105">
      <c r="A105" s="93"/>
      <c r="B105" s="94"/>
      <c r="C105" s="94"/>
      <c r="D105" s="113" t="str">
        <f>IFERROR(__xludf.DUMMYFUNCTION("""COMPUTED_VALUE"""),"袖丈")</f>
        <v>袖丈</v>
      </c>
      <c r="E105" s="70"/>
      <c r="F105" s="72">
        <f>IFERROR(__xludf.DUMMYFUNCTION("""COMPUTED_VALUE"""),-10.0)</f>
        <v>-10</v>
      </c>
      <c r="G105" s="72">
        <f>IFERROR(__xludf.DUMMYFUNCTION("""COMPUTED_VALUE"""),-9.0)</f>
        <v>-9</v>
      </c>
      <c r="H105" s="72">
        <f>IFERROR(__xludf.DUMMYFUNCTION("""COMPUTED_VALUE"""),-8.0)</f>
        <v>-8</v>
      </c>
      <c r="I105" s="72">
        <f>IFERROR(__xludf.DUMMYFUNCTION("""COMPUTED_VALUE"""),-7.0)</f>
        <v>-7</v>
      </c>
      <c r="J105" s="72">
        <f>IFERROR(__xludf.DUMMYFUNCTION("""COMPUTED_VALUE"""),-6.0)</f>
        <v>-6</v>
      </c>
      <c r="K105" s="72">
        <f>IFERROR(__xludf.DUMMYFUNCTION("""COMPUTED_VALUE"""),-5.0)</f>
        <v>-5</v>
      </c>
      <c r="L105" s="72">
        <f>IFERROR(__xludf.DUMMYFUNCTION("""COMPUTED_VALUE"""),-4.0)</f>
        <v>-4</v>
      </c>
      <c r="M105" s="72">
        <f>IFERROR(__xludf.DUMMYFUNCTION("""COMPUTED_VALUE"""),-3.0)</f>
        <v>-3</v>
      </c>
      <c r="N105" s="73">
        <f>IFERROR(__xludf.DUMMYFUNCTION("""COMPUTED_VALUE"""),-2.0)</f>
        <v>-2</v>
      </c>
      <c r="O105" s="73">
        <f>IFERROR(__xludf.DUMMYFUNCTION("""COMPUTED_VALUE"""),-1.0)</f>
        <v>-1</v>
      </c>
      <c r="P105" s="165">
        <f>IFERROR(__xludf.DUMMYFUNCTION("""COMPUTED_VALUE"""),0.0)</f>
        <v>0</v>
      </c>
      <c r="Q105" s="71">
        <f>IFERROR(__xludf.DUMMYFUNCTION("""COMPUTED_VALUE"""),1.0)</f>
        <v>1</v>
      </c>
      <c r="R105" s="71">
        <f>IFERROR(__xludf.DUMMYFUNCTION("""COMPUTED_VALUE"""),2.0)</f>
        <v>2</v>
      </c>
      <c r="S105" s="71">
        <f>IFERROR(__xludf.DUMMYFUNCTION("""COMPUTED_VALUE"""),3.0)</f>
        <v>3</v>
      </c>
      <c r="T105" s="71">
        <f>IFERROR(__xludf.DUMMYFUNCTION("""COMPUTED_VALUE"""),4.0)</f>
        <v>4</v>
      </c>
      <c r="U105" s="71">
        <f>IFERROR(__xludf.DUMMYFUNCTION("""COMPUTED_VALUE"""),5.0)</f>
        <v>5</v>
      </c>
      <c r="V105" s="86">
        <f>IFERROR(__xludf.DUMMYFUNCTION("""COMPUTED_VALUE"""),7.0)</f>
        <v>7</v>
      </c>
      <c r="W105" s="159">
        <f>IFERROR(__xludf.DUMMYFUNCTION("""COMPUTED_VALUE"""),46000.0)</f>
        <v>46000</v>
      </c>
      <c r="X105" s="110">
        <f>IFERROR(__xludf.DUMMYFUNCTION("""COMPUTED_VALUE"""),46003.0)</f>
        <v>46003</v>
      </c>
      <c r="Y105" s="111">
        <f>IFERROR(__xludf.DUMMYFUNCTION("""COMPUTED_VALUE"""),46008.0)</f>
        <v>46008</v>
      </c>
      <c r="Z105" s="80"/>
      <c r="AA105" s="80"/>
      <c r="AB105" s="80"/>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04"/>
      <c r="BC105" s="104"/>
      <c r="BD105" s="104"/>
      <c r="BE105" s="104"/>
    </row>
    <row r="106">
      <c r="A106" s="93"/>
      <c r="B106" s="94"/>
      <c r="C106" s="94"/>
      <c r="D106" s="113" t="str">
        <f>IFERROR(__xludf.DUMMYFUNCTION("""COMPUTED_VALUE"""),"着丈")</f>
        <v>着丈</v>
      </c>
      <c r="E106" s="162" t="str">
        <f>IFERROR(__xludf.DUMMYFUNCTION("""COMPUTED_VALUE"""),"パターン限界値　着丈±20cm")</f>
        <v>パターン限界値　着丈±20cm</v>
      </c>
      <c r="F106" s="169">
        <f>IFERROR(__xludf.DUMMYFUNCTION("""COMPUTED_VALUE"""),-10.0)</f>
        <v>-10</v>
      </c>
      <c r="G106" s="169">
        <f>IFERROR(__xludf.DUMMYFUNCTION("""COMPUTED_VALUE"""),-9.0)</f>
        <v>-9</v>
      </c>
      <c r="H106" s="169">
        <f>IFERROR(__xludf.DUMMYFUNCTION("""COMPUTED_VALUE"""),-8.0)</f>
        <v>-8</v>
      </c>
      <c r="I106" s="169">
        <f>IFERROR(__xludf.DUMMYFUNCTION("""COMPUTED_VALUE"""),-7.0)</f>
        <v>-7</v>
      </c>
      <c r="J106" s="169">
        <f>IFERROR(__xludf.DUMMYFUNCTION("""COMPUTED_VALUE"""),-6.0)</f>
        <v>-6</v>
      </c>
      <c r="K106" s="169">
        <f>IFERROR(__xludf.DUMMYFUNCTION("""COMPUTED_VALUE"""),-5.0)</f>
        <v>-5</v>
      </c>
      <c r="L106" s="164">
        <f>IFERROR(__xludf.DUMMYFUNCTION("""COMPUTED_VALUE"""),-4.0)</f>
        <v>-4</v>
      </c>
      <c r="M106" s="164">
        <f>IFERROR(__xludf.DUMMYFUNCTION("""COMPUTED_VALUE"""),-3.0)</f>
        <v>-3</v>
      </c>
      <c r="N106" s="164">
        <f>IFERROR(__xludf.DUMMYFUNCTION("""COMPUTED_VALUE"""),-2.0)</f>
        <v>-2</v>
      </c>
      <c r="O106" s="164">
        <f>IFERROR(__xludf.DUMMYFUNCTION("""COMPUTED_VALUE"""),-1.0)</f>
        <v>-1</v>
      </c>
      <c r="P106" s="165">
        <f>IFERROR(__xludf.DUMMYFUNCTION("""COMPUTED_VALUE"""),0.0)</f>
        <v>0</v>
      </c>
      <c r="Q106" s="71">
        <f>IFERROR(__xludf.DUMMYFUNCTION("""COMPUTED_VALUE"""),1.0)</f>
        <v>1</v>
      </c>
      <c r="R106" s="71">
        <f>IFERROR(__xludf.DUMMYFUNCTION("""COMPUTED_VALUE"""),2.0)</f>
        <v>2</v>
      </c>
      <c r="S106" s="71">
        <f>IFERROR(__xludf.DUMMYFUNCTION("""COMPUTED_VALUE"""),3.0)</f>
        <v>3</v>
      </c>
      <c r="T106" s="71">
        <f>IFERROR(__xludf.DUMMYFUNCTION("""COMPUTED_VALUE"""),4.0)</f>
        <v>4</v>
      </c>
      <c r="U106" s="71">
        <f>IFERROR(__xludf.DUMMYFUNCTION("""COMPUTED_VALUE"""),5.0)</f>
        <v>5</v>
      </c>
      <c r="V106" s="86">
        <f>IFERROR(__xludf.DUMMYFUNCTION("""COMPUTED_VALUE"""),7.0)</f>
        <v>7</v>
      </c>
      <c r="W106" s="159">
        <f>IFERROR(__xludf.DUMMYFUNCTION("""COMPUTED_VALUE"""),46000.0)</f>
        <v>46000</v>
      </c>
      <c r="X106" s="110">
        <f>IFERROR(__xludf.DUMMYFUNCTION("""COMPUTED_VALUE"""),46003.0)</f>
        <v>46003</v>
      </c>
      <c r="Y106" s="111">
        <f>IFERROR(__xludf.DUMMYFUNCTION("""COMPUTED_VALUE"""),46008.0)</f>
        <v>46008</v>
      </c>
      <c r="Z106" s="80"/>
      <c r="AA106" s="80"/>
      <c r="AB106" s="80"/>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04"/>
      <c r="BC106" s="104"/>
      <c r="BD106" s="104"/>
      <c r="BE106" s="104"/>
    </row>
    <row r="107">
      <c r="A107" s="93"/>
      <c r="B107" s="96"/>
      <c r="C107" s="96"/>
      <c r="D107" s="113" t="str">
        <f>IFERROR(__xludf.DUMMYFUNCTION("""COMPUTED_VALUE"""),"けまわし")</f>
        <v>けまわし</v>
      </c>
      <c r="E107" s="163" t="str">
        <f>IFERROR(__xludf.DUMMYFUNCTION("""COMPUTED_VALUE"""),"パターン限界値±8cm")</f>
        <v>パターン限界値±8cm</v>
      </c>
      <c r="F107" s="164">
        <f>IFERROR(__xludf.DUMMYFUNCTION("""COMPUTED_VALUE"""),-10.0)</f>
        <v>-10</v>
      </c>
      <c r="G107" s="164">
        <f>IFERROR(__xludf.DUMMYFUNCTION("""COMPUTED_VALUE"""),-9.0)</f>
        <v>-9</v>
      </c>
      <c r="H107" s="164">
        <f>IFERROR(__xludf.DUMMYFUNCTION("""COMPUTED_VALUE"""),-8.0)</f>
        <v>-8</v>
      </c>
      <c r="I107" s="164">
        <f>IFERROR(__xludf.DUMMYFUNCTION("""COMPUTED_VALUE"""),-7.0)</f>
        <v>-7</v>
      </c>
      <c r="J107" s="164">
        <f>IFERROR(__xludf.DUMMYFUNCTION("""COMPUTED_VALUE"""),-6.0)</f>
        <v>-6</v>
      </c>
      <c r="K107" s="164">
        <f>IFERROR(__xludf.DUMMYFUNCTION("""COMPUTED_VALUE"""),-5.0)</f>
        <v>-5</v>
      </c>
      <c r="L107" s="164">
        <f>IFERROR(__xludf.DUMMYFUNCTION("""COMPUTED_VALUE"""),-4.0)</f>
        <v>-4</v>
      </c>
      <c r="M107" s="164">
        <f>IFERROR(__xludf.DUMMYFUNCTION("""COMPUTED_VALUE"""),-3.0)</f>
        <v>-3</v>
      </c>
      <c r="N107" s="164">
        <f>IFERROR(__xludf.DUMMYFUNCTION("""COMPUTED_VALUE"""),-2.0)</f>
        <v>-2</v>
      </c>
      <c r="O107" s="164">
        <f>IFERROR(__xludf.DUMMYFUNCTION("""COMPUTED_VALUE"""),-1.0)</f>
        <v>-1</v>
      </c>
      <c r="P107" s="165">
        <f>IFERROR(__xludf.DUMMYFUNCTION("""COMPUTED_VALUE"""),0.0)</f>
        <v>0</v>
      </c>
      <c r="Q107" s="157">
        <f>IFERROR(__xludf.DUMMYFUNCTION("""COMPUTED_VALUE"""),1.0)</f>
        <v>1</v>
      </c>
      <c r="R107" s="157">
        <f>IFERROR(__xludf.DUMMYFUNCTION("""COMPUTED_VALUE"""),2.0)</f>
        <v>2</v>
      </c>
      <c r="S107" s="157">
        <f>IFERROR(__xludf.DUMMYFUNCTION("""COMPUTED_VALUE"""),3.0)</f>
        <v>3</v>
      </c>
      <c r="T107" s="157">
        <f>IFERROR(__xludf.DUMMYFUNCTION("""COMPUTED_VALUE"""),4.0)</f>
        <v>4</v>
      </c>
      <c r="U107" s="157">
        <f>IFERROR(__xludf.DUMMYFUNCTION("""COMPUTED_VALUE"""),5.0)</f>
        <v>5</v>
      </c>
      <c r="V107" s="75">
        <f>IFERROR(__xludf.DUMMYFUNCTION("""COMPUTED_VALUE"""),10.0)</f>
        <v>10</v>
      </c>
      <c r="W107" s="159">
        <f>IFERROR(__xludf.DUMMYFUNCTION("""COMPUTED_VALUE"""),46003.0)</f>
        <v>46003</v>
      </c>
      <c r="X107" s="110">
        <f>IFERROR(__xludf.DUMMYFUNCTION("""COMPUTED_VALUE"""),46003.0)</f>
        <v>46003</v>
      </c>
      <c r="Y107" s="111">
        <f>IFERROR(__xludf.DUMMYFUNCTION("""COMPUTED_VALUE"""),46008.0)</f>
        <v>46008</v>
      </c>
      <c r="Z107" s="80"/>
      <c r="AA107" s="80"/>
      <c r="AB107" s="80"/>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04"/>
      <c r="BC107" s="104"/>
      <c r="BD107" s="104"/>
      <c r="BE107" s="104"/>
    </row>
    <row r="108">
      <c r="A108" s="93"/>
      <c r="B108" s="11"/>
      <c r="C108" s="11"/>
      <c r="D108" s="11"/>
      <c r="E108" s="11"/>
      <c r="F108" s="11"/>
      <c r="G108" s="11"/>
      <c r="H108" s="11"/>
      <c r="I108" s="11"/>
      <c r="J108" s="11"/>
      <c r="K108" s="11"/>
      <c r="L108" s="11"/>
      <c r="M108" s="11"/>
      <c r="N108" s="11"/>
      <c r="O108" s="11"/>
      <c r="P108" s="11"/>
      <c r="Q108" s="11"/>
      <c r="R108" s="11"/>
      <c r="S108" s="11"/>
      <c r="T108" s="11"/>
      <c r="U108" s="11"/>
      <c r="V108" s="11"/>
      <c r="W108" s="117"/>
      <c r="X108" s="117"/>
      <c r="Y108" s="117"/>
      <c r="Z108" s="121"/>
      <c r="AA108" s="121"/>
      <c r="AB108" s="12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04"/>
      <c r="BC108" s="104"/>
      <c r="BD108" s="104"/>
      <c r="BE108" s="104"/>
    </row>
    <row r="109">
      <c r="A109" s="12"/>
      <c r="B109" s="170" t="str">
        <f>IFERROR(__xludf.DUMMYFUNCTION("""COMPUTED_VALUE"""),"
カットソー　長袖")</f>
        <v>
カットソー　長袖</v>
      </c>
      <c r="C109" s="171" t="str">
        <f>IFERROR(__xludf.DUMMYFUNCTION("""COMPUTED_VALUE"""),"サイズ")</f>
        <v>サイズ</v>
      </c>
      <c r="D109" s="112" t="str">
        <f>IFERROR(__xludf.DUMMYFUNCTION("""COMPUTED_VALUE"""),"裄丈")</f>
        <v>裄丈</v>
      </c>
      <c r="E109" s="113" t="str">
        <f>IFERROR(__xludf.DUMMYFUNCTION("""COMPUTED_VALUE"""),"カフスあり")</f>
        <v>カフスあり</v>
      </c>
      <c r="F109" s="157">
        <f>IFERROR(__xludf.DUMMYFUNCTION("""COMPUTED_VALUE"""),-10.0)</f>
        <v>-10</v>
      </c>
      <c r="G109" s="157">
        <f>IFERROR(__xludf.DUMMYFUNCTION("""COMPUTED_VALUE"""),-9.0)</f>
        <v>-9</v>
      </c>
      <c r="H109" s="157">
        <f>IFERROR(__xludf.DUMMYFUNCTION("""COMPUTED_VALUE"""),-8.0)</f>
        <v>-8</v>
      </c>
      <c r="I109" s="157">
        <f>IFERROR(__xludf.DUMMYFUNCTION("""COMPUTED_VALUE"""),-7.0)</f>
        <v>-7</v>
      </c>
      <c r="J109" s="157">
        <f>IFERROR(__xludf.DUMMYFUNCTION("""COMPUTED_VALUE"""),-6.0)</f>
        <v>-6</v>
      </c>
      <c r="K109" s="157">
        <f>IFERROR(__xludf.DUMMYFUNCTION("""COMPUTED_VALUE"""),-5.0)</f>
        <v>-5</v>
      </c>
      <c r="L109" s="157">
        <f>IFERROR(__xludf.DUMMYFUNCTION("""COMPUTED_VALUE"""),-4.0)</f>
        <v>-4</v>
      </c>
      <c r="M109" s="172">
        <f>IFERROR(__xludf.DUMMYFUNCTION("""COMPUTED_VALUE"""),-3.0)</f>
        <v>-3</v>
      </c>
      <c r="N109" s="172">
        <f>IFERROR(__xludf.DUMMYFUNCTION("""COMPUTED_VALUE"""),-2.0)</f>
        <v>-2</v>
      </c>
      <c r="O109" s="172">
        <f>IFERROR(__xludf.DUMMYFUNCTION("""COMPUTED_VALUE"""),-1.0)</f>
        <v>-1</v>
      </c>
      <c r="P109" s="173">
        <f>IFERROR(__xludf.DUMMYFUNCTION("""COMPUTED_VALUE"""),0.0)</f>
        <v>0</v>
      </c>
      <c r="Q109" s="157">
        <f>IFERROR(__xludf.DUMMYFUNCTION("""COMPUTED_VALUE"""),1.0)</f>
        <v>1</v>
      </c>
      <c r="R109" s="157">
        <f>IFERROR(__xludf.DUMMYFUNCTION("""COMPUTED_VALUE"""),2.0)</f>
        <v>2</v>
      </c>
      <c r="S109" s="157">
        <f>IFERROR(__xludf.DUMMYFUNCTION("""COMPUTED_VALUE"""),3.0)</f>
        <v>3</v>
      </c>
      <c r="T109" s="157">
        <f>IFERROR(__xludf.DUMMYFUNCTION("""COMPUTED_VALUE"""),4.0)</f>
        <v>4</v>
      </c>
      <c r="U109" s="157">
        <f>IFERROR(__xludf.DUMMYFUNCTION("""COMPUTED_VALUE"""),5.0)</f>
        <v>5</v>
      </c>
      <c r="V109" s="75">
        <f>IFERROR(__xludf.DUMMYFUNCTION("""COMPUTED_VALUE"""),7.0)</f>
        <v>7</v>
      </c>
      <c r="W109" s="76">
        <f>IFERROR(__xludf.DUMMYFUNCTION("""COMPUTED_VALUE"""),46000.0)</f>
        <v>46000</v>
      </c>
      <c r="X109" s="110">
        <f>IFERROR(__xludf.DUMMYFUNCTION("""COMPUTED_VALUE"""),46003.0)</f>
        <v>46003</v>
      </c>
      <c r="Y109" s="111">
        <f>IFERROR(__xludf.DUMMYFUNCTION("""COMPUTED_VALUE"""),46008.0)</f>
        <v>46008</v>
      </c>
      <c r="Z109" s="80"/>
      <c r="AA109" s="80"/>
      <c r="AB109" s="80"/>
      <c r="AC109" s="160"/>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04"/>
      <c r="BC109" s="123"/>
      <c r="BD109" s="104"/>
      <c r="BE109" s="104"/>
    </row>
    <row r="110">
      <c r="A110" s="12"/>
      <c r="B110" s="94"/>
      <c r="C110" s="94"/>
      <c r="D110" s="112" t="str">
        <f>IFERROR(__xludf.DUMMYFUNCTION("""COMPUTED_VALUE"""),"裄丈")</f>
        <v>裄丈</v>
      </c>
      <c r="E110" s="113" t="str">
        <f>IFERROR(__xludf.DUMMYFUNCTION("""COMPUTED_VALUE"""),"カフスなし")</f>
        <v>カフスなし</v>
      </c>
      <c r="F110" s="157">
        <f>IFERROR(__xludf.DUMMYFUNCTION("""COMPUTED_VALUE"""),-10.0)</f>
        <v>-10</v>
      </c>
      <c r="G110" s="157">
        <f>IFERROR(__xludf.DUMMYFUNCTION("""COMPUTED_VALUE"""),-9.0)</f>
        <v>-9</v>
      </c>
      <c r="H110" s="157">
        <f>IFERROR(__xludf.DUMMYFUNCTION("""COMPUTED_VALUE"""),-8.0)</f>
        <v>-8</v>
      </c>
      <c r="I110" s="157">
        <f>IFERROR(__xludf.DUMMYFUNCTION("""COMPUTED_VALUE"""),-7.0)</f>
        <v>-7</v>
      </c>
      <c r="J110" s="157">
        <f>IFERROR(__xludf.DUMMYFUNCTION("""COMPUTED_VALUE"""),-6.0)</f>
        <v>-6</v>
      </c>
      <c r="K110" s="157">
        <f>IFERROR(__xludf.DUMMYFUNCTION("""COMPUTED_VALUE"""),-5.0)</f>
        <v>-5</v>
      </c>
      <c r="L110" s="157">
        <f>IFERROR(__xludf.DUMMYFUNCTION("""COMPUTED_VALUE"""),-4.0)</f>
        <v>-4</v>
      </c>
      <c r="M110" s="172">
        <f>IFERROR(__xludf.DUMMYFUNCTION("""COMPUTED_VALUE"""),-3.0)</f>
        <v>-3</v>
      </c>
      <c r="N110" s="172">
        <f>IFERROR(__xludf.DUMMYFUNCTION("""COMPUTED_VALUE"""),-2.0)</f>
        <v>-2</v>
      </c>
      <c r="O110" s="172">
        <f>IFERROR(__xludf.DUMMYFUNCTION("""COMPUTED_VALUE"""),-1.0)</f>
        <v>-1</v>
      </c>
      <c r="P110" s="173">
        <f>IFERROR(__xludf.DUMMYFUNCTION("""COMPUTED_VALUE"""),0.0)</f>
        <v>0</v>
      </c>
      <c r="Q110" s="157">
        <f>IFERROR(__xludf.DUMMYFUNCTION("""COMPUTED_VALUE"""),1.0)</f>
        <v>1</v>
      </c>
      <c r="R110" s="157">
        <f>IFERROR(__xludf.DUMMYFUNCTION("""COMPUTED_VALUE"""),2.0)</f>
        <v>2</v>
      </c>
      <c r="S110" s="157">
        <f>IFERROR(__xludf.DUMMYFUNCTION("""COMPUTED_VALUE"""),3.0)</f>
        <v>3</v>
      </c>
      <c r="T110" s="157">
        <f>IFERROR(__xludf.DUMMYFUNCTION("""COMPUTED_VALUE"""),4.0)</f>
        <v>4</v>
      </c>
      <c r="U110" s="157">
        <f>IFERROR(__xludf.DUMMYFUNCTION("""COMPUTED_VALUE"""),5.0)</f>
        <v>5</v>
      </c>
      <c r="V110" s="75">
        <f>IFERROR(__xludf.DUMMYFUNCTION("""COMPUTED_VALUE"""),7.0)</f>
        <v>7</v>
      </c>
      <c r="W110" s="76">
        <f>IFERROR(__xludf.DUMMYFUNCTION("""COMPUTED_VALUE"""),46000.0)</f>
        <v>46000</v>
      </c>
      <c r="X110" s="110">
        <f>IFERROR(__xludf.DUMMYFUNCTION("""COMPUTED_VALUE"""),46003.0)</f>
        <v>46003</v>
      </c>
      <c r="Y110" s="111">
        <f>IFERROR(__xludf.DUMMYFUNCTION("""COMPUTED_VALUE"""),46008.0)</f>
        <v>46008</v>
      </c>
      <c r="Z110" s="80"/>
      <c r="AA110" s="80"/>
      <c r="AB110" s="80"/>
      <c r="AC110" s="160"/>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04"/>
      <c r="BC110" s="123"/>
      <c r="BD110" s="104"/>
      <c r="BE110" s="104"/>
    </row>
    <row r="111">
      <c r="A111" s="12"/>
      <c r="B111" s="94"/>
      <c r="C111" s="94"/>
      <c r="D111" s="112" t="str">
        <f>IFERROR(__xludf.DUMMYFUNCTION("""COMPUTED_VALUE"""),"襟")</f>
        <v>襟</v>
      </c>
      <c r="E111" s="90"/>
      <c r="F111" s="157">
        <f>IFERROR(__xludf.DUMMYFUNCTION("""COMPUTED_VALUE"""),-10.0)</f>
        <v>-10</v>
      </c>
      <c r="G111" s="157">
        <f>IFERROR(__xludf.DUMMYFUNCTION("""COMPUTED_VALUE"""),-9.0)</f>
        <v>-9</v>
      </c>
      <c r="H111" s="157">
        <f>IFERROR(__xludf.DUMMYFUNCTION("""COMPUTED_VALUE"""),-8.0)</f>
        <v>-8</v>
      </c>
      <c r="I111" s="157">
        <f>IFERROR(__xludf.DUMMYFUNCTION("""COMPUTED_VALUE"""),-7.0)</f>
        <v>-7</v>
      </c>
      <c r="J111" s="157">
        <f>IFERROR(__xludf.DUMMYFUNCTION("""COMPUTED_VALUE"""),-6.0)</f>
        <v>-6</v>
      </c>
      <c r="K111" s="157">
        <f>IFERROR(__xludf.DUMMYFUNCTION("""COMPUTED_VALUE"""),-5.0)</f>
        <v>-5</v>
      </c>
      <c r="L111" s="157">
        <f>IFERROR(__xludf.DUMMYFUNCTION("""COMPUTED_VALUE"""),-4.0)</f>
        <v>-4</v>
      </c>
      <c r="M111" s="157">
        <f>IFERROR(__xludf.DUMMYFUNCTION("""COMPUTED_VALUE"""),-3.0)</f>
        <v>-3</v>
      </c>
      <c r="N111" s="157">
        <f>IFERROR(__xludf.DUMMYFUNCTION("""COMPUTED_VALUE"""),-2.0)</f>
        <v>-2</v>
      </c>
      <c r="O111" s="157">
        <f>IFERROR(__xludf.DUMMYFUNCTION("""COMPUTED_VALUE"""),-1.0)</f>
        <v>-1</v>
      </c>
      <c r="P111" s="173">
        <f>IFERROR(__xludf.DUMMYFUNCTION("""COMPUTED_VALUE"""),0.0)</f>
        <v>0</v>
      </c>
      <c r="Q111" s="157">
        <f>IFERROR(__xludf.DUMMYFUNCTION("""COMPUTED_VALUE"""),1.0)</f>
        <v>1</v>
      </c>
      <c r="R111" s="157">
        <f>IFERROR(__xludf.DUMMYFUNCTION("""COMPUTED_VALUE"""),2.0)</f>
        <v>2</v>
      </c>
      <c r="S111" s="157">
        <f>IFERROR(__xludf.DUMMYFUNCTION("""COMPUTED_VALUE"""),3.0)</f>
        <v>3</v>
      </c>
      <c r="T111" s="157">
        <f>IFERROR(__xludf.DUMMYFUNCTION("""COMPUTED_VALUE"""),4.0)</f>
        <v>4</v>
      </c>
      <c r="U111" s="157">
        <f>IFERROR(__xludf.DUMMYFUNCTION("""COMPUTED_VALUE"""),5.0)</f>
        <v>5</v>
      </c>
      <c r="V111" s="75" t="str">
        <f>IFERROR(__xludf.DUMMYFUNCTION("""COMPUTED_VALUE"""),"-")</f>
        <v>-</v>
      </c>
      <c r="W111" s="122" t="str">
        <f>IFERROR(__xludf.DUMMYFUNCTION("""COMPUTED_VALUE"""),"-")</f>
        <v>-</v>
      </c>
      <c r="X111" s="174" t="str">
        <f>IFERROR(__xludf.DUMMYFUNCTION("""COMPUTED_VALUE"""),"-")</f>
        <v>-</v>
      </c>
      <c r="Y111" s="175" t="str">
        <f>IFERROR(__xludf.DUMMYFUNCTION("""COMPUTED_VALUE"""),"-")</f>
        <v>-</v>
      </c>
      <c r="Z111" s="80"/>
      <c r="AA111" s="80"/>
      <c r="AB111" s="80"/>
      <c r="AC111" s="160"/>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04"/>
      <c r="BC111" s="123"/>
      <c r="BD111" s="104"/>
      <c r="BE111" s="104"/>
    </row>
    <row r="112">
      <c r="A112" s="12"/>
      <c r="B112" s="94"/>
      <c r="C112" s="94"/>
      <c r="D112" s="112" t="str">
        <f>IFERROR(__xludf.DUMMYFUNCTION("""COMPUTED_VALUE"""),"カフス")</f>
        <v>カフス</v>
      </c>
      <c r="E112" s="90"/>
      <c r="F112" s="157">
        <f>IFERROR(__xludf.DUMMYFUNCTION("""COMPUTED_VALUE"""),-10.0)</f>
        <v>-10</v>
      </c>
      <c r="G112" s="157">
        <f>IFERROR(__xludf.DUMMYFUNCTION("""COMPUTED_VALUE"""),-9.0)</f>
        <v>-9</v>
      </c>
      <c r="H112" s="157">
        <f>IFERROR(__xludf.DUMMYFUNCTION("""COMPUTED_VALUE"""),-8.0)</f>
        <v>-8</v>
      </c>
      <c r="I112" s="157">
        <f>IFERROR(__xludf.DUMMYFUNCTION("""COMPUTED_VALUE"""),-7.0)</f>
        <v>-7</v>
      </c>
      <c r="J112" s="157">
        <f>IFERROR(__xludf.DUMMYFUNCTION("""COMPUTED_VALUE"""),-6.0)</f>
        <v>-6</v>
      </c>
      <c r="K112" s="157">
        <f>IFERROR(__xludf.DUMMYFUNCTION("""COMPUTED_VALUE"""),-5.0)</f>
        <v>-5</v>
      </c>
      <c r="L112" s="157">
        <f>IFERROR(__xludf.DUMMYFUNCTION("""COMPUTED_VALUE"""),-4.0)</f>
        <v>-4</v>
      </c>
      <c r="M112" s="157">
        <f>IFERROR(__xludf.DUMMYFUNCTION("""COMPUTED_VALUE"""),-3.0)</f>
        <v>-3</v>
      </c>
      <c r="N112" s="157">
        <f>IFERROR(__xludf.DUMMYFUNCTION("""COMPUTED_VALUE"""),-2.0)</f>
        <v>-2</v>
      </c>
      <c r="O112" s="157">
        <f>IFERROR(__xludf.DUMMYFUNCTION("""COMPUTED_VALUE"""),-1.0)</f>
        <v>-1</v>
      </c>
      <c r="P112" s="173">
        <f>IFERROR(__xludf.DUMMYFUNCTION("""COMPUTED_VALUE"""),0.0)</f>
        <v>0</v>
      </c>
      <c r="Q112" s="157">
        <f>IFERROR(__xludf.DUMMYFUNCTION("""COMPUTED_VALUE"""),1.0)</f>
        <v>1</v>
      </c>
      <c r="R112" s="157">
        <f>IFERROR(__xludf.DUMMYFUNCTION("""COMPUTED_VALUE"""),2.0)</f>
        <v>2</v>
      </c>
      <c r="S112" s="157">
        <f>IFERROR(__xludf.DUMMYFUNCTION("""COMPUTED_VALUE"""),3.0)</f>
        <v>3</v>
      </c>
      <c r="T112" s="157">
        <f>IFERROR(__xludf.DUMMYFUNCTION("""COMPUTED_VALUE"""),4.0)</f>
        <v>4</v>
      </c>
      <c r="U112" s="157">
        <f>IFERROR(__xludf.DUMMYFUNCTION("""COMPUTED_VALUE"""),5.0)</f>
        <v>5</v>
      </c>
      <c r="V112" s="75" t="str">
        <f>IFERROR(__xludf.DUMMYFUNCTION("""COMPUTED_VALUE"""),"-")</f>
        <v>-</v>
      </c>
      <c r="W112" s="76" t="str">
        <f>IFERROR(__xludf.DUMMYFUNCTION("""COMPUTED_VALUE"""),"-")</f>
        <v>-</v>
      </c>
      <c r="X112" s="77" t="str">
        <f>IFERROR(__xludf.DUMMYFUNCTION("""COMPUTED_VALUE"""),"-")</f>
        <v>-</v>
      </c>
      <c r="Y112" s="132" t="str">
        <f>IFERROR(__xludf.DUMMYFUNCTION("""COMPUTED_VALUE"""),"-")</f>
        <v>-</v>
      </c>
      <c r="Z112" s="80"/>
      <c r="AA112" s="80"/>
      <c r="AB112" s="80"/>
      <c r="AC112" s="160"/>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04"/>
      <c r="BC112" s="123"/>
      <c r="BD112" s="104"/>
      <c r="BE112" s="104"/>
    </row>
    <row r="113">
      <c r="A113" s="12"/>
      <c r="B113" s="94"/>
      <c r="C113" s="94"/>
      <c r="D113" s="112" t="str">
        <f>IFERROR(__xludf.DUMMYFUNCTION("""COMPUTED_VALUE"""),"バスト")</f>
        <v>バスト</v>
      </c>
      <c r="E113" s="90"/>
      <c r="F113" s="157">
        <f>IFERROR(__xludf.DUMMYFUNCTION("""COMPUTED_VALUE"""),-10.0)</f>
        <v>-10</v>
      </c>
      <c r="G113" s="157">
        <f>IFERROR(__xludf.DUMMYFUNCTION("""COMPUTED_VALUE"""),-9.0)</f>
        <v>-9</v>
      </c>
      <c r="H113" s="157">
        <f>IFERROR(__xludf.DUMMYFUNCTION("""COMPUTED_VALUE"""),-8.0)</f>
        <v>-8</v>
      </c>
      <c r="I113" s="157">
        <f>IFERROR(__xludf.DUMMYFUNCTION("""COMPUTED_VALUE"""),-7.0)</f>
        <v>-7</v>
      </c>
      <c r="J113" s="157">
        <f>IFERROR(__xludf.DUMMYFUNCTION("""COMPUTED_VALUE"""),-6.0)</f>
        <v>-6</v>
      </c>
      <c r="K113" s="157">
        <f>IFERROR(__xludf.DUMMYFUNCTION("""COMPUTED_VALUE"""),-5.0)</f>
        <v>-5</v>
      </c>
      <c r="L113" s="172">
        <f>IFERROR(__xludf.DUMMYFUNCTION("""COMPUTED_VALUE"""),-4.0)</f>
        <v>-4</v>
      </c>
      <c r="M113" s="172">
        <f>IFERROR(__xludf.DUMMYFUNCTION("""COMPUTED_VALUE"""),-3.0)</f>
        <v>-3</v>
      </c>
      <c r="N113" s="172">
        <f>IFERROR(__xludf.DUMMYFUNCTION("""COMPUTED_VALUE"""),-2.0)</f>
        <v>-2</v>
      </c>
      <c r="O113" s="172">
        <f>IFERROR(__xludf.DUMMYFUNCTION("""COMPUTED_VALUE"""),-1.0)</f>
        <v>-1</v>
      </c>
      <c r="P113" s="173">
        <f>IFERROR(__xludf.DUMMYFUNCTION("""COMPUTED_VALUE"""),0.0)</f>
        <v>0</v>
      </c>
      <c r="Q113" s="157">
        <f>IFERROR(__xludf.DUMMYFUNCTION("""COMPUTED_VALUE"""),1.0)</f>
        <v>1</v>
      </c>
      <c r="R113" s="157">
        <f>IFERROR(__xludf.DUMMYFUNCTION("""COMPUTED_VALUE"""),2.0)</f>
        <v>2</v>
      </c>
      <c r="S113" s="157">
        <f>IFERROR(__xludf.DUMMYFUNCTION("""COMPUTED_VALUE"""),3.0)</f>
        <v>3</v>
      </c>
      <c r="T113" s="157">
        <f>IFERROR(__xludf.DUMMYFUNCTION("""COMPUTED_VALUE"""),4.0)</f>
        <v>4</v>
      </c>
      <c r="U113" s="157">
        <f>IFERROR(__xludf.DUMMYFUNCTION("""COMPUTED_VALUE"""),5.0)</f>
        <v>5</v>
      </c>
      <c r="V113" s="75">
        <f>IFERROR(__xludf.DUMMYFUNCTION("""COMPUTED_VALUE"""),7.0)</f>
        <v>7</v>
      </c>
      <c r="W113" s="76">
        <f>IFERROR(__xludf.DUMMYFUNCTION("""COMPUTED_VALUE"""),46000.0)</f>
        <v>46000</v>
      </c>
      <c r="X113" s="110">
        <f>IFERROR(__xludf.DUMMYFUNCTION("""COMPUTED_VALUE"""),46003.0)</f>
        <v>46003</v>
      </c>
      <c r="Y113" s="111">
        <f>IFERROR(__xludf.DUMMYFUNCTION("""COMPUTED_VALUE"""),46008.0)</f>
        <v>46008</v>
      </c>
      <c r="Z113" s="80"/>
      <c r="AA113" s="80"/>
      <c r="AB113" s="80"/>
      <c r="AC113" s="160"/>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04"/>
      <c r="BC113" s="123"/>
      <c r="BD113" s="104"/>
      <c r="BE113" s="104"/>
    </row>
    <row r="114">
      <c r="A114" s="93"/>
      <c r="B114" s="94"/>
      <c r="C114" s="94"/>
      <c r="D114" s="112" t="str">
        <f>IFERROR(__xludf.DUMMYFUNCTION("""COMPUTED_VALUE"""),"アームホール")</f>
        <v>アームホール</v>
      </c>
      <c r="E114" s="112" t="str">
        <f>IFERROR(__xludf.DUMMYFUNCTION("""COMPUTED_VALUE"""),"※バストと連動")</f>
        <v>※バストと連動</v>
      </c>
      <c r="F114" s="157">
        <f>IFERROR(__xludf.DUMMYFUNCTION("""COMPUTED_VALUE"""),-10.0)</f>
        <v>-10</v>
      </c>
      <c r="G114" s="157">
        <f>IFERROR(__xludf.DUMMYFUNCTION("""COMPUTED_VALUE"""),-9.0)</f>
        <v>-9</v>
      </c>
      <c r="H114" s="157">
        <f>IFERROR(__xludf.DUMMYFUNCTION("""COMPUTED_VALUE"""),-8.0)</f>
        <v>-8</v>
      </c>
      <c r="I114" s="157">
        <f>IFERROR(__xludf.DUMMYFUNCTION("""COMPUTED_VALUE"""),-7.0)</f>
        <v>-7</v>
      </c>
      <c r="J114" s="157">
        <f>IFERROR(__xludf.DUMMYFUNCTION("""COMPUTED_VALUE"""),-6.0)</f>
        <v>-6</v>
      </c>
      <c r="K114" s="157">
        <f>IFERROR(__xludf.DUMMYFUNCTION("""COMPUTED_VALUE"""),-5.0)</f>
        <v>-5</v>
      </c>
      <c r="L114" s="157">
        <f>IFERROR(__xludf.DUMMYFUNCTION("""COMPUTED_VALUE"""),-4.0)</f>
        <v>-4</v>
      </c>
      <c r="M114" s="157">
        <f>IFERROR(__xludf.DUMMYFUNCTION("""COMPUTED_VALUE"""),-3.0)</f>
        <v>-3</v>
      </c>
      <c r="N114" s="172">
        <f>IFERROR(__xludf.DUMMYFUNCTION("""COMPUTED_VALUE"""),-2.0)</f>
        <v>-2</v>
      </c>
      <c r="O114" s="172">
        <f>IFERROR(__xludf.DUMMYFUNCTION("""COMPUTED_VALUE"""),-1.0)</f>
        <v>-1</v>
      </c>
      <c r="P114" s="173">
        <f>IFERROR(__xludf.DUMMYFUNCTION("""COMPUTED_VALUE"""),0.0)</f>
        <v>0</v>
      </c>
      <c r="Q114" s="157">
        <f>IFERROR(__xludf.DUMMYFUNCTION("""COMPUTED_VALUE"""),1.0)</f>
        <v>1</v>
      </c>
      <c r="R114" s="157">
        <f>IFERROR(__xludf.DUMMYFUNCTION("""COMPUTED_VALUE"""),2.0)</f>
        <v>2</v>
      </c>
      <c r="S114" s="157">
        <f>IFERROR(__xludf.DUMMYFUNCTION("""COMPUTED_VALUE"""),3.0)</f>
        <v>3</v>
      </c>
      <c r="T114" s="157">
        <f>IFERROR(__xludf.DUMMYFUNCTION("""COMPUTED_VALUE"""),4.0)</f>
        <v>4</v>
      </c>
      <c r="U114" s="157">
        <f>IFERROR(__xludf.DUMMYFUNCTION("""COMPUTED_VALUE"""),5.0)</f>
        <v>5</v>
      </c>
      <c r="V114" s="75">
        <f>IFERROR(__xludf.DUMMYFUNCTION("""COMPUTED_VALUE"""),7.0)</f>
        <v>7</v>
      </c>
      <c r="W114" s="159">
        <f>IFERROR(__xludf.DUMMYFUNCTION("""COMPUTED_VALUE"""),46000.0)</f>
        <v>46000</v>
      </c>
      <c r="X114" s="110">
        <f>IFERROR(__xludf.DUMMYFUNCTION("""COMPUTED_VALUE"""),46003.0)</f>
        <v>46003</v>
      </c>
      <c r="Y114" s="111">
        <f>IFERROR(__xludf.DUMMYFUNCTION("""COMPUTED_VALUE"""),46008.0)</f>
        <v>46008</v>
      </c>
      <c r="Z114" s="80"/>
      <c r="AA114" s="80"/>
      <c r="AB114" s="80"/>
      <c r="AC114" s="160"/>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04"/>
      <c r="BC114" s="123"/>
      <c r="BD114" s="104"/>
      <c r="BE114" s="104"/>
    </row>
    <row r="115">
      <c r="A115" s="93"/>
      <c r="B115" s="94"/>
      <c r="C115" s="94"/>
      <c r="D115" s="112" t="str">
        <f>IFERROR(__xludf.DUMMYFUNCTION("""COMPUTED_VALUE"""),"ウエスト")</f>
        <v>ウエスト</v>
      </c>
      <c r="E115" s="90"/>
      <c r="F115" s="157">
        <f>IFERROR(__xludf.DUMMYFUNCTION("""COMPUTED_VALUE"""),-10.0)</f>
        <v>-10</v>
      </c>
      <c r="G115" s="157">
        <f>IFERROR(__xludf.DUMMYFUNCTION("""COMPUTED_VALUE"""),-9.0)</f>
        <v>-9</v>
      </c>
      <c r="H115" s="157">
        <f>IFERROR(__xludf.DUMMYFUNCTION("""COMPUTED_VALUE"""),-8.0)</f>
        <v>-8</v>
      </c>
      <c r="I115" s="157">
        <f>IFERROR(__xludf.DUMMYFUNCTION("""COMPUTED_VALUE"""),-7.0)</f>
        <v>-7</v>
      </c>
      <c r="J115" s="157">
        <f>IFERROR(__xludf.DUMMYFUNCTION("""COMPUTED_VALUE"""),-6.0)</f>
        <v>-6</v>
      </c>
      <c r="K115" s="157">
        <f>IFERROR(__xludf.DUMMYFUNCTION("""COMPUTED_VALUE"""),-5.0)</f>
        <v>-5</v>
      </c>
      <c r="L115" s="172">
        <f>IFERROR(__xludf.DUMMYFUNCTION("""COMPUTED_VALUE"""),-4.0)</f>
        <v>-4</v>
      </c>
      <c r="M115" s="172">
        <f>IFERROR(__xludf.DUMMYFUNCTION("""COMPUTED_VALUE"""),-3.0)</f>
        <v>-3</v>
      </c>
      <c r="N115" s="172">
        <f>IFERROR(__xludf.DUMMYFUNCTION("""COMPUTED_VALUE"""),-2.0)</f>
        <v>-2</v>
      </c>
      <c r="O115" s="172">
        <f>IFERROR(__xludf.DUMMYFUNCTION("""COMPUTED_VALUE"""),-1.0)</f>
        <v>-1</v>
      </c>
      <c r="P115" s="173">
        <f>IFERROR(__xludf.DUMMYFUNCTION("""COMPUTED_VALUE"""),0.0)</f>
        <v>0</v>
      </c>
      <c r="Q115" s="157">
        <f>IFERROR(__xludf.DUMMYFUNCTION("""COMPUTED_VALUE"""),1.0)</f>
        <v>1</v>
      </c>
      <c r="R115" s="157">
        <f>IFERROR(__xludf.DUMMYFUNCTION("""COMPUTED_VALUE"""),2.0)</f>
        <v>2</v>
      </c>
      <c r="S115" s="157">
        <f>IFERROR(__xludf.DUMMYFUNCTION("""COMPUTED_VALUE"""),3.0)</f>
        <v>3</v>
      </c>
      <c r="T115" s="157">
        <f>IFERROR(__xludf.DUMMYFUNCTION("""COMPUTED_VALUE"""),4.0)</f>
        <v>4</v>
      </c>
      <c r="U115" s="157">
        <f>IFERROR(__xludf.DUMMYFUNCTION("""COMPUTED_VALUE"""),5.0)</f>
        <v>5</v>
      </c>
      <c r="V115" s="75">
        <f>IFERROR(__xludf.DUMMYFUNCTION("""COMPUTED_VALUE"""),7.0)</f>
        <v>7</v>
      </c>
      <c r="W115" s="159">
        <f>IFERROR(__xludf.DUMMYFUNCTION("""COMPUTED_VALUE"""),46000.0)</f>
        <v>46000</v>
      </c>
      <c r="X115" s="110">
        <f>IFERROR(__xludf.DUMMYFUNCTION("""COMPUTED_VALUE"""),46003.0)</f>
        <v>46003</v>
      </c>
      <c r="Y115" s="111">
        <f>IFERROR(__xludf.DUMMYFUNCTION("""COMPUTED_VALUE"""),46008.0)</f>
        <v>46008</v>
      </c>
      <c r="Z115" s="80"/>
      <c r="AA115" s="80"/>
      <c r="AB115" s="80"/>
      <c r="AC115" s="160"/>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04"/>
      <c r="BC115" s="123"/>
      <c r="BD115" s="104"/>
      <c r="BE115" s="104"/>
    </row>
    <row r="116">
      <c r="A116" s="93"/>
      <c r="B116" s="94"/>
      <c r="C116" s="94"/>
      <c r="D116" s="112" t="str">
        <f>IFERROR(__xludf.DUMMYFUNCTION("""COMPUTED_VALUE"""),"着丈")</f>
        <v>着丈</v>
      </c>
      <c r="E116" s="90"/>
      <c r="F116" s="157">
        <f>IFERROR(__xludf.DUMMYFUNCTION("""COMPUTED_VALUE"""),-10.0)</f>
        <v>-10</v>
      </c>
      <c r="G116" s="157">
        <f>IFERROR(__xludf.DUMMYFUNCTION("""COMPUTED_VALUE"""),-9.0)</f>
        <v>-9</v>
      </c>
      <c r="H116" s="157">
        <f>IFERROR(__xludf.DUMMYFUNCTION("""COMPUTED_VALUE"""),-8.0)</f>
        <v>-8</v>
      </c>
      <c r="I116" s="157">
        <f>IFERROR(__xludf.DUMMYFUNCTION("""COMPUTED_VALUE"""),-7.0)</f>
        <v>-7</v>
      </c>
      <c r="J116" s="172">
        <f>IFERROR(__xludf.DUMMYFUNCTION("""COMPUTED_VALUE"""),-6.0)</f>
        <v>-6</v>
      </c>
      <c r="K116" s="172">
        <f>IFERROR(__xludf.DUMMYFUNCTION("""COMPUTED_VALUE"""),-5.0)</f>
        <v>-5</v>
      </c>
      <c r="L116" s="172">
        <f>IFERROR(__xludf.DUMMYFUNCTION("""COMPUTED_VALUE"""),-4.0)</f>
        <v>-4</v>
      </c>
      <c r="M116" s="172">
        <f>IFERROR(__xludf.DUMMYFUNCTION("""COMPUTED_VALUE"""),-3.0)</f>
        <v>-3</v>
      </c>
      <c r="N116" s="172">
        <f>IFERROR(__xludf.DUMMYFUNCTION("""COMPUTED_VALUE"""),-2.0)</f>
        <v>-2</v>
      </c>
      <c r="O116" s="172">
        <f>IFERROR(__xludf.DUMMYFUNCTION("""COMPUTED_VALUE"""),-1.0)</f>
        <v>-1</v>
      </c>
      <c r="P116" s="173">
        <f>IFERROR(__xludf.DUMMYFUNCTION("""COMPUTED_VALUE"""),0.0)</f>
        <v>0</v>
      </c>
      <c r="Q116" s="157">
        <f>IFERROR(__xludf.DUMMYFUNCTION("""COMPUTED_VALUE"""),1.0)</f>
        <v>1</v>
      </c>
      <c r="R116" s="157">
        <f>IFERROR(__xludf.DUMMYFUNCTION("""COMPUTED_VALUE"""),2.0)</f>
        <v>2</v>
      </c>
      <c r="S116" s="157">
        <f>IFERROR(__xludf.DUMMYFUNCTION("""COMPUTED_VALUE"""),3.0)</f>
        <v>3</v>
      </c>
      <c r="T116" s="157">
        <f>IFERROR(__xludf.DUMMYFUNCTION("""COMPUTED_VALUE"""),4.0)</f>
        <v>4</v>
      </c>
      <c r="U116" s="157">
        <f>IFERROR(__xludf.DUMMYFUNCTION("""COMPUTED_VALUE"""),5.0)</f>
        <v>5</v>
      </c>
      <c r="V116" s="75">
        <f>IFERROR(__xludf.DUMMYFUNCTION("""COMPUTED_VALUE"""),7.0)</f>
        <v>7</v>
      </c>
      <c r="W116" s="159">
        <f>IFERROR(__xludf.DUMMYFUNCTION("""COMPUTED_VALUE"""),46000.0)</f>
        <v>46000</v>
      </c>
      <c r="X116" s="110">
        <f>IFERROR(__xludf.DUMMYFUNCTION("""COMPUTED_VALUE"""),46003.0)</f>
        <v>46003</v>
      </c>
      <c r="Y116" s="111">
        <f>IFERROR(__xludf.DUMMYFUNCTION("""COMPUTED_VALUE"""),46008.0)</f>
        <v>46008</v>
      </c>
      <c r="Z116" s="80"/>
      <c r="AA116" s="80"/>
      <c r="AB116" s="80"/>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04"/>
      <c r="BC116" s="123"/>
      <c r="BD116" s="104"/>
      <c r="BE116" s="104"/>
    </row>
    <row r="117">
      <c r="A117" s="93"/>
      <c r="B117" s="94"/>
      <c r="C117" s="94"/>
      <c r="D117" s="112" t="str">
        <f>IFERROR(__xludf.DUMMYFUNCTION("""COMPUTED_VALUE"""),"肩巾")</f>
        <v>肩巾</v>
      </c>
      <c r="E117" s="90"/>
      <c r="F117" s="157">
        <f>IFERROR(__xludf.DUMMYFUNCTION("""COMPUTED_VALUE"""),-10.0)</f>
        <v>-10</v>
      </c>
      <c r="G117" s="157">
        <f>IFERROR(__xludf.DUMMYFUNCTION("""COMPUTED_VALUE"""),-9.0)</f>
        <v>-9</v>
      </c>
      <c r="H117" s="157">
        <f>IFERROR(__xludf.DUMMYFUNCTION("""COMPUTED_VALUE"""),-8.0)</f>
        <v>-8</v>
      </c>
      <c r="I117" s="157">
        <f>IFERROR(__xludf.DUMMYFUNCTION("""COMPUTED_VALUE"""),-7.0)</f>
        <v>-7</v>
      </c>
      <c r="J117" s="157">
        <f>IFERROR(__xludf.DUMMYFUNCTION("""COMPUTED_VALUE"""),-6.0)</f>
        <v>-6</v>
      </c>
      <c r="K117" s="157">
        <f>IFERROR(__xludf.DUMMYFUNCTION("""COMPUTED_VALUE"""),-5.0)</f>
        <v>-5</v>
      </c>
      <c r="L117" s="157">
        <f>IFERROR(__xludf.DUMMYFUNCTION("""COMPUTED_VALUE"""),-4.0)</f>
        <v>-4</v>
      </c>
      <c r="M117" s="157">
        <f>IFERROR(__xludf.DUMMYFUNCTION("""COMPUTED_VALUE"""),-3.0)</f>
        <v>-3</v>
      </c>
      <c r="N117" s="157">
        <f>IFERROR(__xludf.DUMMYFUNCTION("""COMPUTED_VALUE"""),-2.0)</f>
        <v>-2</v>
      </c>
      <c r="O117" s="157">
        <f>IFERROR(__xludf.DUMMYFUNCTION("""COMPUTED_VALUE"""),-1.0)</f>
        <v>-1</v>
      </c>
      <c r="P117" s="173">
        <f>IFERROR(__xludf.DUMMYFUNCTION("""COMPUTED_VALUE"""),0.0)</f>
        <v>0</v>
      </c>
      <c r="Q117" s="157">
        <f>IFERROR(__xludf.DUMMYFUNCTION("""COMPUTED_VALUE"""),1.0)</f>
        <v>1</v>
      </c>
      <c r="R117" s="157">
        <f>IFERROR(__xludf.DUMMYFUNCTION("""COMPUTED_VALUE"""),2.0)</f>
        <v>2</v>
      </c>
      <c r="S117" s="157">
        <f>IFERROR(__xludf.DUMMYFUNCTION("""COMPUTED_VALUE"""),3.0)</f>
        <v>3</v>
      </c>
      <c r="T117" s="157">
        <f>IFERROR(__xludf.DUMMYFUNCTION("""COMPUTED_VALUE"""),4.0)</f>
        <v>4</v>
      </c>
      <c r="U117" s="157">
        <f>IFERROR(__xludf.DUMMYFUNCTION("""COMPUTED_VALUE"""),5.0)</f>
        <v>5</v>
      </c>
      <c r="V117" s="75" t="str">
        <f>IFERROR(__xludf.DUMMYFUNCTION("""COMPUTED_VALUE"""),"-")</f>
        <v>-</v>
      </c>
      <c r="W117" s="122" t="str">
        <f>IFERROR(__xludf.DUMMYFUNCTION("""COMPUTED_VALUE"""),"-")</f>
        <v>-</v>
      </c>
      <c r="X117" s="174" t="str">
        <f>IFERROR(__xludf.DUMMYFUNCTION("""COMPUTED_VALUE"""),"-")</f>
        <v>-</v>
      </c>
      <c r="Y117" s="175" t="str">
        <f>IFERROR(__xludf.DUMMYFUNCTION("""COMPUTED_VALUE"""),"-")</f>
        <v>-</v>
      </c>
      <c r="Z117" s="80"/>
      <c r="AA117" s="80"/>
      <c r="AB117" s="80"/>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04"/>
      <c r="BC117" s="123"/>
      <c r="BD117" s="104"/>
      <c r="BE117" s="104"/>
    </row>
    <row r="118">
      <c r="A118" s="93"/>
      <c r="B118" s="96"/>
      <c r="C118" s="96"/>
      <c r="D118" s="112" t="str">
        <f>IFERROR(__xludf.DUMMYFUNCTION("""COMPUTED_VALUE"""),"ヒップ")</f>
        <v>ヒップ</v>
      </c>
      <c r="E118" s="90"/>
      <c r="F118" s="157">
        <f>IFERROR(__xludf.DUMMYFUNCTION("""COMPUTED_VALUE"""),-10.0)</f>
        <v>-10</v>
      </c>
      <c r="G118" s="157">
        <f>IFERROR(__xludf.DUMMYFUNCTION("""COMPUTED_VALUE"""),-9.0)</f>
        <v>-9</v>
      </c>
      <c r="H118" s="157">
        <f>IFERROR(__xludf.DUMMYFUNCTION("""COMPUTED_VALUE"""),-8.0)</f>
        <v>-8</v>
      </c>
      <c r="I118" s="157">
        <f>IFERROR(__xludf.DUMMYFUNCTION("""COMPUTED_VALUE"""),-7.0)</f>
        <v>-7</v>
      </c>
      <c r="J118" s="157">
        <f>IFERROR(__xludf.DUMMYFUNCTION("""COMPUTED_VALUE"""),-6.0)</f>
        <v>-6</v>
      </c>
      <c r="K118" s="157">
        <f>IFERROR(__xludf.DUMMYFUNCTION("""COMPUTED_VALUE"""),-5.0)</f>
        <v>-5</v>
      </c>
      <c r="L118" s="172">
        <f>IFERROR(__xludf.DUMMYFUNCTION("""COMPUTED_VALUE"""),-4.0)</f>
        <v>-4</v>
      </c>
      <c r="M118" s="172">
        <f>IFERROR(__xludf.DUMMYFUNCTION("""COMPUTED_VALUE"""),-3.0)</f>
        <v>-3</v>
      </c>
      <c r="N118" s="172">
        <f>IFERROR(__xludf.DUMMYFUNCTION("""COMPUTED_VALUE"""),-2.0)</f>
        <v>-2</v>
      </c>
      <c r="O118" s="172">
        <f>IFERROR(__xludf.DUMMYFUNCTION("""COMPUTED_VALUE"""),-1.0)</f>
        <v>-1</v>
      </c>
      <c r="P118" s="158">
        <f>IFERROR(__xludf.DUMMYFUNCTION("""COMPUTED_VALUE"""),0.0)</f>
        <v>0</v>
      </c>
      <c r="Q118" s="157">
        <f>IFERROR(__xludf.DUMMYFUNCTION("""COMPUTED_VALUE"""),1.0)</f>
        <v>1</v>
      </c>
      <c r="R118" s="157">
        <f>IFERROR(__xludf.DUMMYFUNCTION("""COMPUTED_VALUE"""),2.0)</f>
        <v>2</v>
      </c>
      <c r="S118" s="157">
        <f>IFERROR(__xludf.DUMMYFUNCTION("""COMPUTED_VALUE"""),3.0)</f>
        <v>3</v>
      </c>
      <c r="T118" s="157">
        <f>IFERROR(__xludf.DUMMYFUNCTION("""COMPUTED_VALUE"""),4.0)</f>
        <v>4</v>
      </c>
      <c r="U118" s="157">
        <f>IFERROR(__xludf.DUMMYFUNCTION("""COMPUTED_VALUE"""),5.0)</f>
        <v>5</v>
      </c>
      <c r="V118" s="75">
        <f>IFERROR(__xludf.DUMMYFUNCTION("""COMPUTED_VALUE"""),7.0)</f>
        <v>7</v>
      </c>
      <c r="W118" s="159">
        <f>IFERROR(__xludf.DUMMYFUNCTION("""COMPUTED_VALUE"""),46000.0)</f>
        <v>46000</v>
      </c>
      <c r="X118" s="110">
        <f>IFERROR(__xludf.DUMMYFUNCTION("""COMPUTED_VALUE"""),46003.0)</f>
        <v>46003</v>
      </c>
      <c r="Y118" s="111">
        <f>IFERROR(__xludf.DUMMYFUNCTION("""COMPUTED_VALUE"""),46008.0)</f>
        <v>46008</v>
      </c>
      <c r="Z118" s="80"/>
      <c r="AA118" s="80"/>
      <c r="AB118" s="80"/>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04"/>
      <c r="BC118" s="123"/>
      <c r="BD118" s="104"/>
      <c r="BE118" s="104"/>
    </row>
    <row r="119">
      <c r="A119" s="93"/>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04"/>
      <c r="BC119" s="104"/>
      <c r="BD119" s="104"/>
      <c r="BE119" s="104"/>
    </row>
    <row r="120">
      <c r="A120" s="93"/>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04"/>
      <c r="BC120" s="104"/>
      <c r="BD120" s="104"/>
      <c r="BE120" s="104"/>
    </row>
    <row r="121">
      <c r="A121" s="93"/>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04"/>
      <c r="BC121" s="104"/>
      <c r="BD121" s="104"/>
      <c r="BE121" s="104"/>
    </row>
    <row r="122">
      <c r="A122" s="93"/>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04"/>
      <c r="BC122" s="104"/>
      <c r="BD122" s="104"/>
      <c r="BE122" s="104"/>
    </row>
    <row r="123">
      <c r="A123" s="93"/>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04"/>
      <c r="BC123" s="104"/>
      <c r="BD123" s="104"/>
      <c r="BE123" s="104"/>
    </row>
    <row r="124">
      <c r="A124" s="93"/>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04"/>
      <c r="BC124" s="104"/>
      <c r="BD124" s="104"/>
      <c r="BE124" s="104"/>
    </row>
    <row r="125">
      <c r="A125" s="93"/>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04"/>
      <c r="BC125" s="104"/>
      <c r="BD125" s="104"/>
      <c r="BE125" s="104"/>
    </row>
    <row r="126">
      <c r="A126" s="93"/>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04"/>
      <c r="BC126" s="104"/>
      <c r="BD126" s="104"/>
      <c r="BE126" s="104"/>
    </row>
    <row r="127">
      <c r="A127" s="93"/>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04"/>
      <c r="BC127" s="104"/>
      <c r="BD127" s="104"/>
      <c r="BE127" s="104"/>
    </row>
    <row r="128">
      <c r="A128" s="93"/>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04"/>
      <c r="BC128" s="104"/>
      <c r="BD128" s="104"/>
      <c r="BE128" s="104"/>
    </row>
    <row r="129">
      <c r="A129" s="93"/>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04"/>
      <c r="BC129" s="104"/>
      <c r="BD129" s="104"/>
      <c r="BE129" s="104"/>
    </row>
  </sheetData>
  <mergeCells count="94">
    <mergeCell ref="AX43:AZ43"/>
    <mergeCell ref="AX44:AZ44"/>
    <mergeCell ref="AG42:AM42"/>
    <mergeCell ref="AN42:AS42"/>
    <mergeCell ref="AX42:AZ42"/>
    <mergeCell ref="AG43:AM43"/>
    <mergeCell ref="AN43:AS43"/>
    <mergeCell ref="AG44:AM44"/>
    <mergeCell ref="AN44:AS44"/>
    <mergeCell ref="AX46:AZ46"/>
    <mergeCell ref="AX47:AZ47"/>
    <mergeCell ref="AG45:AM45"/>
    <mergeCell ref="AN45:AS45"/>
    <mergeCell ref="AX45:AZ45"/>
    <mergeCell ref="AG46:AM46"/>
    <mergeCell ref="AN46:AS46"/>
    <mergeCell ref="AG47:AM47"/>
    <mergeCell ref="AN47:AS47"/>
    <mergeCell ref="AX49:AZ49"/>
    <mergeCell ref="AX50:AZ50"/>
    <mergeCell ref="AX52:AZ52"/>
    <mergeCell ref="AG52:AM52"/>
    <mergeCell ref="AN52:AS52"/>
    <mergeCell ref="AG48:AM48"/>
    <mergeCell ref="AN48:AS48"/>
    <mergeCell ref="AX48:AZ48"/>
    <mergeCell ref="AG49:AM49"/>
    <mergeCell ref="AN49:AS49"/>
    <mergeCell ref="AG50:AM50"/>
    <mergeCell ref="AN50:AS50"/>
    <mergeCell ref="C21:C23"/>
    <mergeCell ref="C25:C27"/>
    <mergeCell ref="B33:B41"/>
    <mergeCell ref="C33:C41"/>
    <mergeCell ref="B43:B51"/>
    <mergeCell ref="C43:C51"/>
    <mergeCell ref="C53:C61"/>
    <mergeCell ref="B88:B93"/>
    <mergeCell ref="C88:C93"/>
    <mergeCell ref="B95:B100"/>
    <mergeCell ref="C95:C100"/>
    <mergeCell ref="B102:B107"/>
    <mergeCell ref="C102:C107"/>
    <mergeCell ref="B109:B118"/>
    <mergeCell ref="C109:C118"/>
    <mergeCell ref="B53:B61"/>
    <mergeCell ref="B63:B72"/>
    <mergeCell ref="C63:C72"/>
    <mergeCell ref="B74:B79"/>
    <mergeCell ref="C74:C79"/>
    <mergeCell ref="B81:B86"/>
    <mergeCell ref="C81:C86"/>
    <mergeCell ref="AD11:AZ11"/>
    <mergeCell ref="BB11:BD11"/>
    <mergeCell ref="F12:O12"/>
    <mergeCell ref="Q12:U12"/>
    <mergeCell ref="AH12:AM12"/>
    <mergeCell ref="AO12:AS12"/>
    <mergeCell ref="C2:O2"/>
    <mergeCell ref="C3:O3"/>
    <mergeCell ref="C4:D4"/>
    <mergeCell ref="H4:O4"/>
    <mergeCell ref="C5:D5"/>
    <mergeCell ref="H5:O5"/>
    <mergeCell ref="B11:AB11"/>
    <mergeCell ref="B13:B23"/>
    <mergeCell ref="C13:C20"/>
    <mergeCell ref="AD13:AD26"/>
    <mergeCell ref="D14:D15"/>
    <mergeCell ref="AF15:AF17"/>
    <mergeCell ref="D18:D20"/>
    <mergeCell ref="B25:B30"/>
    <mergeCell ref="C28:C30"/>
    <mergeCell ref="AE13:AE20"/>
    <mergeCell ref="AE21:AE26"/>
    <mergeCell ref="AD28:AD39"/>
    <mergeCell ref="AE28:AE35"/>
    <mergeCell ref="AF30:AF32"/>
    <mergeCell ref="AE36:AE39"/>
    <mergeCell ref="AD41:AZ41"/>
    <mergeCell ref="AG54:AM54"/>
    <mergeCell ref="AN54:AS54"/>
    <mergeCell ref="AD55:AE55"/>
    <mergeCell ref="AG55:AM55"/>
    <mergeCell ref="AN55:AS55"/>
    <mergeCell ref="AX55:AZ55"/>
    <mergeCell ref="AG51:AM51"/>
    <mergeCell ref="AN51:AS51"/>
    <mergeCell ref="AX51:AZ51"/>
    <mergeCell ref="AG53:AM53"/>
    <mergeCell ref="AN53:AS53"/>
    <mergeCell ref="AX53:AZ53"/>
    <mergeCell ref="AD54:AE54"/>
    <mergeCell ref="AX54:AZ54"/>
  </mergeCells>
  <hyperlinks>
    <hyperlink r:id="rId2" location="gid=636902339" ref="AW42"/>
    <hyperlink r:id="rId3" ref="AN43"/>
    <hyperlink r:id="rId4" ref="AN44"/>
    <hyperlink r:id="rId5" ref="AN45"/>
    <hyperlink r:id="rId6" ref="AN46"/>
    <hyperlink r:id="rId7" ref="AN48"/>
  </hyperlinks>
  <printOptions gridLines="1" horizontalCentered="1"/>
  <pageMargins bottom="0.75" footer="0.0" header="0.0" left="0.7" right="0.7" top="0.75"/>
  <pageSetup fitToHeight="0" paperSize="9" cellComments="atEnd" orientation="landscape" pageOrder="overThenDown"/>
  <drawing r:id="rId8"/>
  <legacy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hidden="1" min="1" max="2" width="20.88"/>
    <col customWidth="1" min="3" max="3" width="3.88"/>
    <col customWidth="1" min="4" max="4" width="25.13"/>
    <col customWidth="1" min="5" max="6" width="12.63"/>
    <col customWidth="1" hidden="1" min="7" max="7" width="12.63"/>
    <col customWidth="1" min="8" max="8" width="6.38"/>
    <col customWidth="1" min="9" max="9" width="25.13"/>
    <col customWidth="1" min="10" max="11" width="12.63"/>
    <col customWidth="1" hidden="1" min="12" max="12" width="12.63"/>
    <col customWidth="1" min="13" max="13" width="6.38"/>
    <col customWidth="1" min="14" max="14" width="25.13"/>
    <col customWidth="1" min="15" max="16" width="12.63"/>
    <col customWidth="1" hidden="1" min="17" max="17" width="12.63"/>
    <col customWidth="1" min="18" max="18" width="6.25"/>
    <col customWidth="1" min="19" max="19" width="25.13"/>
    <col customWidth="1" min="20" max="21" width="12.63"/>
    <col customWidth="1" hidden="1" min="22" max="22" width="12.63"/>
    <col customWidth="1" min="23" max="23" width="6.38"/>
    <col customWidth="1" min="24" max="24" width="25.13"/>
    <col customWidth="1" min="25" max="26" width="12.63"/>
    <col customWidth="1" hidden="1" min="27" max="27" width="12.63"/>
    <col customWidth="1" min="28" max="28" width="6.38"/>
    <col customWidth="1" min="29" max="29" width="25.13"/>
    <col customWidth="1" min="30" max="31" width="12.63"/>
    <col customWidth="1" hidden="1" min="32" max="32" width="12.63"/>
    <col customWidth="1" min="33" max="33" width="7.13"/>
    <col customWidth="1" min="34" max="34" width="25.13"/>
    <col customWidth="1" min="35" max="36" width="12.63"/>
    <col customWidth="1" hidden="1" min="37" max="37" width="12.63"/>
    <col customWidth="1" min="38" max="38" width="7.13"/>
    <col customWidth="1" min="39" max="39" width="25.13"/>
    <col customWidth="1" min="40" max="41" width="12.63"/>
    <col customWidth="1" hidden="1" min="42" max="42" width="12.63"/>
    <col customWidth="1" min="43" max="43" width="7.13"/>
    <col customWidth="1" min="44" max="44" width="25.13"/>
    <col customWidth="1" min="45" max="46" width="12.63"/>
    <col customWidth="1" hidden="1" min="47" max="47" width="12.63"/>
    <col customWidth="1" min="48" max="48" width="12.63"/>
    <col customWidth="1" min="49" max="49" width="25.13"/>
    <col customWidth="1" min="50" max="51" width="12.63"/>
    <col customWidth="1" hidden="1" min="52" max="52" width="12.63"/>
    <col customWidth="1" min="53" max="53" width="12.63"/>
    <col customWidth="1" min="54" max="54" width="25.13"/>
    <col customWidth="1" min="55" max="56" width="12.63"/>
    <col customWidth="1" hidden="1" min="57" max="57" width="12.63"/>
    <col customWidth="1" min="58" max="58" width="12.63"/>
    <col customWidth="1" min="59" max="59" width="25.13"/>
    <col customWidth="1" min="60" max="61" width="12.63"/>
    <col customWidth="1" hidden="1" min="62" max="62" width="12.63"/>
    <col customWidth="1" min="63" max="63" width="12.63"/>
    <col customWidth="1" min="64" max="64" width="19.25"/>
    <col customWidth="1" min="65" max="66" width="12.63"/>
    <col customWidth="1" hidden="1" min="67" max="67" width="12.63"/>
    <col customWidth="1" min="68" max="68" width="12.63"/>
  </cols>
  <sheetData>
    <row r="1">
      <c r="A1" s="176">
        <f>today()</f>
        <v>45991</v>
      </c>
      <c r="B1" s="177"/>
      <c r="C1" s="178"/>
      <c r="D1" s="179" t="s">
        <v>4</v>
      </c>
      <c r="E1" s="180"/>
      <c r="F1" s="180"/>
      <c r="G1" s="180"/>
      <c r="H1" s="181"/>
      <c r="I1" s="181"/>
      <c r="J1" s="180"/>
      <c r="K1" s="178" t="s">
        <v>27</v>
      </c>
      <c r="L1" s="180"/>
      <c r="M1" s="181"/>
      <c r="N1" s="180"/>
      <c r="O1" s="180"/>
      <c r="P1" s="180"/>
      <c r="Q1" s="180"/>
      <c r="R1" s="181"/>
      <c r="S1" s="181"/>
      <c r="T1" s="182"/>
      <c r="U1" s="182"/>
      <c r="V1" s="182"/>
      <c r="W1" s="181"/>
      <c r="X1" s="180"/>
      <c r="Y1" s="182"/>
      <c r="Z1" s="182"/>
      <c r="AA1" s="182"/>
      <c r="AB1" s="181"/>
      <c r="AC1" s="180"/>
      <c r="AD1" s="182"/>
      <c r="AE1" s="182"/>
      <c r="AF1" s="182"/>
      <c r="AG1" s="181"/>
      <c r="AH1" s="180"/>
      <c r="AI1" s="182"/>
      <c r="AJ1" s="182"/>
      <c r="AK1" s="182"/>
      <c r="AL1" s="181"/>
      <c r="AM1" s="180"/>
      <c r="AN1" s="182"/>
      <c r="AO1" s="182"/>
      <c r="AP1" s="182"/>
      <c r="AQ1" s="181"/>
      <c r="AR1" s="180"/>
      <c r="AS1" s="182"/>
      <c r="AT1" s="182"/>
      <c r="AU1" s="182"/>
      <c r="AV1" s="181"/>
      <c r="AW1" s="180"/>
      <c r="AX1" s="182"/>
      <c r="AY1" s="182"/>
      <c r="AZ1" s="182"/>
      <c r="BA1" s="181"/>
      <c r="BB1" s="180"/>
      <c r="BC1" s="182"/>
      <c r="BD1" s="182"/>
      <c r="BE1" s="182"/>
      <c r="BF1" s="181"/>
      <c r="BG1" s="180"/>
      <c r="BH1" s="182"/>
      <c r="BI1" s="182"/>
      <c r="BJ1" s="182"/>
      <c r="BK1" s="182"/>
      <c r="BL1" s="182"/>
      <c r="BM1" s="182"/>
      <c r="BN1" s="182"/>
      <c r="BO1" s="182"/>
      <c r="BP1" s="182"/>
    </row>
    <row r="2">
      <c r="A2" s="11"/>
      <c r="B2" s="183"/>
      <c r="C2" s="12"/>
      <c r="D2" s="12"/>
      <c r="E2" s="12"/>
      <c r="F2" s="12"/>
      <c r="G2" s="12"/>
      <c r="H2" s="11"/>
      <c r="I2" s="11"/>
      <c r="J2" s="12"/>
      <c r="K2" s="12"/>
      <c r="L2" s="12"/>
      <c r="M2" s="11"/>
      <c r="N2" s="12"/>
      <c r="O2" s="12"/>
      <c r="P2" s="12"/>
      <c r="Q2" s="12"/>
      <c r="R2" s="11"/>
      <c r="S2" s="11"/>
      <c r="T2" s="184"/>
      <c r="U2" s="184"/>
      <c r="V2" s="184"/>
      <c r="W2" s="11"/>
      <c r="X2" s="12"/>
      <c r="Y2" s="184"/>
      <c r="Z2" s="184"/>
      <c r="AA2" s="184"/>
      <c r="AB2" s="11"/>
      <c r="AC2" s="12"/>
      <c r="AD2" s="184"/>
      <c r="AE2" s="184"/>
      <c r="AF2" s="184"/>
      <c r="AG2" s="11"/>
      <c r="AH2" s="12"/>
      <c r="AI2" s="184"/>
      <c r="AJ2" s="184"/>
      <c r="AK2" s="184"/>
      <c r="AL2" s="11"/>
      <c r="AM2" s="12"/>
      <c r="AN2" s="184"/>
      <c r="AO2" s="184"/>
      <c r="AP2" s="184"/>
      <c r="AQ2" s="11"/>
      <c r="AR2" s="12"/>
      <c r="AS2" s="184"/>
      <c r="AT2" s="184"/>
      <c r="AU2" s="184"/>
      <c r="AV2" s="11"/>
      <c r="AW2" s="12"/>
      <c r="AX2" s="184"/>
      <c r="AY2" s="184"/>
      <c r="AZ2" s="184"/>
      <c r="BA2" s="11"/>
      <c r="BB2" s="12"/>
      <c r="BC2" s="184"/>
      <c r="BD2" s="184"/>
      <c r="BE2" s="184"/>
      <c r="BF2" s="11"/>
      <c r="BG2" s="12"/>
      <c r="BH2" s="184"/>
      <c r="BI2" s="184"/>
      <c r="BJ2" s="184"/>
      <c r="BK2" s="184"/>
      <c r="BL2" s="184"/>
      <c r="BM2" s="184"/>
      <c r="BN2" s="184"/>
      <c r="BO2" s="184"/>
      <c r="BP2" s="184"/>
    </row>
    <row r="3">
      <c r="A3" s="12"/>
      <c r="B3" s="185"/>
      <c r="C3" s="12"/>
      <c r="D3" s="12" t="str">
        <f t="array" ref="D3:D5">index(A3:A5,0)</f>
        <v/>
      </c>
      <c r="E3" s="12"/>
      <c r="F3" s="12"/>
      <c r="G3" s="12"/>
      <c r="H3" s="11"/>
      <c r="I3" s="11"/>
      <c r="J3" s="12"/>
      <c r="K3" s="12"/>
      <c r="L3" s="12"/>
      <c r="M3" s="11"/>
      <c r="N3" s="12"/>
      <c r="O3" s="12"/>
      <c r="P3" s="12"/>
      <c r="Q3" s="12"/>
      <c r="R3" s="11"/>
      <c r="S3" s="11"/>
      <c r="T3" s="184"/>
      <c r="U3" s="184"/>
      <c r="V3" s="184"/>
      <c r="W3" s="11"/>
      <c r="X3" s="12"/>
      <c r="Y3" s="184"/>
      <c r="Z3" s="184"/>
      <c r="AA3" s="184"/>
      <c r="AB3" s="11"/>
      <c r="AC3" s="12"/>
      <c r="AD3" s="184"/>
      <c r="AE3" s="184"/>
      <c r="AF3" s="184"/>
      <c r="AG3" s="11"/>
      <c r="AH3" s="12"/>
      <c r="AI3" s="184"/>
      <c r="AJ3" s="184"/>
      <c r="AK3" s="184"/>
      <c r="AL3" s="11"/>
      <c r="AM3" s="12"/>
      <c r="AN3" s="184"/>
      <c r="AO3" s="184"/>
      <c r="AP3" s="184"/>
      <c r="AQ3" s="11"/>
      <c r="AR3" s="12"/>
      <c r="AS3" s="184"/>
      <c r="AT3" s="184"/>
      <c r="AU3" s="184"/>
      <c r="AV3" s="11"/>
      <c r="AW3" s="12"/>
      <c r="AX3" s="184"/>
      <c r="AY3" s="184"/>
      <c r="AZ3" s="184"/>
      <c r="BA3" s="11"/>
      <c r="BB3" s="12"/>
      <c r="BC3" s="184"/>
      <c r="BD3" s="184"/>
      <c r="BE3" s="184"/>
      <c r="BF3" s="11"/>
      <c r="BG3" s="12"/>
      <c r="BH3" s="184"/>
      <c r="BI3" s="184"/>
      <c r="BJ3" s="184"/>
      <c r="BK3" s="184"/>
      <c r="BL3" s="184"/>
      <c r="BM3" s="184"/>
      <c r="BN3" s="184"/>
      <c r="BO3" s="184"/>
      <c r="BP3" s="184"/>
    </row>
    <row r="4">
      <c r="A4" s="186" t="s">
        <v>28</v>
      </c>
      <c r="B4" s="185"/>
      <c r="C4" s="12"/>
      <c r="D4" s="12" t="s">
        <v>28</v>
      </c>
      <c r="E4" s="12"/>
      <c r="F4" s="12"/>
      <c r="G4" s="12"/>
      <c r="H4" s="11"/>
      <c r="I4" s="11"/>
      <c r="J4" s="12"/>
      <c r="K4" s="12"/>
      <c r="L4" s="12"/>
      <c r="M4" s="11"/>
      <c r="N4" s="12"/>
      <c r="O4" s="12"/>
      <c r="P4" s="12"/>
      <c r="Q4" s="12"/>
      <c r="R4" s="11"/>
      <c r="S4" s="11"/>
      <c r="T4" s="184"/>
      <c r="U4" s="184"/>
      <c r="V4" s="184"/>
      <c r="W4" s="11"/>
      <c r="X4" s="12"/>
      <c r="Y4" s="184"/>
      <c r="Z4" s="184"/>
      <c r="AA4" s="184"/>
      <c r="AB4" s="11"/>
      <c r="AC4" s="12"/>
      <c r="AD4" s="184"/>
      <c r="AE4" s="184"/>
      <c r="AF4" s="184"/>
      <c r="AG4" s="11"/>
      <c r="AH4" s="12"/>
      <c r="AI4" s="184"/>
      <c r="AJ4" s="184"/>
      <c r="AK4" s="184"/>
      <c r="AL4" s="11"/>
      <c r="AM4" s="12"/>
      <c r="AN4" s="184"/>
      <c r="AO4" s="184"/>
      <c r="AP4" s="184"/>
      <c r="AQ4" s="11"/>
      <c r="AR4" s="12"/>
      <c r="AS4" s="184"/>
      <c r="AT4" s="184"/>
      <c r="AU4" s="184"/>
      <c r="AV4" s="11"/>
      <c r="AW4" s="12"/>
      <c r="AX4" s="184"/>
      <c r="AY4" s="184"/>
      <c r="AZ4" s="184"/>
      <c r="BA4" s="11"/>
      <c r="BB4" s="12"/>
      <c r="BC4" s="184"/>
      <c r="BD4" s="184"/>
      <c r="BE4" s="184"/>
      <c r="BF4" s="11"/>
      <c r="BG4" s="12"/>
      <c r="BH4" s="184"/>
      <c r="BI4" s="184"/>
      <c r="BJ4" s="184"/>
      <c r="BK4" s="184"/>
      <c r="BL4" s="184"/>
      <c r="BM4" s="184"/>
      <c r="BN4" s="184"/>
      <c r="BO4" s="184"/>
      <c r="BP4" s="184"/>
    </row>
    <row r="5" ht="225.0" customHeight="1">
      <c r="A5" s="187" t="str">
        <f>$A$7 &amp; $A$8 &amp; CHAR(10) &amp; $A$10 &amp; CHAR(10) &amp; CHAR(10) &amp; $A$11</f>
        <v>FABRIC TOKYO 新宿 2025-11-30 お直し適用サイズ
◼︎ シャツ（対応着地：再製作）
《修正数値》
着丈 : 4 cm
《仕上がり数値》
着丈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v>
      </c>
      <c r="B5" s="188" t="str">
        <f>"【お直し来店済み】" &amp; CHAR(10) &amp; 
 "来店⽇時：" &amp; text($A$1," yyyy/mm/dd")&amp; CHAR(10) &amp;
 "来店店舗：" &amp; $D$1 &amp; CHAR(10) &amp; CHAR(10) &amp;
 "お直し着地：" &amp; CHAR(10) &amp; $A$10</f>
        <v>【お直し来店済み】
来店⽇時： 2025/11/30
来店店舗：新宿
お直し着地：
◼︎ シャツ（対応着地：再製作）
《修正数値》
着丈 : 4 cm
《仕上がり数値》
着丈 : cm</v>
      </c>
      <c r="C5" s="12"/>
      <c r="D5" s="189" t="s">
        <v>29</v>
      </c>
      <c r="H5" s="11"/>
      <c r="I5" s="190" t="str">
        <f>"【お直し来店済み】" &amp; CHAR(10) &amp; 
 "来店⽇時：" &amp; text($A$1," yyyy/mm/dd")&amp; CHAR(10) &amp;
 "来店店舗：" &amp; $D$1 &amp; CHAR(10) &amp; CHAR(10) &amp;
 "お直し着地：" &amp; CHAR(10) &amp; $A$10</f>
        <v>【お直し来店済み】
来店⽇時： 2025/11/30
来店店舗：新宿
お直し着地：
◼︎ シャツ（対応着地：再製作）
《修正数値》
着丈 : 4 cm
《仕上がり数値》
着丈 : cm</v>
      </c>
      <c r="J5" s="12"/>
      <c r="K5" s="191" t="s">
        <v>30</v>
      </c>
      <c r="L5" s="12"/>
      <c r="M5" s="11"/>
      <c r="N5" s="12"/>
      <c r="O5" s="12"/>
      <c r="P5" s="12"/>
      <c r="Q5" s="12"/>
      <c r="R5" s="11"/>
      <c r="S5" s="11"/>
      <c r="T5" s="184"/>
      <c r="U5" s="184"/>
      <c r="V5" s="184"/>
      <c r="W5" s="11"/>
      <c r="X5" s="12"/>
      <c r="Y5" s="184"/>
      <c r="Z5" s="184"/>
      <c r="AA5" s="184"/>
      <c r="AB5" s="11"/>
      <c r="AC5" s="12"/>
      <c r="AD5" s="184"/>
      <c r="AE5" s="184"/>
      <c r="AF5" s="184"/>
      <c r="AG5" s="11"/>
      <c r="AH5" s="12"/>
      <c r="AI5" s="184"/>
      <c r="AJ5" s="184"/>
      <c r="AK5" s="184"/>
      <c r="AL5" s="11"/>
      <c r="AM5" s="12"/>
      <c r="AN5" s="184"/>
      <c r="AO5" s="184"/>
      <c r="AP5" s="184"/>
      <c r="AQ5" s="11"/>
      <c r="AR5" s="12"/>
      <c r="AS5" s="184"/>
      <c r="AT5" s="184"/>
      <c r="AU5" s="184"/>
      <c r="AV5" s="11"/>
      <c r="AW5" s="12"/>
      <c r="AX5" s="184"/>
      <c r="AY5" s="184"/>
      <c r="AZ5" s="184"/>
      <c r="BA5" s="11"/>
      <c r="BB5" s="12"/>
      <c r="BC5" s="184"/>
      <c r="BD5" s="184"/>
      <c r="BE5" s="184"/>
      <c r="BF5" s="11"/>
      <c r="BG5" s="12"/>
      <c r="BH5" s="184"/>
      <c r="BI5" s="184"/>
      <c r="BJ5" s="184"/>
      <c r="BK5" s="184"/>
      <c r="BL5" s="184"/>
      <c r="BM5" s="184"/>
      <c r="BN5" s="184"/>
      <c r="BO5" s="184"/>
      <c r="BP5" s="184"/>
    </row>
    <row r="6">
      <c r="A6" s="12"/>
      <c r="B6" s="186"/>
      <c r="C6" s="12"/>
      <c r="D6" s="12"/>
      <c r="E6" s="12"/>
      <c r="F6" s="12"/>
      <c r="G6" s="12"/>
      <c r="H6" s="11"/>
      <c r="I6" s="11"/>
      <c r="J6" s="12"/>
      <c r="K6" s="12"/>
      <c r="L6" s="12"/>
      <c r="M6" s="11"/>
      <c r="N6" s="12"/>
      <c r="O6" s="12"/>
      <c r="P6" s="12"/>
      <c r="Q6" s="12"/>
      <c r="R6" s="11"/>
      <c r="S6" s="11"/>
      <c r="T6" s="184"/>
      <c r="U6" s="184"/>
      <c r="V6" s="184"/>
      <c r="W6" s="11"/>
      <c r="X6" s="12"/>
      <c r="Y6" s="184"/>
      <c r="Z6" s="184"/>
      <c r="AA6" s="184"/>
      <c r="AB6" s="11"/>
      <c r="AC6" s="12"/>
      <c r="AD6" s="184"/>
      <c r="AE6" s="184"/>
      <c r="AF6" s="184"/>
      <c r="AG6" s="11"/>
      <c r="AH6" s="12"/>
      <c r="AI6" s="184"/>
      <c r="AJ6" s="184"/>
      <c r="AK6" s="184"/>
      <c r="AL6" s="11"/>
      <c r="AM6" s="12"/>
      <c r="AN6" s="184"/>
      <c r="AO6" s="184"/>
      <c r="AP6" s="184"/>
      <c r="AQ6" s="11"/>
      <c r="AR6" s="12"/>
      <c r="AS6" s="184"/>
      <c r="AT6" s="184"/>
      <c r="AU6" s="184"/>
      <c r="AV6" s="11"/>
      <c r="AW6" s="12"/>
      <c r="AX6" s="184"/>
      <c r="AY6" s="184"/>
      <c r="AZ6" s="184"/>
      <c r="BA6" s="11"/>
      <c r="BB6" s="12"/>
      <c r="BC6" s="184"/>
      <c r="BD6" s="184"/>
      <c r="BE6" s="184"/>
      <c r="BF6" s="11"/>
      <c r="BG6" s="12"/>
      <c r="BH6" s="184"/>
      <c r="BI6" s="184"/>
      <c r="BJ6" s="184"/>
      <c r="BK6" s="184"/>
      <c r="BL6" s="184"/>
      <c r="BM6" s="184"/>
      <c r="BN6" s="184"/>
      <c r="BO6" s="184"/>
      <c r="BP6" s="184"/>
    </row>
    <row r="7" ht="28.5" customHeight="1">
      <c r="A7" s="192" t="str">
        <f>IF((SUM(LEN(I11), LEN(N11), LEN(S11), LEN(X11), LEN(AC11), LEN(AH11), LEN(AM11), LEN(AR11), LEN(AW11), LEN(BB11), LEN(BG11)))&gt;0, "FABRIC TOKYO "&amp; $D$1 &amp; " " &amp; TEXT($A$1, "yyyy-m-d") &amp; " お直し適用サイズ" &amp; CHAR(10), "")</f>
        <v>FABRIC TOKYO 新宿 2025-11-30 お直し適用サイズ
</v>
      </c>
      <c r="B7" s="193"/>
      <c r="C7" s="12"/>
      <c r="D7" s="194" t="s">
        <v>31</v>
      </c>
      <c r="E7" s="12"/>
      <c r="F7" s="12"/>
      <c r="G7" s="12"/>
      <c r="H7" s="11"/>
      <c r="I7" s="11"/>
      <c r="J7" s="12"/>
      <c r="K7" s="12"/>
      <c r="L7" s="12"/>
      <c r="M7" s="11"/>
      <c r="N7" s="12"/>
      <c r="O7" s="12"/>
      <c r="P7" s="12"/>
      <c r="Q7" s="12"/>
      <c r="R7" s="11"/>
      <c r="S7" s="11"/>
      <c r="T7" s="184"/>
      <c r="U7" s="184"/>
      <c r="V7" s="184"/>
      <c r="W7" s="11"/>
      <c r="X7" s="12"/>
      <c r="Y7" s="184"/>
      <c r="Z7" s="184"/>
      <c r="AA7" s="184"/>
      <c r="AB7" s="11"/>
      <c r="AC7" s="12"/>
      <c r="AD7" s="184"/>
      <c r="AE7" s="184"/>
      <c r="AF7" s="184"/>
      <c r="AG7" s="11"/>
      <c r="AH7" s="12"/>
      <c r="AI7" s="184"/>
      <c r="AJ7" s="184"/>
      <c r="AK7" s="184"/>
      <c r="AL7" s="11"/>
      <c r="AM7" s="12"/>
      <c r="AN7" s="184"/>
      <c r="AO7" s="184"/>
      <c r="AP7" s="184"/>
      <c r="AQ7" s="11"/>
      <c r="AR7" s="12"/>
      <c r="AS7" s="184"/>
      <c r="AT7" s="184"/>
      <c r="AU7" s="184"/>
      <c r="AV7" s="11"/>
      <c r="AW7" s="12"/>
      <c r="AX7" s="184"/>
      <c r="AY7" s="184"/>
      <c r="AZ7" s="184"/>
      <c r="BA7" s="11"/>
      <c r="BB7" s="12"/>
      <c r="BC7" s="184"/>
      <c r="BD7" s="184"/>
      <c r="BE7" s="184"/>
      <c r="BF7" s="11"/>
      <c r="BG7" s="12"/>
      <c r="BH7" s="184"/>
      <c r="BI7" s="184"/>
      <c r="BJ7" s="184"/>
      <c r="BK7" s="184"/>
      <c r="BL7" s="184"/>
      <c r="BM7" s="184"/>
      <c r="BN7" s="184"/>
      <c r="BO7" s="184"/>
      <c r="BP7" s="184"/>
    </row>
    <row r="8">
      <c r="A8" s="192" t="str">
        <f>ifs($D$11&lt;&gt;"", 
"FABRIC TOKYO "&amp; $D$1&amp; "" &amp; text($A$1," yyyy-m-d"&amp;" お直し適用サイズ ＊スーツサイズ")
&amp; CHAR(10) &amp;
"FABRIC TOKYO "&amp; $D$1&amp; "" &amp; text($A$1," yyyy-m-d"&amp;" お直し適用サイズ ＊ビジネスカジュアルサイズ" &amp; CHAR(10))
,
$D$11="", "")</f>
        <v/>
      </c>
      <c r="B8" s="193"/>
      <c r="C8" s="195"/>
      <c r="D8" s="196"/>
      <c r="E8" s="197" t="s">
        <v>32</v>
      </c>
      <c r="F8" s="12"/>
      <c r="G8" s="12"/>
      <c r="H8" s="12"/>
      <c r="I8" s="12"/>
      <c r="J8" s="195"/>
      <c r="K8" s="195"/>
      <c r="L8" s="195"/>
      <c r="M8" s="11"/>
      <c r="N8" s="198" t="s">
        <v>33</v>
      </c>
      <c r="O8" s="12"/>
      <c r="P8" s="12"/>
      <c r="Q8" s="12"/>
      <c r="R8" s="11"/>
      <c r="S8" s="11"/>
      <c r="T8" s="184"/>
      <c r="U8" s="184"/>
      <c r="V8" s="184"/>
      <c r="W8" s="11"/>
      <c r="X8" s="12"/>
      <c r="Y8" s="184"/>
      <c r="Z8" s="184"/>
      <c r="AA8" s="184"/>
      <c r="AB8" s="11"/>
      <c r="AC8" s="12"/>
      <c r="AD8" s="184"/>
      <c r="AE8" s="184"/>
      <c r="AF8" s="184"/>
      <c r="AG8" s="11"/>
      <c r="AH8" s="12"/>
      <c r="AI8" s="184"/>
      <c r="AJ8" s="184"/>
      <c r="AK8" s="184"/>
      <c r="AL8" s="11"/>
      <c r="AM8" s="12"/>
      <c r="AN8" s="184"/>
      <c r="AO8" s="184"/>
      <c r="AP8" s="184"/>
      <c r="AQ8" s="11"/>
      <c r="AR8" s="12"/>
      <c r="AS8" s="184"/>
      <c r="AT8" s="184"/>
      <c r="AU8" s="184"/>
      <c r="AV8" s="11"/>
      <c r="AW8" s="12"/>
      <c r="AX8" s="184"/>
      <c r="AY8" s="184"/>
      <c r="AZ8" s="184"/>
      <c r="BA8" s="11"/>
      <c r="BB8" s="12"/>
      <c r="BC8" s="184"/>
      <c r="BD8" s="184"/>
      <c r="BE8" s="184"/>
      <c r="BF8" s="11"/>
      <c r="BG8" s="12"/>
      <c r="BH8" s="184"/>
      <c r="BI8" s="184"/>
      <c r="BJ8" s="184"/>
      <c r="BK8" s="184"/>
      <c r="BL8" s="184"/>
      <c r="BM8" s="184"/>
      <c r="BN8" s="184"/>
      <c r="BO8" s="184"/>
      <c r="BP8" s="184"/>
    </row>
    <row r="9" ht="16.5" customHeight="1">
      <c r="A9" s="12"/>
      <c r="B9" s="186"/>
      <c r="C9" s="12"/>
      <c r="D9" s="12"/>
      <c r="E9" s="11"/>
      <c r="F9" s="11"/>
      <c r="G9" s="11"/>
      <c r="H9" s="11"/>
      <c r="I9" s="11"/>
      <c r="J9" s="11"/>
      <c r="K9" s="11"/>
      <c r="L9" s="11"/>
      <c r="M9" s="11"/>
      <c r="N9" s="11"/>
      <c r="O9" s="11"/>
      <c r="P9" s="11"/>
      <c r="Q9" s="11"/>
      <c r="R9" s="11"/>
      <c r="S9" s="12"/>
      <c r="T9" s="184"/>
      <c r="U9" s="184"/>
      <c r="V9" s="184"/>
      <c r="W9" s="11"/>
      <c r="X9" s="12"/>
      <c r="Y9" s="184"/>
      <c r="Z9" s="184"/>
      <c r="AA9" s="184"/>
      <c r="AB9" s="11"/>
      <c r="AC9" s="12"/>
      <c r="AD9" s="184"/>
      <c r="AE9" s="184"/>
      <c r="AF9" s="184"/>
      <c r="AG9" s="11"/>
      <c r="AH9" s="12"/>
      <c r="AI9" s="184"/>
      <c r="AJ9" s="184"/>
      <c r="AK9" s="184"/>
      <c r="AL9" s="11"/>
      <c r="AM9" s="12"/>
      <c r="AN9" s="184"/>
      <c r="AO9" s="184"/>
      <c r="AP9" s="184"/>
      <c r="AQ9" s="11"/>
      <c r="AR9" s="12"/>
      <c r="AS9" s="184"/>
      <c r="AT9" s="184"/>
      <c r="AU9" s="184"/>
      <c r="AV9" s="11"/>
      <c r="AW9" s="12"/>
      <c r="AX9" s="184"/>
      <c r="AY9" s="184"/>
      <c r="AZ9" s="184"/>
      <c r="BA9" s="11"/>
      <c r="BB9" s="12"/>
      <c r="BC9" s="184"/>
      <c r="BD9" s="184"/>
      <c r="BE9" s="184"/>
      <c r="BF9" s="11"/>
      <c r="BG9" s="12"/>
      <c r="BH9" s="184"/>
      <c r="BI9" s="184"/>
      <c r="BJ9" s="184"/>
      <c r="BK9" s="184"/>
      <c r="BL9" s="184"/>
      <c r="BM9" s="184"/>
      <c r="BN9" s="184"/>
      <c r="BO9" s="184"/>
      <c r="BP9" s="184"/>
    </row>
    <row r="10" ht="15.75" customHeight="1">
      <c r="A10" s="199" t="str">
        <f t="array" ref="A10">TRIM(
 IF($A$14&lt;&gt;"",TEXTJOIN(CHAR(10),TRUE,IF($A$14:$A$17&lt;&gt;"",$A$14:$A$17,"")) &amp; CHAR(10) &amp; CHAR(10),"") &amp;
 IF($A$19&lt;&gt;"",TEXTJOIN(CHAR(10),TRUE,IF($A$19:$A$22&lt;&gt;"",$A$19:$A$22,"")) &amp; CHAR(10) &amp; CHAR(10),"") &amp;
 IF($A$24&lt;&gt;"",TEXTJOIN(CHAR(10),TRUE,IF($A$24:$A$27&lt;&gt;"",$A$24:$A$27,"")) &amp; CHAR(10) &amp; CHAR(10),"") &amp;
 IF($A$29&lt;&gt;"",TEXTJOIN(CHAR(10),TRUE,IF($A$29:$A$32&lt;&gt;"",$A$29:$A$32,"")) &amp; CHAR(10) &amp; CHAR(10),"") &amp;
 IF($A$34&lt;&gt;"",TEXTJOIN(CHAR(10),TRUE,IF($A$34:$A$37&lt;&gt;"",$A$34:$A$37,"")) &amp; CHAR(10) &amp; CHAR(10),"") &amp;
 IF($A$39&lt;&gt;"",TEXTJOIN(CHAR(10),TRUE,IF($A$39:$A$42&lt;&gt;"",$A$39:$A$42,"")) &amp; CHAR(10) &amp; CHAR(10),"") &amp;
 IF($A$44&lt;&gt;"",TEXTJOIN(CHAR(10),TRUE,IF($A$44:$A$47&lt;&gt;"",$A$44:$A$47,"")) &amp; CHAR(10) &amp; CHAR(10),"") &amp;
 IF($A$49&lt;&gt;"",TEXTJOIN(CHAR(10),TRUE,IF($A$49:$A$52&lt;&gt;"",$A$49:$A$52,"")) &amp; CHAR(10) &amp; CHAR(10),"") &amp;
 IF($A$54&lt;&gt;"",TEXTJOIN(CHAR(10),TRUE,IF($A$54:$A$57&lt;&gt;"",$A$54:$A$57,"")) &amp; CHAR(10) &amp; CHAR(10),"") &amp;
 IF($A$59&lt;&gt;"",TEXTJOIN(CHAR(10),TRUE,IF($A$59:$A$62&lt;&gt;"",$A$59:$A$62,"")) &amp; CHAR(10) &amp; CHAR(10),"") &amp;
 IF($A$64&lt;&gt;"",TEXTJOIN(CHAR(10),TRUE,IF($A$64:$A$67&lt;&gt;"",$A$64:$A$67,"")) &amp; CHAR(10) &amp; CHAR(10),"") &amp;
 IF($A$69&lt;&gt;"",TEXTJOIN(CHAR(10),TRUE,IF($A$69:$A$72&lt;&gt;"",$A$69:$A$72,"")) &amp; CHAR(10) &amp; CHAR(10),"") 
)
</f>
        <v>◼︎ シャツ（対応着地：再製作）
《修正数値》
着丈 : 4 cm
《仕上がり数値》
着丈 : cm</v>
      </c>
      <c r="B10" s="12"/>
      <c r="C10" s="12"/>
      <c r="D10" s="200" t="s">
        <v>34</v>
      </c>
      <c r="E10" s="201"/>
      <c r="F10" s="201"/>
      <c r="G10" s="202" t="s">
        <v>35</v>
      </c>
      <c r="H10" s="11"/>
      <c r="I10" s="200" t="s">
        <v>36</v>
      </c>
      <c r="J10" s="203"/>
      <c r="K10" s="201"/>
      <c r="L10" s="202" t="s">
        <v>35</v>
      </c>
      <c r="M10" s="11"/>
      <c r="N10" s="204" t="s">
        <v>37</v>
      </c>
      <c r="O10" s="203"/>
      <c r="P10" s="201"/>
      <c r="Q10" s="202" t="s">
        <v>35</v>
      </c>
      <c r="R10" s="11"/>
      <c r="S10" s="200" t="s">
        <v>38</v>
      </c>
      <c r="T10" s="203"/>
      <c r="U10" s="201"/>
      <c r="V10" s="202" t="s">
        <v>35</v>
      </c>
      <c r="W10" s="11"/>
      <c r="X10" s="200" t="s">
        <v>39</v>
      </c>
      <c r="Y10" s="203"/>
      <c r="Z10" s="201"/>
      <c r="AA10" s="202" t="s">
        <v>35</v>
      </c>
      <c r="AB10" s="11"/>
      <c r="AC10" s="200" t="s">
        <v>40</v>
      </c>
      <c r="AD10" s="203"/>
      <c r="AE10" s="201"/>
      <c r="AF10" s="202" t="s">
        <v>35</v>
      </c>
      <c r="AG10" s="11"/>
      <c r="AH10" s="200" t="s">
        <v>41</v>
      </c>
      <c r="AI10" s="203"/>
      <c r="AJ10" s="201"/>
      <c r="AK10" s="202" t="s">
        <v>35</v>
      </c>
      <c r="AL10" s="11"/>
      <c r="AM10" s="200" t="s">
        <v>42</v>
      </c>
      <c r="AN10" s="203"/>
      <c r="AO10" s="201"/>
      <c r="AP10" s="202" t="s">
        <v>35</v>
      </c>
      <c r="AQ10" s="11"/>
      <c r="AR10" s="200" t="s">
        <v>43</v>
      </c>
      <c r="AS10" s="203"/>
      <c r="AT10" s="201"/>
      <c r="AU10" s="202" t="s">
        <v>35</v>
      </c>
      <c r="AV10" s="12"/>
      <c r="AW10" s="200" t="s">
        <v>44</v>
      </c>
      <c r="AX10" s="203"/>
      <c r="AY10" s="201"/>
      <c r="AZ10" s="202" t="s">
        <v>35</v>
      </c>
      <c r="BA10" s="12"/>
      <c r="BB10" s="200" t="s">
        <v>45</v>
      </c>
      <c r="BC10" s="203"/>
      <c r="BD10" s="201"/>
      <c r="BE10" s="202" t="s">
        <v>35</v>
      </c>
      <c r="BF10" s="12"/>
      <c r="BG10" s="200" t="s">
        <v>46</v>
      </c>
      <c r="BH10" s="203"/>
      <c r="BI10" s="201"/>
      <c r="BJ10" s="202" t="s">
        <v>35</v>
      </c>
      <c r="BK10" s="12"/>
      <c r="BL10" s="200" t="s">
        <v>47</v>
      </c>
      <c r="BM10" s="201"/>
      <c r="BN10" s="201"/>
      <c r="BO10" s="202" t="s">
        <v>35</v>
      </c>
      <c r="BP10" s="12"/>
    </row>
    <row r="11" ht="37.5" customHeight="1">
      <c r="A11" s="205" t="s">
        <v>48</v>
      </c>
      <c r="B11" s="206"/>
      <c r="C11" s="207"/>
      <c r="D11" s="196" t="str">
        <f t="array" ref="D11">IFS( COUNTA(F$13:F27) = 0, "", COUNTIF(F$13:F27, "再製作") &gt; 0, "再製作", COUNTIF(F$13:F27, "&gt;0") = 1, INDEX(F$13:F27, MATCH(TRUE, ISNUMBER(F$13:F27), 0)), COUNTIF(F$13:F27, "&gt;0") = 2, 'アイテム別限界値DB'!$S$4, COUNTIF(F$13:F27, "&gt;0") &gt;= 3, 'アイテム別限界値DB'!$S$6, TRUE, "" ) </f>
        <v/>
      </c>
      <c r="E11" s="208" t="s">
        <v>49</v>
      </c>
      <c r="F11" s="202" t="s">
        <v>50</v>
      </c>
      <c r="G11" s="209">
        <f>sum(G12:G72)</f>
        <v>0</v>
      </c>
      <c r="H11" s="206"/>
      <c r="I11" s="196" t="str">
        <f t="array" ref="I11">IFS( COUNTA(K$13:K27) = 0, "", COUNTIF(K$13:K27, "再製作") &gt; 0, "再製作", COUNTIF(K$13:K27, "&gt;0") = 1, INDEX(K$13:K27, MATCH(TRUE, ISNUMBER(K$13:K27), 0)), COUNTIF(K$13:K27, "&gt;0") = 2, 'アイテム別限界値DB'!$S$8, COUNTIF(K$13:K27, "&gt;0") &gt;= 3, 'アイテム別限界値DB'!$S$10, TRUE, "" ) </f>
        <v/>
      </c>
      <c r="J11" s="210" t="s">
        <v>49</v>
      </c>
      <c r="K11" s="202" t="s">
        <v>50</v>
      </c>
      <c r="L11" s="209">
        <f>sum(L12:L72)</f>
        <v>0</v>
      </c>
      <c r="M11" s="206"/>
      <c r="N11" s="196" t="str">
        <f t="array" ref="N11">IFS( COUNTA(P$13:P27) = 0, "", COUNTIF(P$13:P27, "再製作") &gt; 0, "再製作", COUNTIF(P$13:P27, "&gt;0") = 1, INDEX(P$13:P27, MATCH(TRUE, ISNUMBER(P$13:P27), 0)), COUNTIF(P$13:P27, "&gt;0") = 2, 'アイテム別限界値DB'!$S$4, COUNTIF(P$13:P27, "&gt;0") &gt;= 3, 'アイテム別限界値DB'!$S$6, TRUE, "" ) </f>
        <v/>
      </c>
      <c r="O11" s="210" t="s">
        <v>49</v>
      </c>
      <c r="P11" s="202" t="s">
        <v>50</v>
      </c>
      <c r="Q11" s="209">
        <f>sum(Q12:Q72)</f>
        <v>0</v>
      </c>
      <c r="R11" s="211"/>
      <c r="S11" s="196" t="str">
        <f t="array" ref="S11">IFS( COUNTA(U$13:U27) = 0, "", COUNTIF(U$13:U27, "再製作") &gt; 0, "再製作", COUNTIF(U$13:U27, "&gt;0") = 1, INDEX(U$13:U27, MATCH(TRUE, ISNUMBER(U$13:U27), 0)), COUNTIF(U$13:U27, "&gt;0") = 2, 'アイテム別限界値DB'!$S$8, COUNTIF(U$13:U27, "&gt;0") &gt;= 3, 'アイテム別限界値DB'!$S$10, TRUE, "" ) </f>
        <v/>
      </c>
      <c r="T11" s="210" t="s">
        <v>49</v>
      </c>
      <c r="U11" s="202" t="s">
        <v>50</v>
      </c>
      <c r="V11" s="209">
        <f>sum(V12:V72)</f>
        <v>0</v>
      </c>
      <c r="W11" s="212"/>
      <c r="X11" s="196" t="str">
        <f t="array" ref="X11">IFS( COUNTA(Z$13:Z27) = 0, "", COUNTIF(Z$13:Z27, "再製作") &gt; 0, "再製作", COUNTIF(Z$13:Z27, "&gt;0") = 1, INDEX(Z$13:Z27, MATCH(TRUE, ISNUMBER(Z$13:Z27), 0)), COUNTIF(Z$13:Z27, "&gt;0") = 2, 'アイテム別限界値DB'!$S$4, COUNTIF(Z$13:Z27, "&gt;0") &gt;= 3, 'アイテム別限界値DB'!$S$6, TRUE, "" ) </f>
        <v>再製作</v>
      </c>
      <c r="Y11" s="210" t="s">
        <v>49</v>
      </c>
      <c r="Z11" s="202" t="s">
        <v>50</v>
      </c>
      <c r="AA11" s="209">
        <f>sum(AA12:AA72)</f>
        <v>0</v>
      </c>
      <c r="AB11" s="211"/>
      <c r="AC11" s="196" t="str">
        <f t="array" ref="AC11">IFS( COUNTA(AE$13:AE27) = 0, "", COUNTIF(AE$13:AE27, "再製作") &gt; 0, "再製作", COUNTIF(AE$13:AE27, "&gt;0") = 1, INDEX(AE$13:AE27, MATCH(TRUE, ISNUMBER(AE$13:AE27), 0)), COUNTIF(AE$13:AE27, "&gt;0") = 2, 'アイテム別限界値DB'!$S$4, COUNTIF(AE$13:AE27, "&gt;0") &gt;= 3, 'アイテム別限界値DB'!$S$6, TRUE, "" ) </f>
        <v/>
      </c>
      <c r="AD11" s="210" t="s">
        <v>49</v>
      </c>
      <c r="AE11" s="202" t="s">
        <v>50</v>
      </c>
      <c r="AF11" s="209">
        <f>sum(AF12:AF72)</f>
        <v>0</v>
      </c>
      <c r="AG11" s="211"/>
      <c r="AH11" s="196" t="str">
        <f t="array" ref="AH11">IFS( COUNTA(AJ$13:AJ27) = 0, "", COUNTIF(AJ$13:AJ27, "再製作") &gt; 0, "再製作", COUNTIF(AJ$13:AJ27, "&gt;0") = 1, INDEX(AJ$13:AJ27, MATCH(TRUE, ISNUMBER(AJ$13:AJ27), 0)), COUNTIF(AJ$13:AJ27, "&gt;0") = 2, 'アイテム別限界値DB'!$S$4, COUNTIF(AJ$13:AJ27, "&gt;0") &gt;= 3, 'アイテム別限界値DB'!$S$6, TRUE, "" ) </f>
        <v/>
      </c>
      <c r="AI11" s="210" t="s">
        <v>49</v>
      </c>
      <c r="AJ11" s="202" t="s">
        <v>50</v>
      </c>
      <c r="AK11" s="209">
        <f>sum(AK12:AK72)</f>
        <v>0</v>
      </c>
      <c r="AL11" s="211"/>
      <c r="AM11" s="196" t="str">
        <f t="array" ref="AM11">IFS( COUNTA(AO$13:AO27) = 0, "", COUNTIF(AO$13:AO27, "再製作") &gt; 0, "再製作", COUNTIF(AO$13:AO27, "&gt;0") = 1, INDEX(AO$13:AO27, MATCH(TRUE, ISNUMBER(AO$13:AO27), 0)), COUNTIF(AO$13:AO27, "&gt;0") = 2, 'アイテム別限界値DB'!$S$4, COUNTIF(AO$13:AO27, "&gt;0") &gt;= 3, 'アイテム別限界値DB'!$S$6, TRUE, "" ) </f>
        <v/>
      </c>
      <c r="AN11" s="210" t="s">
        <v>49</v>
      </c>
      <c r="AO11" s="202" t="s">
        <v>50</v>
      </c>
      <c r="AP11" s="209">
        <f>sum(AP12:AP72)</f>
        <v>0</v>
      </c>
      <c r="AQ11" s="211"/>
      <c r="AR11" s="196" t="str">
        <f t="array" ref="AR11">IFS( COUNTA(AT$13:AT27) = 0, "", COUNTIF(AT$13:AT27, "再製作") &gt; 0, "再製作", COUNTIF(AT$13:AT27, "&gt;0") = 1, INDEX(AT$13:AT27, MATCH(TRUE, ISNUMBER(AT$13:AT27), 0)), COUNTIF(AT$13:AT27, "&gt;0") = 2, 'アイテム別限界値DB'!$S$4, COUNTIF(AT$13:AT27, "&gt;0") &gt;= 3, 'アイテム別限界値DB'!$S$6, TRUE, "" ) </f>
        <v/>
      </c>
      <c r="AS11" s="210" t="s">
        <v>49</v>
      </c>
      <c r="AT11" s="202" t="s">
        <v>50</v>
      </c>
      <c r="AU11" s="209">
        <f>sum(AU12:AU72)</f>
        <v>0</v>
      </c>
      <c r="AV11" s="213"/>
      <c r="AW11" s="196" t="str">
        <f t="array" ref="AW11">IFS( COUNTA(AY$13:AY27) = 0, "", COUNTIF(AY$13:AY27, "再製作") &gt; 0, "再製作", COUNTIF(AY$13:AY27, "&gt;0") = 1, INDEX(AY$13:AY27, MATCH(TRUE, ISNUMBER(AY$13:AY27), 0)), COUNTIF(AY$13:AY27, "&gt;0") = 2, 'アイテム別限界値DB'!$S$4, COUNTIF(AY$13:AY27, "&gt;0") &gt;= 3, 'アイテム別限界値DB'!$S$6, TRUE, "" ) </f>
        <v/>
      </c>
      <c r="AX11" s="210" t="s">
        <v>49</v>
      </c>
      <c r="AY11" s="202" t="s">
        <v>50</v>
      </c>
      <c r="AZ11" s="209">
        <f>sum(AZ12:AZ72)</f>
        <v>0</v>
      </c>
      <c r="BA11" s="213"/>
      <c r="BB11" s="196" t="str">
        <f t="array" ref="BB11">IFS( COUNTA(BD$13:BD27) = 0, "", COUNTIF(BD$13:BD27, "再製作") &gt; 0, "再製作", COUNTIF(BD$13:BD27, "&gt;0") = 1, INDEX(BD$13:BD27, MATCH(TRUE, ISNUMBER(BD$13:BD27), 0)), COUNTIF(BD$13:BD27, "&gt;0") = 2, 'アイテム別限界値DB'!$S$4, COUNTIF(BD$13:BD27, "&gt;0") &gt;= 3, 'アイテム別限界値DB'!$S$6, TRUE, "" ) </f>
        <v/>
      </c>
      <c r="BC11" s="210" t="s">
        <v>49</v>
      </c>
      <c r="BD11" s="202" t="s">
        <v>50</v>
      </c>
      <c r="BE11" s="209">
        <f>sum(BE12:BE72)</f>
        <v>0</v>
      </c>
      <c r="BF11" s="213"/>
      <c r="BG11" s="196" t="str">
        <f t="array" ref="BG11">IFS( COUNTA(BI$13:BI27) = 0, "", COUNTIF(BI$13:BI27, "再製作") &gt; 0, "再製作", COUNTIF(BI$13:BI27, "&gt;0") = 1, INDEX(BI$13:BI27, MATCH(TRUE, ISNUMBER(BI$13:BI27), 0)), COUNTIF(BI$13:BI27, "&gt;0") = 2, 'アイテム別限界値DB'!$S$4, COUNTIF(BI$13:BI27, "&gt;0") &gt;= 3, 'アイテム別限界値DB'!$S$6, TRUE, "" ) </f>
        <v/>
      </c>
      <c r="BH11" s="210" t="s">
        <v>49</v>
      </c>
      <c r="BI11" s="202" t="s">
        <v>50</v>
      </c>
      <c r="BJ11" s="209">
        <f>sum(BJ12:BJ72)</f>
        <v>0</v>
      </c>
      <c r="BK11" s="213"/>
      <c r="BL11" s="196">
        <f t="array" ref="BL11">IFS( COUNTA(BN$13:BN27) = 0, "", COUNTIF(BN$13:BN27, "再製作") &gt; 0, "再製作", COUNTIF(BN$13:BN27, "&gt;0") = 1, INDEX(BN$13:BN27, MATCH(TRUE, ISNUMBER(BN$13:BN27), 0)), COUNTIF(BN$13:BN27, "&gt;0") = 2, 'アイテム別限界値DB'!$S$4, COUNTIF(BN$13:BN27, "&gt;0") &gt;= 3, 'アイテム別限界値DB'!$S$6, TRUE, "" ) </f>
        <v>46003</v>
      </c>
      <c r="BM11" s="214" t="s">
        <v>49</v>
      </c>
      <c r="BN11" s="215" t="s">
        <v>50</v>
      </c>
      <c r="BO11" s="209">
        <f>sum(BO12:BO72)</f>
        <v>0</v>
      </c>
      <c r="BP11" s="213"/>
    </row>
    <row r="12" ht="15.75" hidden="1" customHeight="1">
      <c r="A12" s="11"/>
      <c r="B12" s="11"/>
      <c r="C12" s="11"/>
      <c r="D12" s="216" t="s">
        <v>51</v>
      </c>
      <c r="E12" s="217" t="str">
        <f>IF(D11="再製作", "再製作", IF(D11&lt;&gt;"", "お直し", ""))
</f>
        <v/>
      </c>
      <c r="F12" s="195"/>
      <c r="G12" s="218" t="str">
        <f t="array" ref="G12">IF(
  E12 = "再製作", 
  "", 
 if(E12="", "",
  IFERROR(
    INDEX(
      'アイテム別限界値DB'!$L:$L, 
      MATCH(
        1, 
        ('アイテム別限界値DB'!$B:$B = D$10) * 
        ('アイテム別限界値DB'!$C:$C = D12), 
        0
      )
    ), 
    "再製作"
  )
))
</f>
        <v/>
      </c>
      <c r="H12" s="12"/>
      <c r="I12" s="216" t="s">
        <v>51</v>
      </c>
      <c r="J12" s="217" t="str">
        <f>IF(I11="再製作", "再製作", IF(I11&lt;&gt;"", "お直し", ""))
</f>
        <v/>
      </c>
      <c r="K12" s="195"/>
      <c r="L12" s="218" t="str">
        <f t="array" ref="L12">IF(
  J12 = "再製作", 
  "", 
 if(J12="", "",
  IFERROR(
    INDEX(
      'アイテム別限界値DB'!$L:$L, 
      MATCH(
        1, 
        ('アイテム別限界値DB'!$B:$B = I$10) * 
        ('アイテム別限界値DB'!$C:$C = I12), 
        0
      )
    ), 
    "再製作"
  )
))
</f>
        <v/>
      </c>
      <c r="M12" s="121"/>
      <c r="N12" s="216" t="s">
        <v>51</v>
      </c>
      <c r="O12" s="217" t="str">
        <f>IF(N11="再製作", "再製作", IF(N11&lt;&gt;"", "お直し", ""))
</f>
        <v/>
      </c>
      <c r="P12" s="195"/>
      <c r="Q12" s="218" t="str">
        <f t="array" ref="Q12">IF(
  O12 = "再製作", 
  "", 
 if(O12="", "",
  IFERROR(
    INDEX(
      'アイテム別限界値DB'!$L:$L, 
      MATCH(
        1, 
        ('アイテム別限界値DB'!$B:$B = N$10) * 
        ('アイテム別限界値DB'!$C:$C = N12), 
        0
      )
    ), 
    "再製作"
  )
))
</f>
        <v/>
      </c>
      <c r="R12" s="11"/>
      <c r="S12" s="216" t="s">
        <v>51</v>
      </c>
      <c r="T12" s="219" t="str">
        <f>IF(S11="再製作", "再製作", IF(S11&lt;&gt;"", "お直し", ""))
</f>
        <v/>
      </c>
      <c r="U12" s="220"/>
      <c r="V12" s="218" t="str">
        <f t="array" ref="V12">IF(
  T12 = "再製作", 
  "", 
 if(T12="", "",
  IFERROR(
    INDEX(
      'アイテム別限界値DB'!$L:$L, 
      MATCH(
        1, 
        ('アイテム別限界値DB'!$B:$B = S$10) * 
        ('アイテム別限界値DB'!$C:$C = S12), 
        0
      )
    ), 
    "再製作"
  )
))
</f>
        <v/>
      </c>
      <c r="W12" s="12"/>
      <c r="X12" s="216" t="s">
        <v>51</v>
      </c>
      <c r="Y12" s="219" t="str">
        <f>IF(X11="再製作", "再製作", IF(X11&lt;&gt;"", "お直し", ""))
</f>
        <v>再製作</v>
      </c>
      <c r="Z12" s="220"/>
      <c r="AA12" s="218" t="str">
        <f t="array" ref="AA12">IF(
  Y12 = "再製作", 
  "", 
 if(Y12="", "",
  IFERROR(
    INDEX(
      'アイテム別限界値DB'!$L:$L, 
      MATCH(
        1, 
        ('アイテム別限界値DB'!$B:$B = X$10) * 
        ('アイテム別限界値DB'!$C:$C = X12), 
        0
      )
    ), 
    "再製作"
  )
))
</f>
        <v/>
      </c>
      <c r="AB12" s="11"/>
      <c r="AC12" s="216" t="s">
        <v>51</v>
      </c>
      <c r="AD12" s="219" t="str">
        <f>IF(AC11="再製作", "再製作", IF(AC11&lt;&gt;"", "お直し", ""))
</f>
        <v/>
      </c>
      <c r="AE12" s="220"/>
      <c r="AF12" s="218" t="str">
        <f t="array" ref="AF12">IF(
  AD12 = "再製作", 
  "", 
 if(AD12="", "",
  IFERROR(
    INDEX(
      'アイテム別限界値DB'!$L:$L, 
      MATCH(
        1, 
        ('アイテム別限界値DB'!$B:$B = AC$10) * 
        ('アイテム別限界値DB'!$C:$C = AC12), 
        0
      )
    ), 
    "再製作"
  )
))
</f>
        <v/>
      </c>
      <c r="AG12" s="11"/>
      <c r="AH12" s="216" t="s">
        <v>51</v>
      </c>
      <c r="AI12" s="219" t="str">
        <f>IF(AH11="再製作", "再製作", IF(AH11&lt;&gt;"", "お直し", ""))
</f>
        <v/>
      </c>
      <c r="AJ12" s="220"/>
      <c r="AK12" s="218" t="str">
        <f t="array" ref="AK12">IF(
  AI12 = "再製作", 
  "", 
 if(AI12="", "",
  IFERROR(
    INDEX(
      'アイテム別限界値DB'!$L:$L, 
      MATCH(
        1, 
        ('アイテム別限界値DB'!$B:$B = AH$10) * 
        ('アイテム別限界値DB'!$C:$C = AH12), 
        0
      )
    ), 
    "再製作"
  )
))
</f>
        <v/>
      </c>
      <c r="AL12" s="11"/>
      <c r="AM12" s="216" t="s">
        <v>51</v>
      </c>
      <c r="AN12" s="219" t="str">
        <f>IF(AM11="再製作", "再製作", IF(AM11&lt;&gt;"", "お直し", ""))
</f>
        <v/>
      </c>
      <c r="AO12" s="220"/>
      <c r="AP12" s="218" t="str">
        <f t="array" ref="AP12">IF(
  AN12 = "再製作", 
  "", 
 if(AN12="", "",
  IFERROR(
    INDEX(
      'アイテム別限界値DB'!$L:$L, 
      MATCH(
        1, 
        ('アイテム別限界値DB'!$B:$B = AM$10) * 
        ('アイテム別限界値DB'!$C:$C = AM12), 
        0
      )
    ), 
    "再製作"
  )
))
</f>
        <v/>
      </c>
      <c r="AQ12" s="11"/>
      <c r="AR12" s="216" t="s">
        <v>51</v>
      </c>
      <c r="AS12" s="219" t="str">
        <f>IF(AR11="再製作", "再製作", IF(AR11&lt;&gt;"", "お直し", ""))
</f>
        <v/>
      </c>
      <c r="AT12" s="220"/>
      <c r="AU12" s="218" t="str">
        <f t="array" ref="AU12">IF(
  AS12 = "再製作", 
  "", 
 if(AS12="", "",
  IFERROR(
    INDEX(
      'アイテム別限界値DB'!$L:$L, 
      MATCH(
        1, 
        ('アイテム別限界値DB'!$B:$B = AR$10) * 
        ('アイテム別限界値DB'!$C:$C = AR12), 
        0
      )
    ), 
    "再製作"
  )
))
</f>
        <v/>
      </c>
      <c r="AV12" s="121"/>
      <c r="AW12" s="216" t="s">
        <v>51</v>
      </c>
      <c r="AX12" s="219" t="str">
        <f>IF(AW11="再製作", "再製作", IF(AW11&lt;&gt;"", "お直し", ""))
</f>
        <v/>
      </c>
      <c r="AY12" s="220"/>
      <c r="AZ12" s="218" t="str">
        <f t="array" ref="AZ12">IF(
  AX12 = "再製作", 
  "", 
 if(AX12="", "",
  IFERROR(
    INDEX(
      'アイテム別限界値DB'!$L:$L, 
      MATCH(
        1, 
        ('アイテム別限界値DB'!$B:$B = AW$10) * 
        ('アイテム別限界値DB'!$C:$C = AW12), 
        0
      )
    ), 
    "再製作"
  )
))
</f>
        <v/>
      </c>
      <c r="BA12" s="121"/>
      <c r="BB12" s="216" t="s">
        <v>51</v>
      </c>
      <c r="BC12" s="217" t="str">
        <f>IF(BB11="再製作", "再製作", IF(BB11&lt;&gt;"", "お直し", ""))
</f>
        <v/>
      </c>
      <c r="BD12" s="195"/>
      <c r="BE12" s="218" t="str">
        <f t="array" ref="BE12">IF(
  BC12 = "再製作", 
  "", 
 if(BC12="", "",
  IFERROR(
    INDEX(
      'アイテム別限界値DB'!$L:$L, 
      MATCH(
        1, 
        ('アイテム別限界値DB'!$B:$B = BB$10) * 
        ('アイテム別限界値DB'!$C:$C = BB12), 
        0
      )
    ), 
    "再製作"
  )
))
</f>
        <v/>
      </c>
      <c r="BF12" s="121"/>
      <c r="BG12" s="216" t="s">
        <v>51</v>
      </c>
      <c r="BH12" s="217" t="str">
        <f>IF(BG11="再製作", "再製作", IF(BG11&lt;&gt;"", "お直し", ""))
</f>
        <v/>
      </c>
      <c r="BI12" s="195"/>
      <c r="BJ12" s="218" t="str">
        <f t="array" ref="BJ12">IF(
  BH12 = "再製作", 
  "", 
 if(BH12="", "",
  IFERROR(
    INDEX(
      'アイテム別限界値DB'!$L:$L, 
      MATCH(
        1, 
        ('アイテム別限界値DB'!$B:$B = BG$10) * 
        ('アイテム別限界値DB'!$C:$C = BG12), 
        0
      )
    ), 
    "再製作"
  )
))
</f>
        <v/>
      </c>
      <c r="BK12" s="121"/>
      <c r="BL12" s="221" t="s">
        <v>51</v>
      </c>
      <c r="BM12" s="219" t="str">
        <f>IF(BL11="再製作", "再製作", IF(BL11&lt;&gt;"", "お直し", ""))
</f>
        <v>お直し</v>
      </c>
      <c r="BN12" s="195"/>
      <c r="BO12" s="218" t="str">
        <f t="array" ref="BO12">IF(
  BM12 = "再製作", 
  "", 
 if(BM12="", "",
  IFERROR(
    INDEX(
      'アイテム別限界値DB'!$L:$L, 
      MATCH(
        1, 
        ('アイテム別限界値DB'!$B:$B = BL$10) * 
        ('アイテム別限界値DB'!$C:$C = BL12), 
        0
      )
    ), 
    "再製作"
  )
))
</f>
        <v/>
      </c>
      <c r="BP12" s="195"/>
    </row>
    <row r="13" ht="18.75" hidden="1" customHeight="1">
      <c r="A13" s="222" t="s">
        <v>52</v>
      </c>
      <c r="B13" s="12"/>
      <c r="C13" s="12"/>
      <c r="D13" s="223" t="b">
        <f t="array" ref="D13:D42">UNIQUE(IF( ('アイテム別限界値DB'!$B:$B = D$10) * ('アイテム別限界値DB'!$A:$A = "サイズ"),  IF('アイテム別限界値DB'!$B:$B = D$10, 'アイテム別限界値DB'!$F:$F, "") ))</f>
        <v>0</v>
      </c>
      <c r="E13" s="224"/>
      <c r="F13" s="12"/>
      <c r="G13" s="121"/>
      <c r="H13" s="12"/>
      <c r="I13" s="223" t="b">
        <f t="array" ref="I13:I27">UNIQUE(IF( ('アイテム別限界値DB'!$B:$B = I$10) * ('アイテム別限界値DB'!$A:$A = "サイズ"),  IF('アイテム別限界値DB'!$B:$B = I$10, 'アイテム別限界値DB'!$F:$F, "") ))</f>
        <v>0</v>
      </c>
      <c r="J13" s="224"/>
      <c r="K13" s="12"/>
      <c r="L13" s="121"/>
      <c r="M13" s="12"/>
      <c r="N13" s="223" t="b">
        <f t="array" ref="N13:N21">UNIQUE(IF( ('アイテム別限界値DB'!$B:$B = N$10) * ('アイテム別限界値DB'!$A:$A = "サイズ"),  IF('アイテム別限界値DB'!$B:$B = N$10, 'アイテム別限界値DB'!$C:$C, "") ))</f>
        <v>0</v>
      </c>
      <c r="O13" s="224"/>
      <c r="P13" s="12"/>
      <c r="Q13" s="121"/>
      <c r="R13" s="11"/>
      <c r="S13" s="223" t="b">
        <f t="array" ref="S13:S28">UNIQUE(IF( ('アイテム別限界値DB'!$B:$B = S$10) * ('アイテム別限界値DB'!$A:$A = "サイズ"),  IF('アイテム別限界値DB'!$B:$B = S$10, 'アイテム別限界値DB'!$F:$F, "") ))</f>
        <v>0</v>
      </c>
      <c r="T13" s="225"/>
      <c r="U13" s="226"/>
      <c r="V13" s="121"/>
      <c r="W13" s="12"/>
      <c r="X13" s="223" t="b">
        <f t="array" ref="X13:X31">UNIQUE(IF( ('アイテム別限界値DB'!$B:$B = X$10) * ('アイテム別限界値DB'!$A:$A = "サイズ"),  IF('アイテム別限界値DB'!$B:$B = X$10, 'アイテム別限界値DB'!$C:$C, "") ))</f>
        <v>0</v>
      </c>
      <c r="Y13" s="225"/>
      <c r="Z13" s="226"/>
      <c r="AA13" s="121"/>
      <c r="AB13" s="11"/>
      <c r="AC13" s="223" t="b">
        <f t="array" ref="AC13:AC29">UNIQUE(IF( ('アイテム別限界値DB'!$B:$B = AC$10) * ('アイテム別限界値DB'!$A:$A = "サイズ"),  IF('アイテム別限界値DB'!$B:$B = AC$10, 'アイテム別限界値DB'!$F:$F, "") ))</f>
        <v>0</v>
      </c>
      <c r="AD13" s="225"/>
      <c r="AE13" s="226"/>
      <c r="AF13" s="121"/>
      <c r="AG13" s="11"/>
      <c r="AH13" s="223" t="b">
        <f t="array" ref="AH13:AH20">UNIQUE(IF( ('アイテム別限界値DB'!$B:$B = AH$10) * ('アイテム別限界値DB'!$A:$A = "サイズ"),  IF('アイテム別限界値DB'!$B:$B = AH$10, 'アイテム別限界値DB'!$F:$F, "") ))</f>
        <v>0</v>
      </c>
      <c r="AI13" s="225"/>
      <c r="AJ13" s="226"/>
      <c r="AK13" s="121"/>
      <c r="AL13" s="11"/>
      <c r="AM13" s="223" t="b">
        <f t="array" ref="AM13:AM20">UNIQUE(IF( ('アイテム別限界値DB'!$B:$B = AM$10) * ('アイテム別限界値DB'!$A:$A = "サイズ"),  IF('アイテム別限界値DB'!$B:$B = AM$10, 'アイテム別限界値DB'!$F:$F, "") ))</f>
        <v>0</v>
      </c>
      <c r="AN13" s="225"/>
      <c r="AO13" s="226"/>
      <c r="AP13" s="121"/>
      <c r="AQ13" s="11"/>
      <c r="AR13" s="223" t="b">
        <f t="array" ref="AR13:AR20">UNIQUE(IF( ('アイテム別限界値DB'!$B:$B = AR$10) * ('アイテム別限界値DB'!$A:$A = "サイズ"),  IF('アイテム別限界値DB'!$B:$B = AR$10, 'アイテム別限界値DB'!$F:$F, "") ))</f>
        <v>0</v>
      </c>
      <c r="AS13" s="225"/>
      <c r="AT13" s="226"/>
      <c r="AU13" s="121"/>
      <c r="AV13" s="121"/>
      <c r="AW13" s="223" t="b">
        <f t="array" ref="AW13:AW20">UNIQUE(IF( ('アイテム別限界値DB'!$B:$B = AW$10) * ('アイテム別限界値DB'!$A:$A = "サイズ"),  IF('アイテム別限界値DB'!$B:$B = AW$10, 'アイテム別限界値DB'!$F:$F, "") ))</f>
        <v>0</v>
      </c>
      <c r="AX13" s="225"/>
      <c r="AY13" s="226"/>
      <c r="AZ13" s="121"/>
      <c r="BA13" s="121"/>
      <c r="BB13" s="223" t="b">
        <f t="array" ref="BB13:BB20">UNIQUE(IF( ('アイテム別限界値DB'!$B:$B = BB$10) * ('アイテム別限界値DB'!$A:$A = "サイズ"),  IF('アイテム別限界値DB'!$B:$B = BB$10, 'アイテム別限界値DB'!$F:$F, "") ))</f>
        <v>0</v>
      </c>
      <c r="BC13" s="224"/>
      <c r="BD13" s="12"/>
      <c r="BE13" s="121"/>
      <c r="BF13" s="121"/>
      <c r="BG13" s="223" t="b">
        <f t="array" ref="BG13:BG20">UNIQUE(IF( ('アイテム別限界値DB'!$B:$B = BG$10) * ('アイテム別限界値DB'!$A:$A = "サイズ"),  IF('アイテム別限界値DB'!$B:$B = BG$10, 'アイテム別限界値DB'!$F:$F, "") ))</f>
        <v>0</v>
      </c>
      <c r="BH13" s="224"/>
      <c r="BI13" s="12"/>
      <c r="BJ13" s="121"/>
      <c r="BK13" s="121"/>
      <c r="BL13" s="227" t="b">
        <f t="array" ref="BL13:BL23">UNIQUE(IF( ('アイテム別限界値DB'!$B:$B = BL$10) * ('アイテム別限界値DB'!$A:$A = "サイズ"),  IF('アイテム別限界値DB'!$B:$B = BL$10, 'アイテム別限界値DB'!$F:$F, "") ))</f>
        <v>0</v>
      </c>
      <c r="BM13" s="224"/>
      <c r="BN13" s="121"/>
      <c r="BO13" s="121"/>
      <c r="BP13" s="121"/>
    </row>
    <row r="14" ht="18.75" customHeight="1">
      <c r="A14" s="228" t="str">
        <f>IF($D$11 = "再製作", "◼︎ ジャケット（対応着地：再製作）" &amp; char(10) &amp; "《修正数値》", IF( $D$11 &lt;&gt;"", "◼︎ ジャケット（対応着地：お直し）" &amp; char(10) &amp; "《修正数値》", ""))</f>
        <v/>
      </c>
      <c r="B14" s="229"/>
      <c r="C14" s="224"/>
      <c r="D14" s="224" t="s">
        <v>51</v>
      </c>
      <c r="E14" s="230"/>
      <c r="F14" s="231" t="str">
        <f t="array" ref="F14">IF(
  E14 = 0, 
  "", 
  IFERROR(
    INDEX(
      'アイテム別限界値DB'!$K:$K, 
      MATCH(
        1, 
        ('アイテム別限界値DB'!$B:$B = D$10) * 
        ('アイテム別限界値DB'!$F:$F = D14) * 
        ('アイテム別限界値DB'!$H:$H = E14), 
        0
      )
    ), 
    "再製作"
  )
)
</f>
        <v/>
      </c>
      <c r="G14" s="218" t="str">
        <f t="array" ref="G14">IF(
  E14 = 0, 
  "", 
  IFERROR(
    INDEX(
      'アイテム別限界値DB'!$L:$L, 
      MATCH(
        1, 
        ('アイテム別限界値DB'!$B:$B = D$10) * 
        ('アイテム別限界値DB'!$C:$C = D14) * 
        ('アイテム別限界値DB'!$F:$F = E14), 
        0
      )
    ), 
    ""
  )
)
</f>
        <v/>
      </c>
      <c r="H14" s="195"/>
      <c r="I14" s="224" t="s">
        <v>51</v>
      </c>
      <c r="J14" s="232"/>
      <c r="K14" s="231" t="str">
        <f t="array" ref="K14">IF(
  J14 = 0, 
  "", 
  IFERROR(
    INDEX(
      'アイテム別限界値DB'!$K:$K, 
      MATCH(
        1, 
        ('アイテム別限界値DB'!$B:$B = I$10) * 
        ('アイテム別限界値DB'!$F:$F = I14) * 
        ('アイテム別限界値DB'!$H:$H = J14), 
        0
      )
    ), 
    "再製作"
  )
)
</f>
        <v/>
      </c>
      <c r="L14" s="218" t="str">
        <f t="array" ref="L14">IF(
  J14 = 0, 
  "", 
  IFERROR(
    INDEX(
      'アイテム別限界値DB'!$L:$L, 
      MATCH(
        1, 
        ('アイテム別限界値DB'!$B:$B = I$10) * 
        ('アイテム別限界値DB'!$C:$C = I14) * 
        ('アイテム別限界値DB'!$F:$F = J14), 
        0
      )
    ), 
    ""
  )
)
</f>
        <v/>
      </c>
      <c r="M14" s="12"/>
      <c r="N14" s="224" t="s">
        <v>51</v>
      </c>
      <c r="O14" s="232"/>
      <c r="P14" s="231" t="str">
        <f t="array" ref="P14">IF(
  O14 = 0, 
  "", 
  IFERROR(
    INDEX(
      'アイテム別限界値DB'!$K:$K, 
      MATCH(
        1, 
        ('アイテム別限界値DB'!$B:$B = N$10) * 
        ('アイテム別限界値DB'!$F:$F = N14) * 
        ('アイテム別限界値DB'!$H:$H = O14), 
        0
      )
    ), 
    "再製作"
  )
)
</f>
        <v/>
      </c>
      <c r="Q14" s="218" t="str">
        <f t="array" ref="Q14">IF(
  O14 = 0, 
  "", 
  IFERROR(
    INDEX(
      'アイテム別限界値DB'!$L:$L, 
      MATCH(
        1, 
        ('アイテム別限界値DB'!$B:$B = N$10) * 
        ('アイテム別限界値DB'!$C:$C = N14) * 
        ('アイテム別限界値DB'!$F:$F = O14), 
        0
      )
    ), 
    ""
  )
)
</f>
        <v/>
      </c>
      <c r="R14" s="12"/>
      <c r="S14" s="224" t="s">
        <v>51</v>
      </c>
      <c r="T14" s="232"/>
      <c r="U14" s="231" t="str">
        <f t="array" ref="U14">IF(
  T14 = 0, 
  "", 
  IFERROR(
    INDEX(
      'アイテム別限界値DB'!$K:$K, 
      MATCH(
        1, 
        ('アイテム別限界値DB'!$B:$B = S$10) * 
        ('アイテム別限界値DB'!$F:$F = S14) * 
        ('アイテム別限界値DB'!$H:$H = T14), 
        0
      )
    ), 
    "再製作"
  )
)
</f>
        <v/>
      </c>
      <c r="V14" s="218" t="str">
        <f t="array" ref="V14">IF(
  T14 = 0, 
  "", 
  IFERROR(
    INDEX(
      'アイテム別限界値DB'!$L:$L, 
      MATCH(
        1, 
        ('アイテム別限界値DB'!$B:$B = S$10) * 
        ('アイテム別限界値DB'!$C:$C = S14) * 
        ('アイテム別限界値DB'!$F:$F = T14), 
        0
      )
    ), 
    ""
  )
)
</f>
        <v/>
      </c>
      <c r="W14" s="12"/>
      <c r="X14" s="224" t="s">
        <v>51</v>
      </c>
      <c r="Y14" s="232"/>
      <c r="Z14" s="231" t="str">
        <f t="array" ref="Z14">IF(
  Y14 = 0, 
  "", 
  IFERROR(
    INDEX(
      'アイテム別限界値DB'!$K:$K, 
      MATCH(
        1, 
        ('アイテム別限界値DB'!$B:$B = X$10) * 
        ('アイテム別限界値DB'!$F:$F = X14) * 
        ('アイテム別限界値DB'!$H:$H = Y14), 
        0
      )
    ), 
    "再製作"
  )
)
</f>
        <v/>
      </c>
      <c r="AA14" s="218" t="str">
        <f t="array" ref="AA14">IF(
  Y14 = 0, 
  "", 
  IFERROR(
    INDEX(
      'アイテム別限界値DB'!$L:$L, 
      MATCH(
        1, 
        ('アイテム別限界値DB'!$B:$B = X$10) * 
        ('アイテム別限界値DB'!$C:$C = X14) * 
        ('アイテム別限界値DB'!$F:$F = Y14), 
        0
      )
    ), 
    ""
  )
)
</f>
        <v/>
      </c>
      <c r="AB14" s="11"/>
      <c r="AC14" s="224" t="s">
        <v>51</v>
      </c>
      <c r="AD14" s="232"/>
      <c r="AE14" s="231" t="str">
        <f t="array" ref="AE14">IF(
  AD14 = 0, 
  "", 
  IFERROR(
    INDEX(
      'アイテム別限界値DB'!$K:$K, 
      MATCH(
        1, 
        ('アイテム別限界値DB'!$B:$B = AC$10) * 
        ('アイテム別限界値DB'!$F:$F = AC14) * 
        ('アイテム別限界値DB'!$H:$H = AD14), 
        0
      )
    ), 
    "再製作"
  )
)
</f>
        <v/>
      </c>
      <c r="AF14" s="218" t="str">
        <f t="array" ref="AF14">IF(
  AD14 = 0, 
  "", 
  IFERROR(
    INDEX(
      'アイテム別限界値DB'!$L:$L, 
      MATCH(
        1, 
        ('アイテム別限界値DB'!$B:$B = AC$10) * 
        ('アイテム別限界値DB'!$C:$C = AC14) * 
        ('アイテム別限界値DB'!$F:$F = AD14), 
        0
      )
    ), 
    ""
  )
)
</f>
        <v/>
      </c>
      <c r="AG14" s="11"/>
      <c r="AH14" s="224" t="s">
        <v>51</v>
      </c>
      <c r="AI14" s="232"/>
      <c r="AJ14" s="231" t="str">
        <f t="array" ref="AJ14">IF(
  AI14 = 0, 
  "", 
  IFERROR(
    INDEX(
      'アイテム別限界値DB'!$K:$K, 
      MATCH(
        1, 
        ('アイテム別限界値DB'!$B:$B = AH$10) * 
        ('アイテム別限界値DB'!$F:$F = AH14) * 
        ('アイテム別限界値DB'!$H:$H = AI14), 
        0
      )
    ), 
    "再製作"
  )
)
</f>
        <v/>
      </c>
      <c r="AK14" s="218" t="str">
        <f t="array" ref="AK14">IF(
  AI14 = 0, 
  "", 
  IFERROR(
    INDEX(
      'アイテム別限界値DB'!$L:$L, 
      MATCH(
        1, 
        ('アイテム別限界値DB'!$B:$B = AH$10) * 
        ('アイテム別限界値DB'!$C:$C = AH14) * 
        ('アイテム別限界値DB'!$F:$F = AI14), 
        0
      )
    ), 
    ""
  )
)
</f>
        <v/>
      </c>
      <c r="AL14" s="11"/>
      <c r="AM14" s="224" t="s">
        <v>51</v>
      </c>
      <c r="AN14" s="232"/>
      <c r="AO14" s="231" t="str">
        <f t="array" ref="AO14">IF(
  AN14 = 0, 
  "", 
  IFERROR(
    INDEX(
      'アイテム別限界値DB'!$K:$K, 
      MATCH(
        1, 
        ('アイテム別限界値DB'!$B:$B = AM$10) * 
        ('アイテム別限界値DB'!$F:$F = AM14) * 
        ('アイテム別限界値DB'!$H:$H = AN14), 
        0
      )
    ), 
    "再製作"
  )
)
</f>
        <v/>
      </c>
      <c r="AP14" s="218" t="str">
        <f t="array" ref="AP14">IF(
  AN14 = 0, 
  "", 
  IFERROR(
    INDEX(
      'アイテム別限界値DB'!$L:$L, 
      MATCH(
        1, 
        ('アイテム別限界値DB'!$B:$B = AM$10) * 
        ('アイテム別限界値DB'!$C:$C = AM14) * 
        ('アイテム別限界値DB'!$F:$F = AN14), 
        0
      )
    ), 
    ""
  )
)
</f>
        <v/>
      </c>
      <c r="AQ14" s="11"/>
      <c r="AR14" s="224" t="s">
        <v>51</v>
      </c>
      <c r="AS14" s="232"/>
      <c r="AT14" s="231" t="str">
        <f t="array" ref="AT14">IF(
  AS14 = 0, 
  "", 
  IFERROR(
    INDEX(
      'アイテム別限界値DB'!$K:$K, 
      MATCH(
        1, 
        ('アイテム別限界値DB'!$B:$B = AR$10) * 
        ('アイテム別限界値DB'!$F:$F = AR14) * 
        ('アイテム別限界値DB'!$H:$H = AS14), 
        0
      )
    ), 
    "再製作"
  )
)
</f>
        <v/>
      </c>
      <c r="AU14" s="218" t="str">
        <f t="array" ref="AU14">IF(
  AS14 = 0, 
  "", 
  IFERROR(
    INDEX(
      'アイテム別限界値DB'!$L:$L, 
      MATCH(
        1, 
        ('アイテム別限界値DB'!$B:$B = AR$10) * 
        ('アイテム別限界値DB'!$C:$C = AR14) * 
        ('アイテム別限界値DB'!$F:$F = AS14), 
        0
      )
    ), 
    ""
  )
)
</f>
        <v/>
      </c>
      <c r="AV14" s="121"/>
      <c r="AW14" s="224" t="s">
        <v>51</v>
      </c>
      <c r="AX14" s="232"/>
      <c r="AY14" s="231" t="str">
        <f t="array" ref="AY14">IF(
  AX14 = 0, 
  "", 
  IFERROR(
    INDEX(
      'アイテム別限界値DB'!$K:$K, 
      MATCH(
        1, 
        ('アイテム別限界値DB'!$B:$B = AW$10) * 
        ('アイテム別限界値DB'!$F:$F = AW14) * 
        ('アイテム別限界値DB'!$H:$H = AX14), 
        0
      )
    ), 
    "再製作"
  )
)
</f>
        <v/>
      </c>
      <c r="AZ14" s="218" t="str">
        <f t="array" ref="AZ14">IF(
  AX14 = 0, 
  "", 
  IFERROR(
    INDEX(
      'アイテム別限界値DB'!$L:$L, 
      MATCH(
        1, 
        ('アイテム別限界値DB'!$B:$B = AW$10) * 
        ('アイテム別限界値DB'!$C:$C = AW14) * 
        ('アイテム別限界値DB'!$F:$F = AX14), 
        0
      )
    ), 
    ""
  )
)
</f>
        <v/>
      </c>
      <c r="BA14" s="121"/>
      <c r="BB14" s="224" t="s">
        <v>51</v>
      </c>
      <c r="BC14" s="232"/>
      <c r="BD14" s="231" t="str">
        <f t="array" ref="BD14">IF(
  BC14 = 0, 
  "", 
  IFERROR(
    INDEX(
      'アイテム別限界値DB'!$K:$K, 
      MATCH(
        1, 
        ('アイテム別限界値DB'!$B:$B = BB$10) * 
        ('アイテム別限界値DB'!$F:$F = BB14) * 
        ('アイテム別限界値DB'!$H:$H = BC14), 
        0
      )
    ), 
    "再製作"
  )
)
</f>
        <v/>
      </c>
      <c r="BE14" s="218" t="str">
        <f t="array" ref="BE14">IF(
  BC14 = 0, 
  "", 
  IFERROR(
    INDEX(
      'アイテム別限界値DB'!$L:$L, 
      MATCH(
        1, 
        ('アイテム別限界値DB'!$B:$B = BB$10) * 
        ('アイテム別限界値DB'!$C:$C = BB14) * 
        ('アイテム別限界値DB'!$F:$F = BC14), 
        0
      )
    ), 
    ""
  )
)
</f>
        <v/>
      </c>
      <c r="BF14" s="121"/>
      <c r="BG14" s="224" t="s">
        <v>51</v>
      </c>
      <c r="BH14" s="233"/>
      <c r="BI14" s="234" t="str">
        <f t="array" ref="BI14">IF(
  BH14 = 0, 
  "", 
  IFERROR(
    INDEX(
      'アイテム別限界値DB'!$K:$K, 
      MATCH(
        1, 
        ('アイテム別限界値DB'!$B:$B = BG$10) * 
        ('アイテム別限界値DB'!$F:$F = BG14) * 
        ('アイテム別限界値DB'!$H:$H = BH14), 
        0
      )
    ), 
    "再製作"
  )
)
</f>
        <v/>
      </c>
      <c r="BJ14" s="218" t="str">
        <f t="array" ref="BJ14">IF(
  BH14 = 0, 
  "", 
  IFERROR(
    INDEX(
      'アイテム別限界値DB'!$L:$L, 
      MATCH(
        1, 
        ('アイテム別限界値DB'!$B:$B = BG$10) * 
        ('アイテム別限界値DB'!$C:$C = BG14) * 
        ('アイテム別限界値DB'!$F:$F = BH14), 
        0
      )
    ), 
    ""
  )
)
</f>
        <v/>
      </c>
      <c r="BK14" s="121"/>
      <c r="BL14" s="224" t="s">
        <v>51</v>
      </c>
      <c r="BM14" s="232"/>
      <c r="BN14" s="231" t="str">
        <f t="array" ref="BN14">IF(
  BM14 = 0, 
  "", 
  IFERROR(
    INDEX(
      'アイテム別限界値DB'!$K:$K, 
      MATCH(
        1, 
        ('アイテム別限界値DB'!$B:$B = BL$10) * 
        ('アイテム別限界値DB'!$F:$F = BL14) * 
        ('アイテム別限界値DB'!$H:$H = BM14), 
        0
      )
    ), 
    "再製作"
  )
)
</f>
        <v/>
      </c>
      <c r="BO14" s="218" t="str">
        <f t="array" ref="BO14">IF(
  BM14 = 0, 
  "", 
  IFERROR(
    INDEX(
      'アイテム別限界値DB'!$L:$L, 
      MATCH(
        1, 
        ('アイテム別限界値DB'!$B:$B = BL$10) * 
        ('アイテム別限界値DB'!$C:$C = BL14) * 
        ('アイテム別限界値DB'!$F:$F = BM14), 
        0
      )
    ), 
    ""
  )
)
</f>
        <v/>
      </c>
      <c r="BP14" s="195"/>
    </row>
    <row r="15" ht="18.75" customHeight="1">
      <c r="A15" s="228" t="str">
        <f>IFERROR(__xludf.DUMMYFUNCTION("TEXTJOIN(CHAR(10),TRUE,FILTER(ARRAYFORMULA(IF(E$14:E72&lt;&gt;"""",D$14:D72&amp;"" : ""&amp; E$14:E72 &amp;"" cm"","""")), D$14:D72 &lt;&gt;""""))"),"")</f>
        <v/>
      </c>
      <c r="B15" s="235"/>
      <c r="C15" s="224"/>
      <c r="D15" s="224" t="s">
        <v>53</v>
      </c>
      <c r="E15" s="230"/>
      <c r="F15" s="231" t="str">
        <f t="array" ref="F15">IF(
  E15 = 0, 
  "", 
  IFERROR(
    INDEX(
      'アイテム別限界値DB'!$K:$K, 
      MATCH(
        1, 
        ('アイテム別限界値DB'!$B:$B = D$10) * 
        ('アイテム別限界値DB'!$F:$F = D15) * 
        ('アイテム別限界値DB'!$H:$H = E15), 
        0
      )
    ), 
    "再製作"
  )
)
</f>
        <v/>
      </c>
      <c r="G15" s="218" t="str">
        <f t="array" ref="G15">IF(
  E15 = 0, 
  "", 
  IFERROR(
    INDEX(
      'アイテム別限界値DB'!$L:$L, 
      MATCH(
        1, 
        ('アイテム別限界値DB'!$B:$B = D$10) * 
        ('アイテム別限界値DB'!$C:$C = D15) * 
        ('アイテム別限界値DB'!$F:$F = E15), 
        0
      )
    ), 
    ""
  )
)
</f>
        <v/>
      </c>
      <c r="H15" s="12"/>
      <c r="I15" s="224" t="s">
        <v>54</v>
      </c>
      <c r="J15" s="230"/>
      <c r="K15" s="231" t="str">
        <f t="array" ref="K15">IF(
  J15 = 0, 
  "", 
  IFERROR(
    INDEX(
      'アイテム別限界値DB'!$K:$K, 
      MATCH(
        1, 
        ('アイテム別限界値DB'!$B:$B = I$10) * 
        ('アイテム別限界値DB'!$F:$F = I15) * 
        ('アイテム別限界値DB'!$H:$H = J15), 
        0
      )
    ), 
    "再製作"
  )
)
</f>
        <v/>
      </c>
      <c r="L15" s="218" t="str">
        <f t="array" ref="L15">IF(
  J15 = 0, 
  "", 
  IFERROR(
    INDEX(
      'アイテム別限界値DB'!$L:$L, 
      MATCH(
        1, 
        ('アイテム別限界値DB'!$B:$B = I$10) * 
        ('アイテム別限界値DB'!$C:$C = I15) * 
        ('アイテム別限界値DB'!$F:$F = J15), 
        0
      )
    ), 
    ""
  )
)
</f>
        <v/>
      </c>
      <c r="M15" s="12"/>
      <c r="N15" s="224" t="s">
        <v>55</v>
      </c>
      <c r="O15" s="230"/>
      <c r="P15" s="231" t="str">
        <f t="array" ref="P15">IF(
  O15 = 0, 
  "", 
  IFERROR(
    INDEX(
      'アイテム別限界値DB'!$K:$K, 
      MATCH(
        1, 
        ('アイテム別限界値DB'!$B:$B = N$10) * 
        ('アイテム別限界値DB'!$F:$F = N15) * 
        ('アイテム別限界値DB'!$H:$H = O15), 
        0
      )
    ), 
    "再製作"
  )
)
</f>
        <v/>
      </c>
      <c r="Q15" s="218" t="str">
        <f t="array" ref="Q15">IF(
  O15 = 0, 
  "", 
  IFERROR(
    INDEX(
      'アイテム別限界値DB'!$L:$L, 
      MATCH(
        1, 
        ('アイテム別限界値DB'!$B:$B = N$10) * 
        ('アイテム別限界値DB'!$C:$C = N15) * 
        ('アイテム別限界値DB'!$F:$F = O15), 
        0
      )
    ), 
    ""
  )
)
</f>
        <v/>
      </c>
      <c r="R15" s="12"/>
      <c r="S15" s="224" t="s">
        <v>54</v>
      </c>
      <c r="T15" s="230"/>
      <c r="U15" s="231" t="str">
        <f t="array" ref="U15">IF(
  T15 = 0, 
  "", 
  IFERROR(
    INDEX(
      'アイテム別限界値DB'!$K:$K, 
      MATCH(
        1, 
        ('アイテム別限界値DB'!$B:$B = S$10) * 
        ('アイテム別限界値DB'!$F:$F = S15) * 
        ('アイテム別限界値DB'!$H:$H = T15), 
        0
      )
    ), 
    "再製作"
  )
)
</f>
        <v/>
      </c>
      <c r="V15" s="218" t="str">
        <f t="array" ref="V15">IF(
  T15 = 0, 
  "", 
  IFERROR(
    INDEX(
      'アイテム別限界値DB'!$L:$L, 
      MATCH(
        1, 
        ('アイテム別限界値DB'!$B:$B = S$10) * 
        ('アイテム別限界値DB'!$C:$C = S15) * 
        ('アイテム別限界値DB'!$F:$F = T15), 
        0
      )
    ), 
    ""
  )
)
</f>
        <v/>
      </c>
      <c r="W15" s="12"/>
      <c r="X15" s="224" t="s">
        <v>53</v>
      </c>
      <c r="Y15" s="230"/>
      <c r="Z15" s="231" t="str">
        <f t="array" ref="Z15">IF(
  Y15 = 0, 
  "", 
  IFERROR(
    INDEX(
      'アイテム別限界値DB'!$K:$K, 
      MATCH(
        1, 
        ('アイテム別限界値DB'!$B:$B = X$10) * 
        ('アイテム別限界値DB'!$F:$F = X15) * 
        ('アイテム別限界値DB'!$H:$H = Y15), 
        0
      )
    ), 
    "再製作"
  )
)
</f>
        <v/>
      </c>
      <c r="AA15" s="218" t="str">
        <f t="array" ref="AA15">IF(
  Y15 = 0, 
  "", 
  IFERROR(
    INDEX(
      'アイテム別限界値DB'!$L:$L, 
      MATCH(
        1, 
        ('アイテム別限界値DB'!$B:$B = X$10) * 
        ('アイテム別限界値DB'!$C:$C = X15) * 
        ('アイテム別限界値DB'!$F:$F = Y15), 
        0
      )
    ), 
    ""
  )
)
</f>
        <v/>
      </c>
      <c r="AB15" s="11"/>
      <c r="AC15" s="224" t="s">
        <v>53</v>
      </c>
      <c r="AD15" s="232"/>
      <c r="AE15" s="231" t="str">
        <f t="array" ref="AE15">IF(
  AD15 = 0, 
  "", 
  IFERROR(
    INDEX(
      'アイテム別限界値DB'!$K:$K, 
      MATCH(
        1, 
        ('アイテム別限界値DB'!$B:$B = AC$10) * 
        ('アイテム別限界値DB'!$F:$F = AC15) * 
        ('アイテム別限界値DB'!$H:$H = AD15), 
        0
      )
    ), 
    "再製作"
  )
)
</f>
        <v/>
      </c>
      <c r="AF15" s="218" t="str">
        <f t="array" ref="AF15">IF(
  AD15 = 0, 
  "", 
  IFERROR(
    INDEX(
      'アイテム別限界値DB'!$L:$L, 
      MATCH(
        1, 
        ('アイテム別限界値DB'!$B:$B = AC$10) * 
        ('アイテム別限界値DB'!$C:$C = AC15) * 
        ('アイテム別限界値DB'!$F:$F = AD15), 
        0
      )
    ), 
    ""
  )
)
</f>
        <v/>
      </c>
      <c r="AG15" s="11"/>
      <c r="AH15" s="224" t="s">
        <v>53</v>
      </c>
      <c r="AI15" s="232"/>
      <c r="AJ15" s="231" t="str">
        <f t="array" ref="AJ15">IF(
  AI15 = 0, 
  "", 
  IFERROR(
    INDEX(
      'アイテム別限界値DB'!$K:$K, 
      MATCH(
        1, 
        ('アイテム別限界値DB'!$B:$B = AH$10) * 
        ('アイテム別限界値DB'!$F:$F = AH15) * 
        ('アイテム別限界値DB'!$H:$H = AI15), 
        0
      )
    ), 
    "再製作"
  )
)
</f>
        <v/>
      </c>
      <c r="AK15" s="218" t="str">
        <f t="array" ref="AK15">IF(
  AI15 = 0, 
  "", 
  IFERROR(
    INDEX(
      'アイテム別限界値DB'!$L:$L, 
      MATCH(
        1, 
        ('アイテム別限界値DB'!$B:$B = AH$10) * 
        ('アイテム別限界値DB'!$C:$C = AH15) * 
        ('アイテム別限界値DB'!$F:$F = AI15), 
        0
      )
    ), 
    ""
  )
)
</f>
        <v/>
      </c>
      <c r="AL15" s="11"/>
      <c r="AM15" s="224" t="s">
        <v>53</v>
      </c>
      <c r="AN15" s="232"/>
      <c r="AO15" s="231" t="str">
        <f t="array" ref="AO15">IF(
  AN15 = 0, 
  "", 
  IFERROR(
    INDEX(
      'アイテム別限界値DB'!$K:$K, 
      MATCH(
        1, 
        ('アイテム別限界値DB'!$B:$B = AM$10) * 
        ('アイテム別限界値DB'!$F:$F = AM15) * 
        ('アイテム別限界値DB'!$H:$H = AN15), 
        0
      )
    ), 
    "再製作"
  )
)
</f>
        <v/>
      </c>
      <c r="AP15" s="218" t="str">
        <f t="array" ref="AP15">IF(
  AN15 = 0, 
  "", 
  IFERROR(
    INDEX(
      'アイテム別限界値DB'!$L:$L, 
      MATCH(
        1, 
        ('アイテム別限界値DB'!$B:$B = AM$10) * 
        ('アイテム別限界値DB'!$C:$C = AM15) * 
        ('アイテム別限界値DB'!$F:$F = AN15), 
        0
      )
    ), 
    ""
  )
)
</f>
        <v/>
      </c>
      <c r="AQ15" s="11"/>
      <c r="AR15" s="224" t="s">
        <v>53</v>
      </c>
      <c r="AS15" s="232"/>
      <c r="AT15" s="231" t="str">
        <f t="array" ref="AT15">IF(
  AS15 = 0, 
  "", 
  IFERROR(
    INDEX(
      'アイテム別限界値DB'!$K:$K, 
      MATCH(
        1, 
        ('アイテム別限界値DB'!$B:$B = AR$10) * 
        ('アイテム別限界値DB'!$F:$F = AR15) * 
        ('アイテム別限界値DB'!$H:$H = AS15), 
        0
      )
    ), 
    "再製作"
  )
)
</f>
        <v/>
      </c>
      <c r="AU15" s="218" t="str">
        <f t="array" ref="AU15">IF(
  AS15 = 0, 
  "", 
  IFERROR(
    INDEX(
      'アイテム別限界値DB'!$L:$L, 
      MATCH(
        1, 
        ('アイテム別限界値DB'!$B:$B = AR$10) * 
        ('アイテム別限界値DB'!$C:$C = AR15) * 
        ('アイテム別限界値DB'!$F:$F = AS15), 
        0
      )
    ), 
    ""
  )
)
</f>
        <v/>
      </c>
      <c r="AV15" s="121"/>
      <c r="AW15" s="224" t="s">
        <v>53</v>
      </c>
      <c r="AX15" s="232"/>
      <c r="AY15" s="231" t="str">
        <f t="array" ref="AY15">IF(
  AX15 = 0, 
  "", 
  IFERROR(
    INDEX(
      'アイテム別限界値DB'!$K:$K, 
      MATCH(
        1, 
        ('アイテム別限界値DB'!$B:$B = AW$10) * 
        ('アイテム別限界値DB'!$F:$F = AW15) * 
        ('アイテム別限界値DB'!$H:$H = AX15), 
        0
      )
    ), 
    "再製作"
  )
)
</f>
        <v/>
      </c>
      <c r="AZ15" s="218" t="str">
        <f t="array" ref="AZ15">IF(
  AX15 = 0, 
  "", 
  IFERROR(
    INDEX(
      'アイテム別限界値DB'!$L:$L, 
      MATCH(
        1, 
        ('アイテム別限界値DB'!$B:$B = AW$10) * 
        ('アイテム別限界値DB'!$C:$C = AW15) * 
        ('アイテム別限界値DB'!$F:$F = AX15), 
        0
      )
    ), 
    ""
  )
)
</f>
        <v/>
      </c>
      <c r="BA15" s="121"/>
      <c r="BB15" s="224" t="s">
        <v>53</v>
      </c>
      <c r="BC15" s="232"/>
      <c r="BD15" s="231" t="str">
        <f t="array" ref="BD15">IF(
  BC15 = 0, 
  "", 
  IFERROR(
    INDEX(
      'アイテム別限界値DB'!$K:$K, 
      MATCH(
        1, 
        ('アイテム別限界値DB'!$B:$B = BB$10) * 
        ('アイテム別限界値DB'!$F:$F = BB15) * 
        ('アイテム別限界値DB'!$H:$H = BC15), 
        0
      )
    ), 
    "再製作"
  )
)
</f>
        <v/>
      </c>
      <c r="BE15" s="218" t="str">
        <f t="array" ref="BE15">IF(
  BC15 = 0, 
  "", 
  IFERROR(
    INDEX(
      'アイテム別限界値DB'!$L:$L, 
      MATCH(
        1, 
        ('アイテム別限界値DB'!$B:$B = BB$10) * 
        ('アイテム別限界値DB'!$C:$C = BB15) * 
        ('アイテム別限界値DB'!$F:$F = BC15), 
        0
      )
    ), 
    ""
  )
)
</f>
        <v/>
      </c>
      <c r="BF15" s="121"/>
      <c r="BG15" s="224" t="s">
        <v>53</v>
      </c>
      <c r="BH15" s="232"/>
      <c r="BI15" s="231" t="str">
        <f t="array" ref="BI15">IF(
  BH15 = 0, 
  "", 
  IFERROR(
    INDEX(
      'アイテム別限界値DB'!$K:$K, 
      MATCH(
        1, 
        ('アイテム別限界値DB'!$B:$B = BG$10) * 
        ('アイテム別限界値DB'!$F:$F = BG15) * 
        ('アイテム別限界値DB'!$H:$H = BH15), 
        0
      )
    ), 
    "再製作"
  )
)
</f>
        <v/>
      </c>
      <c r="BJ15" s="218" t="str">
        <f t="array" ref="BJ15">IF(
  BH15 = 0, 
  "", 
  IFERROR(
    INDEX(
      'アイテム別限界値DB'!$L:$L, 
      MATCH(
        1, 
        ('アイテム別限界値DB'!$B:$B = BG$10) * 
        ('アイテム別限界値DB'!$C:$C = BG15) * 
        ('アイテム別限界値DB'!$F:$F = BH15), 
        0
      )
    ), 
    ""
  )
)
</f>
        <v/>
      </c>
      <c r="BK15" s="121"/>
      <c r="BL15" s="224" t="s">
        <v>53</v>
      </c>
      <c r="BM15" s="232"/>
      <c r="BN15" s="231" t="str">
        <f t="array" ref="BN15">IF(
  BM15 = 0, 
  "", 
  IFERROR(
    INDEX(
      'アイテム別限界値DB'!$K:$K, 
      MATCH(
        1, 
        ('アイテム別限界値DB'!$B:$B = BL$10) * 
        ('アイテム別限界値DB'!$F:$F = BL15) * 
        ('アイテム別限界値DB'!$H:$H = BM15), 
        0
      )
    ), 
    "再製作"
  )
)
</f>
        <v/>
      </c>
      <c r="BO15" s="218" t="str">
        <f t="array" ref="BO15">IF(
  BM15 = 0, 
  "", 
  IFERROR(
    INDEX(
      'アイテム別限界値DB'!$L:$L, 
      MATCH(
        1, 
        ('アイテム別限界値DB'!$B:$B = BL$10) * 
        ('アイテム別限界値DB'!$C:$C = BL15) * 
        ('アイテム別限界値DB'!$F:$F = BM15), 
        0
      )
    ), 
    ""
  )
)
</f>
        <v/>
      </c>
      <c r="BP15" s="195"/>
    </row>
    <row r="16" ht="18.75" customHeight="1">
      <c r="A16" s="236" t="str">
        <f>if($A$14&lt;&gt;"", "《仕上がり数値》","")</f>
        <v/>
      </c>
      <c r="B16" s="224"/>
      <c r="C16" s="224"/>
      <c r="D16" s="224" t="s">
        <v>55</v>
      </c>
      <c r="E16" s="230"/>
      <c r="F16" s="231" t="str">
        <f t="array" ref="F16">IF(
  E16 = 0, 
  "", 
  IFERROR(
    INDEX(
      'アイテム別限界値DB'!$K:$K, 
      MATCH(
        1, 
        ('アイテム別限界値DB'!$B:$B = D$10) * 
        ('アイテム別限界値DB'!$F:$F = D16) * 
        ('アイテム別限界値DB'!$H:$H = E16), 
        0
      )
    ), 
    "再製作"
  )
)
</f>
        <v/>
      </c>
      <c r="G16" s="218" t="str">
        <f t="array" ref="G16">IF(
  E16 = 0, 
  "", 
  IFERROR(
    INDEX(
      'アイテム別限界値DB'!$L:$L, 
      MATCH(
        1, 
        ('アイテム別限界値DB'!$B:$B = D$10) * 
        ('アイテム別限界値DB'!$C:$C = D16) * 
        ('アイテム別限界値DB'!$F:$F = E16), 
        0
      )
    ), 
    ""
  )
)
</f>
        <v/>
      </c>
      <c r="H16" s="12"/>
      <c r="I16" s="224" t="s">
        <v>56</v>
      </c>
      <c r="J16" s="230"/>
      <c r="K16" s="231" t="str">
        <f t="array" ref="K16">IF(
  J16 = 0, 
  "", 
  IFERROR(
    INDEX(
      'アイテム別限界値DB'!$K:$K, 
      MATCH(
        1, 
        ('アイテム別限界値DB'!$B:$B = I$10) * 
        ('アイテム別限界値DB'!$F:$F = I16) * 
        ('アイテム別限界値DB'!$H:$H = J16), 
        0
      )
    ), 
    "再製作"
  )
)
</f>
        <v/>
      </c>
      <c r="L16" s="218" t="str">
        <f t="array" ref="L16">IF(
  J16 = 0, 
  "", 
  IFERROR(
    INDEX(
      'アイテム別限界値DB'!$L:$L, 
      MATCH(
        1, 
        ('アイテム別限界値DB'!$B:$B = I$10) * 
        ('アイテム別限界値DB'!$C:$C = I16) * 
        ('アイテム別限界値DB'!$F:$F = J16), 
        0
      )
    ), 
    ""
  )
)
</f>
        <v/>
      </c>
      <c r="M16" s="12"/>
      <c r="N16" s="224" t="s">
        <v>57</v>
      </c>
      <c r="O16" s="230"/>
      <c r="P16" s="231" t="str">
        <f t="array" ref="P16">IF(
  O16 = 0, 
  "", 
  IFERROR(
    INDEX(
      'アイテム別限界値DB'!$K:$K, 
      MATCH(
        1, 
        ('アイテム別限界値DB'!$B:$B = N$10) * 
        ('アイテム別限界値DB'!$F:$F = N16) * 
        ('アイテム別限界値DB'!$H:$H = O16), 
        0
      )
    ), 
    "再製作"
  )
)
</f>
        <v/>
      </c>
      <c r="Q16" s="218" t="str">
        <f t="array" ref="Q16">IF(
  O16 = 0, 
  "", 
  IFERROR(
    INDEX(
      'アイテム別限界値DB'!$L:$L, 
      MATCH(
        1, 
        ('アイテム別限界値DB'!$B:$B = N$10) * 
        ('アイテム別限界値DB'!$C:$C = N16) * 
        ('アイテム別限界値DB'!$F:$F = O16), 
        0
      )
    ), 
    ""
  )
)
</f>
        <v/>
      </c>
      <c r="R16" s="12"/>
      <c r="S16" s="224" t="s">
        <v>56</v>
      </c>
      <c r="T16" s="230"/>
      <c r="U16" s="231" t="str">
        <f t="array" ref="U16">IF(
  T16 = 0, 
  "", 
  IFERROR(
    INDEX(
      'アイテム別限界値DB'!$K:$K, 
      MATCH(
        1, 
        ('アイテム別限界値DB'!$B:$B = S$10) * 
        ('アイテム別限界値DB'!$F:$F = S16) * 
        ('アイテム別限界値DB'!$H:$H = T16), 
        0
      )
    ), 
    "再製作"
  )
)
</f>
        <v/>
      </c>
      <c r="V16" s="218" t="str">
        <f t="array" ref="V16">IF(
  T16 = 0, 
  "", 
  IFERROR(
    INDEX(
      'アイテム別限界値DB'!$L:$L, 
      MATCH(
        1, 
        ('アイテム別限界値DB'!$B:$B = S$10) * 
        ('アイテム別限界値DB'!$C:$C = S16) * 
        ('アイテム別限界値DB'!$F:$F = T16), 
        0
      )
    ), 
    ""
  )
)
</f>
        <v/>
      </c>
      <c r="W16" s="12"/>
      <c r="X16" s="224" t="s">
        <v>58</v>
      </c>
      <c r="Y16" s="230"/>
      <c r="Z16" s="231" t="str">
        <f t="array" ref="Z16">IF(
  Y16 = 0, 
  "", 
  IFERROR(
    INDEX(
      'アイテム別限界値DB'!$K:$K, 
      MATCH(
        1, 
        ('アイテム別限界値DB'!$B:$B = X$10) * 
        ('アイテム別限界値DB'!$F:$F = X16) * 
        ('アイテム別限界値DB'!$H:$H = Y16), 
        0
      )
    ), 
    "再製作"
  )
)
</f>
        <v/>
      </c>
      <c r="AA16" s="218" t="str">
        <f t="array" ref="AA16">IF(
  Y16 = 0, 
  "", 
  IFERROR(
    INDEX(
      'アイテム別限界値DB'!$L:$L, 
      MATCH(
        1, 
        ('アイテム別限界値DB'!$B:$B = X$10) * 
        ('アイテム別限界値DB'!$C:$C = X16) * 
        ('アイテム別限界値DB'!$F:$F = Y16), 
        0
      )
    ), 
    ""
  )
)
</f>
        <v/>
      </c>
      <c r="AB16" s="11"/>
      <c r="AC16" s="224" t="s">
        <v>55</v>
      </c>
      <c r="AD16" s="232"/>
      <c r="AE16" s="231" t="str">
        <f t="array" ref="AE16">IF(
  AD16 = 0, 
  "", 
  IFERROR(
    INDEX(
      'アイテム別限界値DB'!$K:$K, 
      MATCH(
        1, 
        ('アイテム別限界値DB'!$B:$B = AC$10) * 
        ('アイテム別限界値DB'!$F:$F = AC16) * 
        ('アイテム別限界値DB'!$H:$H = AD16), 
        0
      )
    ), 
    "再製作"
  )
)
</f>
        <v/>
      </c>
      <c r="AF16" s="218" t="str">
        <f t="array" ref="AF16">IF(
  AD16 = 0, 
  "", 
  IFERROR(
    INDEX(
      'アイテム別限界値DB'!$L:$L, 
      MATCH(
        1, 
        ('アイテム別限界値DB'!$B:$B = AC$10) * 
        ('アイテム別限界値DB'!$C:$C = AC16) * 
        ('アイテム別限界値DB'!$F:$F = AD16), 
        0
      )
    ), 
    ""
  )
)
</f>
        <v/>
      </c>
      <c r="AG16" s="11"/>
      <c r="AH16" s="224" t="s">
        <v>55</v>
      </c>
      <c r="AI16" s="232"/>
      <c r="AJ16" s="231" t="str">
        <f t="array" ref="AJ16">IF(
  AI16 = 0, 
  "", 
  IFERROR(
    INDEX(
      'アイテム別限界値DB'!$K:$K, 
      MATCH(
        1, 
        ('アイテム別限界値DB'!$B:$B = AH$10) * 
        ('アイテム別限界値DB'!$F:$F = AH16) * 
        ('アイテム別限界値DB'!$H:$H = AI16), 
        0
      )
    ), 
    "再製作"
  )
)
</f>
        <v/>
      </c>
      <c r="AK16" s="218" t="str">
        <f t="array" ref="AK16">IF(
  AI16 = 0, 
  "", 
  IFERROR(
    INDEX(
      'アイテム別限界値DB'!$L:$L, 
      MATCH(
        1, 
        ('アイテム別限界値DB'!$B:$B = AH$10) * 
        ('アイテム別限界値DB'!$C:$C = AH16) * 
        ('アイテム別限界値DB'!$F:$F = AI16), 
        0
      )
    ), 
    ""
  )
)
</f>
        <v/>
      </c>
      <c r="AL16" s="11"/>
      <c r="AM16" s="224" t="s">
        <v>55</v>
      </c>
      <c r="AN16" s="232"/>
      <c r="AO16" s="231" t="str">
        <f t="array" ref="AO16">IF(
  AN16 = 0, 
  "", 
  IFERROR(
    INDEX(
      'アイテム別限界値DB'!$K:$K, 
      MATCH(
        1, 
        ('アイテム別限界値DB'!$B:$B = AM$10) * 
        ('アイテム別限界値DB'!$F:$F = AM16) * 
        ('アイテム別限界値DB'!$H:$H = AN16), 
        0
      )
    ), 
    "再製作"
  )
)
</f>
        <v/>
      </c>
      <c r="AP16" s="218" t="str">
        <f t="array" ref="AP16">IF(
  AN16 = 0, 
  "", 
  IFERROR(
    INDEX(
      'アイテム別限界値DB'!$L:$L, 
      MATCH(
        1, 
        ('アイテム別限界値DB'!$B:$B = AM$10) * 
        ('アイテム別限界値DB'!$C:$C = AM16) * 
        ('アイテム別限界値DB'!$F:$F = AN16), 
        0
      )
    ), 
    ""
  )
)
</f>
        <v/>
      </c>
      <c r="AQ16" s="11"/>
      <c r="AR16" s="224" t="s">
        <v>55</v>
      </c>
      <c r="AS16" s="232"/>
      <c r="AT16" s="231" t="str">
        <f t="array" ref="AT16">IF(
  AS16 = 0, 
  "", 
  IFERROR(
    INDEX(
      'アイテム別限界値DB'!$K:$K, 
      MATCH(
        1, 
        ('アイテム別限界値DB'!$B:$B = AR$10) * 
        ('アイテム別限界値DB'!$F:$F = AR16) * 
        ('アイテム別限界値DB'!$H:$H = AS16), 
        0
      )
    ), 
    "再製作"
  )
)
</f>
        <v/>
      </c>
      <c r="AU16" s="218" t="str">
        <f t="array" ref="AU16">IF(
  AS16 = 0, 
  "", 
  IFERROR(
    INDEX(
      'アイテム別限界値DB'!$L:$L, 
      MATCH(
        1, 
        ('アイテム別限界値DB'!$B:$B = AR$10) * 
        ('アイテム別限界値DB'!$C:$C = AR16) * 
        ('アイテム別限界値DB'!$F:$F = AS16), 
        0
      )
    ), 
    ""
  )
)
</f>
        <v/>
      </c>
      <c r="AV16" s="121"/>
      <c r="AW16" s="224" t="s">
        <v>55</v>
      </c>
      <c r="AX16" s="232"/>
      <c r="AY16" s="231" t="str">
        <f t="array" ref="AY16">IF(
  AX16 = 0, 
  "", 
  IFERROR(
    INDEX(
      'アイテム別限界値DB'!$K:$K, 
      MATCH(
        1, 
        ('アイテム別限界値DB'!$B:$B = AW$10) * 
        ('アイテム別限界値DB'!$F:$F = AW16) * 
        ('アイテム別限界値DB'!$H:$H = AX16), 
        0
      )
    ), 
    "再製作"
  )
)
</f>
        <v/>
      </c>
      <c r="AZ16" s="218" t="str">
        <f t="array" ref="AZ16">IF(
  AX16 = 0, 
  "", 
  IFERROR(
    INDEX(
      'アイテム別限界値DB'!$L:$L, 
      MATCH(
        1, 
        ('アイテム別限界値DB'!$B:$B = AW$10) * 
        ('アイテム別限界値DB'!$C:$C = AW16) * 
        ('アイテム別限界値DB'!$F:$F = AX16), 
        0
      )
    ), 
    ""
  )
)
</f>
        <v/>
      </c>
      <c r="BA16" s="121"/>
      <c r="BB16" s="224" t="s">
        <v>55</v>
      </c>
      <c r="BC16" s="232"/>
      <c r="BD16" s="231" t="str">
        <f t="array" ref="BD16">IF(
  BC16 = 0, 
  "", 
  IFERROR(
    INDEX(
      'アイテム別限界値DB'!$K:$K, 
      MATCH(
        1, 
        ('アイテム別限界値DB'!$B:$B = BB$10) * 
        ('アイテム別限界値DB'!$F:$F = BB16) * 
        ('アイテム別限界値DB'!$H:$H = BC16), 
        0
      )
    ), 
    "再製作"
  )
)
</f>
        <v/>
      </c>
      <c r="BE16" s="218" t="str">
        <f t="array" ref="BE16">IF(
  BC16 = 0, 
  "", 
  IFERROR(
    INDEX(
      'アイテム別限界値DB'!$L:$L, 
      MATCH(
        1, 
        ('アイテム別限界値DB'!$B:$B = BB$10) * 
        ('アイテム別限界値DB'!$C:$C = BB16) * 
        ('アイテム別限界値DB'!$F:$F = BC16), 
        0
      )
    ), 
    ""
  )
)
</f>
        <v/>
      </c>
      <c r="BF16" s="121"/>
      <c r="BG16" s="224" t="s">
        <v>55</v>
      </c>
      <c r="BH16" s="232"/>
      <c r="BI16" s="231" t="str">
        <f t="array" ref="BI16">IF(
  BH16 = 0, 
  "", 
  IFERROR(
    INDEX(
      'アイテム別限界値DB'!$K:$K, 
      MATCH(
        1, 
        ('アイテム別限界値DB'!$B:$B = BG$10) * 
        ('アイテム別限界値DB'!$F:$F = BG16) * 
        ('アイテム別限界値DB'!$H:$H = BH16), 
        0
      )
    ), 
    "再製作"
  )
)
</f>
        <v/>
      </c>
      <c r="BJ16" s="218" t="str">
        <f t="array" ref="BJ16">IF(
  BH16 = 0, 
  "", 
  IFERROR(
    INDEX(
      'アイテム別限界値DB'!$L:$L, 
      MATCH(
        1, 
        ('アイテム別限界値DB'!$B:$B = BG$10) * 
        ('アイテム別限界値DB'!$C:$C = BG16) * 
        ('アイテム別限界値DB'!$F:$F = BH16), 
        0
      )
    ), 
    ""
  )
)
</f>
        <v/>
      </c>
      <c r="BK16" s="121"/>
      <c r="BL16" s="224" t="s">
        <v>55</v>
      </c>
      <c r="BM16" s="232" t="s">
        <v>59</v>
      </c>
      <c r="BN16" s="231">
        <f t="array" ref="BN16">IF(
  BM16 = 0, 
  "", 
  IFERROR(
    INDEX(
      'アイテム別限界値DB'!$K:$K, 
      MATCH(
        1, 
        ('アイテム別限界値DB'!$B:$B = BL$10) * 
        ('アイテム別限界値DB'!$F:$F = BL16) * 
        ('アイテム別限界値DB'!$H:$H = BM16), 
        0
      )
    ), 
    "再製作"
  )
)
</f>
        <v>46000</v>
      </c>
      <c r="BO16" s="218" t="str">
        <f t="array" ref="BO16">IF(
  BM16 = 0, 
  "", 
  IFERROR(
    INDEX(
      'アイテム別限界値DB'!$L:$L, 
      MATCH(
        1, 
        ('アイテム別限界値DB'!$B:$B = BL$10) * 
        ('アイテム別限界値DB'!$C:$C = BL16) * 
        ('アイテム別限界値DB'!$F:$F = BM16), 
        0
      )
    ), 
    ""
  )
)
</f>
        <v/>
      </c>
      <c r="BP16" s="195"/>
    </row>
    <row r="17" ht="18.75" customHeight="1">
      <c r="A17" s="228" t="str">
        <f>IFERROR(__xludf.DUMMYFUNCTION("TEXTJOIN(CHAR(10),TRUE,FILTER(ARRAYFORMULA(IF(E$14:E72&lt;&gt;"""",D$14:D72&amp;"" :  cm"","""")), D$14:D72 &lt;&gt;""""))"),"")</f>
        <v/>
      </c>
      <c r="B17" s="229"/>
      <c r="C17" s="224"/>
      <c r="D17" s="224" t="s">
        <v>60</v>
      </c>
      <c r="E17" s="230"/>
      <c r="F17" s="231" t="str">
        <f t="array" ref="F17">IF(
  E17 = 0, 
  "", 
  IFERROR(
    INDEX(
      'アイテム別限界値DB'!$K:$K, 
      MATCH(
        1, 
        ('アイテム別限界値DB'!$B:$B = D$10) * 
        ('アイテム別限界値DB'!$F:$F = D17) * 
        ('アイテム別限界値DB'!$H:$H = E17), 
        0
      )
    ), 
    "再製作"
  )
)
</f>
        <v/>
      </c>
      <c r="G17" s="218" t="str">
        <f t="array" ref="G17">IF(
  E17 = 0, 
  "", 
  IFERROR(
    INDEX(
      'アイテム別限界値DB'!$L:$L, 
      MATCH(
        1, 
        ('アイテム別限界値DB'!$B:$B = D$10) * 
        ('アイテム別限界値DB'!$C:$C = D17) * 
        ('アイテム別限界値DB'!$F:$F = E17), 
        0
      )
    ), 
    ""
  )
)
</f>
        <v/>
      </c>
      <c r="H17" s="12"/>
      <c r="I17" s="224" t="s">
        <v>61</v>
      </c>
      <c r="J17" s="230"/>
      <c r="K17" s="231" t="str">
        <f t="array" ref="K17">IF(
  J17 = 0, 
  "", 
  IFERROR(
    INDEX(
      'アイテム別限界値DB'!$K:$K, 
      MATCH(
        1, 
        ('アイテム別限界値DB'!$B:$B = I$10) * 
        ('アイテム別限界値DB'!$F:$F = I17) * 
        ('アイテム別限界値DB'!$H:$H = J17), 
        0
      )
    ), 
    "再製作"
  )
)
</f>
        <v/>
      </c>
      <c r="L17" s="218" t="str">
        <f t="array" ref="L17">IF(
  J17 = 0, 
  "", 
  IFERROR(
    INDEX(
      'アイテム別限界値DB'!$L:$L, 
      MATCH(
        1, 
        ('アイテム別限界値DB'!$B:$B = I$10) * 
        ('アイテム別限界値DB'!$C:$C = I17) * 
        ('アイテム別限界値DB'!$F:$F = J17), 
        0
      )
    ), 
    ""
  )
)
</f>
        <v/>
      </c>
      <c r="M17" s="12"/>
      <c r="N17" s="224" t="s">
        <v>62</v>
      </c>
      <c r="O17" s="232"/>
      <c r="P17" s="231" t="str">
        <f t="array" ref="P17">IF(
  O17 = 0, 
  "", 
  IFERROR(
    INDEX(
      'アイテム別限界値DB'!$K:$K, 
      MATCH(
        1, 
        ('アイテム別限界値DB'!$B:$B = N$10) * 
        ('アイテム別限界値DB'!$F:$F = N17) * 
        ('アイテム別限界値DB'!$H:$H = O17), 
        0
      )
    ), 
    "再製作"
  )
)
</f>
        <v/>
      </c>
      <c r="Q17" s="218" t="str">
        <f t="array" ref="Q17">IF(
  O17 = 0, 
  "", 
  IFERROR(
    INDEX(
      'アイテム別限界値DB'!$L:$L, 
      MATCH(
        1, 
        ('アイテム別限界値DB'!$B:$B = N$10) * 
        ('アイテム別限界値DB'!$C:$C = N17) * 
        ('アイテム別限界値DB'!$F:$F = O17), 
        0
      )
    ), 
    ""
  )
)
</f>
        <v/>
      </c>
      <c r="R17" s="11"/>
      <c r="S17" s="224" t="s">
        <v>61</v>
      </c>
      <c r="T17" s="230"/>
      <c r="U17" s="231" t="str">
        <f t="array" ref="U17">IF(
  T17 = 0, 
  "", 
  IFERROR(
    INDEX(
      'アイテム別限界値DB'!$K:$K, 
      MATCH(
        1, 
        ('アイテム別限界値DB'!$B:$B = S$10) * 
        ('アイテム別限界値DB'!$F:$F = S17) * 
        ('アイテム別限界値DB'!$H:$H = T17), 
        0
      )
    ), 
    "再製作"
  )
)
</f>
        <v/>
      </c>
      <c r="V17" s="218" t="str">
        <f t="array" ref="V17">IF(
  T17 = 0, 
  "", 
  IFERROR(
    INDEX(
      'アイテム別限界値DB'!$L:$L, 
      MATCH(
        1, 
        ('アイテム別限界値DB'!$B:$B = S$10) * 
        ('アイテム別限界値DB'!$C:$C = S17) * 
        ('アイテム別限界値DB'!$F:$F = T17), 
        0
      )
    ), 
    ""
  )
)
</f>
        <v/>
      </c>
      <c r="W17" s="12"/>
      <c r="X17" s="224" t="s">
        <v>63</v>
      </c>
      <c r="Y17" s="230"/>
      <c r="Z17" s="231" t="str">
        <f t="array" ref="Z17">IF(
  Y17 = 0, 
  "", 
  IFERROR(
    INDEX(
      'アイテム別限界値DB'!$K:$K, 
      MATCH(
        1, 
        ('アイテム別限界値DB'!$B:$B = X$10) * 
        ('アイテム別限界値DB'!$F:$F = X17) * 
        ('アイテム別限界値DB'!$H:$H = Y17), 
        0
      )
    ), 
    "再製作"
  )
)
</f>
        <v/>
      </c>
      <c r="AA17" s="218" t="str">
        <f t="array" ref="AA17">IF(
  Y17 = 0, 
  "", 
  IFERROR(
    INDEX(
      'アイテム別限界値DB'!$L:$L, 
      MATCH(
        1, 
        ('アイテム別限界値DB'!$B:$B = X$10) * 
        ('アイテム別限界値DB'!$C:$C = X17) * 
        ('アイテム別限界値DB'!$F:$F = Y17), 
        0
      )
    ), 
    ""
  )
)
</f>
        <v/>
      </c>
      <c r="AB17" s="11"/>
      <c r="AC17" s="224" t="s">
        <v>57</v>
      </c>
      <c r="AD17" s="232"/>
      <c r="AE17" s="231" t="str">
        <f t="array" ref="AE17">IF(
  AD17 = 0, 
  "", 
  IFERROR(
    INDEX(
      'アイテム別限界値DB'!$K:$K, 
      MATCH(
        1, 
        ('アイテム別限界値DB'!$B:$B = AC$10) * 
        ('アイテム別限界値DB'!$F:$F = AC17) * 
        ('アイテム別限界値DB'!$H:$H = AD17), 
        0
      )
    ), 
    "再製作"
  )
)
</f>
        <v/>
      </c>
      <c r="AF17" s="218" t="str">
        <f t="array" ref="AF17">IF(
  AD17 = 0, 
  "", 
  IFERROR(
    INDEX(
      'アイテム別限界値DB'!$L:$L, 
      MATCH(
        1, 
        ('アイテム別限界値DB'!$B:$B = AC$10) * 
        ('アイテム別限界値DB'!$C:$C = AC17) * 
        ('アイテム別限界値DB'!$F:$F = AD17), 
        0
      )
    ), 
    ""
  )
)
</f>
        <v/>
      </c>
      <c r="AG17" s="11"/>
      <c r="AH17" s="224" t="s">
        <v>57</v>
      </c>
      <c r="AI17" s="232"/>
      <c r="AJ17" s="231" t="str">
        <f t="array" ref="AJ17">IF(
  AI17 = 0, 
  "", 
  IFERROR(
    INDEX(
      'アイテム別限界値DB'!$K:$K, 
      MATCH(
        1, 
        ('アイテム別限界値DB'!$B:$B = AH$10) * 
        ('アイテム別限界値DB'!$F:$F = AH17) * 
        ('アイテム別限界値DB'!$H:$H = AI17), 
        0
      )
    ), 
    "再製作"
  )
)
</f>
        <v/>
      </c>
      <c r="AK17" s="218" t="str">
        <f t="array" ref="AK17">IF(
  AI17 = 0, 
  "", 
  IFERROR(
    INDEX(
      'アイテム別限界値DB'!$L:$L, 
      MATCH(
        1, 
        ('アイテム別限界値DB'!$B:$B = AH$10) * 
        ('アイテム別限界値DB'!$C:$C = AH17) * 
        ('アイテム別限界値DB'!$F:$F = AI17), 
        0
      )
    ), 
    ""
  )
)
</f>
        <v/>
      </c>
      <c r="AL17" s="11"/>
      <c r="AM17" s="224" t="s">
        <v>57</v>
      </c>
      <c r="AN17" s="232"/>
      <c r="AO17" s="231" t="str">
        <f t="array" ref="AO17">IF(
  AN17 = 0, 
  "", 
  IFERROR(
    INDEX(
      'アイテム別限界値DB'!$K:$K, 
      MATCH(
        1, 
        ('アイテム別限界値DB'!$B:$B = AM$10) * 
        ('アイテム別限界値DB'!$F:$F = AM17) * 
        ('アイテム別限界値DB'!$H:$H = AN17), 
        0
      )
    ), 
    "再製作"
  )
)
</f>
        <v/>
      </c>
      <c r="AP17" s="218" t="str">
        <f t="array" ref="AP17">IF(
  AN17 = 0, 
  "", 
  IFERROR(
    INDEX(
      'アイテム別限界値DB'!$L:$L, 
      MATCH(
        1, 
        ('アイテム別限界値DB'!$B:$B = AM$10) * 
        ('アイテム別限界値DB'!$C:$C = AM17) * 
        ('アイテム別限界値DB'!$F:$F = AN17), 
        0
      )
    ), 
    ""
  )
)
</f>
        <v/>
      </c>
      <c r="AQ17" s="11"/>
      <c r="AR17" s="224" t="s">
        <v>57</v>
      </c>
      <c r="AS17" s="232"/>
      <c r="AT17" s="231" t="str">
        <f t="array" ref="AT17">IF(
  AS17 = 0, 
  "", 
  IFERROR(
    INDEX(
      'アイテム別限界値DB'!$K:$K, 
      MATCH(
        1, 
        ('アイテム別限界値DB'!$B:$B = AR$10) * 
        ('アイテム別限界値DB'!$F:$F = AR17) * 
        ('アイテム別限界値DB'!$H:$H = AS17), 
        0
      )
    ), 
    "再製作"
  )
)
</f>
        <v/>
      </c>
      <c r="AU17" s="218" t="str">
        <f t="array" ref="AU17">IF(
  AS17 = 0, 
  "", 
  IFERROR(
    INDEX(
      'アイテム別限界値DB'!$L:$L, 
      MATCH(
        1, 
        ('アイテム別限界値DB'!$B:$B = AR$10) * 
        ('アイテム別限界値DB'!$C:$C = AR17) * 
        ('アイテム別限界値DB'!$F:$F = AS17), 
        0
      )
    ), 
    ""
  )
)
</f>
        <v/>
      </c>
      <c r="AV17" s="121"/>
      <c r="AW17" s="224" t="s">
        <v>57</v>
      </c>
      <c r="AX17" s="232"/>
      <c r="AY17" s="231" t="str">
        <f t="array" ref="AY17">IF(
  AX17 = 0, 
  "", 
  IFERROR(
    INDEX(
      'アイテム別限界値DB'!$K:$K, 
      MATCH(
        1, 
        ('アイテム別限界値DB'!$B:$B = AW$10) * 
        ('アイテム別限界値DB'!$F:$F = AW17) * 
        ('アイテム別限界値DB'!$H:$H = AX17), 
        0
      )
    ), 
    "再製作"
  )
)
</f>
        <v/>
      </c>
      <c r="AZ17" s="218" t="str">
        <f t="array" ref="AZ17">IF(
  AX17 = 0, 
  "", 
  IFERROR(
    INDEX(
      'アイテム別限界値DB'!$L:$L, 
      MATCH(
        1, 
        ('アイテム別限界値DB'!$B:$B = AW$10) * 
        ('アイテム別限界値DB'!$C:$C = AW17) * 
        ('アイテム別限界値DB'!$F:$F = AX17), 
        0
      )
    ), 
    ""
  )
)
</f>
        <v/>
      </c>
      <c r="BA17" s="121"/>
      <c r="BB17" s="224" t="s">
        <v>57</v>
      </c>
      <c r="BC17" s="232"/>
      <c r="BD17" s="231" t="str">
        <f t="array" ref="BD17">IF(
  BC17 = 0, 
  "", 
  IFERROR(
    INDEX(
      'アイテム別限界値DB'!$K:$K, 
      MATCH(
        1, 
        ('アイテム別限界値DB'!$B:$B = BB$10) * 
        ('アイテム別限界値DB'!$F:$F = BB17) * 
        ('アイテム別限界値DB'!$H:$H = BC17), 
        0
      )
    ), 
    "再製作"
  )
)
</f>
        <v/>
      </c>
      <c r="BE17" s="218" t="str">
        <f t="array" ref="BE17">IF(
  BC17 = 0, 
  "", 
  IFERROR(
    INDEX(
      'アイテム別限界値DB'!$L:$L, 
      MATCH(
        1, 
        ('アイテム別限界値DB'!$B:$B = BB$10) * 
        ('アイテム別限界値DB'!$C:$C = BB17) * 
        ('アイテム別限界値DB'!$F:$F = BC17), 
        0
      )
    ), 
    ""
  )
)
</f>
        <v/>
      </c>
      <c r="BF17" s="121"/>
      <c r="BG17" s="224" t="s">
        <v>57</v>
      </c>
      <c r="BH17" s="232"/>
      <c r="BI17" s="231" t="str">
        <f t="array" ref="BI17">IF(
  BH17 = 0, 
  "", 
  IFERROR(
    INDEX(
      'アイテム別限界値DB'!$K:$K, 
      MATCH(
        1, 
        ('アイテム別限界値DB'!$B:$B = BG$10) * 
        ('アイテム別限界値DB'!$F:$F = BG17) * 
        ('アイテム別限界値DB'!$H:$H = BH17), 
        0
      )
    ), 
    "再製作"
  )
)
</f>
        <v/>
      </c>
      <c r="BJ17" s="218" t="str">
        <f t="array" ref="BJ17">IF(
  BH17 = 0, 
  "", 
  IFERROR(
    INDEX(
      'アイテム別限界値DB'!$L:$L, 
      MATCH(
        1, 
        ('アイテム別限界値DB'!$B:$B = BG$10) * 
        ('アイテム別限界値DB'!$C:$C = BG17) * 
        ('アイテム別限界値DB'!$F:$F = BH17), 
        0
      )
    ), 
    ""
  )
)
</f>
        <v/>
      </c>
      <c r="BK17" s="121"/>
      <c r="BL17" s="224" t="s">
        <v>57</v>
      </c>
      <c r="BM17" s="232" t="s">
        <v>59</v>
      </c>
      <c r="BN17" s="231">
        <f t="array" ref="BN17">IF(
  BM17 = 0, 
  "", 
  IFERROR(
    INDEX(
      'アイテム別限界値DB'!$K:$K, 
      MATCH(
        1, 
        ('アイテム別限界値DB'!$B:$B = BL$10) * 
        ('アイテム別限界値DB'!$F:$F = BL17) * 
        ('アイテム別限界値DB'!$H:$H = BM17), 
        0
      )
    ), 
    "再製作"
  )
)
</f>
        <v>46000</v>
      </c>
      <c r="BO17" s="218" t="str">
        <f t="array" ref="BO17">IF(
  BM17 = 0, 
  "", 
  IFERROR(
    INDEX(
      'アイテム別限界値DB'!$L:$L, 
      MATCH(
        1, 
        ('アイテム別限界値DB'!$B:$B = BL$10) * 
        ('アイテム別限界値DB'!$C:$C = BL17) * 
        ('アイテム別限界値DB'!$F:$F = BM17), 
        0
      )
    ), 
    ""
  )
)
</f>
        <v/>
      </c>
      <c r="BP17" s="195"/>
    </row>
    <row r="18" ht="18.75" customHeight="1">
      <c r="A18" s="237" t="s">
        <v>64</v>
      </c>
      <c r="B18" s="235"/>
      <c r="C18" s="224"/>
      <c r="D18" s="224" t="s">
        <v>65</v>
      </c>
      <c r="E18" s="230"/>
      <c r="F18" s="231" t="str">
        <f t="array" ref="F18">IF(
  E18 = 0, 
  "", 
  IFERROR(
    INDEX(
      'アイテム別限界値DB'!$K:$K, 
      MATCH(
        1, 
        ('アイテム別限界値DB'!$B:$B = D$10) * 
        ('アイテム別限界値DB'!$F:$F = D18) * 
        ('アイテム別限界値DB'!$H:$H = E18), 
        0
      )
    ), 
    "再製作"
  )
)
</f>
        <v/>
      </c>
      <c r="G18" s="218" t="str">
        <f t="array" ref="G18">IF(
  E18 = 0, 
  "", 
  IFERROR(
    INDEX(
      'アイテム別限界値DB'!$L:$L, 
      MATCH(
        1, 
        ('アイテム別限界値DB'!$B:$B = D$10) * 
        ('アイテム別限界値DB'!$C:$C = D18) * 
        ('アイテム別限界値DB'!$F:$F = E18), 
        0
      )
    ), 
    ""
  )
)
</f>
        <v/>
      </c>
      <c r="H18" s="12"/>
      <c r="I18" s="224" t="s">
        <v>66</v>
      </c>
      <c r="J18" s="230"/>
      <c r="K18" s="231" t="str">
        <f t="array" ref="K18">IF(
  J18 = 0, 
  "", 
  IFERROR(
    INDEX(
      'アイテム別限界値DB'!$K:$K, 
      MATCH(
        1, 
        ('アイテム別限界値DB'!$B:$B = I$10) * 
        ('アイテム別限界値DB'!$F:$F = I18) * 
        ('アイテム別限界値DB'!$H:$H = J18), 
        0
      )
    ), 
    "再製作"
  )
)
</f>
        <v/>
      </c>
      <c r="L18" s="218" t="str">
        <f t="array" ref="L18">IF(
  J18 = 0, 
  "", 
  IFERROR(
    INDEX(
      'アイテム別限界値DB'!$L:$L, 
      MATCH(
        1, 
        ('アイテム別限界値DB'!$B:$B = I$10) * 
        ('アイテム別限界値DB'!$C:$C = I18) * 
        ('アイテム別限界値DB'!$F:$F = J18), 
        0
      )
    ), 
    ""
  )
)
</f>
        <v/>
      </c>
      <c r="M18" s="12"/>
      <c r="N18" s="224" t="s">
        <v>67</v>
      </c>
      <c r="O18" s="232"/>
      <c r="P18" s="231" t="str">
        <f t="array" ref="P18">IF(
  O18 = 0, 
  "", 
  IFERROR(
    INDEX(
      'アイテム別限界値DB'!$K:$K, 
      MATCH(
        1, 
        ('アイテム別限界値DB'!$B:$B = N$10) * 
        ('アイテム別限界値DB'!$F:$F = N18) * 
        ('アイテム別限界値DB'!$H:$H = O18), 
        0
      )
    ), 
    "再製作"
  )
)
</f>
        <v/>
      </c>
      <c r="Q18" s="218" t="str">
        <f t="array" ref="Q18">IF(
  O18 = 0, 
  "", 
  IFERROR(
    INDEX(
      'アイテム別限界値DB'!$L:$L, 
      MATCH(
        1, 
        ('アイテム別限界値DB'!$B:$B = N$10) * 
        ('アイテム別限界値DB'!$C:$C = N18) * 
        ('アイテム別限界値DB'!$F:$F = O18), 
        0
      )
    ), 
    ""
  )
)
</f>
        <v/>
      </c>
      <c r="R18" s="11"/>
      <c r="S18" s="224" t="s">
        <v>68</v>
      </c>
      <c r="T18" s="232"/>
      <c r="U18" s="231" t="str">
        <f t="array" ref="U18">IF(
  T18 = 0, 
  "", 
  IFERROR(
    INDEX(
      'アイテム別限界値DB'!$K:$K, 
      MATCH(
        1, 
        ('アイテム別限界値DB'!$B:$B = S$10) * 
        ('アイテム別限界値DB'!$F:$F = S18) * 
        ('アイテム別限界値DB'!$H:$H = T18), 
        0
      )
    ), 
    "再製作"
  )
)
</f>
        <v/>
      </c>
      <c r="V18" s="218" t="str">
        <f t="array" ref="V18">IF(
  T18 = 0, 
  "", 
  IFERROR(
    INDEX(
      'アイテム別限界値DB'!$L:$L, 
      MATCH(
        1, 
        ('アイテム別限界値DB'!$B:$B = S$10) * 
        ('アイテム別限界値DB'!$C:$C = S18) * 
        ('アイテム別限界値DB'!$F:$F = T18), 
        0
      )
    ), 
    ""
  )
)
</f>
        <v/>
      </c>
      <c r="W18" s="11"/>
      <c r="X18" s="224" t="s">
        <v>57</v>
      </c>
      <c r="Y18" s="230"/>
      <c r="Z18" s="231" t="str">
        <f t="array" ref="Z18">IF(
  Y18 = 0, 
  "", 
  IFERROR(
    INDEX(
      'アイテム別限界値DB'!$K:$K, 
      MATCH(
        1, 
        ('アイテム別限界値DB'!$B:$B = X$10) * 
        ('アイテム別限界値DB'!$F:$F = X18) * 
        ('アイテム別限界値DB'!$H:$H = Y18), 
        0
      )
    ), 
    "再製作"
  )
)
</f>
        <v/>
      </c>
      <c r="AA18" s="218" t="str">
        <f t="array" ref="AA18">IF(
  Y18 = 0, 
  "", 
  IFERROR(
    INDEX(
      'アイテム別限界値DB'!$L:$L, 
      MATCH(
        1, 
        ('アイテム別限界値DB'!$B:$B = X$10) * 
        ('アイテム別限界値DB'!$C:$C = X18) * 
        ('アイテム別限界値DB'!$F:$F = Y18), 
        0
      )
    ), 
    ""
  )
)
</f>
        <v/>
      </c>
      <c r="AB18" s="11"/>
      <c r="AC18" s="224" t="s">
        <v>69</v>
      </c>
      <c r="AD18" s="232"/>
      <c r="AE18" s="231" t="str">
        <f t="array" ref="AE18">IF(
  AD18 = 0, 
  "", 
  IFERROR(
    INDEX(
      'アイテム別限界値DB'!$K:$K, 
      MATCH(
        1, 
        ('アイテム別限界値DB'!$B:$B = AC$10) * 
        ('アイテム別限界値DB'!$F:$F = AC18) * 
        ('アイテム別限界値DB'!$H:$H = AD18), 
        0
      )
    ), 
    "再製作"
  )
)
</f>
        <v/>
      </c>
      <c r="AF18" s="218" t="str">
        <f t="array" ref="AF18">IF(
  AD18 = 0, 
  "", 
  IFERROR(
    INDEX(
      'アイテム別限界値DB'!$L:$L, 
      MATCH(
        1, 
        ('アイテム別限界値DB'!$B:$B = AC$10) * 
        ('アイテム別限界値DB'!$C:$C = AC18) * 
        ('アイテム別限界値DB'!$F:$F = AD18), 
        0
      )
    ), 
    ""
  )
)
</f>
        <v/>
      </c>
      <c r="AG18" s="11"/>
      <c r="AH18" s="224" t="s">
        <v>70</v>
      </c>
      <c r="AI18" s="232"/>
      <c r="AJ18" s="231" t="str">
        <f t="array" ref="AJ18">IF(
  AI18 = 0, 
  "", 
  IFERROR(
    INDEX(
      'アイテム別限界値DB'!$K:$K, 
      MATCH(
        1, 
        ('アイテム別限界値DB'!$B:$B = AH$10) * 
        ('アイテム別限界値DB'!$F:$F = AH18) * 
        ('アイテム別限界値DB'!$H:$H = AI18), 
        0
      )
    ), 
    "再製作"
  )
)
</f>
        <v/>
      </c>
      <c r="AK18" s="218" t="str">
        <f t="array" ref="AK18">IF(
  AI18 = 0, 
  "", 
  IFERROR(
    INDEX(
      'アイテム別限界値DB'!$L:$L, 
      MATCH(
        1, 
        ('アイテム別限界値DB'!$B:$B = AH$10) * 
        ('アイテム別限界値DB'!$C:$C = AH18) * 
        ('アイテム別限界値DB'!$F:$F = AI18), 
        0
      )
    ), 
    ""
  )
)
</f>
        <v/>
      </c>
      <c r="AL18" s="11"/>
      <c r="AM18" s="224" t="s">
        <v>71</v>
      </c>
      <c r="AN18" s="232"/>
      <c r="AO18" s="231" t="str">
        <f t="array" ref="AO18">IF(
  AN18 = 0, 
  "", 
  IFERROR(
    INDEX(
      'アイテム別限界値DB'!$K:$K, 
      MATCH(
        1, 
        ('アイテム別限界値DB'!$B:$B = AM$10) * 
        ('アイテム別限界値DB'!$F:$F = AM18) * 
        ('アイテム別限界値DB'!$H:$H = AN18), 
        0
      )
    ), 
    "再製作"
  )
)
</f>
        <v/>
      </c>
      <c r="AP18" s="218" t="str">
        <f t="array" ref="AP18">IF(
  AN18 = 0, 
  "", 
  IFERROR(
    INDEX(
      'アイテム別限界値DB'!$L:$L, 
      MATCH(
        1, 
        ('アイテム別限界値DB'!$B:$B = AM$10) * 
        ('アイテム別限界値DB'!$C:$C = AM18) * 
        ('アイテム別限界値DB'!$F:$F = AN18), 
        0
      )
    ), 
    ""
  )
)
</f>
        <v/>
      </c>
      <c r="AQ18" s="11"/>
      <c r="AR18" s="224" t="s">
        <v>71</v>
      </c>
      <c r="AS18" s="232"/>
      <c r="AT18" s="231" t="str">
        <f t="array" ref="AT18">IF(
  AS18 = 0, 
  "", 
  IFERROR(
    INDEX(
      'アイテム別限界値DB'!$K:$K, 
      MATCH(
        1, 
        ('アイテム別限界値DB'!$B:$B = AR$10) * 
        ('アイテム別限界値DB'!$F:$F = AR18) * 
        ('アイテム別限界値DB'!$H:$H = AS18), 
        0
      )
    ), 
    "再製作"
  )
)
</f>
        <v/>
      </c>
      <c r="AU18" s="218" t="str">
        <f t="array" ref="AU18">IF(
  AS18 = 0, 
  "", 
  IFERROR(
    INDEX(
      'アイテム別限界値DB'!$L:$L, 
      MATCH(
        1, 
        ('アイテム別限界値DB'!$B:$B = AR$10) * 
        ('アイテム別限界値DB'!$C:$C = AR18) * 
        ('アイテム別限界値DB'!$F:$F = AS18), 
        0
      )
    ), 
    ""
  )
)
</f>
        <v/>
      </c>
      <c r="AV18" s="121"/>
      <c r="AW18" s="224" t="s">
        <v>71</v>
      </c>
      <c r="AX18" s="232"/>
      <c r="AY18" s="231" t="str">
        <f t="array" ref="AY18">IF(
  AX18 = 0, 
  "", 
  IFERROR(
    INDEX(
      'アイテム別限界値DB'!$K:$K, 
      MATCH(
        1, 
        ('アイテム別限界値DB'!$B:$B = AW$10) * 
        ('アイテム別限界値DB'!$F:$F = AW18) * 
        ('アイテム別限界値DB'!$H:$H = AX18), 
        0
      )
    ), 
    "再製作"
  )
)
</f>
        <v/>
      </c>
      <c r="AZ18" s="218" t="str">
        <f t="array" ref="AZ18">IF(
  AX18 = 0, 
  "", 
  IFERROR(
    INDEX(
      'アイテム別限界値DB'!$L:$L, 
      MATCH(
        1, 
        ('アイテム別限界値DB'!$B:$B = AW$10) * 
        ('アイテム別限界値DB'!$C:$C = AW18) * 
        ('アイテム別限界値DB'!$F:$F = AX18), 
        0
      )
    ), 
    ""
  )
)
</f>
        <v/>
      </c>
      <c r="BA18" s="121"/>
      <c r="BB18" s="224" t="s">
        <v>71</v>
      </c>
      <c r="BC18" s="232"/>
      <c r="BD18" s="231" t="str">
        <f t="array" ref="BD18">IF(
  BC18 = 0, 
  "", 
  IFERROR(
    INDEX(
      'アイテム別限界値DB'!$K:$K, 
      MATCH(
        1, 
        ('アイテム別限界値DB'!$B:$B = BB$10) * 
        ('アイテム別限界値DB'!$F:$F = BB18) * 
        ('アイテム別限界値DB'!$H:$H = BC18), 
        0
      )
    ), 
    "再製作"
  )
)
</f>
        <v/>
      </c>
      <c r="BE18" s="218" t="str">
        <f t="array" ref="BE18">IF(
  BC18 = 0, 
  "", 
  IFERROR(
    INDEX(
      'アイテム別限界値DB'!$L:$L, 
      MATCH(
        1, 
        ('アイテム別限界値DB'!$B:$B = BB$10) * 
        ('アイテム別限界値DB'!$C:$C = BB18) * 
        ('アイテム別限界値DB'!$F:$F = BC18), 
        0
      )
    ), 
    ""
  )
)
</f>
        <v/>
      </c>
      <c r="BF18" s="121"/>
      <c r="BG18" s="224" t="s">
        <v>71</v>
      </c>
      <c r="BH18" s="232"/>
      <c r="BI18" s="231" t="str">
        <f t="array" ref="BI18">IF(
  BH18 = 0, 
  "", 
  IFERROR(
    INDEX(
      'アイテム別限界値DB'!$K:$K, 
      MATCH(
        1, 
        ('アイテム別限界値DB'!$B:$B = BG$10) * 
        ('アイテム別限界値DB'!$F:$F = BG18) * 
        ('アイテム別限界値DB'!$H:$H = BH18), 
        0
      )
    ), 
    "再製作"
  )
)
</f>
        <v/>
      </c>
      <c r="BJ18" s="218" t="str">
        <f t="array" ref="BJ18">IF(
  BH18 = 0, 
  "", 
  IFERROR(
    INDEX(
      'アイテム別限界値DB'!$L:$L, 
      MATCH(
        1, 
        ('アイテム別限界値DB'!$B:$B = BG$10) * 
        ('アイテム別限界値DB'!$C:$C = BG18) * 
        ('アイテム別限界値DB'!$F:$F = BH18), 
        0
      )
    ), 
    ""
  )
)
</f>
        <v/>
      </c>
      <c r="BK18" s="121"/>
      <c r="BL18" s="224" t="s">
        <v>69</v>
      </c>
      <c r="BM18" s="232"/>
      <c r="BN18" s="231" t="str">
        <f t="array" ref="BN18">IF(
  BM18 = 0, 
  "", 
  IFERROR(
    INDEX(
      'アイテム別限界値DB'!$K:$K, 
      MATCH(
        1, 
        ('アイテム別限界値DB'!$B:$B = BL$10) * 
        ('アイテム別限界値DB'!$F:$F = BL18) * 
        ('アイテム別限界値DB'!$H:$H = BM18), 
        0
      )
    ), 
    "再製作"
  )
)
</f>
        <v/>
      </c>
      <c r="BO18" s="218" t="str">
        <f t="array" ref="BO18">IF(
  BM18 = 0, 
  "", 
  IFERROR(
    INDEX(
      'アイテム別限界値DB'!$L:$L, 
      MATCH(
        1, 
        ('アイテム別限界値DB'!$B:$B = BL$10) * 
        ('アイテム別限界値DB'!$C:$C = BL18) * 
        ('アイテム別限界値DB'!$F:$F = BM18), 
        0
      )
    ), 
    ""
  )
)
</f>
        <v/>
      </c>
      <c r="BP18" s="195"/>
    </row>
    <row r="19" ht="18.75" customHeight="1">
      <c r="A19" s="228" t="str">
        <f>IF($I$11 ="再製作", "◼︎ パンツ（対応着地：再製作）"　&amp; char(10) &amp; "《修正数値》", IF($I$11 &lt;&gt; "", "◼︎ パンツ（対応着地：お直し）"　&amp; char(10) &amp; "《修正数値》", ""))</f>
        <v/>
      </c>
      <c r="B19" s="224"/>
      <c r="C19" s="224"/>
      <c r="D19" s="238" t="s">
        <v>72</v>
      </c>
      <c r="E19" s="230"/>
      <c r="F19" s="231" t="str">
        <f t="array" ref="F19">IF(
  E19 = 0, 
  "", 
  IFERROR(
    INDEX(
      'アイテム別限界値DB'!$K:$K, 
      MATCH(
        1, 
        ('アイテム別限界値DB'!$B:$B = D$10) * 
        ('アイテム別限界値DB'!$F:$F = D19) * 
        ('アイテム別限界値DB'!$H:$H = E19), 
        0
      )
    ), 
    "再製作"
  )
)
</f>
        <v/>
      </c>
      <c r="G19" s="218" t="str">
        <f t="array" ref="G19">IF(
  E19 = 0, 
  "", 
  IFERROR(
    INDEX(
      'アイテム別限界値DB'!$L:$L, 
      MATCH(
        1, 
        ('アイテム別限界値DB'!$B:$B = D$10) * 
        ('アイテム別限界値DB'!$C:$C = D19) * 
        ('アイテム別限界値DB'!$F:$F = E19), 
        0
      )
    ), 
    ""
  )
)
</f>
        <v/>
      </c>
      <c r="H19" s="12"/>
      <c r="I19" s="238" t="s">
        <v>73</v>
      </c>
      <c r="J19" s="230"/>
      <c r="K19" s="231" t="str">
        <f t="array" ref="K19">IF(
  J19 = 0, 
  "", 
  IFERROR(
    INDEX(
      'アイテム別限界値DB'!$K:$K, 
      MATCH(
        1, 
        ('アイテム別限界値DB'!$B:$B = I$10) * 
        ('アイテム別限界値DB'!$F:$F = I19) * 
        ('アイテム別限界値DB'!$H:$H = J19), 
        0
      )
    ), 
    "再製作"
  )
)
</f>
        <v/>
      </c>
      <c r="L19" s="218" t="str">
        <f t="array" ref="L19">IF(
  J19 = 0, 
  "", 
  IFERROR(
    INDEX(
      'アイテム別限界値DB'!$L:$L, 
      MATCH(
        1, 
        ('アイテム別限界値DB'!$B:$B = I$10) * 
        ('アイテム別限界値DB'!$C:$C = I19) * 
        ('アイテム別限界値DB'!$F:$F = J19), 
        0
      )
    ), 
    ""
  )
)
</f>
        <v/>
      </c>
      <c r="M19" s="12"/>
      <c r="N19" s="238" t="s">
        <v>74</v>
      </c>
      <c r="O19" s="232"/>
      <c r="P19" s="231" t="str">
        <f t="array" ref="P19">IF(
  O19 = 0, 
  "", 
  IFERROR(
    INDEX(
      'アイテム別限界値DB'!$K:$K, 
      MATCH(
        1, 
        ('アイテム別限界値DB'!$B:$B = N$10) * 
        ('アイテム別限界値DB'!$F:$F = N19) * 
        ('アイテム別限界値DB'!$H:$H = O19), 
        0
      )
    ), 
    "再製作"
  )
)
</f>
        <v/>
      </c>
      <c r="Q19" s="218" t="str">
        <f t="array" ref="Q19">IF(
  O19 = 0, 
  "", 
  IFERROR(
    INDEX(
      'アイテム別限界値DB'!$L:$L, 
      MATCH(
        1, 
        ('アイテム別限界値DB'!$B:$B = N$10) * 
        ('アイテム別限界値DB'!$C:$C = N19) * 
        ('アイテム別限界値DB'!$F:$F = O19), 
        0
      )
    ), 
    ""
  )
)
</f>
        <v/>
      </c>
      <c r="R19" s="11"/>
      <c r="S19" s="238" t="s">
        <v>75</v>
      </c>
      <c r="T19" s="230"/>
      <c r="U19" s="231" t="str">
        <f t="array" ref="U19">IF(
  T19 = 0, 
  "", 
  IFERROR(
    INDEX(
      'アイテム別限界値DB'!$K:$K, 
      MATCH(
        1, 
        ('アイテム別限界値DB'!$B:$B = S$10) * 
        ('アイテム別限界値DB'!$F:$F = S19) * 
        ('アイテム別限界値DB'!$H:$H = T19), 
        0
      )
    ), 
    "再製作"
  )
)
</f>
        <v/>
      </c>
      <c r="V19" s="218" t="str">
        <f t="array" ref="V19">IF(
  T19 = 0, 
  "", 
  IFERROR(
    INDEX(
      'アイテム別限界値DB'!$L:$L, 
      MATCH(
        1, 
        ('アイテム別限界値DB'!$B:$B = S$10) * 
        ('アイテム別限界値DB'!$C:$C = S19) * 
        ('アイテム別限界値DB'!$F:$F = T19), 
        0
      )
    ), 
    ""
  )
)
</f>
        <v/>
      </c>
      <c r="W19" s="11"/>
      <c r="X19" s="238" t="s">
        <v>69</v>
      </c>
      <c r="Y19" s="230"/>
      <c r="Z19" s="231" t="str">
        <f t="array" ref="Z19">IF(
  Y19 = 0, 
  "", 
  IFERROR(
    INDEX(
      'アイテム別限界値DB'!$K:$K, 
      MATCH(
        1, 
        ('アイテム別限界値DB'!$B:$B = X$10) * 
        ('アイテム別限界値DB'!$F:$F = X19) * 
        ('アイテム別限界値DB'!$H:$H = Y19), 
        0
      )
    ), 
    "再製作"
  )
)
</f>
        <v/>
      </c>
      <c r="AA19" s="218" t="str">
        <f t="array" ref="AA19">IF(
  Y19 = 0, 
  "", 
  IFERROR(
    INDEX(
      'アイテム別限界値DB'!$L:$L, 
      MATCH(
        1, 
        ('アイテム別限界値DB'!$B:$B = X$10) * 
        ('アイテム別限界値DB'!$C:$C = X19) * 
        ('アイテム別限界値DB'!$F:$F = Y19), 
        0
      )
    ), 
    ""
  )
)
</f>
        <v/>
      </c>
      <c r="AB19" s="11"/>
      <c r="AC19" s="238" t="s">
        <v>76</v>
      </c>
      <c r="AD19" s="232"/>
      <c r="AE19" s="231" t="str">
        <f t="array" ref="AE19">IF(
  AD19 = 0, 
  "", 
  IFERROR(
    INDEX(
      'アイテム別限界値DB'!$K:$K, 
      MATCH(
        1, 
        ('アイテム別限界値DB'!$B:$B = AC$10) * 
        ('アイテム別限界値DB'!$F:$F = AC19) * 
        ('アイテム別限界値DB'!$H:$H = AD19), 
        0
      )
    ), 
    "再製作"
  )
)
</f>
        <v/>
      </c>
      <c r="AF19" s="218" t="str">
        <f t="array" ref="AF19">IF(
  AD19 = 0, 
  "", 
  IFERROR(
    INDEX(
      'アイテム別限界値DB'!$L:$L, 
      MATCH(
        1, 
        ('アイテム別限界値DB'!$B:$B = AC$10) * 
        ('アイテム別限界値DB'!$C:$C = AC19) * 
        ('アイテム別限界値DB'!$F:$F = AD19), 
        0
      )
    ), 
    ""
  )
)
</f>
        <v/>
      </c>
      <c r="AG19" s="11"/>
      <c r="AH19" s="238" t="s">
        <v>71</v>
      </c>
      <c r="AI19" s="232"/>
      <c r="AJ19" s="231" t="str">
        <f t="array" ref="AJ19">IF(
  AI19 = 0, 
  "", 
  IFERROR(
    INDEX(
      'アイテム別限界値DB'!$K:$K, 
      MATCH(
        1, 
        ('アイテム別限界値DB'!$B:$B = AH$10) * 
        ('アイテム別限界値DB'!$F:$F = AH19) * 
        ('アイテム別限界値DB'!$H:$H = AI19), 
        0
      )
    ), 
    "再製作"
  )
)
</f>
        <v/>
      </c>
      <c r="AK19" s="218" t="str">
        <f t="array" ref="AK19">IF(
  AI19 = 0, 
  "", 
  IFERROR(
    INDEX(
      'アイテム別限界値DB'!$L:$L, 
      MATCH(
        1, 
        ('アイテム別限界値DB'!$B:$B = AH$10) * 
        ('アイテム別限界値DB'!$C:$C = AH19) * 
        ('アイテム別限界値DB'!$F:$F = AI19), 
        0
      )
    ), 
    ""
  )
)
</f>
        <v/>
      </c>
      <c r="AL19" s="11"/>
      <c r="AM19" s="238" t="s">
        <v>62</v>
      </c>
      <c r="AN19" s="232"/>
      <c r="AO19" s="231" t="str">
        <f t="array" ref="AO19">IF(
  AN19 = 0, 
  "", 
  IFERROR(
    INDEX(
      'アイテム別限界値DB'!$K:$K, 
      MATCH(
        1, 
        ('アイテム別限界値DB'!$B:$B = AM$10) * 
        ('アイテム別限界値DB'!$F:$F = AM19) * 
        ('アイテム別限界値DB'!$H:$H = AN19), 
        0
      )
    ), 
    "再製作"
  )
)
</f>
        <v/>
      </c>
      <c r="AP19" s="218" t="str">
        <f t="array" ref="AP19">IF(
  AN19 = 0, 
  "", 
  IFERROR(
    INDEX(
      'アイテム別限界値DB'!$L:$L, 
      MATCH(
        1, 
        ('アイテム別限界値DB'!$B:$B = AM$10) * 
        ('アイテム別限界値DB'!$C:$C = AM19) * 
        ('アイテム別限界値DB'!$F:$F = AN19), 
        0
      )
    ), 
    ""
  )
)
</f>
        <v/>
      </c>
      <c r="AQ19" s="11"/>
      <c r="AR19" s="238" t="s">
        <v>62</v>
      </c>
      <c r="AS19" s="232"/>
      <c r="AT19" s="231" t="str">
        <f t="array" ref="AT19">IF(
  AS19 = 0, 
  "", 
  IFERROR(
    INDEX(
      'アイテム別限界値DB'!$K:$K, 
      MATCH(
        1, 
        ('アイテム別限界値DB'!$B:$B = AR$10) * 
        ('アイテム別限界値DB'!$F:$F = AR19) * 
        ('アイテム別限界値DB'!$H:$H = AS19), 
        0
      )
    ), 
    "再製作"
  )
)
</f>
        <v/>
      </c>
      <c r="AU19" s="218" t="str">
        <f t="array" ref="AU19">IF(
  AS19 = 0, 
  "", 
  IFERROR(
    INDEX(
      'アイテム別限界値DB'!$L:$L, 
      MATCH(
        1, 
        ('アイテム別限界値DB'!$B:$B = AR$10) * 
        ('アイテム別限界値DB'!$C:$C = AR19) * 
        ('アイテム別限界値DB'!$F:$F = AS19), 
        0
      )
    ), 
    ""
  )
)
</f>
        <v/>
      </c>
      <c r="AV19" s="121"/>
      <c r="AW19" s="224" t="s">
        <v>62</v>
      </c>
      <c r="AX19" s="232"/>
      <c r="AY19" s="231" t="str">
        <f t="array" ref="AY19">IF(
  AX19 = 0, 
  "", 
  IFERROR(
    INDEX(
      'アイテム別限界値DB'!$K:$K, 
      MATCH(
        1, 
        ('アイテム別限界値DB'!$B:$B = AW$10) * 
        ('アイテム別限界値DB'!$F:$F = AW19) * 
        ('アイテム別限界値DB'!$H:$H = AX19), 
        0
      )
    ), 
    "再製作"
  )
)
</f>
        <v/>
      </c>
      <c r="AZ19" s="218" t="str">
        <f t="array" ref="AZ19">IF(
  AX19 = 0, 
  "", 
  IFERROR(
    INDEX(
      'アイテム別限界値DB'!$L:$L, 
      MATCH(
        1, 
        ('アイテム別限界値DB'!$B:$B = AW$10) * 
        ('アイテム別限界値DB'!$C:$C = AW19) * 
        ('アイテム別限界値DB'!$F:$F = AX19), 
        0
      )
    ), 
    ""
  )
)
</f>
        <v/>
      </c>
      <c r="BA19" s="121"/>
      <c r="BB19" s="224" t="s">
        <v>62</v>
      </c>
      <c r="BC19" s="232"/>
      <c r="BD19" s="231" t="str">
        <f t="array" ref="BD19">IF(
  BC19 = 0, 
  "", 
  IFERROR(
    INDEX(
      'アイテム別限界値DB'!$K:$K, 
      MATCH(
        1, 
        ('アイテム別限界値DB'!$B:$B = BB$10) * 
        ('アイテム別限界値DB'!$F:$F = BB19) * 
        ('アイテム別限界値DB'!$H:$H = BC19), 
        0
      )
    ), 
    "再製作"
  )
)
</f>
        <v/>
      </c>
      <c r="BE19" s="218" t="str">
        <f t="array" ref="BE19">IF(
  BC19 = 0, 
  "", 
  IFERROR(
    INDEX(
      'アイテム別限界値DB'!$L:$L, 
      MATCH(
        1, 
        ('アイテム別限界値DB'!$B:$B = BB$10) * 
        ('アイテム別限界値DB'!$C:$C = BB19) * 
        ('アイテム別限界値DB'!$F:$F = BC19), 
        0
      )
    ), 
    ""
  )
)
</f>
        <v/>
      </c>
      <c r="BF19" s="121"/>
      <c r="BG19" s="224" t="s">
        <v>62</v>
      </c>
      <c r="BH19" s="232"/>
      <c r="BI19" s="231" t="str">
        <f t="array" ref="BI19">IF(
  BH19 = 0, 
  "", 
  IFERROR(
    INDEX(
      'アイテム別限界値DB'!$K:$K, 
      MATCH(
        1, 
        ('アイテム別限界値DB'!$B:$B = BG$10) * 
        ('アイテム別限界値DB'!$F:$F = BG19) * 
        ('アイテム別限界値DB'!$H:$H = BH19), 
        0
      )
    ), 
    "再製作"
  )
)
</f>
        <v/>
      </c>
      <c r="BJ19" s="218" t="str">
        <f t="array" ref="BJ19">IF(
  BH19 = 0, 
  "", 
  IFERROR(
    INDEX(
      'アイテム別限界値DB'!$L:$L, 
      MATCH(
        1, 
        ('アイテム別限界値DB'!$B:$B = BG$10) * 
        ('アイテム別限界値DB'!$C:$C = BG19) * 
        ('アイテム別限界値DB'!$F:$F = BH19), 
        0
      )
    ), 
    ""
  )
)
</f>
        <v/>
      </c>
      <c r="BK19" s="121"/>
      <c r="BL19" s="224" t="s">
        <v>76</v>
      </c>
      <c r="BM19" s="232"/>
      <c r="BN19" s="231" t="str">
        <f t="array" ref="BN19">IF(
  BM19 = 0, 
  "", 
  IFERROR(
    INDEX(
      'アイテム別限界値DB'!$K:$K, 
      MATCH(
        1, 
        ('アイテム別限界値DB'!$B:$B = BL$10) * 
        ('アイテム別限界値DB'!$F:$F = BL19) * 
        ('アイテム別限界値DB'!$H:$H = BM19), 
        0
      )
    ), 
    "再製作"
  )
)
</f>
        <v/>
      </c>
      <c r="BO19" s="218" t="str">
        <f t="array" ref="BO19">IF(
  BM19 = 0, 
  "", 
  IFERROR(
    INDEX(
      'アイテム別限界値DB'!$L:$L, 
      MATCH(
        1, 
        ('アイテム別限界値DB'!$B:$B = BL$10) * 
        ('アイテム別限界値DB'!$C:$C = BL19) * 
        ('アイテム別限界値DB'!$F:$F = BM19), 
        0
      )
    ), 
    ""
  )
)
</f>
        <v/>
      </c>
      <c r="BP19" s="195"/>
    </row>
    <row r="20" ht="18.75" customHeight="1">
      <c r="A20" s="228" t="str">
        <f>IFERROR(__xludf.DUMMYFUNCTION("TEXTJOIN(CHAR(10),TRUE,FILTER(ARRAYFORMULA(IF(J$14:J72&lt;&gt;"""", I$14:I72 &amp;"" : ""&amp; J$14:J72 &amp;"" cm"","""")), I$14:I72 &lt;&gt;""""))"),"")</f>
        <v/>
      </c>
      <c r="B20" s="229"/>
      <c r="C20" s="224"/>
      <c r="D20" s="238" t="s">
        <v>77</v>
      </c>
      <c r="E20" s="230"/>
      <c r="F20" s="231" t="str">
        <f t="array" ref="F20">IF(
  E20 = 0, 
  "", 
  IFERROR(
    INDEX(
      'アイテム別限界値DB'!$K:$K, 
      MATCH(
        1, 
        ('アイテム別限界値DB'!$B:$B = D$10) * 
        ('アイテム別限界値DB'!$F:$F = D20) * 
        ('アイテム別限界値DB'!$H:$H = E20), 
        0
      )
    ), 
    "再製作"
  )
)
</f>
        <v/>
      </c>
      <c r="G20" s="218" t="str">
        <f t="array" ref="G20">IF(
  E20 = 0, 
  "", 
  IFERROR(
    INDEX(
      'アイテム別限界値DB'!$L:$L, 
      MATCH(
        1, 
        ('アイテム別限界値DB'!$B:$B = D$10) * 
        ('アイテム別限界値DB'!$C:$C = D20) * 
        ('アイテム別限界値DB'!$F:$F = E20), 
        0
      )
    ), 
    ""
  )
)
</f>
        <v/>
      </c>
      <c r="H20" s="12"/>
      <c r="I20" s="238" t="s">
        <v>78</v>
      </c>
      <c r="J20" s="230"/>
      <c r="K20" s="231" t="str">
        <f t="array" ref="K20">IF(
  J20 = 0, 
  "", 
  IFERROR(
    INDEX(
      'アイテム別限界値DB'!$K:$K, 
      MATCH(
        1, 
        ('アイテム別限界値DB'!$B:$B = I$10) * 
        ('アイテム別限界値DB'!$F:$F = I20) * 
        ('アイテム別限界値DB'!$H:$H = J20), 
        0
      )
    ), 
    "再製作"
  )
)
</f>
        <v/>
      </c>
      <c r="L20" s="218" t="str">
        <f t="array" ref="L20">IF(
  J20 = 0, 
  "", 
  IFERROR(
    INDEX(
      'アイテム別限界値DB'!$L:$L, 
      MATCH(
        1, 
        ('アイテム別限界値DB'!$B:$B = I$10) * 
        ('アイテム別限界値DB'!$C:$C = I20) * 
        ('アイテム別限界値DB'!$F:$F = J20), 
        0
      )
    ), 
    ""
  )
)
</f>
        <v/>
      </c>
      <c r="M20" s="12"/>
      <c r="N20" s="238" t="s">
        <v>79</v>
      </c>
      <c r="O20" s="232"/>
      <c r="P20" s="231" t="str">
        <f t="array" ref="P20">IF(
  O20 = 0, 
  "", 
  IFERROR(
    INDEX(
      'アイテム別限界値DB'!$K:$K, 
      MATCH(
        1, 
        ('アイテム別限界値DB'!$B:$B = N$10) * 
        ('アイテム別限界値DB'!$F:$F = N20) * 
        ('アイテム別限界値DB'!$H:$H = O20), 
        0
      )
    ), 
    "再製作"
  )
)
</f>
        <v/>
      </c>
      <c r="Q20" s="218" t="str">
        <f t="array" ref="Q20">IF(
  O20 = 0, 
  "", 
  IFERROR(
    INDEX(
      'アイテム別限界値DB'!$L:$L, 
      MATCH(
        1, 
        ('アイテム別限界値DB'!$B:$B = N$10) * 
        ('アイテム別限界値DB'!$C:$C = N20) * 
        ('アイテム別限界値DB'!$F:$F = O20), 
        0
      )
    ), 
    ""
  )
)
</f>
        <v/>
      </c>
      <c r="R20" s="11"/>
      <c r="S20" s="238" t="s">
        <v>78</v>
      </c>
      <c r="T20" s="232"/>
      <c r="U20" s="231" t="str">
        <f t="array" ref="U20">IF(
  T20 = 0, 
  "", 
  IFERROR(
    INDEX(
      'アイテム別限界値DB'!$K:$K, 
      MATCH(
        1, 
        ('アイテム別限界値DB'!$B:$B = S$10) * 
        ('アイテム別限界値DB'!$F:$F = S20) * 
        ('アイテム別限界値DB'!$H:$H = T20), 
        0
      )
    ), 
    "再製作"
  )
)
</f>
        <v/>
      </c>
      <c r="V20" s="218" t="str">
        <f t="array" ref="V20">IF(
  T20 = 0, 
  "", 
  IFERROR(
    INDEX(
      'アイテム別限界値DB'!$L:$L, 
      MATCH(
        1, 
        ('アイテム別限界値DB'!$B:$B = S$10) * 
        ('アイテム別限界値DB'!$C:$C = S20) * 
        ('アイテム別限界値DB'!$F:$F = T20), 
        0
      )
    ), 
    ""
  )
)
</f>
        <v/>
      </c>
      <c r="W20" s="11"/>
      <c r="X20" s="238" t="s">
        <v>76</v>
      </c>
      <c r="Y20" s="230"/>
      <c r="Z20" s="231" t="str">
        <f t="array" ref="Z20">IF(
  Y20 = 0, 
  "", 
  IFERROR(
    INDEX(
      'アイテム別限界値DB'!$K:$K, 
      MATCH(
        1, 
        ('アイテム別限界値DB'!$B:$B = X$10) * 
        ('アイテム別限界値DB'!$F:$F = X20) * 
        ('アイテム別限界値DB'!$H:$H = Y20), 
        0
      )
    ), 
    "再製作"
  )
)
</f>
        <v/>
      </c>
      <c r="AA20" s="218" t="str">
        <f t="array" ref="AA20">IF(
  Y20 = 0, 
  "", 
  IFERROR(
    INDEX(
      'アイテム別限界値DB'!$L:$L, 
      MATCH(
        1, 
        ('アイテム別限界値DB'!$B:$B = X$10) * 
        ('アイテム別限界値DB'!$C:$C = X20) * 
        ('アイテム別限界値DB'!$F:$F = Y20), 
        0
      )
    ), 
    ""
  )
)
</f>
        <v/>
      </c>
      <c r="AB20" s="11"/>
      <c r="AC20" s="238" t="s">
        <v>80</v>
      </c>
      <c r="AD20" s="232"/>
      <c r="AE20" s="231" t="str">
        <f t="array" ref="AE20">IF(
  AD20 = 0, 
  "", 
  IFERROR(
    INDEX(
      'アイテム別限界値DB'!$K:$K, 
      MATCH(
        1, 
        ('アイテム別限界値DB'!$B:$B = AC$10) * 
        ('アイテム別限界値DB'!$F:$F = AC20) * 
        ('アイテム別限界値DB'!$H:$H = AD20), 
        0
      )
    ), 
    "再製作"
  )
)
</f>
        <v/>
      </c>
      <c r="AF20" s="218" t="str">
        <f t="array" ref="AF20">IF(
  AD20 = 0, 
  "", 
  IFERROR(
    INDEX(
      'アイテム別限界値DB'!$L:$L, 
      MATCH(
        1, 
        ('アイテム別限界値DB'!$B:$B = AC$10) * 
        ('アイテム別限界値DB'!$C:$C = AC20) * 
        ('アイテム別限界値DB'!$F:$F = AD20), 
        0
      )
    ), 
    ""
  )
)
</f>
        <v/>
      </c>
      <c r="AG20" s="11"/>
      <c r="AH20" s="224" t="s">
        <v>62</v>
      </c>
      <c r="AI20" s="232"/>
      <c r="AJ20" s="231" t="str">
        <f t="array" ref="AJ20">IF(
  AI20 = 0, 
  "", 
  IFERROR(
    INDEX(
      'アイテム別限界値DB'!$K:$K, 
      MATCH(
        1, 
        ('アイテム別限界値DB'!$B:$B = AH$10) * 
        ('アイテム別限界値DB'!$F:$F = AH20) * 
        ('アイテム別限界値DB'!$H:$H = AI20), 
        0
      )
    ), 
    "再製作"
  )
)
</f>
        <v/>
      </c>
      <c r="AK20" s="218" t="str">
        <f t="array" ref="AK20">IF(
  AI20 = 0, 
  "", 
  IFERROR(
    INDEX(
      'アイテム別限界値DB'!$L:$L, 
      MATCH(
        1, 
        ('アイテム別限界値DB'!$B:$B = AH$10) * 
        ('アイテム別限界値DB'!$C:$C = AH20) * 
        ('アイテム別限界値DB'!$F:$F = AI20), 
        0
      )
    ), 
    ""
  )
)
</f>
        <v/>
      </c>
      <c r="AL20" s="11"/>
      <c r="AM20" s="224" t="s">
        <v>70</v>
      </c>
      <c r="AN20" s="232"/>
      <c r="AO20" s="231" t="str">
        <f t="array" ref="AO20">IF(
  AN20 = 0, 
  "", 
  IFERROR(
    INDEX(
      'アイテム別限界値DB'!$K:$K, 
      MATCH(
        1, 
        ('アイテム別限界値DB'!$B:$B = AM$10) * 
        ('アイテム別限界値DB'!$F:$F = AM20) * 
        ('アイテム別限界値DB'!$H:$H = AN20), 
        0
      )
    ), 
    "再製作"
  )
)
</f>
        <v/>
      </c>
      <c r="AP20" s="218" t="str">
        <f t="array" ref="AP20">IF(
  AN20 = 0, 
  "", 
  IFERROR(
    INDEX(
      'アイテム別限界値DB'!$L:$L, 
      MATCH(
        1, 
        ('アイテム別限界値DB'!$B:$B = AM$10) * 
        ('アイテム別限界値DB'!$C:$C = AM20) * 
        ('アイテム別限界値DB'!$F:$F = AN20), 
        0
      )
    ), 
    ""
  )
)
</f>
        <v/>
      </c>
      <c r="AQ20" s="11"/>
      <c r="AR20" s="224" t="s">
        <v>70</v>
      </c>
      <c r="AS20" s="232"/>
      <c r="AT20" s="231" t="str">
        <f t="array" ref="AT20">IF(
  AS20 = 0, 
  "", 
  IFERROR(
    INDEX(
      'アイテム別限界値DB'!$K:$K, 
      MATCH(
        1, 
        ('アイテム別限界値DB'!$B:$B = AR$10) * 
        ('アイテム別限界値DB'!$F:$F = AR20) * 
        ('アイテム別限界値DB'!$H:$H = AS20), 
        0
      )
    ), 
    "再製作"
  )
)
</f>
        <v/>
      </c>
      <c r="AU20" s="218" t="str">
        <f t="array" ref="AU20">IF(
  AS20 = 0, 
  "", 
  IFERROR(
    INDEX(
      'アイテム別限界値DB'!$L:$L, 
      MATCH(
        1, 
        ('アイテム別限界値DB'!$B:$B = AR$10) * 
        ('アイテム別限界値DB'!$C:$C = AR20) * 
        ('アイテム別限界値DB'!$F:$F = AS20), 
        0
      )
    ), 
    ""
  )
)
</f>
        <v/>
      </c>
      <c r="AV20" s="121"/>
      <c r="AW20" s="224" t="s">
        <v>70</v>
      </c>
      <c r="AX20" s="232"/>
      <c r="AY20" s="231" t="str">
        <f t="array" ref="AY20">IF(
  AX20 = 0, 
  "", 
  IFERROR(
    INDEX(
      'アイテム別限界値DB'!$K:$K, 
      MATCH(
        1, 
        ('アイテム別限界値DB'!$B:$B = AW$10) * 
        ('アイテム別限界値DB'!$F:$F = AW20) * 
        ('アイテム別限界値DB'!$H:$H = AX20), 
        0
      )
    ), 
    "再製作"
  )
)
</f>
        <v/>
      </c>
      <c r="AZ20" s="218" t="str">
        <f t="array" ref="AZ20">IF(
  AX20 = 0, 
  "", 
  IFERROR(
    INDEX(
      'アイテム別限界値DB'!$L:$L, 
      MATCH(
        1, 
        ('アイテム別限界値DB'!$B:$B = AW$10) * 
        ('アイテム別限界値DB'!$C:$C = AW20) * 
        ('アイテム別限界値DB'!$F:$F = AX20), 
        0
      )
    ), 
    ""
  )
)
</f>
        <v/>
      </c>
      <c r="BA20" s="121"/>
      <c r="BB20" s="224" t="s">
        <v>70</v>
      </c>
      <c r="BC20" s="232"/>
      <c r="BD20" s="231" t="str">
        <f t="array" ref="BD20">IF(
  BC20 = 0, 
  "", 
  IFERROR(
    INDEX(
      'アイテム別限界値DB'!$K:$K, 
      MATCH(
        1, 
        ('アイテム別限界値DB'!$B:$B = BB$10) * 
        ('アイテム別限界値DB'!$F:$F = BB20) * 
        ('アイテム別限界値DB'!$H:$H = BC20), 
        0
      )
    ), 
    "再製作"
  )
)
</f>
        <v/>
      </c>
      <c r="BE20" s="218" t="str">
        <f t="array" ref="BE20">IF(
  BC20 = 0, 
  "", 
  IFERROR(
    INDEX(
      'アイテム別限界値DB'!$L:$L, 
      MATCH(
        1, 
        ('アイテム別限界値DB'!$B:$B = BB$10) * 
        ('アイテム別限界値DB'!$C:$C = BB20) * 
        ('アイテム別限界値DB'!$F:$F = BC20), 
        0
      )
    ), 
    ""
  )
)
</f>
        <v/>
      </c>
      <c r="BF20" s="121"/>
      <c r="BG20" s="224" t="s">
        <v>70</v>
      </c>
      <c r="BH20" s="232"/>
      <c r="BI20" s="231" t="str">
        <f t="array" ref="BI20">IF(
  BH20 = 0, 
  "", 
  IFERROR(
    INDEX(
      'アイテム別限界値DB'!$K:$K, 
      MATCH(
        1, 
        ('アイテム別限界値DB'!$B:$B = BG$10) * 
        ('アイテム別限界値DB'!$F:$F = BG20) * 
        ('アイテム別限界値DB'!$H:$H = BH20), 
        0
      )
    ), 
    "再製作"
  )
)
</f>
        <v/>
      </c>
      <c r="BJ20" s="218" t="str">
        <f t="array" ref="BJ20">IF(
  BH20 = 0, 
  "", 
  IFERROR(
    INDEX(
      'アイテム別限界値DB'!$L:$L, 
      MATCH(
        1, 
        ('アイテム別限界値DB'!$B:$B = BG$10) * 
        ('アイテム別限界値DB'!$C:$C = BG20) * 
        ('アイテム別限界値DB'!$F:$F = BH20), 
        0
      )
    ), 
    ""
  )
)
</f>
        <v/>
      </c>
      <c r="BK20" s="121"/>
      <c r="BL20" s="224" t="s">
        <v>80</v>
      </c>
      <c r="BM20" s="232"/>
      <c r="BN20" s="231" t="str">
        <f t="array" ref="BN20">IF(
  BM20 = 0, 
  "", 
  IFERROR(
    INDEX(
      'アイテム別限界値DB'!$K:$K, 
      MATCH(
        1, 
        ('アイテム別限界値DB'!$B:$B = BL$10) * 
        ('アイテム別限界値DB'!$F:$F = BL20) * 
        ('アイテム別限界値DB'!$H:$H = BM20), 
        0
      )
    ), 
    "再製作"
  )
)
</f>
        <v/>
      </c>
      <c r="BO20" s="218" t="str">
        <f t="array" ref="BO20">IF(
  BM20 = 0, 
  "", 
  IFERROR(
    INDEX(
      'アイテム別限界値DB'!$L:$L, 
      MATCH(
        1, 
        ('アイテム別限界値DB'!$B:$B = BL$10) * 
        ('アイテム別限界値DB'!$C:$C = BL20) * 
        ('アイテム別限界値DB'!$F:$F = BM20), 
        0
      )
    ), 
    ""
  )
)
</f>
        <v/>
      </c>
      <c r="BP20" s="195"/>
    </row>
    <row r="21" ht="18.75" customHeight="1">
      <c r="A21" s="236" t="str">
        <f>if($A$19&lt;&gt;"", "《仕上がり数値》","")</f>
        <v/>
      </c>
      <c r="B21" s="229"/>
      <c r="C21" s="224"/>
      <c r="D21" s="238" t="s">
        <v>81</v>
      </c>
      <c r="E21" s="230"/>
      <c r="F21" s="231" t="str">
        <f t="array" ref="F21">IF(
  E21 = 0, 
  "", 
  IFERROR(
    INDEX(
      'アイテム別限界値DB'!$K:$K, 
      MATCH(
        1, 
        ('アイテム別限界値DB'!$B:$B = D$10) * 
        ('アイテム別限界値DB'!$F:$F = D21) * 
        ('アイテム別限界値DB'!$H:$H = E21), 
        0
      )
    ), 
    "再製作"
  )
)
</f>
        <v/>
      </c>
      <c r="G21" s="218" t="str">
        <f t="array" ref="G21">IF(
  E21 = 0, 
  "", 
  IFERROR(
    INDEX(
      'アイテム別限界値DB'!$L:$L, 
      MATCH(
        1, 
        ('アイテム別限界値DB'!$B:$B = D$10) * 
        ('アイテム別限界値DB'!$C:$C = D21) * 
        ('アイテム別限界値DB'!$F:$F = E21), 
        0
      )
    ), 
    ""
  )
)
</f>
        <v/>
      </c>
      <c r="H21" s="12"/>
      <c r="I21" s="238" t="s">
        <v>82</v>
      </c>
      <c r="J21" s="230"/>
      <c r="K21" s="231" t="str">
        <f t="array" ref="K21">IF(
  J21 = 0, 
  "", 
  IFERROR(
    INDEX(
      'アイテム別限界値DB'!$K:$K, 
      MATCH(
        1, 
        ('アイテム別限界値DB'!$B:$B = I$10) * 
        ('アイテム別限界値DB'!$F:$F = I21) * 
        ('アイテム別限界値DB'!$H:$H = J21), 
        0
      )
    ), 
    "再製作"
  )
)
</f>
        <v/>
      </c>
      <c r="L21" s="218" t="str">
        <f t="array" ref="L21">IF(
  J21 = 0, 
  "", 
  IFERROR(
    INDEX(
      'アイテム別限界値DB'!$L:$L, 
      MATCH(
        1, 
        ('アイテム別限界値DB'!$B:$B = I$10) * 
        ('アイテム別限界値DB'!$C:$C = I21) * 
        ('アイテム別限界値DB'!$F:$F = J21), 
        0
      )
    ), 
    ""
  )
)
</f>
        <v/>
      </c>
      <c r="M21" s="12"/>
      <c r="N21" s="224" t="s">
        <v>83</v>
      </c>
      <c r="O21" s="232"/>
      <c r="P21" s="231" t="str">
        <f t="array" ref="P21">IF(
  O21 = 0, 
  "", 
  IFERROR(
    INDEX(
      'アイテム別限界値DB'!$K:$K, 
      MATCH(
        1, 
        ('アイテム別限界値DB'!$B:$B = N$10) * 
        ('アイテム別限界値DB'!$F:$F = N21) * 
        ('アイテム別限界値DB'!$H:$H = O21), 
        0
      )
    ), 
    "再製作"
  )
)
</f>
        <v/>
      </c>
      <c r="Q21" s="121" t="str">
        <f t="array" ref="Q21">IF(
  O21 = 0, 
  "", 
  IFERROR(
    INDEX(
      'アイテム別限界値DB'!$L:$L, 
      MATCH(
        1, 
        ('アイテム別限界値DB'!$B:$B = N$10) * 
        ('アイテム別限界値DB'!$C:$C = N21) * 
        ('アイテム別限界値DB'!$F:$F = O21), 
        0
      )
    ), 
    ""
  )
)
</f>
        <v/>
      </c>
      <c r="R21" s="11"/>
      <c r="S21" s="238" t="s">
        <v>82</v>
      </c>
      <c r="T21" s="230"/>
      <c r="U21" s="231" t="str">
        <f t="array" ref="U21">IF(
  T21 = 0, 
  "", 
  IFERROR(
    INDEX(
      'アイテム別限界値DB'!$K:$K, 
      MATCH(
        1, 
        ('アイテム別限界値DB'!$B:$B = S$10) * 
        ('アイテム別限界値DB'!$F:$F = S21) * 
        ('アイテム別限界値DB'!$H:$H = T21), 
        0
      )
    ), 
    "再製作"
  )
)
</f>
        <v/>
      </c>
      <c r="V21" s="218" t="str">
        <f t="array" ref="V21">IF(
  T21 = 0, 
  "", 
  IFERROR(
    INDEX(
      'アイテム別限界値DB'!$L:$L, 
      MATCH(
        1, 
        ('アイテム別限界値DB'!$B:$B = S$10) * 
        ('アイテム別限界値DB'!$C:$C = S21) * 
        ('アイテム別限界値DB'!$F:$F = T21), 
        0
      )
    ), 
    ""
  )
)
</f>
        <v/>
      </c>
      <c r="W21" s="11"/>
      <c r="X21" s="238" t="s">
        <v>84</v>
      </c>
      <c r="Y21" s="230"/>
      <c r="Z21" s="231" t="str">
        <f t="array" ref="Z21">IF(
  Y21 = 0, 
  "", 
  IFERROR(
    INDEX(
      'アイテム別限界値DB'!$K:$K, 
      MATCH(
        1, 
        ('アイテム別限界値DB'!$B:$B = X$10) * 
        ('アイテム別限界値DB'!$F:$F = X21) * 
        ('アイテム別限界値DB'!$H:$H = Y21), 
        0
      )
    ), 
    "再製作"
  )
)
</f>
        <v/>
      </c>
      <c r="AA21" s="218" t="str">
        <f t="array" ref="AA21">IF(
  Y21 = 0, 
  "", 
  IFERROR(
    INDEX(
      'アイテム別限界値DB'!$L:$L, 
      MATCH(
        1, 
        ('アイテム別限界値DB'!$B:$B = X$10) * 
        ('アイテム別限界値DB'!$C:$C = X21) * 
        ('アイテム別限界値DB'!$F:$F = Y21), 
        0
      )
    ), 
    ""
  )
)
</f>
        <v/>
      </c>
      <c r="AB21" s="11"/>
      <c r="AC21" s="238" t="s">
        <v>85</v>
      </c>
      <c r="AD21" s="232"/>
      <c r="AE21" s="231" t="str">
        <f t="array" ref="AE21">IF(
  AD21 = 0, 
  "", 
  IFERROR(
    INDEX(
      'アイテム別限界値DB'!$K:$K, 
      MATCH(
        1, 
        ('アイテム別限界値DB'!$B:$B = AC$10) * 
        ('アイテム別限界値DB'!$F:$F = AC21) * 
        ('アイテム別限界値DB'!$H:$H = AD21), 
        0
      )
    ), 
    "再製作"
  )
)
</f>
        <v/>
      </c>
      <c r="AF21" s="218" t="str">
        <f t="array" ref="AF21">IF(
  AD21 = 0, 
  "", 
  IFERROR(
    INDEX(
      'アイテム別限界値DB'!$L:$L, 
      MATCH(
        1, 
        ('アイテム別限界値DB'!$B:$B = AC$10) * 
        ('アイテム別限界値DB'!$C:$C = AC21) * 
        ('アイテム別限界値DB'!$F:$F = AD21), 
        0
      )
    ), 
    ""
  )
)
</f>
        <v/>
      </c>
      <c r="AG21" s="11"/>
      <c r="AH21" s="224"/>
      <c r="AI21" s="225"/>
      <c r="AJ21" s="220" t="str">
        <f t="array" ref="AJ21">IF(
  AI21 = 0, 
  "", 
  IFERROR(
    INDEX(
      'アイテム別限界値DB'!$I:$I, 
      MATCH(
        1, 
        ('アイテム別限界値DB'!$B:$B = AH$10) * 
        ('アイテム別限界値DB'!$C:$C = AH21) * 
        ('アイテム別限界値DB'!$F:$F = AI21), 
        0
      )
    ), 
    "再製作"
  )
)
</f>
        <v/>
      </c>
      <c r="AK21" s="121" t="str">
        <f t="array" ref="AK21">IF(
  AI21 = 0, 
  "", 
  IFERROR(
    INDEX(
      'アイテム別限界値DB'!$L:$L, 
      MATCH(
        1, 
        ('アイテム別限界値DB'!$B:$B = AH$10) * 
        ('アイテム別限界値DB'!$C:$C = AH21) * 
        ('アイテム別限界値DB'!$F:$F = AI21), 
        0
      )
    ), 
    ""
  )
)
</f>
        <v/>
      </c>
      <c r="AL21" s="11"/>
      <c r="AM21" s="224"/>
      <c r="AN21" s="225"/>
      <c r="AO21" s="220" t="str">
        <f t="array" ref="AO21">IF(
  AN21 = 0, 
  "", 
  IFERROR(
    INDEX(
      'アイテム別限界値DB'!$I:$I, 
      MATCH(
        1, 
        ('アイテム別限界値DB'!$B:$B = AM$10) * 
        ('アイテム別限界値DB'!$C:$C = AM21) * 
        ('アイテム別限界値DB'!$F:$F = AN21), 
        0
      )
    ), 
    "再製作"
  )
)
</f>
        <v/>
      </c>
      <c r="AP21" s="121" t="str">
        <f t="array" ref="AP21">IF(
  AN21 = 0, 
  "", 
  IFERROR(
    INDEX(
      'アイテム別限界値DB'!$L:$L, 
      MATCH(
        1, 
        ('アイテム別限界値DB'!$B:$B = AM$10) * 
        ('アイテム別限界値DB'!$C:$C = AM21) * 
        ('アイテム別限界値DB'!$F:$F = AN21), 
        0
      )
    ), 
    ""
  )
)
</f>
        <v/>
      </c>
      <c r="AQ21" s="11"/>
      <c r="AR21" s="224"/>
      <c r="AS21" s="225"/>
      <c r="AT21" s="220" t="str">
        <f t="array" ref="AT21">IF(
  AS21 = 0, 
  "", 
  IFERROR(
    INDEX(
      'アイテム別限界値DB'!$I:$I, 
      MATCH(
        1, 
        ('アイテム別限界値DB'!$B:$B = AR$10) * 
        ('アイテム別限界値DB'!$C:$C = AR21) * 
        ('アイテム別限界値DB'!$F:$F = AS21), 
        0
      )
    ), 
    "再製作"
  )
)
</f>
        <v/>
      </c>
      <c r="AU21" s="121" t="str">
        <f t="array" ref="AU21">IF(
  AS21 = 0, 
  "", 
  IFERROR(
    INDEX(
      'アイテム別限界値DB'!$L:$L, 
      MATCH(
        1, 
        ('アイテム別限界値DB'!$B:$B = AR$10) * 
        ('アイテム別限界値DB'!$C:$C = AR21) * 
        ('アイテム別限界値DB'!$F:$F = AS21), 
        0
      )
    ), 
    ""
  )
)
</f>
        <v/>
      </c>
      <c r="AV21" s="121"/>
      <c r="AW21" s="224"/>
      <c r="AX21" s="225"/>
      <c r="AY21" s="220" t="str">
        <f t="array" ref="AY21">IF(
  AX21 = 0, 
  "", 
  IFERROR(
    INDEX(
      'アイテム別限界値DB'!$I:$I, 
      MATCH(
        1, 
        ('アイテム別限界値DB'!$B:$B = AW$10) * 
        ('アイテム別限界値DB'!$C:$C = AW21) * 
        ('アイテム別限界値DB'!$F:$F = AX21), 
        0
      )
    ), 
    "再製作"
  )
)
</f>
        <v/>
      </c>
      <c r="AZ21" s="121" t="str">
        <f t="array" ref="AZ21">IF(
  AX21 = 0, 
  "", 
  IFERROR(
    INDEX(
      'アイテム別限界値DB'!$L:$L, 
      MATCH(
        1, 
        ('アイテム別限界値DB'!$B:$B = AW$10) * 
        ('アイテム別限界値DB'!$C:$C = AW21) * 
        ('アイテム別限界値DB'!$F:$F = AX21), 
        0
      )
    ), 
    ""
  )
)
</f>
        <v/>
      </c>
      <c r="BA21" s="121"/>
      <c r="BB21" s="224"/>
      <c r="BC21" s="225"/>
      <c r="BD21" s="220" t="str">
        <f t="array" ref="BD21">IF(
  BC21 = 0, 
  "", 
  IFERROR(
    INDEX(
      'アイテム別限界値DB'!$I:$I, 
      MATCH(
        1, 
        ('アイテム別限界値DB'!$B:$B = BB$10) * 
        ('アイテム別限界値DB'!$C:$C = BB21) * 
        ('アイテム別限界値DB'!$F:$F = BC21), 
        0
      )
    ), 
    "再製作"
  )
)
</f>
        <v/>
      </c>
      <c r="BE21" s="121" t="str">
        <f t="array" ref="BE21">IF(
  BC21 = 0, 
  "", 
  IFERROR(
    INDEX(
      'アイテム別限界値DB'!$L:$L, 
      MATCH(
        1, 
        ('アイテム別限界値DB'!$B:$B = BB$10) * 
        ('アイテム別限界値DB'!$C:$C = BB21) * 
        ('アイテム別限界値DB'!$F:$F = BC21), 
        0
      )
    ), 
    ""
  )
)
</f>
        <v/>
      </c>
      <c r="BF21" s="121"/>
      <c r="BG21" s="224"/>
      <c r="BH21" s="225"/>
      <c r="BI21" s="220" t="str">
        <f t="array" ref="BI21">IF(
  BH21 = 0, 
  "", 
  IFERROR(
    INDEX(
      'アイテム別限界値DB'!$I:$I, 
      MATCH(
        1, 
        ('アイテム別限界値DB'!$B:$B = BG$10) * 
        ('アイテム別限界値DB'!$C:$C = BG21) * 
        ('アイテム別限界値DB'!$F:$F = BH21), 
        0
      )
    ), 
    "再製作"
  )
)
</f>
        <v/>
      </c>
      <c r="BJ21" s="121" t="str">
        <f t="array" ref="BJ21">IF(
  BH21 = 0, 
  "", 
  IFERROR(
    INDEX(
      'アイテム別限界値DB'!$L:$L, 
      MATCH(
        1, 
        ('アイテム別限界値DB'!$B:$B = BG$10) * 
        ('アイテム別限界値DB'!$C:$C = BG21) * 
        ('アイテム別限界値DB'!$F:$F = BH21), 
        0
      )
    ), 
    ""
  )
)
</f>
        <v/>
      </c>
      <c r="BK21" s="121"/>
      <c r="BL21" s="224" t="s">
        <v>85</v>
      </c>
      <c r="BM21" s="232"/>
      <c r="BN21" s="231" t="str">
        <f t="array" ref="BN21">IF(
  BM21 = 0, 
  "", 
  IFERROR(
    INDEX(
      'アイテム別限界値DB'!$K:$K, 
      MATCH(
        1, 
        ('アイテム別限界値DB'!$B:$B = BL$10) * 
        ('アイテム別限界値DB'!$F:$F = BL21) * 
        ('アイテム別限界値DB'!$H:$H = BM21), 
        0
      )
    ), 
    "再製作"
  )
)
</f>
        <v/>
      </c>
      <c r="BO21" s="218" t="str">
        <f t="array" ref="BO21">IF(
  BM21 = 0, 
  "", 
  IFERROR(
    INDEX(
      'アイテム別限界値DB'!$L:$L, 
      MATCH(
        1, 
        ('アイテム別限界値DB'!$B:$B = BL$10) * 
        ('アイテム別限界値DB'!$C:$C = BL21) * 
        ('アイテム別限界値DB'!$F:$F = BM21), 
        0
      )
    ), 
    ""
  )
)
</f>
        <v/>
      </c>
      <c r="BP21" s="195"/>
    </row>
    <row r="22" ht="18.75" customHeight="1">
      <c r="A22" s="228" t="str">
        <f>IFERROR(__xludf.DUMMYFUNCTION("TEXTJOIN(CHAR(10),TRUE,FILTER(ARRAYFORMULA(IF(J$14:J72&lt;&gt;"""", I$14:I72 &amp;"" :  cm"","""")), I$14:I72 &lt;&gt;""""))"),"")</f>
        <v/>
      </c>
      <c r="B22" s="224"/>
      <c r="C22" s="224"/>
      <c r="D22" s="238" t="s">
        <v>86</v>
      </c>
      <c r="E22" s="230"/>
      <c r="F22" s="231" t="str">
        <f t="array" ref="F22">IF(
  E22 = 0, 
  "", 
  IFERROR(
    INDEX(
      'アイテム別限界値DB'!$K:$K, 
      MATCH(
        1, 
        ('アイテム別限界値DB'!$B:$B = D$10) * 
        ('アイテム別限界値DB'!$F:$F = D22) * 
        ('アイテム別限界値DB'!$H:$H = E22), 
        0
      )
    ), 
    "再製作"
  )
)
</f>
        <v/>
      </c>
      <c r="G22" s="218" t="str">
        <f t="array" ref="G22">IF(
  E22 = 0, 
  "", 
  IFERROR(
    INDEX(
      'アイテム別限界値DB'!$L:$L, 
      MATCH(
        1, 
        ('アイテム別限界値DB'!$B:$B = D$10) * 
        ('アイテム別限界値DB'!$C:$C = D22) * 
        ('アイテム別限界値DB'!$F:$F = E22), 
        0
      )
    ), 
    ""
  )
)
</f>
        <v/>
      </c>
      <c r="H22" s="12"/>
      <c r="I22" s="238" t="s">
        <v>87</v>
      </c>
      <c r="J22" s="230"/>
      <c r="K22" s="231" t="str">
        <f t="array" ref="K22">IF(
  J22 = 0, 
  "", 
  IFERROR(
    INDEX(
      'アイテム別限界値DB'!$K:$K, 
      MATCH(
        1, 
        ('アイテム別限界値DB'!$B:$B = I$10) * 
        ('アイテム別限界値DB'!$F:$F = I22) * 
        ('アイテム別限界値DB'!$H:$H = J22), 
        0
      )
    ), 
    "再製作"
  )
)
</f>
        <v/>
      </c>
      <c r="L22" s="218" t="str">
        <f t="array" ref="L22">IF(
  J22 = 0, 
  "", 
  IFERROR(
    INDEX(
      'アイテム別限界値DB'!$L:$L, 
      MATCH(
        1, 
        ('アイテム別限界値DB'!$B:$B = I$10) * 
        ('アイテム別限界値DB'!$C:$C = I22) * 
        ('アイテム別限界値DB'!$F:$F = J22), 
        0
      )
    ), 
    ""
  )
)
</f>
        <v/>
      </c>
      <c r="M22" s="11"/>
      <c r="N22" s="224"/>
      <c r="O22" s="220"/>
      <c r="P22" s="220" t="str">
        <f t="array" ref="P22">IF(
  O22 = 0, 
  "", 
  IFERROR(
    INDEX(
      'アイテム別限界値DB'!$I:$I, 
      MATCH(
        1, 
        ('アイテム別限界値DB'!$B:$B = N$10) * 
        ('アイテム別限界値DB'!$C:$C = N22) * 
        ('アイテム別限界値DB'!$F:$F = O22), 
        0
      )
    ), 
    "再製作"
  )
)
</f>
        <v/>
      </c>
      <c r="Q22" s="121" t="str">
        <f t="array" ref="Q22">IF(
  O22 = 0, 
  "", 
  IFERROR(
    INDEX(
      'アイテム別限界値DB'!$L:$L, 
      MATCH(
        1, 
        ('アイテム別限界値DB'!$B:$B = N$10) * 
        ('アイテム別限界値DB'!$C:$C = N22) * 
        ('アイテム別限界値DB'!$F:$F = O22), 
        0
      )
    ), 
    ""
  )
)
</f>
        <v/>
      </c>
      <c r="R22" s="11"/>
      <c r="S22" s="238" t="s">
        <v>87</v>
      </c>
      <c r="T22" s="230"/>
      <c r="U22" s="231" t="str">
        <f t="array" ref="U22">IF(
  T22 = 0, 
  "", 
  IFERROR(
    INDEX(
      'アイテム別限界値DB'!$K:$K, 
      MATCH(
        1, 
        ('アイテム別限界値DB'!$B:$B = S$10) * 
        ('アイテム別限界値DB'!$F:$F = S22) * 
        ('アイテム別限界値DB'!$H:$H = T22), 
        0
      )
    ), 
    "再製作"
  )
)
</f>
        <v/>
      </c>
      <c r="V22" s="218" t="str">
        <f t="array" ref="V22">IF(
  T22 = 0, 
  "", 
  IFERROR(
    INDEX(
      'アイテム別限界値DB'!$L:$L, 
      MATCH(
        1, 
        ('アイテム別限界値DB'!$B:$B = S$10) * 
        ('アイテム別限界値DB'!$C:$C = S22) * 
        ('アイテム別限界値DB'!$F:$F = T22), 
        0
      )
    ), 
    ""
  )
)
</f>
        <v/>
      </c>
      <c r="W22" s="11"/>
      <c r="X22" s="238" t="s">
        <v>88</v>
      </c>
      <c r="Y22" s="230"/>
      <c r="Z22" s="231" t="str">
        <f t="array" ref="Z22">IF(
  Y22 = 0, 
  "", 
  IFERROR(
    INDEX(
      'アイテム別限界値DB'!$K:$K, 
      MATCH(
        1, 
        ('アイテム別限界値DB'!$B:$B = X$10) * 
        ('アイテム別限界値DB'!$F:$F = X22) * 
        ('アイテム別限界値DB'!$H:$H = Y22), 
        0
      )
    ), 
    "再製作"
  )
)
</f>
        <v/>
      </c>
      <c r="AA22" s="218" t="str">
        <f t="array" ref="AA22">IF(
  Y22 = 0, 
  "", 
  IFERROR(
    INDEX(
      'アイテム別限界値DB'!$L:$L, 
      MATCH(
        1, 
        ('アイテム別限界値DB'!$B:$B = X$10) * 
        ('アイテム別限界値DB'!$C:$C = X22) * 
        ('アイテム別限界値DB'!$F:$F = Y22), 
        0
      )
    ), 
    ""
  )
)
</f>
        <v/>
      </c>
      <c r="AB22" s="11"/>
      <c r="AC22" s="238" t="s">
        <v>89</v>
      </c>
      <c r="AD22" s="232"/>
      <c r="AE22" s="231" t="str">
        <f t="array" ref="AE22">IF(
  AD22 = 0, 
  "", 
  IFERROR(
    INDEX(
      'アイテム別限界値DB'!$K:$K, 
      MATCH(
        1, 
        ('アイテム別限界値DB'!$B:$B = AC$10) * 
        ('アイテム別限界値DB'!$F:$F = AC22) * 
        ('アイテム別限界値DB'!$H:$H = AD22), 
        0
      )
    ), 
    "再製作"
  )
)
</f>
        <v/>
      </c>
      <c r="AF22" s="218" t="str">
        <f t="array" ref="AF22">IF(
  AD22 = 0, 
  "", 
  IFERROR(
    INDEX(
      'アイテム別限界値DB'!$L:$L, 
      MATCH(
        1, 
        ('アイテム別限界値DB'!$B:$B = AC$10) * 
        ('アイテム別限界値DB'!$C:$C = AC22) * 
        ('アイテム別限界値DB'!$F:$F = AD22), 
        0
      )
    ), 
    ""
  )
)
</f>
        <v/>
      </c>
      <c r="AG22" s="11"/>
      <c r="AH22" s="224"/>
      <c r="AI22" s="225"/>
      <c r="AJ22" s="220" t="str">
        <f t="array" ref="AJ22">IF(
  AI22 = 0, 
  "", 
  IFERROR(
    INDEX(
      'アイテム別限界値DB'!$I:$I, 
      MATCH(
        1, 
        ('アイテム別限界値DB'!$B:$B = AH$10) * 
        ('アイテム別限界値DB'!$C:$C = AH22) * 
        ('アイテム別限界値DB'!$F:$F = AI22), 
        0
      )
    ), 
    "再製作"
  )
)
</f>
        <v/>
      </c>
      <c r="AK22" s="121" t="str">
        <f t="array" ref="AK22">IF(
  AI22 = 0, 
  "", 
  IFERROR(
    INDEX(
      'アイテム別限界値DB'!$L:$L, 
      MATCH(
        1, 
        ('アイテム別限界値DB'!$B:$B = AH$10) * 
        ('アイテム別限界値DB'!$C:$C = AH22) * 
        ('アイテム別限界値DB'!$F:$F = AI22), 
        0
      )
    ), 
    ""
  )
)
</f>
        <v/>
      </c>
      <c r="AL22" s="11"/>
      <c r="AM22" s="224"/>
      <c r="AN22" s="225"/>
      <c r="AO22" s="220" t="str">
        <f t="array" ref="AO22">IF(
  AN22 = 0, 
  "", 
  IFERROR(
    INDEX(
      'アイテム別限界値DB'!$I:$I, 
      MATCH(
        1, 
        ('アイテム別限界値DB'!$B:$B = AM$10) * 
        ('アイテム別限界値DB'!$C:$C = AM22) * 
        ('アイテム別限界値DB'!$F:$F = AN22), 
        0
      )
    ), 
    "再製作"
  )
)
</f>
        <v/>
      </c>
      <c r="AP22" s="121" t="str">
        <f t="array" ref="AP22">IF(
  AN22 = 0, 
  "", 
  IFERROR(
    INDEX(
      'アイテム別限界値DB'!$L:$L, 
      MATCH(
        1, 
        ('アイテム別限界値DB'!$B:$B = AM$10) * 
        ('アイテム別限界値DB'!$C:$C = AM22) * 
        ('アイテム別限界値DB'!$F:$F = AN22), 
        0
      )
    ), 
    ""
  )
)
</f>
        <v/>
      </c>
      <c r="AQ22" s="11"/>
      <c r="AR22" s="224"/>
      <c r="AS22" s="225"/>
      <c r="AT22" s="220" t="str">
        <f t="array" ref="AT22">IF(
  AS22 = 0, 
  "", 
  IFERROR(
    INDEX(
      'アイテム別限界値DB'!$I:$I, 
      MATCH(
        1, 
        ('アイテム別限界値DB'!$B:$B = AR$10) * 
        ('アイテム別限界値DB'!$C:$C = AR22) * 
        ('アイテム別限界値DB'!$F:$F = AS22), 
        0
      )
    ), 
    "再製作"
  )
)
</f>
        <v/>
      </c>
      <c r="AU22" s="121" t="str">
        <f t="array" ref="AU22">IF(
  AS22 = 0, 
  "", 
  IFERROR(
    INDEX(
      'アイテム別限界値DB'!$L:$L, 
      MATCH(
        1, 
        ('アイテム別限界値DB'!$B:$B = AR$10) * 
        ('アイテム別限界値DB'!$C:$C = AR22) * 
        ('アイテム別限界値DB'!$F:$F = AS22), 
        0
      )
    ), 
    ""
  )
)
</f>
        <v/>
      </c>
      <c r="AV22" s="121"/>
      <c r="AW22" s="224"/>
      <c r="AX22" s="225"/>
      <c r="AY22" s="220" t="str">
        <f t="array" ref="AY22">IF(
  AX22 = 0, 
  "", 
  IFERROR(
    INDEX(
      'アイテム別限界値DB'!$I:$I, 
      MATCH(
        1, 
        ('アイテム別限界値DB'!$B:$B = AW$10) * 
        ('アイテム別限界値DB'!$C:$C = AW22) * 
        ('アイテム別限界値DB'!$F:$F = AX22), 
        0
      )
    ), 
    "再製作"
  )
)
</f>
        <v/>
      </c>
      <c r="AZ22" s="121" t="str">
        <f t="array" ref="AZ22">IF(
  AX22 = 0, 
  "", 
  IFERROR(
    INDEX(
      'アイテム別限界値DB'!$L:$L, 
      MATCH(
        1, 
        ('アイテム別限界値DB'!$B:$B = AW$10) * 
        ('アイテム別限界値DB'!$C:$C = AW22) * 
        ('アイテム別限界値DB'!$F:$F = AX22), 
        0
      )
    ), 
    ""
  )
)
</f>
        <v/>
      </c>
      <c r="BA22" s="121"/>
      <c r="BB22" s="224"/>
      <c r="BC22" s="225"/>
      <c r="BD22" s="220" t="str">
        <f t="array" ref="BD22">IF(
  BC22 = 0, 
  "", 
  IFERROR(
    INDEX(
      'アイテム別限界値DB'!$I:$I, 
      MATCH(
        1, 
        ('アイテム別限界値DB'!$B:$B = BB$10) * 
        ('アイテム別限界値DB'!$C:$C = BB22) * 
        ('アイテム別限界値DB'!$F:$F = BC22), 
        0
      )
    ), 
    "再製作"
  )
)
</f>
        <v/>
      </c>
      <c r="BE22" s="121" t="str">
        <f t="array" ref="BE22">IF(
  BC22 = 0, 
  "", 
  IFERROR(
    INDEX(
      'アイテム別限界値DB'!$L:$L, 
      MATCH(
        1, 
        ('アイテム別限界値DB'!$B:$B = BB$10) * 
        ('アイテム別限界値DB'!$C:$C = BB22) * 
        ('アイテム別限界値DB'!$F:$F = BC22), 
        0
      )
    ), 
    ""
  )
)
</f>
        <v/>
      </c>
      <c r="BF22" s="121"/>
      <c r="BG22" s="224"/>
      <c r="BH22" s="225"/>
      <c r="BI22" s="220" t="str">
        <f t="array" ref="BI22">IF(
  BH22 = 0, 
  "", 
  IFERROR(
    INDEX(
      'アイテム別限界値DB'!$I:$I, 
      MATCH(
        1, 
        ('アイテム別限界値DB'!$B:$B = BG$10) * 
        ('アイテム別限界値DB'!$C:$C = BG22) * 
        ('アイテム別限界値DB'!$F:$F = BH22), 
        0
      )
    ), 
    "再製作"
  )
)
</f>
        <v/>
      </c>
      <c r="BJ22" s="121" t="str">
        <f t="array" ref="BJ22">IF(
  BH22 = 0, 
  "", 
  IFERROR(
    INDEX(
      'アイテム別限界値DB'!$L:$L, 
      MATCH(
        1, 
        ('アイテム別限界値DB'!$B:$B = BG$10) * 
        ('アイテム別限界値DB'!$C:$C = BG22) * 
        ('アイテム別限界値DB'!$F:$F = BH22), 
        0
      )
    ), 
    ""
  )
)
</f>
        <v/>
      </c>
      <c r="BK22" s="121"/>
      <c r="BL22" s="224" t="s">
        <v>90</v>
      </c>
      <c r="BM22" s="232"/>
      <c r="BN22" s="231" t="str">
        <f t="array" ref="BN22">IF(
  BM22 = 0, 
  "", 
  IFERROR(
    INDEX(
      'アイテム別限界値DB'!$K:$K, 
      MATCH(
        1, 
        ('アイテム別限界値DB'!$B:$B = BL$10) * 
        ('アイテム別限界値DB'!$F:$F = BL22) * 
        ('アイテム別限界値DB'!$H:$H = BM22), 
        0
      )
    ), 
    "再製作"
  )
)
</f>
        <v/>
      </c>
      <c r="BO22" s="218" t="str">
        <f t="array" ref="BO22">IF(
  BM22 = 0, 
  "", 
  IFERROR(
    INDEX(
      'アイテム別限界値DB'!$L:$L, 
      MATCH(
        1, 
        ('アイテム別限界値DB'!$B:$B = BL$10) * 
        ('アイテム別限界値DB'!$C:$C = BL22) * 
        ('アイテム別限界値DB'!$F:$F = BM22), 
        0
      )
    ), 
    ""
  )
)
</f>
        <v/>
      </c>
      <c r="BP22" s="195"/>
    </row>
    <row r="23" ht="18.75" customHeight="1">
      <c r="A23" s="237" t="s">
        <v>91</v>
      </c>
      <c r="B23" s="229"/>
      <c r="C23" s="224"/>
      <c r="D23" s="238" t="s">
        <v>92</v>
      </c>
      <c r="E23" s="230"/>
      <c r="F23" s="231" t="str">
        <f t="array" ref="F23">IF(
  E23 = 0, 
  "", 
  IFERROR(
    INDEX(
      'アイテム別限界値DB'!$K:$K, 
      MATCH(
        1, 
        ('アイテム別限界値DB'!$B:$B = D$10) * 
        ('アイテム別限界値DB'!$F:$F = D23) * 
        ('アイテム別限界値DB'!$H:$H = E23), 
        0
      )
    ), 
    "再製作"
  )
)
</f>
        <v/>
      </c>
      <c r="G23" s="218" t="str">
        <f t="array" ref="G23">IF(
  E23 = 0, 
  "", 
  IFERROR(
    INDEX(
      'アイテム別限界値DB'!$L:$L, 
      MATCH(
        1, 
        ('アイテム別限界値DB'!$B:$B = D$10) * 
        ('アイテム別限界値DB'!$C:$C = D23) * 
        ('アイテム別限界値DB'!$F:$F = E23), 
        0
      )
    ), 
    ""
  )
)
</f>
        <v/>
      </c>
      <c r="H23" s="12"/>
      <c r="I23" s="238" t="s">
        <v>93</v>
      </c>
      <c r="J23" s="232"/>
      <c r="K23" s="231" t="str">
        <f t="array" ref="K23">IF(
  J23 = 0, 
  "", 
  IFERROR(
    INDEX(
      'アイテム別限界値DB'!$K:$K, 
      MATCH(
        1, 
        ('アイテム別限界値DB'!$B:$B = I$10) * 
        ('アイテム別限界値DB'!$F:$F = I23) * 
        ('アイテム別限界値DB'!$H:$H = J23), 
        0
      )
    ), 
    "再製作"
  )
)
</f>
        <v/>
      </c>
      <c r="L23" s="218" t="str">
        <f t="array" ref="L23">IF(
  J23 = 0, 
  "", 
  IFERROR(
    INDEX(
      'アイテム別限界値DB'!$L:$L, 
      MATCH(
        1, 
        ('アイテム別限界値DB'!$B:$B = I$10) * 
        ('アイテム別限界値DB'!$C:$C = I23) * 
        ('アイテム別限界値DB'!$F:$F = J23), 
        0
      )
    ), 
    ""
  )
)
</f>
        <v/>
      </c>
      <c r="M23" s="11"/>
      <c r="N23" s="224"/>
      <c r="O23" s="220"/>
      <c r="P23" s="220" t="str">
        <f t="array" ref="P23">IF(
  O23 = 0, 
  "", 
  IFERROR(
    INDEX(
      'アイテム別限界値DB'!$I:$I, 
      MATCH(
        1, 
        ('アイテム別限界値DB'!$B:$B = N$10) * 
        ('アイテム別限界値DB'!$C:$C = N23) * 
        ('アイテム別限界値DB'!$F:$F = O23), 
        0
      )
    ), 
    "再製作"
  )
)
</f>
        <v/>
      </c>
      <c r="Q23" s="121" t="str">
        <f t="array" ref="Q23">IF(
  O23 = 0, 
  "", 
  IFERROR(
    INDEX(
      'アイテム別限界値DB'!$L:$L, 
      MATCH(
        1, 
        ('アイテム別限界値DB'!$B:$B = N$10) * 
        ('アイテム別限界値DB'!$C:$C = N23) * 
        ('アイテム別限界値DB'!$F:$F = O23), 
        0
      )
    ), 
    ""
  )
)
</f>
        <v/>
      </c>
      <c r="R23" s="11"/>
      <c r="S23" s="238" t="s">
        <v>93</v>
      </c>
      <c r="T23" s="232"/>
      <c r="U23" s="231" t="str">
        <f t="array" ref="U23">IF(
  T23 = 0, 
  "", 
  IFERROR(
    INDEX(
      'アイテム別限界値DB'!$K:$K, 
      MATCH(
        1, 
        ('アイテム別限界値DB'!$B:$B = S$10) * 
        ('アイテム別限界値DB'!$F:$F = S23) * 
        ('アイテム別限界値DB'!$H:$H = T23), 
        0
      )
    ), 
    "再製作"
  )
)
</f>
        <v/>
      </c>
      <c r="V23" s="218" t="str">
        <f t="array" ref="V23">IF(
  T23 = 0, 
  "", 
  IFERROR(
    INDEX(
      'アイテム別限界値DB'!$L:$L, 
      MATCH(
        1, 
        ('アイテム別限界値DB'!$B:$B = S$10) * 
        ('アイテム別限界値DB'!$C:$C = S23) * 
        ('アイテム別限界値DB'!$F:$F = T23), 
        0
      )
    ), 
    ""
  )
)
</f>
        <v/>
      </c>
      <c r="W23" s="11"/>
      <c r="X23" s="238" t="s">
        <v>89</v>
      </c>
      <c r="Y23" s="232"/>
      <c r="Z23" s="231" t="str">
        <f t="array" ref="Z23">IF(
  Y23 = 0, 
  "", 
  IFERROR(
    INDEX(
      'アイテム別限界値DB'!$K:$K, 
      MATCH(
        1, 
        ('アイテム別限界値DB'!$B:$B = X$10) * 
        ('アイテム別限界値DB'!$F:$F = X23) * 
        ('アイテム別限界値DB'!$H:$H = Y23), 
        0
      )
    ), 
    "再製作"
  )
)
</f>
        <v/>
      </c>
      <c r="AA23" s="218" t="str">
        <f t="array" ref="AA23">IF(
  Y23 = 0, 
  "", 
  IFERROR(
    INDEX(
      'アイテム別限界値DB'!$L:$L, 
      MATCH(
        1, 
        ('アイテム別限界値DB'!$B:$B = X$10) * 
        ('アイテム別限界値DB'!$C:$C = X23) * 
        ('アイテム別限界値DB'!$F:$F = Y23), 
        0
      )
    ), 
    ""
  )
)
</f>
        <v/>
      </c>
      <c r="AB23" s="11"/>
      <c r="AC23" s="238" t="s">
        <v>90</v>
      </c>
      <c r="AD23" s="232"/>
      <c r="AE23" s="231" t="str">
        <f t="array" ref="AE23">IF(
  AD23 = 0, 
  "", 
  IFERROR(
    INDEX(
      'アイテム別限界値DB'!$K:$K, 
      MATCH(
        1, 
        ('アイテム別限界値DB'!$B:$B = AC$10) * 
        ('アイテム別限界値DB'!$F:$F = AC23) * 
        ('アイテム別限界値DB'!$H:$H = AD23), 
        0
      )
    ), 
    "再製作"
  )
)
</f>
        <v/>
      </c>
      <c r="AF23" s="218" t="str">
        <f t="array" ref="AF23">IF(
  AD23 = 0, 
  "", 
  IFERROR(
    INDEX(
      'アイテム別限界値DB'!$L:$L, 
      MATCH(
        1, 
        ('アイテム別限界値DB'!$B:$B = AC$10) * 
        ('アイテム別限界値DB'!$C:$C = AC23) * 
        ('アイテム別限界値DB'!$F:$F = AD23), 
        0
      )
    ), 
    ""
  )
)
</f>
        <v/>
      </c>
      <c r="AG23" s="11"/>
      <c r="AH23" s="224"/>
      <c r="AI23" s="225"/>
      <c r="AJ23" s="220" t="str">
        <f t="array" ref="AJ23">IF(
  AI23 = 0, 
  "", 
  IFERROR(
    INDEX(
      'アイテム別限界値DB'!$I:$I, 
      MATCH(
        1, 
        ('アイテム別限界値DB'!$B:$B = AH$10) * 
        ('アイテム別限界値DB'!$C:$C = AH23) * 
        ('アイテム別限界値DB'!$F:$F = AI23), 
        0
      )
    ), 
    "再製作"
  )
)
</f>
        <v/>
      </c>
      <c r="AK23" s="121" t="str">
        <f t="array" ref="AK23">IF(
  AI23 = 0, 
  "", 
  IFERROR(
    INDEX(
      'アイテム別限界値DB'!$L:$L, 
      MATCH(
        1, 
        ('アイテム別限界値DB'!$B:$B = AH$10) * 
        ('アイテム別限界値DB'!$C:$C = AH23) * 
        ('アイテム別限界値DB'!$F:$F = AI23), 
        0
      )
    ), 
    ""
  )
)
</f>
        <v/>
      </c>
      <c r="AL23" s="11"/>
      <c r="AM23" s="224"/>
      <c r="AN23" s="225"/>
      <c r="AO23" s="220" t="str">
        <f t="array" ref="AO23">IF(
  AN23 = 0, 
  "", 
  IFERROR(
    INDEX(
      'アイテム別限界値DB'!$I:$I, 
      MATCH(
        1, 
        ('アイテム別限界値DB'!$B:$B = AM$10) * 
        ('アイテム別限界値DB'!$C:$C = AM23) * 
        ('アイテム別限界値DB'!$F:$F = AN23), 
        0
      )
    ), 
    "再製作"
  )
)
</f>
        <v/>
      </c>
      <c r="AP23" s="121" t="str">
        <f t="array" ref="AP23">IF(
  AN23 = 0, 
  "", 
  IFERROR(
    INDEX(
      'アイテム別限界値DB'!$L:$L, 
      MATCH(
        1, 
        ('アイテム別限界値DB'!$B:$B = AM$10) * 
        ('アイテム別限界値DB'!$C:$C = AM23) * 
        ('アイテム別限界値DB'!$F:$F = AN23), 
        0
      )
    ), 
    ""
  )
)
</f>
        <v/>
      </c>
      <c r="AQ23" s="11"/>
      <c r="AR23" s="224"/>
      <c r="AS23" s="225"/>
      <c r="AT23" s="220" t="str">
        <f t="array" ref="AT23">IF(
  AS23 = 0, 
  "", 
  IFERROR(
    INDEX(
      'アイテム別限界値DB'!$I:$I, 
      MATCH(
        1, 
        ('アイテム別限界値DB'!$B:$B = AR$10) * 
        ('アイテム別限界値DB'!$C:$C = AR23) * 
        ('アイテム別限界値DB'!$F:$F = AS23), 
        0
      )
    ), 
    "再製作"
  )
)
</f>
        <v/>
      </c>
      <c r="AU23" s="121" t="str">
        <f t="array" ref="AU23">IF(
  AS23 = 0, 
  "", 
  IFERROR(
    INDEX(
      'アイテム別限界値DB'!$L:$L, 
      MATCH(
        1, 
        ('アイテム別限界値DB'!$B:$B = AR$10) * 
        ('アイテム別限界値DB'!$C:$C = AR23) * 
        ('アイテム別限界値DB'!$F:$F = AS23), 
        0
      )
    ), 
    ""
  )
)
</f>
        <v/>
      </c>
      <c r="AV23" s="121"/>
      <c r="AW23" s="224"/>
      <c r="AX23" s="225"/>
      <c r="AY23" s="220" t="str">
        <f t="array" ref="AY23">IF(
  AX23 = 0, 
  "", 
  IFERROR(
    INDEX(
      'アイテム別限界値DB'!$I:$I, 
      MATCH(
        1, 
        ('アイテム別限界値DB'!$B:$B = AW$10) * 
        ('アイテム別限界値DB'!$C:$C = AW23) * 
        ('アイテム別限界値DB'!$F:$F = AX23), 
        0
      )
    ), 
    "再製作"
  )
)
</f>
        <v/>
      </c>
      <c r="AZ23" s="121" t="str">
        <f t="array" ref="AZ23">IF(
  AX23 = 0, 
  "", 
  IFERROR(
    INDEX(
      'アイテム別限界値DB'!$L:$L, 
      MATCH(
        1, 
        ('アイテム別限界値DB'!$B:$B = AW$10) * 
        ('アイテム別限界値DB'!$C:$C = AW23) * 
        ('アイテム別限界値DB'!$F:$F = AX23), 
        0
      )
    ), 
    ""
  )
)
</f>
        <v/>
      </c>
      <c r="BA23" s="121"/>
      <c r="BB23" s="224"/>
      <c r="BC23" s="225"/>
      <c r="BD23" s="220" t="str">
        <f t="array" ref="BD23">IF(
  BC23 = 0, 
  "", 
  IFERROR(
    INDEX(
      'アイテム別限界値DB'!$I:$I, 
      MATCH(
        1, 
        ('アイテム別限界値DB'!$B:$B = BB$10) * 
        ('アイテム別限界値DB'!$C:$C = BB23) * 
        ('アイテム別限界値DB'!$F:$F = BC23), 
        0
      )
    ), 
    "再製作"
  )
)
</f>
        <v/>
      </c>
      <c r="BE23" s="121" t="str">
        <f t="array" ref="BE23">IF(
  BC23 = 0, 
  "", 
  IFERROR(
    INDEX(
      'アイテム別限界値DB'!$L:$L, 
      MATCH(
        1, 
        ('アイテム別限界値DB'!$B:$B = BB$10) * 
        ('アイテム別限界値DB'!$C:$C = BB23) * 
        ('アイテム別限界値DB'!$F:$F = BC23), 
        0
      )
    ), 
    ""
  )
)
</f>
        <v/>
      </c>
      <c r="BF23" s="121"/>
      <c r="BG23" s="224"/>
      <c r="BH23" s="225"/>
      <c r="BI23" s="220" t="str">
        <f t="array" ref="BI23">IF(
  BH23 = 0, 
  "", 
  IFERROR(
    INDEX(
      'アイテム別限界値DB'!$I:$I, 
      MATCH(
        1, 
        ('アイテム別限界値DB'!$B:$B = BG$10) * 
        ('アイテム別限界値DB'!$C:$C = BG23) * 
        ('アイテム別限界値DB'!$F:$F = BH23), 
        0
      )
    ), 
    "再製作"
  )
)
</f>
        <v/>
      </c>
      <c r="BJ23" s="121" t="str">
        <f t="array" ref="BJ23">IF(
  BH23 = 0, 
  "", 
  IFERROR(
    INDEX(
      'アイテム別限界値DB'!$L:$L, 
      MATCH(
        1, 
        ('アイテム別限界値DB'!$B:$B = BG$10) * 
        ('アイテム別限界値DB'!$C:$C = BG23) * 
        ('アイテム別限界値DB'!$F:$F = BH23), 
        0
      )
    ), 
    ""
  )
)
</f>
        <v/>
      </c>
      <c r="BK23" s="121"/>
      <c r="BL23" s="224" t="s">
        <v>62</v>
      </c>
      <c r="BM23" s="232"/>
      <c r="BN23" s="231" t="str">
        <f t="array" ref="BN23">IF(
  BM23 = 0, 
  "", 
  IFERROR(
    INDEX(
      'アイテム別限界値DB'!$K:$K, 
      MATCH(
        1, 
        ('アイテム別限界値DB'!$B:$B = BL$10) * 
        ('アイテム別限界値DB'!$F:$F = BL23) * 
        ('アイテム別限界値DB'!$H:$H = BM23), 
        0
      )
    ), 
    "再製作"
  )
)
</f>
        <v/>
      </c>
      <c r="BO23" s="218" t="str">
        <f t="array" ref="BO23">IF(
  BM23 = 0, 
  "", 
  IFERROR(
    INDEX(
      'アイテム別限界値DB'!$L:$L, 
      MATCH(
        1, 
        ('アイテム別限界値DB'!$B:$B = BL$10) * 
        ('アイテム別限界値DB'!$C:$C = BL23) * 
        ('アイテム別限界値DB'!$F:$F = BM23), 
        0
      )
    ), 
    ""
  )
)
</f>
        <v/>
      </c>
      <c r="BP23" s="195"/>
    </row>
    <row r="24" ht="18.75" customHeight="1">
      <c r="A24" s="228" t="str">
        <f>IF($N$11="再製作", "◼︎ ベスト（対応着地：再製作）" &amp; char(10) &amp; "《修正数値》", IF($N$11&lt;&gt;"", "◼︎ ベスト（対応着地：お直し）" &amp; char(10) &amp; "《修正数値》", ""))</f>
        <v/>
      </c>
      <c r="B24" s="229"/>
      <c r="C24" s="224"/>
      <c r="D24" s="239" t="s">
        <v>94</v>
      </c>
      <c r="E24" s="232"/>
      <c r="F24" s="231" t="str">
        <f t="array" ref="F24">IF(
  E24 = 0, 
  "", 
  IFERROR(
    INDEX(
      'アイテム別限界値DB'!$K:$K, 
      MATCH(
        1, 
        ('アイテム別限界値DB'!$B:$B = D$10) * 
        ('アイテム別限界値DB'!$F:$F = D24) * 
        ('アイテム別限界値DB'!$H:$H = E24), 
        0
      )
    ), 
    "再製作"
  )
)
</f>
        <v/>
      </c>
      <c r="G24" s="218" t="str">
        <f t="array" ref="G24">IF(
  E24 = 0, 
  "", 
  IFERROR(
    INDEX(
      'アイテム別限界値DB'!$L:$L, 
      MATCH(
        1, 
        ('アイテム別限界値DB'!$B:$B = D$10) * 
        ('アイテム別限界値DB'!$C:$C = D24) * 
        ('アイテム別限界値DB'!$F:$F = E24), 
        0
      )
    ), 
    ""
  )
)
</f>
        <v/>
      </c>
      <c r="H24" s="12"/>
      <c r="I24" s="239" t="s">
        <v>95</v>
      </c>
      <c r="J24" s="232"/>
      <c r="K24" s="231" t="str">
        <f t="array" ref="K24">IF(
  J24 = 0, 
  "", 
  IFERROR(
    INDEX(
      'アイテム別限界値DB'!$K:$K, 
      MATCH(
        1, 
        ('アイテム別限界値DB'!$B:$B = I$10) * 
        ('アイテム別限界値DB'!$F:$F = I24) * 
        ('アイテム別限界値DB'!$H:$H = J24), 
        0
      )
    ), 
    "再製作"
  )
)
</f>
        <v/>
      </c>
      <c r="L24" s="218" t="str">
        <f t="array" ref="L24">IF(
  J24 = 0, 
  "", 
  IFERROR(
    INDEX(
      'アイテム別限界値DB'!$L:$L, 
      MATCH(
        1, 
        ('アイテム別限界値DB'!$B:$B = I$10) * 
        ('アイテム別限界値DB'!$C:$C = I24) * 
        ('アイテム別限界値DB'!$F:$F = J24), 
        0
      )
    ), 
    ""
  )
)
</f>
        <v/>
      </c>
      <c r="M24" s="11"/>
      <c r="N24" s="224"/>
      <c r="O24" s="220"/>
      <c r="P24" s="220" t="str">
        <f t="array" ref="P24">IF(
  O24 = 0, 
  "", 
  IFERROR(
    INDEX(
      'アイテム別限界値DB'!$I:$I, 
      MATCH(
        1, 
        ('アイテム別限界値DB'!$B:$B = N$10) * 
        ('アイテム別限界値DB'!$C:$C = N24) * 
        ('アイテム別限界値DB'!$F:$F = O24), 
        0
      )
    ), 
    "再製作"
  )
)
</f>
        <v/>
      </c>
      <c r="Q24" s="121" t="str">
        <f t="array" ref="Q24">IF(
  O24 = 0, 
  "", 
  IFERROR(
    INDEX(
      'アイテム別限界値DB'!$L:$L, 
      MATCH(
        1, 
        ('アイテム別限界値DB'!$B:$B = N$10) * 
        ('アイテム別限界値DB'!$C:$C = N24) * 
        ('アイテム別限界値DB'!$F:$F = O24), 
        0
      )
    ), 
    ""
  )
)
</f>
        <v/>
      </c>
      <c r="R24" s="11"/>
      <c r="S24" s="239" t="s">
        <v>96</v>
      </c>
      <c r="T24" s="232"/>
      <c r="U24" s="231" t="str">
        <f t="array" ref="U24">IF(
  T24 = 0, 
  "", 
  IFERROR(
    INDEX(
      'アイテム別限界値DB'!$K:$K, 
      MATCH(
        1, 
        ('アイテム別限界値DB'!$B:$B = S$10) * 
        ('アイテム別限界値DB'!$F:$F = S24) * 
        ('アイテム別限界値DB'!$H:$H = T24), 
        0
      )
    ), 
    "再製作"
  )
)
</f>
        <v/>
      </c>
      <c r="V24" s="218" t="str">
        <f t="array" ref="V24">IF(
  T24 = 0, 
  "", 
  IFERROR(
    INDEX(
      'アイテム別限界値DB'!$L:$L, 
      MATCH(
        1, 
        ('アイテム別限界値DB'!$B:$B = S$10) * 
        ('アイテム別限界値DB'!$C:$C = S24) * 
        ('アイテム別限界値DB'!$F:$F = T24), 
        0
      )
    ), 
    ""
  )
)
</f>
        <v/>
      </c>
      <c r="W24" s="11"/>
      <c r="X24" s="239" t="s">
        <v>97</v>
      </c>
      <c r="Y24" s="230"/>
      <c r="Z24" s="231" t="str">
        <f t="array" ref="Z24">IF(
  Y24 = 0, 
  "", 
  IFERROR(
    INDEX(
      'アイテム別限界値DB'!$K:$K, 
      MATCH(
        1, 
        ('アイテム別限界値DB'!$B:$B = X$10) * 
        ('アイテム別限界値DB'!$F:$F = X24) * 
        ('アイテム別限界値DB'!$H:$H = Y24), 
        0
      )
    ), 
    "再製作"
  )
)
</f>
        <v/>
      </c>
      <c r="AA24" s="218" t="str">
        <f t="array" ref="AA24">IF(
  Y24 = 0, 
  "", 
  IFERROR(
    INDEX(
      'アイテム別限界値DB'!$L:$L, 
      MATCH(
        1, 
        ('アイテム別限界値DB'!$B:$B = X$10) * 
        ('アイテム別限界値DB'!$C:$C = X24) * 
        ('アイテム別限界値DB'!$F:$F = Y24), 
        0
      )
    ), 
    ""
  )
)
</f>
        <v/>
      </c>
      <c r="AB24" s="11"/>
      <c r="AC24" s="239" t="s">
        <v>62</v>
      </c>
      <c r="AD24" s="232"/>
      <c r="AE24" s="231" t="str">
        <f t="array" ref="AE24">IF(
  AD24 = 0, 
  "", 
  IFERROR(
    INDEX(
      'アイテム別限界値DB'!$K:$K, 
      MATCH(
        1, 
        ('アイテム別限界値DB'!$B:$B = AC$10) * 
        ('アイテム別限界値DB'!$F:$F = AC24) * 
        ('アイテム別限界値DB'!$H:$H = AD24), 
        0
      )
    ), 
    "再製作"
  )
)
</f>
        <v/>
      </c>
      <c r="AF24" s="218" t="str">
        <f t="array" ref="AF24">IF(
  AD24 = 0, 
  "", 
  IFERROR(
    INDEX(
      'アイテム別限界値DB'!$L:$L, 
      MATCH(
        1, 
        ('アイテム別限界値DB'!$B:$B = AC$10) * 
        ('アイテム別限界値DB'!$C:$C = AC24) * 
        ('アイテム別限界値DB'!$F:$F = AD24), 
        0
      )
    ), 
    ""
  )
)
</f>
        <v/>
      </c>
      <c r="AG24" s="11"/>
      <c r="AH24" s="224"/>
      <c r="AI24" s="225"/>
      <c r="AJ24" s="220" t="str">
        <f t="array" ref="AJ24">IF(
  AI24 = 0, 
  "", 
  IFERROR(
    INDEX(
      'アイテム別限界値DB'!$I:$I, 
      MATCH(
        1, 
        ('アイテム別限界値DB'!$B:$B = AH$10) * 
        ('アイテム別限界値DB'!$C:$C = AH24) * 
        ('アイテム別限界値DB'!$F:$F = AI24), 
        0
      )
    ), 
    "再製作"
  )
)
</f>
        <v/>
      </c>
      <c r="AK24" s="121" t="str">
        <f t="array" ref="AK24">IF(
  AI24 = 0, 
  "", 
  IFERROR(
    INDEX(
      'アイテム別限界値DB'!$L:$L, 
      MATCH(
        1, 
        ('アイテム別限界値DB'!$B:$B = AH$10) * 
        ('アイテム別限界値DB'!$C:$C = AH24) * 
        ('アイテム別限界値DB'!$F:$F = AI24), 
        0
      )
    ), 
    ""
  )
)
</f>
        <v/>
      </c>
      <c r="AL24" s="11"/>
      <c r="AM24" s="224"/>
      <c r="AN24" s="225"/>
      <c r="AO24" s="220" t="str">
        <f t="array" ref="AO24">IF(
  AN24 = 0, 
  "", 
  IFERROR(
    INDEX(
      'アイテム別限界値DB'!$I:$I, 
      MATCH(
        1, 
        ('アイテム別限界値DB'!$B:$B = AM$10) * 
        ('アイテム別限界値DB'!$C:$C = AM24) * 
        ('アイテム別限界値DB'!$F:$F = AN24), 
        0
      )
    ), 
    "再製作"
  )
)
</f>
        <v/>
      </c>
      <c r="AP24" s="121" t="str">
        <f t="array" ref="AP24">IF(
  AN24 = 0, 
  "", 
  IFERROR(
    INDEX(
      'アイテム別限界値DB'!$L:$L, 
      MATCH(
        1, 
        ('アイテム別限界値DB'!$B:$B = AM$10) * 
        ('アイテム別限界値DB'!$C:$C = AM24) * 
        ('アイテム別限界値DB'!$F:$F = AN24), 
        0
      )
    ), 
    ""
  )
)
</f>
        <v/>
      </c>
      <c r="AQ24" s="11"/>
      <c r="AR24" s="224"/>
      <c r="AS24" s="225"/>
      <c r="AT24" s="220" t="str">
        <f t="array" ref="AT24">IF(
  AS24 = 0, 
  "", 
  IFERROR(
    INDEX(
      'アイテム別限界値DB'!$I:$I, 
      MATCH(
        1, 
        ('アイテム別限界値DB'!$B:$B = AR$10) * 
        ('アイテム別限界値DB'!$C:$C = AR24) * 
        ('アイテム別限界値DB'!$F:$F = AS24), 
        0
      )
    ), 
    "再製作"
  )
)
</f>
        <v/>
      </c>
      <c r="AU24" s="121" t="str">
        <f t="array" ref="AU24">IF(
  AS24 = 0, 
  "", 
  IFERROR(
    INDEX(
      'アイテム別限界値DB'!$L:$L, 
      MATCH(
        1, 
        ('アイテム別限界値DB'!$B:$B = AR$10) * 
        ('アイテム別限界値DB'!$C:$C = AR24) * 
        ('アイテム別限界値DB'!$F:$F = AS24), 
        0
      )
    ), 
    ""
  )
)
</f>
        <v/>
      </c>
      <c r="AV24" s="121"/>
      <c r="AW24" s="224"/>
      <c r="AX24" s="225"/>
      <c r="AY24" s="220" t="str">
        <f t="array" ref="AY24">IF(
  AX24 = 0, 
  "", 
  IFERROR(
    INDEX(
      'アイテム別限界値DB'!$I:$I, 
      MATCH(
        1, 
        ('アイテム別限界値DB'!$B:$B = AW$10) * 
        ('アイテム別限界値DB'!$C:$C = AW24) * 
        ('アイテム別限界値DB'!$F:$F = AX24), 
        0
      )
    ), 
    "再製作"
  )
)
</f>
        <v/>
      </c>
      <c r="AZ24" s="121" t="str">
        <f t="array" ref="AZ24">IF(
  AX24 = 0, 
  "", 
  IFERROR(
    INDEX(
      'アイテム別限界値DB'!$L:$L, 
      MATCH(
        1, 
        ('アイテム別限界値DB'!$B:$B = AW$10) * 
        ('アイテム別限界値DB'!$C:$C = AW24) * 
        ('アイテム別限界値DB'!$F:$F = AX24), 
        0
      )
    ), 
    ""
  )
)
</f>
        <v/>
      </c>
      <c r="BA24" s="121"/>
      <c r="BB24" s="224"/>
      <c r="BC24" s="225"/>
      <c r="BD24" s="220" t="str">
        <f t="array" ref="BD24">IF(
  BC24 = 0, 
  "", 
  IFERROR(
    INDEX(
      'アイテム別限界値DB'!$I:$I, 
      MATCH(
        1, 
        ('アイテム別限界値DB'!$B:$B = BB$10) * 
        ('アイテム別限界値DB'!$C:$C = BB24) * 
        ('アイテム別限界値DB'!$F:$F = BC24), 
        0
      )
    ), 
    "再製作"
  )
)
</f>
        <v/>
      </c>
      <c r="BE24" s="121" t="str">
        <f t="array" ref="BE24">IF(
  BC24 = 0, 
  "", 
  IFERROR(
    INDEX(
      'アイテム別限界値DB'!$L:$L, 
      MATCH(
        1, 
        ('アイテム別限界値DB'!$B:$B = BB$10) * 
        ('アイテム別限界値DB'!$C:$C = BB24) * 
        ('アイテム別限界値DB'!$F:$F = BC24), 
        0
      )
    ), 
    ""
  )
)
</f>
        <v/>
      </c>
      <c r="BF24" s="121"/>
      <c r="BG24" s="224"/>
      <c r="BH24" s="225"/>
      <c r="BI24" s="220" t="str">
        <f t="array" ref="BI24">IF(
  BH24 = 0, 
  "", 
  IFERROR(
    INDEX(
      'アイテム別限界値DB'!$I:$I, 
      MATCH(
        1, 
        ('アイテム別限界値DB'!$B:$B = BG$10) * 
        ('アイテム別限界値DB'!$C:$C = BG24) * 
        ('アイテム別限界値DB'!$F:$F = BH24), 
        0
      )
    ), 
    "再製作"
  )
)
</f>
        <v/>
      </c>
      <c r="BJ24" s="121" t="str">
        <f t="array" ref="BJ24">IF(
  BH24 = 0, 
  "", 
  IFERROR(
    INDEX(
      'アイテム別限界値DB'!$L:$L, 
      MATCH(
        1, 
        ('アイテム別限界値DB'!$B:$B = BG$10) * 
        ('アイテム別限界値DB'!$C:$C = BG24) * 
        ('アイテム別限界値DB'!$F:$F = BH24), 
        0
      )
    ), 
    ""
  )
)
</f>
        <v/>
      </c>
      <c r="BK24" s="121"/>
      <c r="BL24" s="224"/>
      <c r="BM24" s="225"/>
      <c r="BN24" s="220" t="str">
        <f t="array" ref="BN24">IF(
  BM24 = 0, 
  "", 
  IFERROR(
    INDEX(
      'アイテム別限界値DB'!$I:$I, 
      MATCH(
        1, 
        ('アイテム別限界値DB'!$B:$B = BL$10) * 
        ('アイテム別限界値DB'!$C:$C = BL24) * 
        ('アイテム別限界値DB'!$F:$F = BM24), 
        0
      )
    ), 
    "再製作"
  )
)
</f>
        <v/>
      </c>
      <c r="BO24" s="121" t="str">
        <f t="array" ref="BO24">IF(
  BM24 = 0, 
  "", 
  IFERROR(
    INDEX(
      'アイテム別限界値DB'!$L:$L, 
      MATCH(
        1, 
        ('アイテム別限界値DB'!$B:$B = BL$10) * 
        ('アイテム別限界値DB'!$C:$C = BL24) * 
        ('アイテム別限界値DB'!$F:$F = BM24), 
        0
      )
    ), 
    ""
  )
)
</f>
        <v/>
      </c>
      <c r="BP24" s="195"/>
    </row>
    <row r="25" ht="18.75" customHeight="1">
      <c r="A25" s="228" t="str">
        <f>IFERROR(__xludf.DUMMYFUNCTION("TEXTJOIN(CHAR(10),TRUE,FILTER(ARRAYFORMULA(IF(O$14:O72&lt;&gt;"""",N$14:N72 &amp;"" : ""&amp; O$14:O72 &amp;"" cm"","""")), N$14:N72 &lt;&gt;""""))"),"")</f>
        <v/>
      </c>
      <c r="B25" s="224"/>
      <c r="C25" s="224"/>
      <c r="D25" s="239" t="s">
        <v>98</v>
      </c>
      <c r="E25" s="232"/>
      <c r="F25" s="231" t="str">
        <f t="array" ref="F25">IF(
  E25 = 0, 
  "", 
  IFERROR(
    INDEX(
      'アイテム別限界値DB'!$K:$K, 
      MATCH(
        1, 
        ('アイテム別限界値DB'!$B:$B = D$10) * 
        ('アイテム別限界値DB'!$F:$F = D25) * 
        ('アイテム別限界値DB'!$H:$H = E25), 
        0
      )
    ), 
    "再製作"
  )
)
</f>
        <v/>
      </c>
      <c r="G25" s="218" t="str">
        <f t="array" ref="G25">IF(
  E25 = 0, 
  "", 
  IFERROR(
    INDEX(
      'アイテム別限界値DB'!$L:$L, 
      MATCH(
        1, 
        ('アイテム別限界値DB'!$B:$B = D$10) * 
        ('アイテム別限界値DB'!$C:$C = D25) * 
        ('アイテム別限界値DB'!$F:$F = E25), 
        0
      )
    ), 
    ""
  )
)
</f>
        <v/>
      </c>
      <c r="H25" s="12"/>
      <c r="I25" s="224" t="s">
        <v>99</v>
      </c>
      <c r="J25" s="230"/>
      <c r="K25" s="231" t="str">
        <f t="array" ref="K25">IF(
  J25 = 0, 
  "", 
  IFERROR(
    INDEX(
      'アイテム別限界値DB'!$K:$K, 
      MATCH(
        1, 
        ('アイテム別限界値DB'!$B:$B = I$10) * 
        ('アイテム別限界値DB'!$F:$F = I25) * 
        ('アイテム別限界値DB'!$H:$H = J25), 
        0
      )
    ), 
    "再製作"
  )
)
</f>
        <v/>
      </c>
      <c r="L25" s="195"/>
      <c r="M25" s="11"/>
      <c r="N25" s="11"/>
      <c r="O25" s="220"/>
      <c r="P25" s="184"/>
      <c r="Q25" s="11"/>
      <c r="R25" s="11"/>
      <c r="S25" s="186" t="s">
        <v>100</v>
      </c>
      <c r="T25" s="232"/>
      <c r="U25" s="231" t="str">
        <f t="array" ref="U25">IF(
  T25 = 0, 
  "", 
  IFERROR(
    INDEX(
      'アイテム別限界値DB'!$K:$K, 
      MATCH(
        1, 
        ('アイテム別限界値DB'!$B:$B = S$10) * 
        ('アイテム別限界値DB'!$F:$F = S25) * 
        ('アイテム別限界値DB'!$H:$H = T25), 
        0
      )
    ), 
    "再製作"
  )
)
</f>
        <v/>
      </c>
      <c r="V25" s="234"/>
      <c r="W25" s="11"/>
      <c r="X25" s="186" t="s">
        <v>101</v>
      </c>
      <c r="Y25" s="232"/>
      <c r="Z25" s="231" t="str">
        <f t="array" ref="Z25">IF(
  Y25 = 0, 
  "", 
  IFERROR(
    INDEX(
      'アイテム別限界値DB'!$K:$K, 
      MATCH(
        1, 
        ('アイテム別限界値DB'!$B:$B = X$10) * 
        ('アイテム別限界値DB'!$F:$F = X25) * 
        ('アイテム別限界値DB'!$H:$H = Y25), 
        0
      )
    ), 
    "再製作"
  )
)
</f>
        <v/>
      </c>
      <c r="AA25" s="218" t="str">
        <f t="array" ref="AA25">IF(
  Y25 = 0, 
  "", 
  IFERROR(
    INDEX(
      'アイテム別限界値DB'!$L:$L, 
      MATCH(
        1, 
        ('アイテム別限界値DB'!$B:$B = X$10) * 
        ('アイテム別限界値DB'!$C:$C = X25) * 
        ('アイテム別限界値DB'!$F:$F = Y25), 
        0
      )
    ), 
    ""
  )
)
</f>
        <v/>
      </c>
      <c r="AB25" s="11"/>
      <c r="AC25" s="186" t="s">
        <v>74</v>
      </c>
      <c r="AD25" s="232"/>
      <c r="AE25" s="231" t="str">
        <f t="array" ref="AE25">IF(
  AD25 = 0, 
  "", 
  IFERROR(
    INDEX(
      'アイテム別限界値DB'!$K:$K, 
      MATCH(
        1, 
        ('アイテム別限界値DB'!$B:$B = AC$10) * 
        ('アイテム別限界値DB'!$F:$F = AC25) * 
        ('アイテム別限界値DB'!$H:$H = AD25), 
        0
      )
    ), 
    "再製作"
  )
)
</f>
        <v/>
      </c>
      <c r="AF25" s="218" t="str">
        <f t="array" ref="AF25">IF(
  AD25 = 0, 
  "", 
  IFERROR(
    INDEX(
      'アイテム別限界値DB'!$L:$L, 
      MATCH(
        1, 
        ('アイテム別限界値DB'!$B:$B = AC$10) * 
        ('アイテム別限界値DB'!$C:$C = AC25) * 
        ('アイテム別限界値DB'!$F:$F = AD25), 
        0
      )
    ), 
    ""
  )
)
</f>
        <v/>
      </c>
      <c r="AG25" s="11"/>
      <c r="AH25" s="12"/>
      <c r="AI25" s="220"/>
      <c r="AJ25" s="220" t="str">
        <f t="array" ref="AJ25">IF(
  AI25 = 0, 
  "", 
  IFERROR(
    INDEX(
      'アイテム別限界値DB'!$I:$I, 
      MATCH(
        1, 
        ('アイテム別限界値DB'!$B:$B = AH$10) * 
        ('アイテム別限界値DB'!$C:$C = AH25) * 
        ('アイテム別限界値DB'!$F:$F = AI25), 
        0
      )
    ), 
    "再製作"
  )
)
</f>
        <v/>
      </c>
      <c r="AK25" s="195"/>
      <c r="AL25" s="11"/>
      <c r="AM25" s="12"/>
      <c r="AN25" s="220"/>
      <c r="AO25" s="220" t="str">
        <f t="array" ref="AO25">IF(
  AN25 = 0, 
  "", 
  IFERROR(
    INDEX(
      'アイテム別限界値DB'!$I:$I, 
      MATCH(
        1, 
        ('アイテム別限界値DB'!$B:$B = AM$10) * 
        ('アイテム別限界値DB'!$C:$C = AM25) * 
        ('アイテム別限界値DB'!$F:$F = AN25), 
        0
      )
    ), 
    "再製作"
  )
)
</f>
        <v/>
      </c>
      <c r="AP25" s="195"/>
      <c r="AQ25" s="11"/>
      <c r="AR25" s="12"/>
      <c r="AS25" s="220"/>
      <c r="AT25" s="220" t="str">
        <f t="array" ref="AT25">IF(
  AS25 = 0, 
  "", 
  IFERROR(
    INDEX(
      'アイテム別限界値DB'!$I:$I, 
      MATCH(
        1, 
        ('アイテム別限界値DB'!$B:$B = AR$10) * 
        ('アイテム別限界値DB'!$C:$C = AR25) * 
        ('アイテム別限界値DB'!$F:$F = AS25), 
        0
      )
    ), 
    "再製作"
  )
)
</f>
        <v/>
      </c>
      <c r="AU25" s="195"/>
      <c r="AV25" s="195"/>
      <c r="AW25" s="12"/>
      <c r="AX25" s="220"/>
      <c r="AY25" s="220" t="str">
        <f t="array" ref="AY25">IF(
  AX25 = 0, 
  "", 
  IFERROR(
    INDEX(
      'アイテム別限界値DB'!$I:$I, 
      MATCH(
        1, 
        ('アイテム別限界値DB'!$B:$B = AW$10) * 
        ('アイテム別限界値DB'!$C:$C = AW25) * 
        ('アイテム別限界値DB'!$F:$F = AX25), 
        0
      )
    ), 
    "再製作"
  )
)
</f>
        <v/>
      </c>
      <c r="AZ25" s="195"/>
      <c r="BA25" s="195"/>
      <c r="BB25" s="12"/>
      <c r="BC25" s="220"/>
      <c r="BD25" s="220" t="str">
        <f t="array" ref="BD25">IF(
  BC25 = 0, 
  "", 
  IFERROR(
    INDEX(
      'アイテム別限界値DB'!$I:$I, 
      MATCH(
        1, 
        ('アイテム別限界値DB'!$B:$B = BB$10) * 
        ('アイテム別限界値DB'!$C:$C = BB25) * 
        ('アイテム別限界値DB'!$F:$F = BC25), 
        0
      )
    ), 
    "再製作"
  )
)
</f>
        <v/>
      </c>
      <c r="BE25" s="195"/>
      <c r="BF25" s="195"/>
      <c r="BG25" s="12"/>
      <c r="BH25" s="220"/>
      <c r="BI25" s="220" t="str">
        <f t="array" ref="BI25">IF(
  BH25 = 0, 
  "", 
  IFERROR(
    INDEX(
      'アイテム別限界値DB'!$I:$I, 
      MATCH(
        1, 
        ('アイテム別限界値DB'!$B:$B = BG$10) * 
        ('アイテム別限界値DB'!$C:$C = BG25) * 
        ('アイテム別限界値DB'!$F:$F = BH25), 
        0
      )
    ), 
    "再製作"
  )
)
</f>
        <v/>
      </c>
      <c r="BJ25" s="195"/>
      <c r="BK25" s="195"/>
      <c r="BL25" s="195"/>
      <c r="BM25" s="220"/>
      <c r="BN25" s="220" t="str">
        <f t="array" ref="BN25">IF(
  BM25 = 0, 
  "", 
  IFERROR(
    INDEX(
      'アイテム別限界値DB'!$I:$I, 
      MATCH(
        1, 
        ('アイテム別限界値DB'!$B:$B = BL$10) * 
        ('アイテム別限界値DB'!$C:$C = BL25) * 
        ('アイテム別限界値DB'!$F:$F = BM25), 
        0
      )
    ), 
    "再製作"
  )
)
</f>
        <v/>
      </c>
      <c r="BO25" s="195"/>
      <c r="BP25" s="195"/>
    </row>
    <row r="26" ht="18.75" customHeight="1">
      <c r="A26" s="236" t="str">
        <f>if($A$24&lt;&gt;"", "《仕上がり数値》","")</f>
        <v/>
      </c>
      <c r="B26" s="229"/>
      <c r="C26" s="224"/>
      <c r="D26" s="239" t="s">
        <v>74</v>
      </c>
      <c r="E26" s="232"/>
      <c r="F26" s="231" t="str">
        <f t="array" ref="F26">IF(
  E26 = 0, 
  "", 
  IFERROR(
    INDEX(
      'アイテム別限界値DB'!$K:$K, 
      MATCH(
        1, 
        ('アイテム別限界値DB'!$B:$B = D$10) * 
        ('アイテム別限界値DB'!$F:$F = D26) * 
        ('アイテム別限界値DB'!$H:$H = E26), 
        0
      )
    ), 
    "再製作"
  )
)
</f>
        <v/>
      </c>
      <c r="G26" s="218" t="str">
        <f t="array" ref="G26">IF(
  E26 = 0, 
  "", 
  IFERROR(
    INDEX(
      'アイテム別限界値DB'!$L:$L, 
      MATCH(
        1, 
        ('アイテム別限界値DB'!$B:$B = D$10) * 
        ('アイテム別限界値DB'!$C:$C = D26) * 
        ('アイテム別限界値DB'!$F:$F = E26), 
        0
      )
    ), 
    ""
  )
)
</f>
        <v/>
      </c>
      <c r="H26" s="12"/>
      <c r="I26" s="11" t="s">
        <v>100</v>
      </c>
      <c r="J26" s="232"/>
      <c r="K26" s="231" t="str">
        <f t="array" ref="K26">IF(
  J26 = 0, 
  "", 
  IFERROR(
    INDEX(
      'アイテム別限界値DB'!$K:$K, 
      MATCH(
        1, 
        ('アイテム別限界値DB'!$B:$B = I$10) * 
        ('アイテム別限界値DB'!$F:$F = I26) * 
        ('アイテム別限界値DB'!$H:$H = J26), 
        0
      )
    ), 
    "再製作"
  )
)
</f>
        <v/>
      </c>
      <c r="L26" s="195"/>
      <c r="M26" s="11"/>
      <c r="N26" s="11"/>
      <c r="O26" s="220"/>
      <c r="P26" s="184"/>
      <c r="Q26" s="11"/>
      <c r="R26" s="11"/>
      <c r="S26" s="12" t="s">
        <v>95</v>
      </c>
      <c r="T26" s="232"/>
      <c r="U26" s="231" t="str">
        <f t="array" ref="U26">IF(
  T26 = 0, 
  "", 
  IFERROR(
    INDEX(
      'アイテム別限界値DB'!$K:$K, 
      MATCH(
        1, 
        ('アイテム別限界値DB'!$B:$B = S$10) * 
        ('アイテム別限界値DB'!$F:$F = S26) * 
        ('アイテム別限界値DB'!$H:$H = T26), 
        0
      )
    ), 
    "再製作"
  )
)
</f>
        <v/>
      </c>
      <c r="V26" s="195"/>
      <c r="W26" s="11"/>
      <c r="X26" s="186" t="s">
        <v>62</v>
      </c>
      <c r="Y26" s="230" t="s">
        <v>102</v>
      </c>
      <c r="Z26" s="231" t="str">
        <f t="array" ref="Z26">IF(
  Y26 = 0, 
  "", 
  IFERROR(
    INDEX(
      'アイテム別限界値DB'!$K:$K, 
      MATCH(
        1, 
        ('アイテム別限界値DB'!$B:$B = X$10) * 
        ('アイテム別限界値DB'!$F:$F = X26) * 
        ('アイテム別限界値DB'!$H:$H = Y26), 
        0
      )
    ), 
    "再製作"
  )
)
</f>
        <v>再製作</v>
      </c>
      <c r="AA26" s="218" t="str">
        <f t="array" ref="AA26">IF(
  Y26 = 0, 
  "", 
  IFERROR(
    INDEX(
      'アイテム別限界値DB'!$L:$L, 
      MATCH(
        1, 
        ('アイテム別限界値DB'!$B:$B = X$10) * 
        ('アイテム別限界値DB'!$C:$C = X26) * 
        ('アイテム別限界値DB'!$F:$F = Y26), 
        0
      )
    ), 
    ""
  )
)
</f>
        <v/>
      </c>
      <c r="AB26" s="11"/>
      <c r="AC26" s="186" t="s">
        <v>67</v>
      </c>
      <c r="AD26" s="232"/>
      <c r="AE26" s="231" t="str">
        <f t="array" ref="AE26">IF(
  AD26 = 0, 
  "", 
  IFERROR(
    INDEX(
      'アイテム別限界値DB'!$K:$K, 
      MATCH(
        1, 
        ('アイテム別限界値DB'!$B:$B = AC$10) * 
        ('アイテム別限界値DB'!$F:$F = AC26) * 
        ('アイテム別限界値DB'!$H:$H = AD26), 
        0
      )
    ), 
    "再製作"
  )
)
</f>
        <v/>
      </c>
      <c r="AF26" s="218" t="str">
        <f t="array" ref="AF26">IF(
  AD26 = 0, 
  "", 
  IFERROR(
    INDEX(
      'アイテム別限界値DB'!$L:$L, 
      MATCH(
        1, 
        ('アイテム別限界値DB'!$B:$B = AC$10) * 
        ('アイテム別限界値DB'!$C:$C = AC26) * 
        ('アイテム別限界値DB'!$F:$F = AD26), 
        0
      )
    ), 
    ""
  )
)
</f>
        <v/>
      </c>
      <c r="AG26" s="11"/>
      <c r="AH26" s="12"/>
      <c r="AI26" s="220"/>
      <c r="AJ26" s="220" t="str">
        <f t="array" ref="AJ26">IF(
  AI26 = 0, 
  "", 
  IFERROR(
    INDEX(
      'アイテム別限界値DB'!$I:$I, 
      MATCH(
        1, 
        ('アイテム別限界値DB'!$B:$B = AH$10) * 
        ('アイテム別限界値DB'!$C:$C = AH26) * 
        ('アイテム別限界値DB'!$F:$F = AI26), 
        0
      )
    ), 
    "再製作"
  )
)
</f>
        <v/>
      </c>
      <c r="AK26" s="195"/>
      <c r="AL26" s="11"/>
      <c r="AM26" s="12"/>
      <c r="AN26" s="220"/>
      <c r="AO26" s="220" t="str">
        <f t="array" ref="AO26">IF(
  AN26 = 0, 
  "", 
  IFERROR(
    INDEX(
      'アイテム別限界値DB'!$I:$I, 
      MATCH(
        1, 
        ('アイテム別限界値DB'!$B:$B = AM$10) * 
        ('アイテム別限界値DB'!$C:$C = AM26) * 
        ('アイテム別限界値DB'!$F:$F = AN26), 
        0
      )
    ), 
    "再製作"
  )
)
</f>
        <v/>
      </c>
      <c r="AP26" s="195"/>
      <c r="AQ26" s="11"/>
      <c r="AR26" s="12"/>
      <c r="AS26" s="220"/>
      <c r="AT26" s="220" t="str">
        <f t="array" ref="AT26">IF(
  AS26 = 0, 
  "", 
  IFERROR(
    INDEX(
      'アイテム別限界値DB'!$I:$I, 
      MATCH(
        1, 
        ('アイテム別限界値DB'!$B:$B = AR$10) * 
        ('アイテム別限界値DB'!$C:$C = AR26) * 
        ('アイテム別限界値DB'!$F:$F = AS26), 
        0
      )
    ), 
    "再製作"
  )
)
</f>
        <v/>
      </c>
      <c r="AU26" s="195"/>
      <c r="AV26" s="195"/>
      <c r="AW26" s="12"/>
      <c r="AX26" s="220"/>
      <c r="AY26" s="220" t="str">
        <f t="array" ref="AY26">IF(
  AX26 = 0, 
  "", 
  IFERROR(
    INDEX(
      'アイテム別限界値DB'!$I:$I, 
      MATCH(
        1, 
        ('アイテム別限界値DB'!$B:$B = AW$10) * 
        ('アイテム別限界値DB'!$C:$C = AW26) * 
        ('アイテム別限界値DB'!$F:$F = AX26), 
        0
      )
    ), 
    "再製作"
  )
)
</f>
        <v/>
      </c>
      <c r="AZ26" s="195"/>
      <c r="BA26" s="195"/>
      <c r="BB26" s="12"/>
      <c r="BC26" s="220"/>
      <c r="BD26" s="220" t="str">
        <f t="array" ref="BD26">IF(
  BC26 = 0, 
  "", 
  IFERROR(
    INDEX(
      'アイテム別限界値DB'!$I:$I, 
      MATCH(
        1, 
        ('アイテム別限界値DB'!$B:$B = BB$10) * 
        ('アイテム別限界値DB'!$C:$C = BB26) * 
        ('アイテム別限界値DB'!$F:$F = BC26), 
        0
      )
    ), 
    "再製作"
  )
)
</f>
        <v/>
      </c>
      <c r="BE26" s="195"/>
      <c r="BF26" s="195"/>
      <c r="BG26" s="12"/>
      <c r="BH26" s="220"/>
      <c r="BI26" s="220" t="str">
        <f t="array" ref="BI26">IF(
  BH26 = 0, 
  "", 
  IFERROR(
    INDEX(
      'アイテム別限界値DB'!$I:$I, 
      MATCH(
        1, 
        ('アイテム別限界値DB'!$B:$B = BG$10) * 
        ('アイテム別限界値DB'!$C:$C = BG26) * 
        ('アイテム別限界値DB'!$F:$F = BH26), 
        0
      )
    ), 
    "再製作"
  )
)
</f>
        <v/>
      </c>
      <c r="BJ26" s="195"/>
      <c r="BK26" s="195"/>
      <c r="BL26" s="195"/>
      <c r="BM26" s="220"/>
      <c r="BN26" s="220" t="str">
        <f t="array" ref="BN26">IF(
  BM26 = 0, 
  "", 
  IFERROR(
    INDEX(
      'アイテム別限界値DB'!$I:$I, 
      MATCH(
        1, 
        ('アイテム別限界値DB'!$B:$B = BL$10) * 
        ('アイテム別限界値DB'!$C:$C = BL26) * 
        ('アイテム別限界値DB'!$F:$F = BM26), 
        0
      )
    ), 
    "再製作"
  )
)
</f>
        <v/>
      </c>
      <c r="BO26" s="195"/>
      <c r="BP26" s="195"/>
    </row>
    <row r="27" ht="18.75" customHeight="1">
      <c r="A27" s="228" t="str">
        <f>IFERROR(__xludf.DUMMYFUNCTION("TEXTJOIN(CHAR(10),TRUE,FILTER(ARRAYFORMULA(IF(O$14:O72&lt;&gt;"""",N$14:N72 &amp;"" :  cm"","""")), N$14:N72 &lt;&gt;""""))"),"")</f>
        <v/>
      </c>
      <c r="B27" s="229"/>
      <c r="C27" s="224"/>
      <c r="D27" s="239" t="s">
        <v>67</v>
      </c>
      <c r="E27" s="230"/>
      <c r="F27" s="231" t="str">
        <f t="array" ref="F27">IF(
  E27 = 0, 
  "", 
  IFERROR(
    INDEX(
      'アイテム別限界値DB'!$K:$K, 
      MATCH(
        1, 
        ('アイテム別限界値DB'!$B:$B = D$10) * 
        ('アイテム別限界値DB'!$F:$F = D27) * 
        ('アイテム別限界値DB'!$H:$H = E27), 
        0
      )
    ), 
    "再製作"
  )
)
</f>
        <v/>
      </c>
      <c r="G27" s="218" t="str">
        <f t="array" ref="G27">IF(
  E27 = 0, 
  "", 
  IFERROR(
    INDEX(
      'アイテム別限界値DB'!$L:$L, 
      MATCH(
        1, 
        ('アイテム別限界値DB'!$B:$B = D$10) * 
        ('アイテム別限界値DB'!$C:$C = D27) * 
        ('アイテム別限界値DB'!$F:$F = E27), 
        0
      )
    ), 
    ""
  )
)
</f>
        <v/>
      </c>
      <c r="H27" s="12"/>
      <c r="I27" s="11" t="s">
        <v>103</v>
      </c>
      <c r="J27" s="230"/>
      <c r="K27" s="231" t="str">
        <f t="array" ref="K27">IF(
  J27 = 0, 
  "", 
  IFERROR(
    INDEX(
      'アイテム別限界値DB'!$K:$K, 
      MATCH(
        1, 
        ('アイテム別限界値DB'!$B:$B = I$10) * 
        ('アイテム別限界値DB'!$F:$F = I27) * 
        ('アイテム別限界値DB'!$H:$H = J27), 
        0
      )
    ), 
    "再製作"
  )
)
</f>
        <v/>
      </c>
      <c r="L27" s="11"/>
      <c r="M27" s="11"/>
      <c r="N27" s="11"/>
      <c r="O27" s="220"/>
      <c r="P27" s="184"/>
      <c r="Q27" s="11"/>
      <c r="R27" s="11"/>
      <c r="S27" s="12" t="s">
        <v>99</v>
      </c>
      <c r="T27" s="232"/>
      <c r="U27" s="231" t="str">
        <f t="array" ref="U27">IF(
  T27 = 0, 
  "", 
  IFERROR(
    INDEX(
      'アイテム別限界値DB'!$K:$K, 
      MATCH(
        1, 
        ('アイテム別限界値DB'!$B:$B = S$10) * 
        ('アイテム別限界値DB'!$F:$F = S27) * 
        ('アイテム別限界値DB'!$H:$H = T27), 
        0
      )
    ), 
    "再製作"
  )
)
</f>
        <v/>
      </c>
      <c r="V27" s="12"/>
      <c r="W27" s="11"/>
      <c r="X27" s="240" t="s">
        <v>74</v>
      </c>
      <c r="Y27" s="230"/>
      <c r="Z27" s="231" t="str">
        <f t="array" ref="Z27">IF(
  Y27 = 0, 
  "", 
  IFERROR(
    INDEX(
      'アイテム別限界値DB'!$K:$K, 
      MATCH(
        1, 
        ('アイテム別限界値DB'!$B:$B = X$10) * 
        ('アイテム別限界値DB'!$F:$F = X27) * 
        ('アイテム別限界値DB'!$H:$H = Y27), 
        0
      )
    ), 
    "再製作"
  )
)
</f>
        <v/>
      </c>
      <c r="AA27" s="218" t="str">
        <f t="array" ref="AA27">IF(
  Y27 = 0, 
  "", 
  IFERROR(
    INDEX(
      'アイテム別限界値DB'!$L:$L, 
      MATCH(
        1, 
        ('アイテム別限界値DB'!$B:$B = X$10) * 
        ('アイテム別限界値DB'!$C:$C = X27) * 
        ('アイテム別限界値DB'!$F:$F = Y27), 
        0
      )
    ), 
    ""
  )
)
</f>
        <v/>
      </c>
      <c r="AB27" s="11"/>
      <c r="AC27" s="240" t="s">
        <v>79</v>
      </c>
      <c r="AD27" s="232"/>
      <c r="AE27" s="231" t="str">
        <f t="array" ref="AE27">IF(
  AD27 = 0, 
  "", 
  IFERROR(
    INDEX(
      'アイテム別限界値DB'!$K:$K, 
      MATCH(
        1, 
        ('アイテム別限界値DB'!$B:$B = AC$10) * 
        ('アイテム別限界値DB'!$F:$F = AC27) * 
        ('アイテム別限界値DB'!$H:$H = AD27), 
        0
      )
    ), 
    "再製作"
  )
)
</f>
        <v/>
      </c>
      <c r="AF27" s="218" t="str">
        <f t="array" ref="AF27">IF(
  AD27 = 0, 
  "", 
  IFERROR(
    INDEX(
      'アイテム別限界値DB'!$L:$L, 
      MATCH(
        1, 
        ('アイテム別限界値DB'!$B:$B = AC$10) * 
        ('アイテム別限界値DB'!$C:$C = AC27) * 
        ('アイテム別限界値DB'!$F:$F = AD27), 
        0
      )
    ), 
    ""
  )
)
</f>
        <v/>
      </c>
      <c r="AG27" s="11"/>
      <c r="AH27" s="11"/>
      <c r="AI27" s="220"/>
      <c r="AJ27" s="184"/>
      <c r="AK27" s="11"/>
      <c r="AL27" s="11"/>
      <c r="AM27" s="11"/>
      <c r="AN27" s="220"/>
      <c r="AO27" s="184"/>
      <c r="AP27" s="11"/>
      <c r="AQ27" s="11"/>
      <c r="AR27" s="11"/>
      <c r="AS27" s="220"/>
      <c r="AT27" s="184"/>
      <c r="AU27" s="11"/>
      <c r="AV27" s="11"/>
      <c r="AW27" s="11"/>
      <c r="AX27" s="220"/>
      <c r="AY27" s="184"/>
      <c r="AZ27" s="11"/>
      <c r="BA27" s="11"/>
      <c r="BB27" s="11"/>
      <c r="BC27" s="220"/>
      <c r="BD27" s="184"/>
      <c r="BE27" s="11"/>
      <c r="BF27" s="11"/>
      <c r="BG27" s="11"/>
      <c r="BH27" s="220"/>
      <c r="BI27" s="184"/>
      <c r="BJ27" s="11"/>
      <c r="BK27" s="11"/>
      <c r="BL27" s="11"/>
      <c r="BM27" s="220"/>
      <c r="BN27" s="184"/>
      <c r="BO27" s="11"/>
      <c r="BP27" s="11"/>
    </row>
    <row r="28" ht="15.75" customHeight="1">
      <c r="A28" s="237" t="s">
        <v>104</v>
      </c>
      <c r="B28" s="11"/>
      <c r="C28" s="11"/>
      <c r="D28" s="11" t="s">
        <v>79</v>
      </c>
      <c r="E28" s="230"/>
      <c r="F28" s="231" t="str">
        <f t="array" ref="F28">IF(
  E28 = 0, 
  "", 
  IFERROR(
    INDEX(
      'アイテム別限界値DB'!$K:$K, 
      MATCH(
        1, 
        ('アイテム別限界値DB'!$B:$B = D$10) * 
        ('アイテム別限界値DB'!$F:$F = D28) * 
        ('アイテム別限界値DB'!$H:$H = E28), 
        0
      )
    ), 
    "再製作"
  )
)
</f>
        <v/>
      </c>
      <c r="G28" s="218" t="str">
        <f t="array" ref="G28">IF(
  E28 = 0, 
  "", 
  IFERROR(
    INDEX(
      'アイテム別限界値DB'!$L:$L, 
      MATCH(
        1, 
        ('アイテム別限界値DB'!$B:$B = D$10) * 
        ('アイテム別限界値DB'!$C:$C = D28) * 
        ('アイテム別限界値DB'!$F:$F = E28), 
        0
      )
    ), 
    ""
  )
)
</f>
        <v/>
      </c>
      <c r="H28" s="11"/>
      <c r="I28" s="11"/>
      <c r="J28" s="220"/>
      <c r="K28" s="184"/>
      <c r="L28" s="11"/>
      <c r="M28" s="11"/>
      <c r="N28" s="11"/>
      <c r="O28" s="220"/>
      <c r="P28" s="184"/>
      <c r="Q28" s="11"/>
      <c r="R28" s="12"/>
      <c r="S28" s="11" t="s">
        <v>103</v>
      </c>
      <c r="T28" s="232"/>
      <c r="U28" s="231" t="str">
        <f t="array" ref="U28">IF(
  T28 = 0, 
  "", 
  IFERROR(
    INDEX(
      'アイテム別限界値DB'!$K:$K, 
      MATCH(
        1, 
        ('アイテム別限界値DB'!$B:$B = S$10) * 
        ('アイテム別限界値DB'!$F:$F = S28) * 
        ('アイテム別限界値DB'!$H:$H = T28), 
        0
      )
    ), 
    "再製作"
  )
)
</f>
        <v/>
      </c>
      <c r="V28" s="11"/>
      <c r="W28" s="11"/>
      <c r="X28" s="11" t="s">
        <v>67</v>
      </c>
      <c r="Y28" s="241"/>
      <c r="Z28" s="231" t="str">
        <f t="array" ref="Z28">IF(
  Y28 = 0, 
  "", 
  IFERROR(
    INDEX(
      'アイテム別限界値DB'!$K:$K, 
      MATCH(
        1, 
        ('アイテム別限界値DB'!$B:$B = X$10) * 
        ('アイテム別限界値DB'!$F:$F = X28) * 
        ('アイテム別限界値DB'!$H:$H = Y28), 
        0
      )
    ), 
    "再製作"
  )
)
</f>
        <v/>
      </c>
      <c r="AA28" s="218" t="str">
        <f t="array" ref="AA28">IF(
  Y28 = 0, 
  "", 
  IFERROR(
    INDEX(
      'アイテム別限界値DB'!$L:$L, 
      MATCH(
        1, 
        ('アイテム別限界値DB'!$B:$B = X$10) * 
        ('アイテム別限界値DB'!$C:$C = X28) * 
        ('アイテム別限界値DB'!$F:$F = Y28), 
        0
      )
    ), 
    ""
  )
)
</f>
        <v/>
      </c>
      <c r="AB28" s="11"/>
      <c r="AC28" s="11" t="s">
        <v>83</v>
      </c>
      <c r="AD28" s="232"/>
      <c r="AE28" s="231" t="str">
        <f t="array" ref="AE28">IF(
  AD28 = 0, 
  "", 
  IFERROR(
    INDEX(
      'アイテム別限界値DB'!$K:$K, 
      MATCH(
        1, 
        ('アイテム別限界値DB'!$B:$B = AC$10) * 
        ('アイテム別限界値DB'!$F:$F = AC28) * 
        ('アイテム別限界値DB'!$H:$H = AD28), 
        0
      )
    ), 
    "再製作"
  )
)
</f>
        <v/>
      </c>
      <c r="AF28" s="218" t="str">
        <f t="array" ref="AF28">IF(
  AD28 = 0, 
  "", 
  IFERROR(
    INDEX(
      'アイテム別限界値DB'!$L:$L, 
      MATCH(
        1, 
        ('アイテム別限界値DB'!$B:$B = AC$10) * 
        ('アイテム別限界値DB'!$C:$C = AC28) * 
        ('アイテム別限界値DB'!$F:$F = AD28), 
        0
      )
    ), 
    ""
  )
)
</f>
        <v/>
      </c>
      <c r="AG28" s="11"/>
      <c r="AH28" s="11"/>
      <c r="AI28" s="220"/>
      <c r="AJ28" s="184"/>
      <c r="AK28" s="11"/>
      <c r="AL28" s="11"/>
      <c r="AM28" s="11"/>
      <c r="AN28" s="220"/>
      <c r="AO28" s="184"/>
      <c r="AP28" s="11"/>
      <c r="AQ28" s="11"/>
      <c r="AR28" s="11"/>
      <c r="AS28" s="220"/>
      <c r="AT28" s="184"/>
      <c r="AU28" s="11"/>
      <c r="AV28" s="11"/>
      <c r="AW28" s="11"/>
      <c r="AX28" s="220"/>
      <c r="AY28" s="184"/>
      <c r="AZ28" s="11"/>
      <c r="BA28" s="11"/>
      <c r="BB28" s="11"/>
      <c r="BC28" s="220"/>
      <c r="BD28" s="184"/>
      <c r="BE28" s="11"/>
      <c r="BF28" s="11"/>
      <c r="BG28" s="11"/>
      <c r="BH28" s="220"/>
      <c r="BI28" s="184"/>
      <c r="BJ28" s="11"/>
      <c r="BK28" s="11"/>
      <c r="BL28" s="11"/>
      <c r="BM28" s="220"/>
      <c r="BN28" s="184"/>
      <c r="BO28" s="11"/>
      <c r="BP28" s="11"/>
    </row>
    <row r="29" ht="15.75" customHeight="1">
      <c r="A29" s="228" t="str">
        <f>IF($S$11="再製作", "◼︎ チノ（対応着地：再製作）" &amp; char(10) &amp; "《修正数値》", IF($S$11&lt;&gt;"", "◼︎ チノ（対応着地：お直し）" &amp; char(10) &amp; "《修正数値》", ""))</f>
        <v/>
      </c>
      <c r="B29" s="160"/>
      <c r="C29" s="11"/>
      <c r="D29" s="11" t="s">
        <v>83</v>
      </c>
      <c r="E29" s="232"/>
      <c r="F29" s="231" t="str">
        <f t="array" ref="F29">IF(
  E29 = 0, 
  "", 
  IFERROR(
    INDEX(
      'アイテム別限界値DB'!$K:$K, 
      MATCH(
        1, 
        ('アイテム別限界値DB'!$B:$B = D$10) * 
        ('アイテム別限界値DB'!$F:$F = D29) * 
        ('アイテム別限界値DB'!$H:$H = E29), 
        0
      )
    ), 
    "再製作"
  )
)
</f>
        <v/>
      </c>
      <c r="G29" s="218" t="str">
        <f t="array" ref="G29">IF(
  E29 = 0, 
  "", 
  IFERROR(
    INDEX(
      'アイテム別限界値DB'!$L:$L, 
      MATCH(
        1, 
        ('アイテム別限界値DB'!$B:$B = D$10) * 
        ('アイテム別限界値DB'!$C:$C = D29) * 
        ('アイテム別限界値DB'!$F:$F = E29), 
        0
      )
    ), 
    ""
  )
)
</f>
        <v/>
      </c>
      <c r="H29" s="11"/>
      <c r="I29" s="11"/>
      <c r="J29" s="220"/>
      <c r="K29" s="184"/>
      <c r="L29" s="11"/>
      <c r="M29" s="11"/>
      <c r="N29" s="11"/>
      <c r="O29" s="220"/>
      <c r="P29" s="184"/>
      <c r="Q29" s="11"/>
      <c r="R29" s="12"/>
      <c r="S29" s="11"/>
      <c r="T29" s="220"/>
      <c r="U29" s="184"/>
      <c r="V29" s="11"/>
      <c r="W29" s="11"/>
      <c r="X29" s="11" t="s">
        <v>79</v>
      </c>
      <c r="Y29" s="230"/>
      <c r="Z29" s="231" t="str">
        <f t="array" ref="Z29">IF(
  Y29 = 0, 
  "", 
  IFERROR(
    INDEX(
      'アイテム別限界値DB'!$K:$K, 
      MATCH(
        1, 
        ('アイテム別限界値DB'!$B:$B = X$10) * 
        ('アイテム別限界値DB'!$F:$F = X29) * 
        ('アイテム別限界値DB'!$H:$H = Y29), 
        0
      )
    ), 
    "再製作"
  )
)
</f>
        <v/>
      </c>
      <c r="AA29" s="11"/>
      <c r="AB29" s="11"/>
      <c r="AC29" s="11" t="s">
        <v>105</v>
      </c>
      <c r="AD29" s="232"/>
      <c r="AE29" s="231" t="str">
        <f t="array" ref="AE29">IF(
  AD29 = 0, 
  "", 
  IFERROR(
    INDEX(
      'アイテム別限界値DB'!$K:$K, 
      MATCH(
        1, 
        ('アイテム別限界値DB'!$B:$B = AC$10) * 
        ('アイテム別限界値DB'!$F:$F = AC29) * 
        ('アイテム別限界値DB'!$H:$H = AD29), 
        0
      )
    ), 
    "再製作"
  )
)
</f>
        <v/>
      </c>
      <c r="AF29" s="11"/>
      <c r="AG29" s="11"/>
      <c r="AH29" s="11"/>
      <c r="AI29" s="220"/>
      <c r="AJ29" s="184"/>
      <c r="AK29" s="11"/>
      <c r="AL29" s="11"/>
      <c r="AM29" s="11"/>
      <c r="AN29" s="220"/>
      <c r="AO29" s="184"/>
      <c r="AP29" s="11"/>
      <c r="AQ29" s="11"/>
      <c r="AR29" s="11"/>
      <c r="AS29" s="220"/>
      <c r="AT29" s="184"/>
      <c r="AU29" s="11"/>
      <c r="AV29" s="11"/>
      <c r="AW29" s="11"/>
      <c r="AX29" s="220"/>
      <c r="AY29" s="184"/>
      <c r="AZ29" s="11"/>
      <c r="BA29" s="11"/>
      <c r="BB29" s="11"/>
      <c r="BC29" s="220"/>
      <c r="BD29" s="184"/>
      <c r="BE29" s="11"/>
      <c r="BF29" s="11"/>
      <c r="BG29" s="11"/>
      <c r="BH29" s="220"/>
      <c r="BI29" s="184"/>
      <c r="BJ29" s="11"/>
      <c r="BK29" s="11"/>
      <c r="BL29" s="11"/>
      <c r="BM29" s="220"/>
      <c r="BN29" s="184"/>
      <c r="BO29" s="11"/>
      <c r="BP29" s="11"/>
    </row>
    <row r="30" ht="15.75" customHeight="1">
      <c r="A30" s="228" t="str">
        <f>IFERROR(__xludf.DUMMYFUNCTION("TEXTJOIN(CHAR(10),TRUE,FILTER(ARRAYFORMULA(IF(T$14:T72&lt;&gt;"""", S$14:S72 &amp;"" : ""&amp; T$14:T72 &amp;"" cm"","""")), S$14:S72 &lt;&gt;""""))"),"")</f>
        <v/>
      </c>
      <c r="B30" s="229"/>
      <c r="C30" s="11"/>
      <c r="D30" s="11" t="s">
        <v>106</v>
      </c>
      <c r="E30" s="232"/>
      <c r="F30" s="231" t="str">
        <f t="array" ref="F30">IF(
  E30 = 0, 
  "", 
  IFERROR(
    INDEX(
      'アイテム別限界値DB'!$K:$K, 
      MATCH(
        1, 
        ('アイテム別限界値DB'!$B:$B = D$10) * 
        ('アイテム別限界値DB'!$F:$F = D30) * 
        ('アイテム別限界値DB'!$H:$H = E30), 
        0
      )
    ), 
    "再製作"
  )
)
</f>
        <v/>
      </c>
      <c r="G30" s="218" t="str">
        <f t="array" ref="G30">IF(
  E30 = 0, 
  "", 
  IFERROR(
    INDEX(
      'アイテム別限界値DB'!$L:$L, 
      MATCH(
        1, 
        ('アイテム別限界値DB'!$B:$B = D$10) * 
        ('アイテム別限界値DB'!$C:$C = D30) * 
        ('アイテム別限界値DB'!$F:$F = E30), 
        0
      )
    ), 
    ""
  )
)
</f>
        <v/>
      </c>
      <c r="H30" s="11"/>
      <c r="I30" s="11"/>
      <c r="J30" s="220"/>
      <c r="K30" s="184"/>
      <c r="L30" s="11"/>
      <c r="M30" s="11"/>
      <c r="N30" s="11"/>
      <c r="O30" s="220"/>
      <c r="P30" s="184"/>
      <c r="Q30" s="11"/>
      <c r="R30" s="12"/>
      <c r="S30" s="11"/>
      <c r="T30" s="220"/>
      <c r="U30" s="184"/>
      <c r="V30" s="11"/>
      <c r="W30" s="11"/>
      <c r="X30" s="11" t="s">
        <v>83</v>
      </c>
      <c r="Y30" s="232"/>
      <c r="Z30" s="231" t="str">
        <f t="array" ref="Z30">IF(
  Y30 = 0, 
  "", 
  IFERROR(
    INDEX(
      'アイテム別限界値DB'!$K:$K, 
      MATCH(
        1, 
        ('アイテム別限界値DB'!$B:$B = X$10) * 
        ('アイテム別限界値DB'!$F:$F = X30) * 
        ('アイテム別限界値DB'!$H:$H = Y30), 
        0
      )
    ), 
    "再製作"
  )
)
</f>
        <v/>
      </c>
      <c r="AA30" s="11"/>
      <c r="AB30" s="11"/>
      <c r="AC30" s="11"/>
      <c r="AD30" s="220"/>
      <c r="AE30" s="184"/>
      <c r="AF30" s="11"/>
      <c r="AG30" s="11"/>
      <c r="AH30" s="11"/>
      <c r="AI30" s="220"/>
      <c r="AJ30" s="184"/>
      <c r="AK30" s="11"/>
      <c r="AL30" s="11"/>
      <c r="AM30" s="11"/>
      <c r="AN30" s="220"/>
      <c r="AO30" s="184"/>
      <c r="AP30" s="11"/>
      <c r="AQ30" s="11"/>
      <c r="AR30" s="11"/>
      <c r="AS30" s="220"/>
      <c r="AT30" s="184"/>
      <c r="AU30" s="11"/>
      <c r="AV30" s="11"/>
      <c r="AW30" s="11"/>
      <c r="AX30" s="220"/>
      <c r="AY30" s="184"/>
      <c r="AZ30" s="11"/>
      <c r="BA30" s="11"/>
      <c r="BB30" s="11"/>
      <c r="BC30" s="220"/>
      <c r="BD30" s="184"/>
      <c r="BE30" s="11"/>
      <c r="BF30" s="11"/>
      <c r="BG30" s="11"/>
      <c r="BH30" s="220"/>
      <c r="BI30" s="184"/>
      <c r="BJ30" s="11"/>
      <c r="BK30" s="11"/>
      <c r="BL30" s="11"/>
      <c r="BM30" s="220"/>
      <c r="BN30" s="184"/>
      <c r="BO30" s="11"/>
      <c r="BP30" s="11"/>
    </row>
    <row r="31" ht="15.75" customHeight="1">
      <c r="A31" s="242" t="str">
        <f>if($A$29&lt;&gt;"", "《仕上がり数値》","")</f>
        <v/>
      </c>
      <c r="B31" s="12"/>
      <c r="C31" s="11"/>
      <c r="D31" s="11" t="s">
        <v>107</v>
      </c>
      <c r="E31" s="232"/>
      <c r="F31" s="231" t="str">
        <f t="array" ref="F31">IF(
  E31 = 0, 
  "", 
  IFERROR(
    INDEX(
      'アイテム別限界値DB'!$K:$K, 
      MATCH(
        1, 
        ('アイテム別限界値DB'!$B:$B = D$10) * 
        ('アイテム別限界値DB'!$F:$F = D31) * 
        ('アイテム別限界値DB'!$H:$H = E31), 
        0
      )
    ), 
    "再製作"
  )
)
</f>
        <v/>
      </c>
      <c r="G31" s="218" t="str">
        <f t="array" ref="G31">IF(
  E31 = 0, 
  "", 
  IFERROR(
    INDEX(
      'アイテム別限界値DB'!$L:$L, 
      MATCH(
        1, 
        ('アイテム別限界値DB'!$B:$B = D$10) * 
        ('アイテム別限界値DB'!$C:$C = D31) * 
        ('アイテム別限界値DB'!$F:$F = E31), 
        0
      )
    ), 
    ""
  )
)
</f>
        <v/>
      </c>
      <c r="H31" s="11"/>
      <c r="I31" s="11"/>
      <c r="J31" s="220"/>
      <c r="K31" s="184"/>
      <c r="L31" s="11"/>
      <c r="M31" s="11"/>
      <c r="N31" s="11"/>
      <c r="O31" s="220"/>
      <c r="P31" s="184"/>
      <c r="Q31" s="11"/>
      <c r="R31" s="12"/>
      <c r="S31" s="11"/>
      <c r="T31" s="220"/>
      <c r="U31" s="184"/>
      <c r="V31" s="11"/>
      <c r="W31" s="11"/>
      <c r="X31" s="11" t="s">
        <v>105</v>
      </c>
      <c r="Y31" s="232"/>
      <c r="Z31" s="231" t="str">
        <f t="array" ref="Z31">IF(
  Y31 = 0, 
  "", 
  IFERROR(
    INDEX(
      'アイテム別限界値DB'!$K:$K, 
      MATCH(
        1, 
        ('アイテム別限界値DB'!$B:$B = X$10) * 
        ('アイテム別限界値DB'!$F:$F = X31) * 
        ('アイテム別限界値DB'!$H:$H = Y31), 
        0
      )
    ), 
    "再製作"
  )
)
</f>
        <v/>
      </c>
      <c r="AA31" s="11"/>
      <c r="AB31" s="11"/>
      <c r="AC31" s="11"/>
      <c r="AD31" s="220"/>
      <c r="AE31" s="184"/>
      <c r="AF31" s="11"/>
      <c r="AG31" s="11"/>
      <c r="AH31" s="11"/>
      <c r="AI31" s="220"/>
      <c r="AJ31" s="184"/>
      <c r="AK31" s="11"/>
      <c r="AL31" s="11"/>
      <c r="AM31" s="11"/>
      <c r="AN31" s="220"/>
      <c r="AO31" s="184"/>
      <c r="AP31" s="11"/>
      <c r="AQ31" s="11"/>
      <c r="AR31" s="11"/>
      <c r="AS31" s="220"/>
      <c r="AT31" s="184"/>
      <c r="AU31" s="11"/>
      <c r="AV31" s="11"/>
      <c r="AW31" s="11"/>
      <c r="AX31" s="220"/>
      <c r="AY31" s="184"/>
      <c r="AZ31" s="11"/>
      <c r="BA31" s="11"/>
      <c r="BB31" s="11"/>
      <c r="BC31" s="220"/>
      <c r="BD31" s="184"/>
      <c r="BE31" s="11"/>
      <c r="BF31" s="11"/>
      <c r="BG31" s="11"/>
      <c r="BH31" s="220"/>
      <c r="BI31" s="184"/>
      <c r="BJ31" s="11"/>
      <c r="BK31" s="11"/>
      <c r="BL31" s="11"/>
      <c r="BM31" s="220"/>
      <c r="BN31" s="184"/>
      <c r="BO31" s="11"/>
      <c r="BP31" s="11"/>
    </row>
    <row r="32" ht="15.75" customHeight="1">
      <c r="A32" s="228" t="str">
        <f>IFERROR(__xludf.DUMMYFUNCTION("TEXTJOIN(CHAR(10),TRUE,FILTER(ARRAYFORMULA(IF(T$14:T72&lt;&gt;"""", S$14:S72 &amp;"" :  cm"","""")), S$14:S72 &lt;&gt;""""))"),"")</f>
        <v/>
      </c>
      <c r="B32" s="160"/>
      <c r="C32" s="11"/>
      <c r="D32" s="11" t="s">
        <v>108</v>
      </c>
      <c r="E32" s="230"/>
      <c r="F32" s="231" t="str">
        <f t="array" ref="F32">IF(
  E32 = 0, 
  "", 
  IFERROR(
    INDEX(
      'アイテム別限界値DB'!$K:$K, 
      MATCH(
        1, 
        ('アイテム別限界値DB'!$B:$B = D$10) * 
        ('アイテム別限界値DB'!$F:$F = D32) * 
        ('アイテム別限界値DB'!$H:$H = E32), 
        0
      )
    ), 
    "再製作"
  )
)
</f>
        <v/>
      </c>
      <c r="G32" s="218" t="str">
        <f t="array" ref="G32">IF(
  E32 = 0, 
  "", 
  IFERROR(
    INDEX(
      'アイテム別限界値DB'!$L:$L, 
      MATCH(
        1, 
        ('アイテム別限界値DB'!$B:$B = D$10) * 
        ('アイテム別限界値DB'!$C:$C = D32) * 
        ('アイテム別限界値DB'!$F:$F = E32), 
        0
      )
    ), 
    ""
  )
)
</f>
        <v/>
      </c>
      <c r="H32" s="11"/>
      <c r="I32" s="11"/>
      <c r="J32" s="220"/>
      <c r="K32" s="184"/>
      <c r="L32" s="11"/>
      <c r="M32" s="11"/>
      <c r="N32" s="11"/>
      <c r="O32" s="220"/>
      <c r="P32" s="184"/>
      <c r="Q32" s="11"/>
      <c r="R32" s="12"/>
      <c r="S32" s="11"/>
      <c r="T32" s="220"/>
      <c r="U32" s="184"/>
      <c r="V32" s="11"/>
      <c r="W32" s="11"/>
      <c r="X32" s="11"/>
      <c r="Y32" s="220"/>
      <c r="Z32" s="184"/>
      <c r="AA32" s="11"/>
      <c r="AB32" s="11"/>
      <c r="AC32" s="11"/>
      <c r="AD32" s="220"/>
      <c r="AE32" s="184"/>
      <c r="AF32" s="11"/>
      <c r="AG32" s="11"/>
      <c r="AH32" s="11"/>
      <c r="AI32" s="220"/>
      <c r="AJ32" s="184"/>
      <c r="AK32" s="11"/>
      <c r="AL32" s="11"/>
      <c r="AM32" s="11"/>
      <c r="AN32" s="220"/>
      <c r="AO32" s="184"/>
      <c r="AP32" s="11"/>
      <c r="AQ32" s="11"/>
      <c r="AR32" s="11"/>
      <c r="AS32" s="220"/>
      <c r="AT32" s="184"/>
      <c r="AU32" s="11"/>
      <c r="AV32" s="11"/>
      <c r="AW32" s="11"/>
      <c r="AX32" s="220"/>
      <c r="AY32" s="184"/>
      <c r="AZ32" s="11"/>
      <c r="BA32" s="11"/>
      <c r="BB32" s="11"/>
      <c r="BC32" s="220"/>
      <c r="BD32" s="184"/>
      <c r="BE32" s="11"/>
      <c r="BF32" s="11"/>
      <c r="BG32" s="11"/>
      <c r="BH32" s="220"/>
      <c r="BI32" s="184"/>
      <c r="BJ32" s="11"/>
      <c r="BK32" s="11"/>
      <c r="BL32" s="11"/>
      <c r="BM32" s="220"/>
      <c r="BN32" s="184"/>
      <c r="BO32" s="11"/>
      <c r="BP32" s="11"/>
    </row>
    <row r="33" ht="15.75" customHeight="1">
      <c r="A33" s="237" t="s">
        <v>109</v>
      </c>
      <c r="B33" s="229"/>
      <c r="C33" s="11"/>
      <c r="D33" s="11" t="s">
        <v>110</v>
      </c>
      <c r="E33" s="232"/>
      <c r="F33" s="231" t="str">
        <f t="array" ref="F33">IF(
  E33 = 0, 
  "", 
  IFERROR(
    INDEX(
      'アイテム別限界値DB'!$K:$K, 
      MATCH(
        1, 
        ('アイテム別限界値DB'!$B:$B = D$10) * 
        ('アイテム別限界値DB'!$F:$F = D33) * 
        ('アイテム別限界値DB'!$H:$H = E33), 
        0
      )
    ), 
    "再製作"
  )
)
</f>
        <v/>
      </c>
      <c r="G33" s="218" t="str">
        <f t="array" ref="G33">IF(
  E33 = 0, 
  "", 
  IFERROR(
    INDEX(
      'アイテム別限界値DB'!$L:$L, 
      MATCH(
        1, 
        ('アイテム別限界値DB'!$B:$B = D$10) * 
        ('アイテム別限界値DB'!$C:$C = D33) * 
        ('アイテム別限界値DB'!$F:$F = E33), 
        0
      )
    ), 
    ""
  )
)
</f>
        <v/>
      </c>
      <c r="H33" s="11"/>
      <c r="I33" s="11"/>
      <c r="J33" s="220"/>
      <c r="K33" s="184"/>
      <c r="L33" s="11"/>
      <c r="M33" s="11"/>
      <c r="N33" s="11"/>
      <c r="O33" s="220"/>
      <c r="P33" s="184"/>
      <c r="Q33" s="11"/>
      <c r="R33" s="12"/>
      <c r="S33" s="11"/>
      <c r="T33" s="220"/>
      <c r="U33" s="184"/>
      <c r="V33" s="11"/>
      <c r="W33" s="11"/>
      <c r="X33" s="11"/>
      <c r="Y33" s="220"/>
      <c r="Z33" s="184"/>
      <c r="AA33" s="11"/>
      <c r="AB33" s="11"/>
      <c r="AC33" s="11"/>
      <c r="AD33" s="220"/>
      <c r="AE33" s="184"/>
      <c r="AF33" s="11"/>
      <c r="AG33" s="11"/>
      <c r="AH33" s="11"/>
      <c r="AI33" s="220"/>
      <c r="AJ33" s="184"/>
      <c r="AK33" s="11"/>
      <c r="AL33" s="11"/>
      <c r="AM33" s="11"/>
      <c r="AN33" s="220"/>
      <c r="AO33" s="184"/>
      <c r="AP33" s="11"/>
      <c r="AQ33" s="11"/>
      <c r="AR33" s="11"/>
      <c r="AS33" s="220"/>
      <c r="AT33" s="184"/>
      <c r="AU33" s="11"/>
      <c r="AV33" s="11"/>
      <c r="AW33" s="11"/>
      <c r="AX33" s="220"/>
      <c r="AY33" s="184"/>
      <c r="AZ33" s="11"/>
      <c r="BA33" s="11"/>
      <c r="BB33" s="11"/>
      <c r="BC33" s="220"/>
      <c r="BD33" s="184"/>
      <c r="BE33" s="11"/>
      <c r="BF33" s="11"/>
      <c r="BG33" s="11"/>
      <c r="BH33" s="220"/>
      <c r="BI33" s="184"/>
      <c r="BJ33" s="11"/>
      <c r="BK33" s="11"/>
      <c r="BL33" s="11"/>
      <c r="BM33" s="220"/>
      <c r="BN33" s="184"/>
      <c r="BO33" s="11"/>
      <c r="BP33" s="11"/>
    </row>
    <row r="34" ht="15.75" customHeight="1">
      <c r="A34" s="228" t="str">
        <f>IF($X$11="再製作", "◼︎ シャツ（対応着地：再製作）" &amp; char(10) &amp; "《修正数値》" , IF($X$11&lt;&gt;"", "◼︎ シャツ（対応着地：お直し）" &amp; char(10) &amp; "《修正数値》", ""))</f>
        <v>◼︎ シャツ（対応着地：再製作）
《修正数値》</v>
      </c>
      <c r="B34" s="12"/>
      <c r="C34" s="11"/>
      <c r="D34" s="11" t="s">
        <v>111</v>
      </c>
      <c r="E34" s="232"/>
      <c r="F34" s="231" t="str">
        <f t="array" ref="F34">IF(
  E34 = 0, 
  "", 
  IFERROR(
    INDEX(
      'アイテム別限界値DB'!$K:$K, 
      MATCH(
        1, 
        ('アイテム別限界値DB'!$B:$B = D$10) * 
        ('アイテム別限界値DB'!$F:$F = D34) * 
        ('アイテム別限界値DB'!$H:$H = E34), 
        0
      )
    ), 
    "再製作"
  )
)
</f>
        <v/>
      </c>
      <c r="G34" s="218" t="str">
        <f t="array" ref="G34">IF(
  E34 = 0, 
  "", 
  IFERROR(
    INDEX(
      'アイテム別限界値DB'!$L:$L, 
      MATCH(
        1, 
        ('アイテム別限界値DB'!$B:$B = D$10) * 
        ('アイテム別限界値DB'!$C:$C = D34) * 
        ('アイテム別限界値DB'!$F:$F = E34), 
        0
      )
    ), 
    ""
  )
)
</f>
        <v/>
      </c>
      <c r="H34" s="11"/>
      <c r="I34" s="11"/>
      <c r="J34" s="220"/>
      <c r="K34" s="184"/>
      <c r="L34" s="11"/>
      <c r="M34" s="11"/>
      <c r="N34" s="11"/>
      <c r="O34" s="220"/>
      <c r="P34" s="184"/>
      <c r="Q34" s="11"/>
      <c r="R34" s="12"/>
      <c r="S34" s="11"/>
      <c r="T34" s="220"/>
      <c r="U34" s="184"/>
      <c r="V34" s="11"/>
      <c r="W34" s="11"/>
      <c r="X34" s="11"/>
      <c r="Y34" s="220"/>
      <c r="Z34" s="184"/>
      <c r="AA34" s="11"/>
      <c r="AB34" s="11"/>
      <c r="AC34" s="11"/>
      <c r="AD34" s="220"/>
      <c r="AE34" s="184"/>
      <c r="AF34" s="11"/>
      <c r="AG34" s="11"/>
      <c r="AH34" s="11"/>
      <c r="AI34" s="220"/>
      <c r="AJ34" s="184"/>
      <c r="AK34" s="11"/>
      <c r="AL34" s="11"/>
      <c r="AM34" s="11"/>
      <c r="AN34" s="220"/>
      <c r="AO34" s="184"/>
      <c r="AP34" s="11"/>
      <c r="AQ34" s="11"/>
      <c r="AR34" s="11"/>
      <c r="AS34" s="220"/>
      <c r="AT34" s="184"/>
      <c r="AU34" s="11"/>
      <c r="AV34" s="11"/>
      <c r="AW34" s="11"/>
      <c r="AX34" s="220"/>
      <c r="AY34" s="184"/>
      <c r="AZ34" s="11"/>
      <c r="BA34" s="11"/>
      <c r="BB34" s="11"/>
      <c r="BC34" s="220"/>
      <c r="BD34" s="184"/>
      <c r="BE34" s="11"/>
      <c r="BF34" s="11"/>
      <c r="BG34" s="11"/>
      <c r="BH34" s="220"/>
      <c r="BI34" s="184"/>
      <c r="BJ34" s="11"/>
      <c r="BK34" s="11"/>
      <c r="BL34" s="11"/>
      <c r="BM34" s="220"/>
      <c r="BN34" s="184"/>
      <c r="BO34" s="11"/>
      <c r="BP34" s="11"/>
    </row>
    <row r="35" ht="15.75" customHeight="1">
      <c r="A35" s="228" t="str">
        <f>IFERROR(__xludf.DUMMYFUNCTION("TEXTJOIN(CHAR(10),TRUE,FILTER(ARRAYFORMULA(IF(Y$14:Y72&lt;&gt;"""", X$14:X72 &amp;"" : ""&amp; Y$14:Y72 &amp;"" cm"","""")), X$14:X72 &lt;&gt;""""))"),"着丈 : 4 cm")</f>
        <v>着丈 : 4 cm</v>
      </c>
      <c r="B35" s="160"/>
      <c r="C35" s="11"/>
      <c r="D35" s="11" t="s">
        <v>112</v>
      </c>
      <c r="E35" s="232"/>
      <c r="F35" s="231" t="str">
        <f t="array" ref="F35">IF(
  E35 = 0, 
  "", 
  IFERROR(
    INDEX(
      'アイテム別限界値DB'!$K:$K, 
      MATCH(
        1, 
        ('アイテム別限界値DB'!$B:$B = D$10) * 
        ('アイテム別限界値DB'!$F:$F = D35) * 
        ('アイテム別限界値DB'!$H:$H = E35), 
        0
      )
    ), 
    "再製作"
  )
)
</f>
        <v/>
      </c>
      <c r="G35" s="218" t="str">
        <f t="array" ref="G35">IF(
  E35 = 0, 
  "", 
  IFERROR(
    INDEX(
      'アイテム別限界値DB'!$L:$L, 
      MATCH(
        1, 
        ('アイテム別限界値DB'!$B:$B = D$10) * 
        ('アイテム別限界値DB'!$C:$C = D35) * 
        ('アイテム別限界値DB'!$F:$F = E35), 
        0
      )
    ), 
    ""
  )
)
</f>
        <v/>
      </c>
      <c r="H35" s="11"/>
      <c r="I35" s="11"/>
      <c r="J35" s="220"/>
      <c r="K35" s="184"/>
      <c r="L35" s="11"/>
      <c r="M35" s="11"/>
      <c r="N35" s="11"/>
      <c r="O35" s="220"/>
      <c r="P35" s="184"/>
      <c r="Q35" s="11"/>
      <c r="R35" s="12"/>
      <c r="S35" s="11"/>
      <c r="T35" s="220"/>
      <c r="U35" s="184"/>
      <c r="V35" s="11"/>
      <c r="W35" s="11"/>
      <c r="X35" s="11"/>
      <c r="Y35" s="220"/>
      <c r="Z35" s="184"/>
      <c r="AA35" s="11"/>
      <c r="AB35" s="11"/>
      <c r="AC35" s="11"/>
      <c r="AD35" s="220"/>
      <c r="AE35" s="184"/>
      <c r="AF35" s="11"/>
      <c r="AG35" s="11"/>
      <c r="AH35" s="11"/>
      <c r="AI35" s="220"/>
      <c r="AJ35" s="184"/>
      <c r="AK35" s="11"/>
      <c r="AL35" s="11"/>
      <c r="AM35" s="11"/>
      <c r="AN35" s="220"/>
      <c r="AO35" s="184"/>
      <c r="AP35" s="11"/>
      <c r="AQ35" s="11"/>
      <c r="AR35" s="11"/>
      <c r="AS35" s="220"/>
      <c r="AT35" s="184"/>
      <c r="AU35" s="11"/>
      <c r="AV35" s="11"/>
      <c r="AW35" s="11"/>
      <c r="AX35" s="220"/>
      <c r="AY35" s="184"/>
      <c r="AZ35" s="11"/>
      <c r="BA35" s="11"/>
      <c r="BB35" s="11"/>
      <c r="BC35" s="220"/>
      <c r="BD35" s="184"/>
      <c r="BE35" s="11"/>
      <c r="BF35" s="11"/>
      <c r="BG35" s="11"/>
      <c r="BH35" s="220"/>
      <c r="BI35" s="184"/>
      <c r="BJ35" s="11"/>
      <c r="BK35" s="11"/>
      <c r="BL35" s="11"/>
      <c r="BM35" s="220"/>
      <c r="BN35" s="184"/>
      <c r="BO35" s="11"/>
      <c r="BP35" s="11"/>
    </row>
    <row r="36" ht="15.75" customHeight="1">
      <c r="A36" s="236" t="str">
        <f>if($A$34&lt;&gt;"", "《仕上がり数値》","")</f>
        <v>《仕上がり数値》</v>
      </c>
      <c r="B36" s="229"/>
      <c r="C36" s="11"/>
      <c r="D36" s="11" t="s">
        <v>113</v>
      </c>
      <c r="E36" s="230"/>
      <c r="F36" s="231" t="str">
        <f t="array" ref="F36">IF(
  E36 = 0, 
  "", 
  IFERROR(
    INDEX(
      'アイテム別限界値DB'!$K:$K, 
      MATCH(
        1, 
        ('アイテム別限界値DB'!$B:$B = D$10) * 
        ('アイテム別限界値DB'!$F:$F = D36) * 
        ('アイテム別限界値DB'!$H:$H = E36), 
        0
      )
    ), 
    "再製作"
  )
)
</f>
        <v/>
      </c>
      <c r="G36" s="218" t="str">
        <f t="array" ref="G36">IF(
  E36 = 0, 
  "", 
  IFERROR(
    INDEX(
      'アイテム別限界値DB'!$L:$L, 
      MATCH(
        1, 
        ('アイテム別限界値DB'!$B:$B = D$10) * 
        ('アイテム別限界値DB'!$C:$C = D36) * 
        ('アイテム別限界値DB'!$F:$F = E36), 
        0
      )
    ), 
    ""
  )
)
</f>
        <v/>
      </c>
      <c r="H36" s="11"/>
      <c r="I36" s="11"/>
      <c r="J36" s="220"/>
      <c r="K36" s="184"/>
      <c r="L36" s="11"/>
      <c r="M36" s="11"/>
      <c r="N36" s="11"/>
      <c r="O36" s="220"/>
      <c r="P36" s="184"/>
      <c r="Q36" s="11"/>
      <c r="R36" s="12"/>
      <c r="S36" s="11"/>
      <c r="T36" s="220"/>
      <c r="U36" s="184"/>
      <c r="V36" s="11"/>
      <c r="W36" s="11"/>
      <c r="X36" s="11"/>
      <c r="Y36" s="220"/>
      <c r="Z36" s="184"/>
      <c r="AA36" s="11"/>
      <c r="AB36" s="11"/>
      <c r="AC36" s="11"/>
      <c r="AD36" s="220"/>
      <c r="AE36" s="184"/>
      <c r="AF36" s="11"/>
      <c r="AG36" s="11"/>
      <c r="AH36" s="11"/>
      <c r="AI36" s="220"/>
      <c r="AJ36" s="184"/>
      <c r="AK36" s="11"/>
      <c r="AL36" s="11"/>
      <c r="AM36" s="11"/>
      <c r="AN36" s="220"/>
      <c r="AO36" s="184"/>
      <c r="AP36" s="11"/>
      <c r="AQ36" s="11"/>
      <c r="AR36" s="11"/>
      <c r="AS36" s="220"/>
      <c r="AT36" s="184"/>
      <c r="AU36" s="11"/>
      <c r="AV36" s="11"/>
      <c r="AW36" s="11"/>
      <c r="AX36" s="220"/>
      <c r="AY36" s="184"/>
      <c r="AZ36" s="11"/>
      <c r="BA36" s="11"/>
      <c r="BB36" s="11"/>
      <c r="BC36" s="220"/>
      <c r="BD36" s="184"/>
      <c r="BE36" s="11"/>
      <c r="BF36" s="11"/>
      <c r="BG36" s="11"/>
      <c r="BH36" s="220"/>
      <c r="BI36" s="184"/>
      <c r="BJ36" s="11"/>
      <c r="BK36" s="11"/>
      <c r="BL36" s="11"/>
      <c r="BM36" s="220"/>
      <c r="BN36" s="184"/>
      <c r="BO36" s="11"/>
      <c r="BP36" s="11"/>
    </row>
    <row r="37">
      <c r="A37" s="228" t="str">
        <f>IFERROR(__xludf.DUMMYFUNCTION("TEXTJOIN(CHAR(10),TRUE,FILTER(ARRAYFORMULA(IF(Y$14:Y72&lt;&gt;"""", X$14:X72 &amp;"" :  cm"","""")), X$14:X72 &lt;&gt;""""))"),"着丈 :  cm")</f>
        <v>着丈 :  cm</v>
      </c>
      <c r="B37" s="12"/>
      <c r="C37" s="11"/>
      <c r="D37" s="11" t="s">
        <v>114</v>
      </c>
      <c r="E37" s="230"/>
      <c r="F37" s="231" t="str">
        <f t="array" ref="F37">IF(
  E37 = 0, 
  "", 
  IFERROR(
    INDEX(
      'アイテム別限界値DB'!$K:$K, 
      MATCH(
        1, 
        ('アイテム別限界値DB'!$B:$B = D$10) * 
        ('アイテム別限界値DB'!$F:$F = D37) * 
        ('アイテム別限界値DB'!$H:$H = E37), 
        0
      )
    ), 
    "再製作"
  )
)
</f>
        <v/>
      </c>
      <c r="G37" s="218" t="str">
        <f t="array" ref="G37">IF(
  E37 = 0, 
  "", 
  IFERROR(
    INDEX(
      'アイテム別限界値DB'!$L:$L, 
      MATCH(
        1, 
        ('アイテム別限界値DB'!$B:$B = D$10) * 
        ('アイテム別限界値DB'!$C:$C = D37) * 
        ('アイテム別限界値DB'!$F:$F = E37), 
        0
      )
    ), 
    ""
  )
)
</f>
        <v/>
      </c>
      <c r="H37" s="11"/>
      <c r="I37" s="11"/>
      <c r="J37" s="220"/>
      <c r="K37" s="184"/>
      <c r="L37" s="11"/>
      <c r="M37" s="11"/>
      <c r="N37" s="11"/>
      <c r="O37" s="220"/>
      <c r="P37" s="184"/>
      <c r="Q37" s="11"/>
      <c r="R37" s="12"/>
      <c r="S37" s="11"/>
      <c r="T37" s="220"/>
      <c r="U37" s="184"/>
      <c r="V37" s="11"/>
      <c r="W37" s="11"/>
      <c r="X37" s="11"/>
      <c r="Y37" s="220"/>
      <c r="Z37" s="184"/>
      <c r="AA37" s="11"/>
      <c r="AB37" s="11"/>
      <c r="AC37" s="11"/>
      <c r="AD37" s="220"/>
      <c r="AE37" s="184"/>
      <c r="AF37" s="11"/>
      <c r="AG37" s="11"/>
      <c r="AH37" s="11"/>
      <c r="AI37" s="220"/>
      <c r="AJ37" s="184"/>
      <c r="AK37" s="11"/>
      <c r="AL37" s="11"/>
      <c r="AM37" s="11"/>
      <c r="AN37" s="220"/>
      <c r="AO37" s="184"/>
      <c r="AP37" s="11"/>
      <c r="AQ37" s="11"/>
      <c r="AR37" s="11"/>
      <c r="AS37" s="220"/>
      <c r="AT37" s="184"/>
      <c r="AU37" s="11"/>
      <c r="AV37" s="11"/>
      <c r="AW37" s="11"/>
      <c r="AX37" s="220"/>
      <c r="AY37" s="184"/>
      <c r="AZ37" s="11"/>
      <c r="BA37" s="11"/>
      <c r="BB37" s="11"/>
      <c r="BC37" s="220"/>
      <c r="BD37" s="184"/>
      <c r="BE37" s="11"/>
      <c r="BF37" s="11"/>
      <c r="BG37" s="11"/>
      <c r="BH37" s="220"/>
      <c r="BI37" s="184"/>
      <c r="BJ37" s="11"/>
      <c r="BK37" s="11"/>
      <c r="BL37" s="11"/>
      <c r="BM37" s="220"/>
      <c r="BN37" s="184"/>
      <c r="BO37" s="11"/>
      <c r="BP37" s="11"/>
    </row>
    <row r="38">
      <c r="A38" s="243" t="s">
        <v>115</v>
      </c>
      <c r="B38" s="160"/>
      <c r="C38" s="11"/>
      <c r="D38" s="11" t="s">
        <v>116</v>
      </c>
      <c r="E38" s="232"/>
      <c r="F38" s="231" t="str">
        <f t="array" ref="F38">IF(
  E38 = 0, 
  "", 
  IFERROR(
    INDEX(
      'アイテム別限界値DB'!$K:$K, 
      MATCH(
        1, 
        ('アイテム別限界値DB'!$B:$B = D$10) * 
        ('アイテム別限界値DB'!$F:$F = D38) * 
        ('アイテム別限界値DB'!$H:$H = E38), 
        0
      )
    ), 
    "再製作"
  )
)
</f>
        <v/>
      </c>
      <c r="G38" s="218" t="str">
        <f t="array" ref="G38">IF(
  E38 = 0, 
  "", 
  IFERROR(
    INDEX(
      'アイテム別限界値DB'!$L:$L, 
      MATCH(
        1, 
        ('アイテム別限界値DB'!$B:$B = D$10) * 
        ('アイテム別限界値DB'!$C:$C = D38) * 
        ('アイテム別限界値DB'!$F:$F = E38), 
        0
      )
    ), 
    ""
  )
)
</f>
        <v/>
      </c>
      <c r="H38" s="11"/>
      <c r="I38" s="11"/>
      <c r="J38" s="220"/>
      <c r="K38" s="184"/>
      <c r="L38" s="11"/>
      <c r="M38" s="11"/>
      <c r="N38" s="11"/>
      <c r="O38" s="220"/>
      <c r="P38" s="184"/>
      <c r="Q38" s="11"/>
      <c r="R38" s="12"/>
      <c r="S38" s="11"/>
      <c r="T38" s="220"/>
      <c r="U38" s="184"/>
      <c r="V38" s="11"/>
      <c r="W38" s="11"/>
      <c r="X38" s="11"/>
      <c r="Y38" s="220"/>
      <c r="Z38" s="184"/>
      <c r="AA38" s="11"/>
      <c r="AB38" s="11"/>
      <c r="AC38" s="11"/>
      <c r="AD38" s="220"/>
      <c r="AE38" s="184"/>
      <c r="AF38" s="11"/>
      <c r="AG38" s="11"/>
      <c r="AH38" s="11"/>
      <c r="AI38" s="220"/>
      <c r="AJ38" s="184"/>
      <c r="AK38" s="11"/>
      <c r="AL38" s="11"/>
      <c r="AM38" s="11"/>
      <c r="AN38" s="220"/>
      <c r="AO38" s="184"/>
      <c r="AP38" s="11"/>
      <c r="AQ38" s="11"/>
      <c r="AR38" s="11"/>
      <c r="AS38" s="220"/>
      <c r="AT38" s="184"/>
      <c r="AU38" s="11"/>
      <c r="AV38" s="11"/>
      <c r="AW38" s="11"/>
      <c r="AX38" s="220"/>
      <c r="AY38" s="184"/>
      <c r="AZ38" s="11"/>
      <c r="BA38" s="11"/>
      <c r="BB38" s="11"/>
      <c r="BC38" s="220"/>
      <c r="BD38" s="184"/>
      <c r="BE38" s="11"/>
      <c r="BF38" s="11"/>
      <c r="BG38" s="11"/>
      <c r="BH38" s="220"/>
      <c r="BI38" s="184"/>
      <c r="BJ38" s="11"/>
      <c r="BK38" s="11"/>
      <c r="BL38" s="11"/>
      <c r="BM38" s="220"/>
      <c r="BN38" s="184"/>
      <c r="BO38" s="11"/>
      <c r="BP38" s="11"/>
    </row>
    <row r="39">
      <c r="A39" s="228" t="str">
        <f>IF( $AC$11 = "再製作", "◼︎ ポロシャツ（対応着地：再製作）" &amp; char(10) &amp; "《修正数値》" , IF($AC$11 &lt;&gt; "", "◼︎ ポロシャツ（対応着地：お直し）" &amp; char(10) &amp; "《修正数値》" , ""))</f>
        <v/>
      </c>
      <c r="B39" s="229"/>
      <c r="C39" s="11"/>
      <c r="D39" s="11" t="s">
        <v>117</v>
      </c>
      <c r="E39" s="232"/>
      <c r="F39" s="231" t="str">
        <f t="array" ref="F39">IF(
  E39 = 0, 
  "", 
  IFERROR(
    INDEX(
      'アイテム別限界値DB'!$I:$I, 
      MATCH(
        1, 
        ('アイテム別限界値DB'!$B:$B = D$10) * 
        ('アイテム別限界値DB'!$C:$C = D39) * 
        ('アイテム別限界値DB'!$F:$F = E39), 
        0
      )
    ), 
    "再製作"
  )
)
</f>
        <v/>
      </c>
      <c r="G39" s="218" t="str">
        <f t="array" ref="G39">IF(
  E39 = 0, 
  "", 
  IFERROR(
    INDEX(
      'アイテム別限界値DB'!$L:$L, 
      MATCH(
        1, 
        ('アイテム別限界値DB'!$B:$B = D$10) * 
        ('アイテム別限界値DB'!$C:$C = D39) * 
        ('アイテム別限界値DB'!$F:$F = E39), 
        0
      )
    ), 
    ""
  )
)
</f>
        <v/>
      </c>
      <c r="H39" s="11"/>
      <c r="I39" s="11"/>
      <c r="J39" s="220"/>
      <c r="K39" s="184"/>
      <c r="L39" s="11"/>
      <c r="M39" s="11"/>
      <c r="N39" s="11"/>
      <c r="O39" s="220"/>
      <c r="P39" s="184"/>
      <c r="Q39" s="11"/>
      <c r="R39" s="12"/>
      <c r="S39" s="11"/>
      <c r="T39" s="220"/>
      <c r="U39" s="184"/>
      <c r="V39" s="11"/>
      <c r="W39" s="11"/>
      <c r="X39" s="11"/>
      <c r="Y39" s="220"/>
      <c r="Z39" s="184"/>
      <c r="AA39" s="11"/>
      <c r="AB39" s="11"/>
      <c r="AC39" s="11"/>
      <c r="AD39" s="220"/>
      <c r="AE39" s="184"/>
      <c r="AF39" s="11"/>
      <c r="AG39" s="11"/>
      <c r="AH39" s="11"/>
      <c r="AI39" s="220"/>
      <c r="AJ39" s="184"/>
      <c r="AK39" s="11"/>
      <c r="AL39" s="11"/>
      <c r="AM39" s="11"/>
      <c r="AN39" s="220"/>
      <c r="AO39" s="184"/>
      <c r="AP39" s="11"/>
      <c r="AQ39" s="11"/>
      <c r="AR39" s="11"/>
      <c r="AS39" s="220"/>
      <c r="AT39" s="184"/>
      <c r="AU39" s="11"/>
      <c r="AV39" s="11"/>
      <c r="AW39" s="11"/>
      <c r="AX39" s="220"/>
      <c r="AY39" s="184"/>
      <c r="AZ39" s="11"/>
      <c r="BA39" s="11"/>
      <c r="BB39" s="11"/>
      <c r="BC39" s="220"/>
      <c r="BD39" s="184"/>
      <c r="BE39" s="11"/>
      <c r="BF39" s="11"/>
      <c r="BG39" s="11"/>
      <c r="BH39" s="220"/>
      <c r="BI39" s="184"/>
      <c r="BJ39" s="11"/>
      <c r="BK39" s="11"/>
      <c r="BL39" s="11"/>
      <c r="BM39" s="220"/>
      <c r="BN39" s="184"/>
      <c r="BO39" s="11"/>
      <c r="BP39" s="11"/>
    </row>
    <row r="40">
      <c r="A40" s="228" t="str">
        <f>IFERROR(__xludf.DUMMYFUNCTION("TEXTJOIN(CHAR(10),TRUE,FILTER(ARRAYFORMULA(IF(AD$14:AD72&lt;&gt;"""",AC$14:AC72&amp;"" : ""&amp; AD$14:AD72 &amp;"" cm"","""")), AC$14:AC72 &lt;&gt;""""))"),"")</f>
        <v/>
      </c>
      <c r="B40" s="12"/>
      <c r="C40" s="11"/>
      <c r="D40" s="11" t="s">
        <v>118</v>
      </c>
      <c r="E40" s="230"/>
      <c r="F40" s="231" t="str">
        <f t="array" ref="F40">IF(
  E40 = 0, 
  "", 
  IFERROR(
    INDEX(
      'アイテム別限界値DB'!$I:$I, 
      MATCH(
        1, 
        ('アイテム別限界値DB'!$B:$B = D$10) * 
        ('アイテム別限界値DB'!$C:$C = D40) * 
        ('アイテム別限界値DB'!$F:$F = E40), 
        0
      )
    ), 
    "再製作"
  )
)
</f>
        <v/>
      </c>
      <c r="G40" s="121"/>
      <c r="H40" s="11"/>
      <c r="I40" s="11"/>
      <c r="J40" s="220"/>
      <c r="K40" s="184"/>
      <c r="L40" s="11"/>
      <c r="M40" s="11"/>
      <c r="N40" s="11"/>
      <c r="O40" s="220"/>
      <c r="P40" s="184"/>
      <c r="Q40" s="11"/>
      <c r="R40" s="12"/>
      <c r="S40" s="11"/>
      <c r="T40" s="220"/>
      <c r="U40" s="184"/>
      <c r="V40" s="11"/>
      <c r="W40" s="11"/>
      <c r="X40" s="11"/>
      <c r="Y40" s="220"/>
      <c r="Z40" s="184"/>
      <c r="AA40" s="11"/>
      <c r="AB40" s="11"/>
      <c r="AC40" s="11"/>
      <c r="AD40" s="220"/>
      <c r="AE40" s="184"/>
      <c r="AF40" s="11"/>
      <c r="AG40" s="11"/>
      <c r="AH40" s="11"/>
      <c r="AI40" s="220"/>
      <c r="AJ40" s="184"/>
      <c r="AK40" s="11"/>
      <c r="AL40" s="11"/>
      <c r="AM40" s="11"/>
      <c r="AN40" s="220"/>
      <c r="AO40" s="184"/>
      <c r="AP40" s="11"/>
      <c r="AQ40" s="11"/>
      <c r="AR40" s="11"/>
      <c r="AS40" s="220"/>
      <c r="AT40" s="184"/>
      <c r="AU40" s="11"/>
      <c r="AV40" s="11"/>
      <c r="AW40" s="11"/>
      <c r="AX40" s="220"/>
      <c r="AY40" s="184"/>
      <c r="AZ40" s="11"/>
      <c r="BA40" s="11"/>
      <c r="BB40" s="11"/>
      <c r="BC40" s="220"/>
      <c r="BD40" s="184"/>
      <c r="BE40" s="11"/>
      <c r="BF40" s="11"/>
      <c r="BG40" s="11"/>
      <c r="BH40" s="220"/>
      <c r="BI40" s="184"/>
      <c r="BJ40" s="11"/>
      <c r="BK40" s="11"/>
      <c r="BL40" s="11"/>
      <c r="BM40" s="220"/>
      <c r="BN40" s="184"/>
      <c r="BO40" s="11"/>
      <c r="BP40" s="11"/>
    </row>
    <row r="41">
      <c r="A41" s="244" t="str">
        <f>if($A$39&lt;&gt;"", "《仕上がり数値》","")</f>
        <v/>
      </c>
      <c r="B41" s="160"/>
      <c r="C41" s="11"/>
      <c r="D41" s="11" t="s">
        <v>119</v>
      </c>
      <c r="E41" s="230"/>
      <c r="F41" s="231" t="str">
        <f t="array" ref="F41">IF(
  E41 = 0, 
  "", 
  IFERROR(
    INDEX(
      'アイテム別限界値DB'!$I:$I, 
      MATCH(
        1, 
        ('アイテム別限界値DB'!$B:$B = D$10) * 
        ('アイテム別限界値DB'!$C:$C = D41) * 
        ('アイテム別限界値DB'!$F:$F = E41), 
        0
      )
    ), 
    "再製作"
  )
)
</f>
        <v/>
      </c>
      <c r="G41" s="195"/>
      <c r="H41" s="11"/>
      <c r="I41" s="11"/>
      <c r="J41" s="220"/>
      <c r="K41" s="184"/>
      <c r="L41" s="11"/>
      <c r="M41" s="11"/>
      <c r="N41" s="11"/>
      <c r="O41" s="220"/>
      <c r="P41" s="184"/>
      <c r="Q41" s="11"/>
      <c r="R41" s="12"/>
      <c r="S41" s="11"/>
      <c r="T41" s="220"/>
      <c r="U41" s="184"/>
      <c r="V41" s="11"/>
      <c r="W41" s="11"/>
      <c r="X41" s="11"/>
      <c r="Y41" s="220"/>
      <c r="Z41" s="184"/>
      <c r="AA41" s="11"/>
      <c r="AB41" s="11"/>
      <c r="AC41" s="11"/>
      <c r="AD41" s="220"/>
      <c r="AE41" s="184"/>
      <c r="AF41" s="11"/>
      <c r="AG41" s="11"/>
      <c r="AH41" s="11"/>
      <c r="AI41" s="220"/>
      <c r="AJ41" s="184"/>
      <c r="AK41" s="11"/>
      <c r="AL41" s="11"/>
      <c r="AM41" s="11"/>
      <c r="AN41" s="220"/>
      <c r="AO41" s="184"/>
      <c r="AP41" s="11"/>
      <c r="AQ41" s="11"/>
      <c r="AR41" s="11"/>
      <c r="AS41" s="220"/>
      <c r="AT41" s="184"/>
      <c r="AU41" s="11"/>
      <c r="AV41" s="11"/>
      <c r="AW41" s="11"/>
      <c r="AX41" s="220"/>
      <c r="AY41" s="184"/>
      <c r="AZ41" s="11"/>
      <c r="BA41" s="11"/>
      <c r="BB41" s="11"/>
      <c r="BC41" s="220"/>
      <c r="BD41" s="184"/>
      <c r="BE41" s="11"/>
      <c r="BF41" s="11"/>
      <c r="BG41" s="11"/>
      <c r="BH41" s="220"/>
      <c r="BI41" s="184"/>
      <c r="BJ41" s="11"/>
      <c r="BK41" s="11"/>
      <c r="BL41" s="11"/>
      <c r="BM41" s="220"/>
      <c r="BN41" s="184"/>
      <c r="BO41" s="11"/>
      <c r="BP41" s="11"/>
    </row>
    <row r="42">
      <c r="A42" s="228" t="str">
        <f>IFERROR(__xludf.DUMMYFUNCTION("TEXTJOIN(CHAR(10),TRUE,FILTER(ARRAYFORMULA(IF(AD$14:AD72&lt;&gt;"""",AC$14:AC72&amp;"" :  cm"","""")), AC$14:AC72 &lt;&gt;""""))"),"")</f>
        <v/>
      </c>
      <c r="B42" s="229"/>
      <c r="C42" s="11"/>
      <c r="D42" s="11" t="s">
        <v>120</v>
      </c>
      <c r="E42" s="232"/>
      <c r="F42" s="231" t="str">
        <f t="array" ref="F42">IF(
  E42 = 0, 
  "", 
  IFERROR(
    INDEX(
      'アイテム別限界値DB'!$I:$I, 
      MATCH(
        1, 
        ('アイテム別限界値DB'!$B:$B = D$10) * 
        ('アイテム別限界値DB'!$C:$C = D42) * 
        ('アイテム別限界値DB'!$F:$F = E42), 
        0
      )
    ), 
    "再製作"
  )
)
</f>
        <v/>
      </c>
      <c r="G42" s="195"/>
      <c r="H42" s="11"/>
      <c r="I42" s="11"/>
      <c r="J42" s="220"/>
      <c r="K42" s="184"/>
      <c r="L42" s="11"/>
      <c r="M42" s="11"/>
      <c r="N42" s="11"/>
      <c r="O42" s="220"/>
      <c r="P42" s="184"/>
      <c r="Q42" s="11"/>
      <c r="R42" s="12"/>
      <c r="S42" s="11"/>
      <c r="T42" s="220"/>
      <c r="U42" s="184"/>
      <c r="V42" s="11"/>
      <c r="W42" s="11"/>
      <c r="X42" s="11"/>
      <c r="Y42" s="220"/>
      <c r="Z42" s="184"/>
      <c r="AA42" s="11"/>
      <c r="AB42" s="11"/>
      <c r="AC42" s="11"/>
      <c r="AD42" s="220"/>
      <c r="AE42" s="184"/>
      <c r="AF42" s="11"/>
      <c r="AG42" s="11"/>
      <c r="AH42" s="11"/>
      <c r="AI42" s="220"/>
      <c r="AJ42" s="184"/>
      <c r="AK42" s="11"/>
      <c r="AL42" s="11"/>
      <c r="AM42" s="11"/>
      <c r="AN42" s="220"/>
      <c r="AO42" s="184"/>
      <c r="AP42" s="11"/>
      <c r="AQ42" s="11"/>
      <c r="AR42" s="11"/>
      <c r="AS42" s="220"/>
      <c r="AT42" s="184"/>
      <c r="AU42" s="11"/>
      <c r="AV42" s="11"/>
      <c r="AW42" s="11"/>
      <c r="AX42" s="220"/>
      <c r="AY42" s="184"/>
      <c r="AZ42" s="11"/>
      <c r="BA42" s="11"/>
      <c r="BB42" s="11"/>
      <c r="BC42" s="220"/>
      <c r="BD42" s="184"/>
      <c r="BE42" s="11"/>
      <c r="BF42" s="11"/>
      <c r="BG42" s="11"/>
      <c r="BH42" s="220"/>
      <c r="BI42" s="184"/>
      <c r="BJ42" s="11"/>
      <c r="BK42" s="11"/>
      <c r="BL42" s="11"/>
      <c r="BM42" s="220"/>
      <c r="BN42" s="184"/>
      <c r="BO42" s="11"/>
      <c r="BP42" s="11"/>
    </row>
    <row r="43">
      <c r="A43" s="222" t="s">
        <v>121</v>
      </c>
      <c r="B43" s="185"/>
      <c r="C43" s="11"/>
      <c r="D43" s="11"/>
      <c r="E43" s="220"/>
      <c r="F43" s="220"/>
      <c r="G43" s="220"/>
      <c r="H43" s="11"/>
      <c r="I43" s="11"/>
      <c r="J43" s="220"/>
      <c r="K43" s="184"/>
      <c r="L43" s="184"/>
      <c r="M43" s="11"/>
      <c r="N43" s="11"/>
      <c r="O43" s="220"/>
      <c r="P43" s="184"/>
      <c r="Q43" s="11"/>
      <c r="R43" s="12"/>
      <c r="S43" s="11"/>
      <c r="T43" s="220"/>
      <c r="U43" s="184"/>
      <c r="V43" s="184"/>
      <c r="W43" s="11"/>
      <c r="X43" s="11"/>
      <c r="Y43" s="220"/>
      <c r="Z43" s="184"/>
      <c r="AA43" s="184"/>
      <c r="AB43" s="11"/>
      <c r="AC43" s="11"/>
      <c r="AD43" s="220"/>
      <c r="AE43" s="184"/>
      <c r="AF43" s="184"/>
      <c r="AG43" s="11"/>
      <c r="AH43" s="11"/>
      <c r="AI43" s="220"/>
      <c r="AJ43" s="184"/>
      <c r="AK43" s="184"/>
      <c r="AL43" s="11"/>
      <c r="AM43" s="11"/>
      <c r="AN43" s="220"/>
      <c r="AO43" s="184"/>
      <c r="AP43" s="184"/>
      <c r="AQ43" s="11"/>
      <c r="AR43" s="11"/>
      <c r="AS43" s="220"/>
      <c r="AT43" s="184"/>
      <c r="AU43" s="184"/>
      <c r="AV43" s="11"/>
      <c r="AW43" s="11"/>
      <c r="AX43" s="220"/>
      <c r="AY43" s="184"/>
      <c r="AZ43" s="184"/>
      <c r="BA43" s="11"/>
      <c r="BB43" s="11"/>
      <c r="BC43" s="220"/>
      <c r="BD43" s="184"/>
      <c r="BE43" s="184"/>
      <c r="BF43" s="11"/>
      <c r="BG43" s="11"/>
      <c r="BH43" s="220"/>
      <c r="BI43" s="184"/>
      <c r="BJ43" s="184"/>
      <c r="BK43" s="184"/>
      <c r="BL43" s="184"/>
      <c r="BM43" s="184"/>
      <c r="BN43" s="184"/>
      <c r="BO43" s="184"/>
      <c r="BP43" s="184"/>
    </row>
    <row r="44">
      <c r="A44" s="245" t="str">
        <f>IF( $AH$11 = "再製作", "◼︎ アルスターコート（対応着地：再製作）" &amp; char(10) &amp; "《修正数値》", IF($AH$11 &lt;&gt; "", "◼︎ アルスターコート（対応着地：お直し）" &amp; char(10) &amp; "《修正数値》", ""))</f>
        <v/>
      </c>
      <c r="B44" s="187"/>
      <c r="C44" s="11"/>
      <c r="D44" s="11"/>
      <c r="E44" s="220"/>
      <c r="F44" s="220"/>
      <c r="G44" s="220"/>
      <c r="H44" s="11"/>
      <c r="I44" s="11"/>
      <c r="J44" s="220"/>
      <c r="K44" s="184"/>
      <c r="L44" s="184"/>
      <c r="M44" s="11"/>
      <c r="N44" s="11"/>
      <c r="O44" s="220"/>
      <c r="P44" s="184"/>
      <c r="Q44" s="11"/>
      <c r="R44" s="12"/>
      <c r="S44" s="11"/>
      <c r="T44" s="220"/>
      <c r="U44" s="184"/>
      <c r="V44" s="184"/>
      <c r="W44" s="11"/>
      <c r="X44" s="11"/>
      <c r="Y44" s="220"/>
      <c r="Z44" s="184"/>
      <c r="AA44" s="184"/>
      <c r="AB44" s="11"/>
      <c r="AC44" s="11"/>
      <c r="AD44" s="220"/>
      <c r="AE44" s="184"/>
      <c r="AF44" s="184"/>
      <c r="AG44" s="11"/>
      <c r="AH44" s="11"/>
      <c r="AI44" s="220"/>
      <c r="AJ44" s="184"/>
      <c r="AK44" s="184"/>
      <c r="AL44" s="11"/>
      <c r="AM44" s="11"/>
      <c r="AN44" s="220"/>
      <c r="AO44" s="184"/>
      <c r="AP44" s="184"/>
      <c r="AQ44" s="11"/>
      <c r="AR44" s="11"/>
      <c r="AS44" s="220"/>
      <c r="AT44" s="184"/>
      <c r="AU44" s="184"/>
      <c r="AV44" s="11"/>
      <c r="AW44" s="11"/>
      <c r="AX44" s="220"/>
      <c r="AY44" s="184"/>
      <c r="AZ44" s="184"/>
      <c r="BA44" s="11"/>
      <c r="BB44" s="11"/>
      <c r="BC44" s="220"/>
      <c r="BD44" s="184"/>
      <c r="BE44" s="184"/>
      <c r="BF44" s="11"/>
      <c r="BG44" s="11"/>
      <c r="BH44" s="220"/>
      <c r="BI44" s="184"/>
      <c r="BJ44" s="184"/>
      <c r="BK44" s="184"/>
      <c r="BL44" s="184"/>
      <c r="BM44" s="184"/>
      <c r="BN44" s="184"/>
      <c r="BO44" s="184"/>
      <c r="BP44" s="184"/>
    </row>
    <row r="45">
      <c r="A45" s="228" t="str">
        <f>IFERROR(__xludf.DUMMYFUNCTION("TEXTJOIN(CHAR(10),TRUE,FILTER(ARRAYFORMULA(IF($AI$14:$AI72&lt;&gt;"""",AH$14:AH72&amp;"" : ""&amp; AI$14:AI72 &amp;"" cm"","""")), AH$14:AH72 &lt;&gt;""""))"),"")</f>
        <v/>
      </c>
      <c r="B45" s="246"/>
      <c r="C45" s="11"/>
      <c r="D45" s="11"/>
      <c r="E45" s="220"/>
      <c r="F45" s="220"/>
      <c r="G45" s="220"/>
      <c r="H45" s="11"/>
      <c r="I45" s="11"/>
      <c r="J45" s="220"/>
      <c r="K45" s="184"/>
      <c r="L45" s="184"/>
      <c r="M45" s="11"/>
      <c r="N45" s="11"/>
      <c r="O45" s="220"/>
      <c r="P45" s="184"/>
      <c r="Q45" s="11"/>
      <c r="R45" s="12"/>
      <c r="S45" s="11"/>
      <c r="T45" s="220"/>
      <c r="U45" s="184"/>
      <c r="V45" s="184"/>
      <c r="W45" s="11"/>
      <c r="X45" s="11"/>
      <c r="Y45" s="220"/>
      <c r="Z45" s="184"/>
      <c r="AA45" s="184"/>
      <c r="AB45" s="11"/>
      <c r="AC45" s="11"/>
      <c r="AD45" s="220"/>
      <c r="AE45" s="184"/>
      <c r="AF45" s="184"/>
      <c r="AG45" s="11"/>
      <c r="AH45" s="11"/>
      <c r="AI45" s="220"/>
      <c r="AJ45" s="184"/>
      <c r="AK45" s="184"/>
      <c r="AL45" s="11"/>
      <c r="AM45" s="11"/>
      <c r="AN45" s="220"/>
      <c r="AO45" s="184"/>
      <c r="AP45" s="184"/>
      <c r="AQ45" s="11"/>
      <c r="AR45" s="11"/>
      <c r="AS45" s="220"/>
      <c r="AT45" s="184"/>
      <c r="AU45" s="184"/>
      <c r="AV45" s="11"/>
      <c r="AW45" s="11"/>
      <c r="AX45" s="220"/>
      <c r="AY45" s="184"/>
      <c r="AZ45" s="184"/>
      <c r="BA45" s="11"/>
      <c r="BB45" s="11"/>
      <c r="BC45" s="220"/>
      <c r="BD45" s="184"/>
      <c r="BE45" s="184"/>
      <c r="BF45" s="11"/>
      <c r="BG45" s="11"/>
      <c r="BH45" s="220"/>
      <c r="BI45" s="184"/>
      <c r="BJ45" s="184"/>
      <c r="BK45" s="184"/>
      <c r="BL45" s="184"/>
      <c r="BM45" s="184"/>
      <c r="BN45" s="184"/>
      <c r="BO45" s="184"/>
      <c r="BP45" s="184"/>
    </row>
    <row r="46">
      <c r="A46" s="242" t="str">
        <f>if($A$44&lt;&gt;"", "《仕上がり数値》","")</f>
        <v/>
      </c>
      <c r="B46" s="240"/>
      <c r="C46" s="11"/>
      <c r="D46" s="11"/>
      <c r="E46" s="220"/>
      <c r="F46" s="220"/>
      <c r="G46" s="220"/>
      <c r="H46" s="11"/>
      <c r="I46" s="11"/>
      <c r="J46" s="220"/>
      <c r="K46" s="184"/>
      <c r="L46" s="184"/>
      <c r="M46" s="11"/>
      <c r="N46" s="11"/>
      <c r="O46" s="195"/>
      <c r="P46" s="11"/>
      <c r="Q46" s="11"/>
      <c r="R46" s="12"/>
      <c r="S46" s="11"/>
      <c r="T46" s="220"/>
      <c r="U46" s="184"/>
      <c r="V46" s="184"/>
      <c r="W46" s="11"/>
      <c r="X46" s="11"/>
      <c r="Y46" s="220"/>
      <c r="Z46" s="184"/>
      <c r="AA46" s="184"/>
      <c r="AB46" s="11"/>
      <c r="AC46" s="11"/>
      <c r="AD46" s="220"/>
      <c r="AE46" s="184"/>
      <c r="AF46" s="184"/>
      <c r="AG46" s="11"/>
      <c r="AH46" s="11"/>
      <c r="AI46" s="220"/>
      <c r="AJ46" s="184"/>
      <c r="AK46" s="184"/>
      <c r="AL46" s="11"/>
      <c r="AM46" s="11"/>
      <c r="AN46" s="220"/>
      <c r="AO46" s="184"/>
      <c r="AP46" s="184"/>
      <c r="AQ46" s="11"/>
      <c r="AR46" s="11"/>
      <c r="AS46" s="220"/>
      <c r="AT46" s="184"/>
      <c r="AU46" s="184"/>
      <c r="AV46" s="11"/>
      <c r="AW46" s="11"/>
      <c r="AX46" s="220"/>
      <c r="AY46" s="184"/>
      <c r="AZ46" s="184"/>
      <c r="BA46" s="11"/>
      <c r="BB46" s="11"/>
      <c r="BC46" s="220"/>
      <c r="BD46" s="184"/>
      <c r="BE46" s="184"/>
      <c r="BF46" s="11"/>
      <c r="BG46" s="11"/>
      <c r="BH46" s="220"/>
      <c r="BI46" s="184"/>
      <c r="BJ46" s="184"/>
      <c r="BK46" s="184"/>
      <c r="BL46" s="184"/>
      <c r="BM46" s="184"/>
      <c r="BN46" s="184"/>
      <c r="BO46" s="184"/>
      <c r="BP46" s="184"/>
    </row>
    <row r="47">
      <c r="A47" s="228" t="str">
        <f>IFERROR(__xludf.DUMMYFUNCTION("TEXTJOIN(CHAR(10),TRUE,FILTER(ARRAYFORMULA(IF($AI$14:$AI72&lt;&gt;"""",AH$14:AH72&amp;"" :  cm"","""")), AH$14:AH72 &lt;&gt;""""))"),"")</f>
        <v/>
      </c>
      <c r="B47" s="240"/>
      <c r="C47" s="11"/>
      <c r="D47" s="11"/>
      <c r="E47" s="220"/>
      <c r="F47" s="220"/>
      <c r="G47" s="220"/>
      <c r="H47" s="11"/>
      <c r="I47" s="11"/>
      <c r="J47" s="220"/>
      <c r="K47" s="184"/>
      <c r="L47" s="184"/>
      <c r="M47" s="11"/>
      <c r="N47" s="11"/>
      <c r="O47" s="195"/>
      <c r="P47" s="11"/>
      <c r="Q47" s="11"/>
      <c r="R47" s="12"/>
      <c r="S47" s="11"/>
      <c r="T47" s="220"/>
      <c r="U47" s="184"/>
      <c r="V47" s="184"/>
      <c r="W47" s="11"/>
      <c r="X47" s="11"/>
      <c r="Y47" s="220"/>
      <c r="Z47" s="184"/>
      <c r="AA47" s="184"/>
      <c r="AB47" s="11"/>
      <c r="AC47" s="11"/>
      <c r="AD47" s="220"/>
      <c r="AE47" s="184"/>
      <c r="AF47" s="184"/>
      <c r="AG47" s="11"/>
      <c r="AH47" s="11"/>
      <c r="AI47" s="220"/>
      <c r="AJ47" s="184"/>
      <c r="AK47" s="184"/>
      <c r="AL47" s="11"/>
      <c r="AM47" s="11"/>
      <c r="AN47" s="220"/>
      <c r="AO47" s="184"/>
      <c r="AP47" s="184"/>
      <c r="AQ47" s="11"/>
      <c r="AR47" s="11"/>
      <c r="AS47" s="220"/>
      <c r="AT47" s="184"/>
      <c r="AU47" s="184"/>
      <c r="AV47" s="11"/>
      <c r="AW47" s="11"/>
      <c r="AX47" s="220"/>
      <c r="AY47" s="184"/>
      <c r="AZ47" s="184"/>
      <c r="BA47" s="11"/>
      <c r="BB47" s="11"/>
      <c r="BC47" s="220"/>
      <c r="BD47" s="184"/>
      <c r="BE47" s="184"/>
      <c r="BF47" s="11"/>
      <c r="BG47" s="11"/>
      <c r="BH47" s="220"/>
      <c r="BI47" s="184"/>
      <c r="BJ47" s="184"/>
      <c r="BK47" s="184"/>
      <c r="BL47" s="184"/>
      <c r="BM47" s="184"/>
      <c r="BN47" s="184"/>
      <c r="BO47" s="184"/>
      <c r="BP47" s="184"/>
    </row>
    <row r="48">
      <c r="A48" s="237" t="s">
        <v>122</v>
      </c>
      <c r="B48" s="240"/>
      <c r="C48" s="11"/>
      <c r="D48" s="11"/>
      <c r="E48" s="220"/>
      <c r="F48" s="220"/>
      <c r="G48" s="220"/>
      <c r="H48" s="11"/>
      <c r="I48" s="11"/>
      <c r="J48" s="220"/>
      <c r="K48" s="184"/>
      <c r="L48" s="184"/>
      <c r="M48" s="11"/>
      <c r="N48" s="11"/>
      <c r="O48" s="195"/>
      <c r="P48" s="11"/>
      <c r="Q48" s="11"/>
      <c r="R48" s="12"/>
      <c r="S48" s="11"/>
      <c r="T48" s="220"/>
      <c r="U48" s="184"/>
      <c r="V48" s="184"/>
      <c r="W48" s="11"/>
      <c r="X48" s="11"/>
      <c r="Y48" s="220"/>
      <c r="Z48" s="184"/>
      <c r="AA48" s="184"/>
      <c r="AB48" s="11"/>
      <c r="AC48" s="11"/>
      <c r="AD48" s="220"/>
      <c r="AE48" s="184"/>
      <c r="AF48" s="184"/>
      <c r="AG48" s="11"/>
      <c r="AH48" s="11"/>
      <c r="AI48" s="220"/>
      <c r="AJ48" s="184"/>
      <c r="AK48" s="184"/>
      <c r="AL48" s="11"/>
      <c r="AM48" s="11"/>
      <c r="AN48" s="220"/>
      <c r="AO48" s="184"/>
      <c r="AP48" s="184"/>
      <c r="AQ48" s="11"/>
      <c r="AR48" s="11"/>
      <c r="AS48" s="220"/>
      <c r="AT48" s="184"/>
      <c r="AU48" s="184"/>
      <c r="AV48" s="11"/>
      <c r="AW48" s="11"/>
      <c r="AX48" s="220"/>
      <c r="AY48" s="184"/>
      <c r="AZ48" s="184"/>
      <c r="BA48" s="11"/>
      <c r="BB48" s="11"/>
      <c r="BC48" s="220"/>
      <c r="BD48" s="184"/>
      <c r="BE48" s="184"/>
      <c r="BF48" s="11"/>
      <c r="BG48" s="11"/>
      <c r="BH48" s="220"/>
      <c r="BI48" s="184"/>
      <c r="BJ48" s="184"/>
      <c r="BK48" s="184"/>
      <c r="BL48" s="184"/>
      <c r="BM48" s="184"/>
      <c r="BN48" s="184"/>
      <c r="BO48" s="184"/>
      <c r="BP48" s="184"/>
    </row>
    <row r="49">
      <c r="A49" s="245" t="str">
        <f>IF( $AM$11 = "再製作", "◼︎ ショートステンカラーコート（対応着地：再製作）" &amp; char(10) &amp; "《修正数値》", IF($AM$11 &lt;&gt; "", "◼︎ ショートステンカラーコート（対応着地：お直し）"  &amp; char(10) &amp; "《修正数値》", ""))</f>
        <v/>
      </c>
      <c r="B49" s="240"/>
      <c r="C49" s="11"/>
      <c r="D49" s="11"/>
      <c r="E49" s="220"/>
      <c r="F49" s="220"/>
      <c r="G49" s="220"/>
      <c r="H49" s="11"/>
      <c r="I49" s="11"/>
      <c r="J49" s="220"/>
      <c r="K49" s="184"/>
      <c r="L49" s="184"/>
      <c r="M49" s="11"/>
      <c r="N49" s="11"/>
      <c r="O49" s="195"/>
      <c r="P49" s="11"/>
      <c r="Q49" s="11"/>
      <c r="R49" s="12"/>
      <c r="S49" s="11"/>
      <c r="T49" s="220"/>
      <c r="U49" s="184"/>
      <c r="V49" s="184"/>
      <c r="W49" s="11"/>
      <c r="X49" s="11"/>
      <c r="Y49" s="220"/>
      <c r="Z49" s="184"/>
      <c r="AA49" s="184"/>
      <c r="AB49" s="11"/>
      <c r="AC49" s="11"/>
      <c r="AD49" s="220"/>
      <c r="AE49" s="184"/>
      <c r="AF49" s="184"/>
      <c r="AG49" s="11"/>
      <c r="AH49" s="11"/>
      <c r="AI49" s="220"/>
      <c r="AJ49" s="184"/>
      <c r="AK49" s="184"/>
      <c r="AL49" s="11"/>
      <c r="AM49" s="11"/>
      <c r="AN49" s="220"/>
      <c r="AO49" s="184"/>
      <c r="AP49" s="184"/>
      <c r="AQ49" s="11"/>
      <c r="AR49" s="11"/>
      <c r="AS49" s="220"/>
      <c r="AT49" s="184"/>
      <c r="AU49" s="184"/>
      <c r="AV49" s="11"/>
      <c r="AW49" s="11"/>
      <c r="AX49" s="220"/>
      <c r="AY49" s="184"/>
      <c r="AZ49" s="184"/>
      <c r="BA49" s="11"/>
      <c r="BB49" s="11"/>
      <c r="BC49" s="220"/>
      <c r="BD49" s="184"/>
      <c r="BE49" s="184"/>
      <c r="BF49" s="11"/>
      <c r="BG49" s="11"/>
      <c r="BH49" s="220"/>
      <c r="BI49" s="184"/>
      <c r="BJ49" s="184"/>
      <c r="BK49" s="184"/>
      <c r="BL49" s="184"/>
      <c r="BM49" s="184"/>
      <c r="BN49" s="184"/>
      <c r="BO49" s="184"/>
      <c r="BP49" s="184"/>
    </row>
    <row r="50">
      <c r="A50" s="228" t="str">
        <f>IFERROR(__xludf.DUMMYFUNCTION("TEXTJOIN(CHAR(10),TRUE,FILTER(ARRAYFORMULA(IF(AN$14:AN72&lt;&gt;"""",AM$14:AM72&amp;"" : ""&amp; AN$14:AN72 &amp;"" cm"" &amp; ""（仕上がり寸：cm）"","""")), AM$14:AM72 &lt;&gt;""""))"),"")</f>
        <v/>
      </c>
      <c r="B50" s="240"/>
      <c r="C50" s="11"/>
      <c r="D50" s="11"/>
      <c r="E50" s="220"/>
      <c r="F50" s="220"/>
      <c r="G50" s="220"/>
      <c r="H50" s="11"/>
      <c r="I50" s="11"/>
      <c r="J50" s="220"/>
      <c r="K50" s="184"/>
      <c r="L50" s="184"/>
      <c r="M50" s="11"/>
      <c r="N50" s="11"/>
      <c r="O50" s="195"/>
      <c r="P50" s="11"/>
      <c r="Q50" s="11"/>
      <c r="R50" s="12"/>
      <c r="S50" s="11"/>
      <c r="T50" s="220"/>
      <c r="U50" s="184"/>
      <c r="V50" s="184"/>
      <c r="W50" s="11"/>
      <c r="X50" s="11"/>
      <c r="Y50" s="220"/>
      <c r="Z50" s="184"/>
      <c r="AA50" s="184"/>
      <c r="AB50" s="11"/>
      <c r="AC50" s="11"/>
      <c r="AD50" s="220"/>
      <c r="AE50" s="184"/>
      <c r="AF50" s="184"/>
      <c r="AG50" s="11"/>
      <c r="AH50" s="11"/>
      <c r="AI50" s="220"/>
      <c r="AJ50" s="184"/>
      <c r="AK50" s="184"/>
      <c r="AL50" s="11"/>
      <c r="AM50" s="11"/>
      <c r="AN50" s="220"/>
      <c r="AO50" s="184"/>
      <c r="AP50" s="184"/>
      <c r="AQ50" s="11"/>
      <c r="AR50" s="11"/>
      <c r="AS50" s="220"/>
      <c r="AT50" s="184"/>
      <c r="AU50" s="184"/>
      <c r="AV50" s="11"/>
      <c r="AW50" s="11"/>
      <c r="AX50" s="220"/>
      <c r="AY50" s="184"/>
      <c r="AZ50" s="184"/>
      <c r="BA50" s="11"/>
      <c r="BB50" s="11"/>
      <c r="BC50" s="220"/>
      <c r="BD50" s="184"/>
      <c r="BE50" s="184"/>
      <c r="BF50" s="11"/>
      <c r="BG50" s="11"/>
      <c r="BH50" s="220"/>
      <c r="BI50" s="184"/>
      <c r="BJ50" s="184"/>
      <c r="BK50" s="184"/>
      <c r="BL50" s="184"/>
      <c r="BM50" s="184"/>
      <c r="BN50" s="184"/>
      <c r="BO50" s="184"/>
      <c r="BP50" s="184"/>
    </row>
    <row r="51">
      <c r="A51" s="244" t="str">
        <f>if($A$49&lt;&gt;"", "《仕上がり数値》","")</f>
        <v/>
      </c>
      <c r="B51" s="240"/>
      <c r="C51" s="11"/>
      <c r="D51" s="11"/>
      <c r="E51" s="220"/>
      <c r="F51" s="220"/>
      <c r="G51" s="220"/>
      <c r="H51" s="11"/>
      <c r="I51" s="11"/>
      <c r="J51" s="220"/>
      <c r="K51" s="184"/>
      <c r="L51" s="184"/>
      <c r="M51" s="11"/>
      <c r="N51" s="11"/>
      <c r="O51" s="195"/>
      <c r="P51" s="11"/>
      <c r="Q51" s="11"/>
      <c r="R51" s="12"/>
      <c r="S51" s="11"/>
      <c r="T51" s="220"/>
      <c r="U51" s="184"/>
      <c r="V51" s="184"/>
      <c r="W51" s="11"/>
      <c r="X51" s="11"/>
      <c r="Y51" s="220"/>
      <c r="Z51" s="184"/>
      <c r="AA51" s="184"/>
      <c r="AB51" s="11"/>
      <c r="AC51" s="11"/>
      <c r="AD51" s="220"/>
      <c r="AE51" s="184"/>
      <c r="AF51" s="184"/>
      <c r="AG51" s="11"/>
      <c r="AH51" s="11"/>
      <c r="AI51" s="220"/>
      <c r="AJ51" s="184"/>
      <c r="AK51" s="184"/>
      <c r="AL51" s="11"/>
      <c r="AM51" s="11"/>
      <c r="AN51" s="220"/>
      <c r="AO51" s="184"/>
      <c r="AP51" s="184"/>
      <c r="AQ51" s="11"/>
      <c r="AR51" s="11"/>
      <c r="AS51" s="220"/>
      <c r="AT51" s="184"/>
      <c r="AU51" s="184"/>
      <c r="AV51" s="11"/>
      <c r="AW51" s="11"/>
      <c r="AX51" s="220"/>
      <c r="AY51" s="184"/>
      <c r="AZ51" s="184"/>
      <c r="BA51" s="11"/>
      <c r="BB51" s="11"/>
      <c r="BC51" s="220"/>
      <c r="BD51" s="184"/>
      <c r="BE51" s="184"/>
      <c r="BF51" s="11"/>
      <c r="BG51" s="11"/>
      <c r="BH51" s="220"/>
      <c r="BI51" s="184"/>
      <c r="BJ51" s="184"/>
      <c r="BK51" s="184"/>
      <c r="BL51" s="184"/>
      <c r="BM51" s="184"/>
      <c r="BN51" s="184"/>
      <c r="BO51" s="184"/>
      <c r="BP51" s="184"/>
    </row>
    <row r="52">
      <c r="A52" s="228" t="str">
        <f>IFERROR(__xludf.DUMMYFUNCTION("TEXTJOIN(CHAR(10),TRUE,FILTER(ARRAYFORMULA(IF(AN$14:AN72&lt;&gt;"""",AM$14:AM72&amp;"" : ""&amp; AN$14:AN72 &amp;"" cm"" &amp; ""（仕上がり寸：cm）"","""")), AM$14:AM72 &lt;&gt;""""))"),"")</f>
        <v/>
      </c>
      <c r="B52" s="240"/>
      <c r="C52" s="11"/>
      <c r="D52" s="11"/>
      <c r="E52" s="220"/>
      <c r="F52" s="220"/>
      <c r="G52" s="220"/>
      <c r="H52" s="11"/>
      <c r="I52" s="11"/>
      <c r="J52" s="220"/>
      <c r="K52" s="184"/>
      <c r="L52" s="184"/>
      <c r="M52" s="11"/>
      <c r="N52" s="11"/>
      <c r="O52" s="195"/>
      <c r="P52" s="11"/>
      <c r="Q52" s="11"/>
      <c r="R52" s="12"/>
      <c r="S52" s="11"/>
      <c r="T52" s="220"/>
      <c r="U52" s="184"/>
      <c r="V52" s="184"/>
      <c r="W52" s="11"/>
      <c r="X52" s="11"/>
      <c r="Y52" s="220"/>
      <c r="Z52" s="184"/>
      <c r="AA52" s="184"/>
      <c r="AB52" s="11"/>
      <c r="AC52" s="11"/>
      <c r="AD52" s="220"/>
      <c r="AE52" s="184"/>
      <c r="AF52" s="184"/>
      <c r="AG52" s="11"/>
      <c r="AH52" s="11"/>
      <c r="AI52" s="220"/>
      <c r="AJ52" s="184"/>
      <c r="AK52" s="184"/>
      <c r="AL52" s="11"/>
      <c r="AM52" s="11"/>
      <c r="AN52" s="220"/>
      <c r="AO52" s="184"/>
      <c r="AP52" s="184"/>
      <c r="AQ52" s="11"/>
      <c r="AR52" s="11"/>
      <c r="AS52" s="220"/>
      <c r="AT52" s="184"/>
      <c r="AU52" s="184"/>
      <c r="AV52" s="11"/>
      <c r="AW52" s="11"/>
      <c r="AX52" s="220"/>
      <c r="AY52" s="184"/>
      <c r="AZ52" s="184"/>
      <c r="BA52" s="11"/>
      <c r="BB52" s="11"/>
      <c r="BC52" s="220"/>
      <c r="BD52" s="184"/>
      <c r="BE52" s="184"/>
      <c r="BF52" s="11"/>
      <c r="BG52" s="11"/>
      <c r="BH52" s="220"/>
      <c r="BI52" s="184"/>
      <c r="BJ52" s="184"/>
      <c r="BK52" s="184"/>
      <c r="BL52" s="184"/>
      <c r="BM52" s="184"/>
      <c r="BN52" s="184"/>
      <c r="BO52" s="184"/>
      <c r="BP52" s="184"/>
    </row>
    <row r="53">
      <c r="A53" s="243" t="s">
        <v>123</v>
      </c>
      <c r="B53" s="240"/>
      <c r="C53" s="11"/>
      <c r="D53" s="11"/>
      <c r="E53" s="220"/>
      <c r="F53" s="220"/>
      <c r="G53" s="220"/>
      <c r="H53" s="11"/>
      <c r="I53" s="11"/>
      <c r="J53" s="220"/>
      <c r="K53" s="184"/>
      <c r="L53" s="184"/>
      <c r="M53" s="11"/>
      <c r="N53" s="11"/>
      <c r="O53" s="195"/>
      <c r="P53" s="11"/>
      <c r="Q53" s="11"/>
      <c r="R53" s="12"/>
      <c r="S53" s="11"/>
      <c r="T53" s="220"/>
      <c r="U53" s="184"/>
      <c r="V53" s="184"/>
      <c r="W53" s="11"/>
      <c r="X53" s="11"/>
      <c r="Y53" s="220"/>
      <c r="Z53" s="184"/>
      <c r="AA53" s="184"/>
      <c r="AB53" s="11"/>
      <c r="AC53" s="11"/>
      <c r="AD53" s="220"/>
      <c r="AE53" s="184"/>
      <c r="AF53" s="184"/>
      <c r="AG53" s="11"/>
      <c r="AH53" s="11"/>
      <c r="AI53" s="220"/>
      <c r="AJ53" s="184"/>
      <c r="AK53" s="184"/>
      <c r="AL53" s="11"/>
      <c r="AM53" s="11"/>
      <c r="AN53" s="220"/>
      <c r="AO53" s="184"/>
      <c r="AP53" s="184"/>
      <c r="AQ53" s="11"/>
      <c r="AR53" s="11"/>
      <c r="AS53" s="220"/>
      <c r="AT53" s="184"/>
      <c r="AU53" s="184"/>
      <c r="AV53" s="11"/>
      <c r="AW53" s="11"/>
      <c r="AX53" s="220"/>
      <c r="AY53" s="184"/>
      <c r="AZ53" s="184"/>
      <c r="BA53" s="11"/>
      <c r="BB53" s="11"/>
      <c r="BC53" s="220"/>
      <c r="BD53" s="184"/>
      <c r="BE53" s="184"/>
      <c r="BF53" s="11"/>
      <c r="BG53" s="11"/>
      <c r="BH53" s="220"/>
      <c r="BI53" s="184"/>
      <c r="BJ53" s="184"/>
      <c r="BK53" s="184"/>
      <c r="BL53" s="184"/>
      <c r="BM53" s="184"/>
      <c r="BN53" s="184"/>
      <c r="BO53" s="184"/>
      <c r="BP53" s="184"/>
    </row>
    <row r="54">
      <c r="A54" s="245" t="str">
        <f>IF( $AR$11 = "再製作", "◼︎ ステンカラーコート（対応着地：再製作）" &amp;char(10)&amp; "《修正数値》", IF($AR$11 &lt;&gt; "", "◼︎ ステンカラーコート（対応着地：お直し）" &amp;char(10)&amp; "《修正数値》", ""))</f>
        <v/>
      </c>
      <c r="B54" s="240"/>
      <c r="C54" s="11"/>
      <c r="D54" s="11"/>
      <c r="E54" s="220"/>
      <c r="F54" s="220"/>
      <c r="G54" s="220"/>
      <c r="H54" s="11"/>
      <c r="I54" s="11"/>
      <c r="J54" s="220"/>
      <c r="K54" s="184"/>
      <c r="L54" s="184"/>
      <c r="M54" s="11"/>
      <c r="N54" s="11"/>
      <c r="O54" s="195"/>
      <c r="P54" s="11"/>
      <c r="Q54" s="11"/>
      <c r="R54" s="12"/>
      <c r="S54" s="11"/>
      <c r="T54" s="220"/>
      <c r="U54" s="184"/>
      <c r="V54" s="184"/>
      <c r="W54" s="11"/>
      <c r="X54" s="11"/>
      <c r="Y54" s="220"/>
      <c r="Z54" s="184"/>
      <c r="AA54" s="184"/>
      <c r="AB54" s="11"/>
      <c r="AC54" s="11"/>
      <c r="AD54" s="220"/>
      <c r="AE54" s="184"/>
      <c r="AF54" s="184"/>
      <c r="AG54" s="11"/>
      <c r="AH54" s="11"/>
      <c r="AI54" s="220"/>
      <c r="AJ54" s="184"/>
      <c r="AK54" s="184"/>
      <c r="AL54" s="11"/>
      <c r="AM54" s="11"/>
      <c r="AN54" s="220"/>
      <c r="AO54" s="184"/>
      <c r="AP54" s="184"/>
      <c r="AQ54" s="11"/>
      <c r="AR54" s="11"/>
      <c r="AS54" s="220"/>
      <c r="AT54" s="184"/>
      <c r="AU54" s="184"/>
      <c r="AV54" s="11"/>
      <c r="AW54" s="11"/>
      <c r="AX54" s="220"/>
      <c r="AY54" s="184"/>
      <c r="AZ54" s="184"/>
      <c r="BA54" s="11"/>
      <c r="BB54" s="11"/>
      <c r="BC54" s="220"/>
      <c r="BD54" s="184"/>
      <c r="BE54" s="184"/>
      <c r="BF54" s="11"/>
      <c r="BG54" s="11"/>
      <c r="BH54" s="220"/>
      <c r="BI54" s="184"/>
      <c r="BJ54" s="184"/>
      <c r="BK54" s="184"/>
      <c r="BL54" s="184"/>
      <c r="BM54" s="184"/>
      <c r="BN54" s="184"/>
      <c r="BO54" s="184"/>
      <c r="BP54" s="184"/>
    </row>
    <row r="55">
      <c r="A55" s="228" t="str">
        <f>IFERROR(__xludf.DUMMYFUNCTION("TEXTJOIN(CHAR(10),TRUE,FILTER(ARRAYFORMULA(IF(AS$14:AS72&lt;&gt;"""",AR$14:AR72&amp;"" : ""&amp; AS$14:AS72 &amp;"" cm"","""")), AR$14:AR72 &lt;&gt;""""))"),"")</f>
        <v/>
      </c>
      <c r="B55" s="240"/>
      <c r="C55" s="11"/>
      <c r="D55" s="11"/>
      <c r="E55" s="220"/>
      <c r="F55" s="220"/>
      <c r="G55" s="220"/>
      <c r="H55" s="11"/>
      <c r="I55" s="11"/>
      <c r="J55" s="220"/>
      <c r="K55" s="184"/>
      <c r="L55" s="184"/>
      <c r="M55" s="11"/>
      <c r="N55" s="11"/>
      <c r="O55" s="195"/>
      <c r="P55" s="11"/>
      <c r="Q55" s="11"/>
      <c r="R55" s="12"/>
      <c r="S55" s="11"/>
      <c r="T55" s="220"/>
      <c r="U55" s="184"/>
      <c r="V55" s="184"/>
      <c r="W55" s="11"/>
      <c r="X55" s="11"/>
      <c r="Y55" s="220"/>
      <c r="Z55" s="184"/>
      <c r="AA55" s="184"/>
      <c r="AB55" s="11"/>
      <c r="AC55" s="11"/>
      <c r="AD55" s="220"/>
      <c r="AE55" s="184"/>
      <c r="AF55" s="184"/>
      <c r="AG55" s="11"/>
      <c r="AH55" s="11"/>
      <c r="AI55" s="220"/>
      <c r="AJ55" s="184"/>
      <c r="AK55" s="184"/>
      <c r="AL55" s="11"/>
      <c r="AM55" s="11"/>
      <c r="AN55" s="220"/>
      <c r="AO55" s="184"/>
      <c r="AP55" s="184"/>
      <c r="AQ55" s="11"/>
      <c r="AR55" s="11"/>
      <c r="AS55" s="220"/>
      <c r="AT55" s="184"/>
      <c r="AU55" s="184"/>
      <c r="AV55" s="11"/>
      <c r="AW55" s="11"/>
      <c r="AX55" s="220"/>
      <c r="AY55" s="184"/>
      <c r="AZ55" s="184"/>
      <c r="BA55" s="11"/>
      <c r="BB55" s="11"/>
      <c r="BC55" s="220"/>
      <c r="BD55" s="184"/>
      <c r="BE55" s="184"/>
      <c r="BF55" s="11"/>
      <c r="BG55" s="11"/>
      <c r="BH55" s="220"/>
      <c r="BI55" s="184"/>
      <c r="BJ55" s="184"/>
      <c r="BK55" s="184"/>
      <c r="BL55" s="184"/>
      <c r="BM55" s="184"/>
      <c r="BN55" s="184"/>
      <c r="BO55" s="184"/>
      <c r="BP55" s="184"/>
    </row>
    <row r="56">
      <c r="A56" s="244" t="str">
        <f>if($A$54&lt;&gt;"", "《仕上がり数値》","")</f>
        <v/>
      </c>
      <c r="B56" s="240"/>
      <c r="C56" s="11"/>
      <c r="D56" s="11"/>
      <c r="E56" s="220"/>
      <c r="F56" s="220"/>
      <c r="G56" s="220"/>
      <c r="H56" s="11"/>
      <c r="I56" s="11"/>
      <c r="J56" s="220"/>
      <c r="K56" s="184"/>
      <c r="L56" s="184"/>
      <c r="M56" s="11"/>
      <c r="N56" s="11"/>
      <c r="O56" s="195"/>
      <c r="P56" s="11"/>
      <c r="Q56" s="11"/>
      <c r="R56" s="12"/>
      <c r="S56" s="11"/>
      <c r="T56" s="220"/>
      <c r="U56" s="184"/>
      <c r="V56" s="184"/>
      <c r="W56" s="11"/>
      <c r="X56" s="11"/>
      <c r="Y56" s="220"/>
      <c r="Z56" s="184"/>
      <c r="AA56" s="184"/>
      <c r="AB56" s="11"/>
      <c r="AC56" s="11"/>
      <c r="AD56" s="220"/>
      <c r="AE56" s="184"/>
      <c r="AF56" s="184"/>
      <c r="AG56" s="11"/>
      <c r="AH56" s="11"/>
      <c r="AI56" s="220"/>
      <c r="AJ56" s="184"/>
      <c r="AK56" s="184"/>
      <c r="AL56" s="11"/>
      <c r="AM56" s="11"/>
      <c r="AN56" s="220"/>
      <c r="AO56" s="184"/>
      <c r="AP56" s="184"/>
      <c r="AQ56" s="11"/>
      <c r="AR56" s="11"/>
      <c r="AS56" s="220"/>
      <c r="AT56" s="184"/>
      <c r="AU56" s="184"/>
      <c r="AV56" s="11"/>
      <c r="AW56" s="11"/>
      <c r="AX56" s="220"/>
      <c r="AY56" s="184"/>
      <c r="AZ56" s="184"/>
      <c r="BA56" s="11"/>
      <c r="BB56" s="11"/>
      <c r="BC56" s="220"/>
      <c r="BD56" s="184"/>
      <c r="BE56" s="184"/>
      <c r="BF56" s="11"/>
      <c r="BG56" s="11"/>
      <c r="BH56" s="220"/>
      <c r="BI56" s="184"/>
      <c r="BJ56" s="184"/>
      <c r="BK56" s="184"/>
      <c r="BL56" s="184"/>
      <c r="BM56" s="184"/>
      <c r="BN56" s="184"/>
      <c r="BO56" s="184"/>
      <c r="BP56" s="184"/>
    </row>
    <row r="57">
      <c r="A57" s="228" t="str">
        <f>IFERROR(__xludf.DUMMYFUNCTION("TEXTJOIN(CHAR(10),TRUE,FILTER(ARRAYFORMULA(IF(AS$14:AS72&lt;&gt;"""",AR$14:AR72&amp;"" :  cm"","""")), AR$14:AR72 &lt;&gt;""""))"),"")</f>
        <v/>
      </c>
      <c r="B57" s="240"/>
      <c r="C57" s="11"/>
      <c r="D57" s="11"/>
      <c r="E57" s="220"/>
      <c r="F57" s="220"/>
      <c r="G57" s="220"/>
      <c r="H57" s="11"/>
      <c r="I57" s="11"/>
      <c r="J57" s="220"/>
      <c r="K57" s="184"/>
      <c r="L57" s="184"/>
      <c r="M57" s="11"/>
      <c r="N57" s="11"/>
      <c r="O57" s="195"/>
      <c r="P57" s="11"/>
      <c r="Q57" s="11"/>
      <c r="R57" s="12"/>
      <c r="S57" s="11"/>
      <c r="T57" s="220"/>
      <c r="U57" s="184"/>
      <c r="V57" s="184"/>
      <c r="W57" s="11"/>
      <c r="X57" s="11"/>
      <c r="Y57" s="220"/>
      <c r="Z57" s="184"/>
      <c r="AA57" s="184"/>
      <c r="AB57" s="11"/>
      <c r="AC57" s="11"/>
      <c r="AD57" s="220"/>
      <c r="AE57" s="184"/>
      <c r="AF57" s="184"/>
      <c r="AG57" s="11"/>
      <c r="AH57" s="11"/>
      <c r="AI57" s="220"/>
      <c r="AJ57" s="184"/>
      <c r="AK57" s="184"/>
      <c r="AL57" s="11"/>
      <c r="AM57" s="11"/>
      <c r="AN57" s="220"/>
      <c r="AO57" s="184"/>
      <c r="AP57" s="184"/>
      <c r="AQ57" s="11"/>
      <c r="AR57" s="11"/>
      <c r="AS57" s="220"/>
      <c r="AT57" s="184"/>
      <c r="AU57" s="184"/>
      <c r="AV57" s="11"/>
      <c r="AW57" s="11"/>
      <c r="AX57" s="220"/>
      <c r="AY57" s="184"/>
      <c r="AZ57" s="184"/>
      <c r="BA57" s="11"/>
      <c r="BB57" s="11"/>
      <c r="BC57" s="220"/>
      <c r="BD57" s="184"/>
      <c r="BE57" s="184"/>
      <c r="BF57" s="11"/>
      <c r="BG57" s="11"/>
      <c r="BH57" s="220"/>
      <c r="BI57" s="184"/>
      <c r="BJ57" s="184"/>
      <c r="BK57" s="184"/>
      <c r="BL57" s="184"/>
      <c r="BM57" s="184"/>
      <c r="BN57" s="184"/>
      <c r="BO57" s="184"/>
      <c r="BP57" s="184"/>
    </row>
    <row r="58">
      <c r="A58" s="243" t="s">
        <v>124</v>
      </c>
      <c r="B58" s="240"/>
      <c r="C58" s="11"/>
      <c r="D58" s="11"/>
      <c r="E58" s="220"/>
      <c r="F58" s="220"/>
      <c r="G58" s="220"/>
      <c r="H58" s="11"/>
      <c r="I58" s="11"/>
      <c r="J58" s="220"/>
      <c r="K58" s="184"/>
      <c r="L58" s="184"/>
      <c r="M58" s="11"/>
      <c r="N58" s="11"/>
      <c r="O58" s="195"/>
      <c r="P58" s="11"/>
      <c r="Q58" s="11"/>
      <c r="R58" s="12"/>
      <c r="S58" s="11"/>
      <c r="T58" s="220"/>
      <c r="U58" s="184"/>
      <c r="V58" s="184"/>
      <c r="W58" s="11"/>
      <c r="X58" s="11"/>
      <c r="Y58" s="220"/>
      <c r="Z58" s="184"/>
      <c r="AA58" s="184"/>
      <c r="AB58" s="11"/>
      <c r="AC58" s="11"/>
      <c r="AD58" s="220"/>
      <c r="AE58" s="184"/>
      <c r="AF58" s="184"/>
      <c r="AG58" s="11"/>
      <c r="AH58" s="11"/>
      <c r="AI58" s="220"/>
      <c r="AJ58" s="184"/>
      <c r="AK58" s="184"/>
      <c r="AL58" s="11"/>
      <c r="AM58" s="11"/>
      <c r="AN58" s="220"/>
      <c r="AO58" s="184"/>
      <c r="AP58" s="184"/>
      <c r="AQ58" s="11"/>
      <c r="AR58" s="11"/>
      <c r="AS58" s="220"/>
      <c r="AT58" s="184"/>
      <c r="AU58" s="184"/>
      <c r="AV58" s="11"/>
      <c r="AW58" s="11"/>
      <c r="AX58" s="220"/>
      <c r="AY58" s="184"/>
      <c r="AZ58" s="184"/>
      <c r="BA58" s="11"/>
      <c r="BB58" s="11"/>
      <c r="BC58" s="220"/>
      <c r="BD58" s="184"/>
      <c r="BE58" s="184"/>
      <c r="BF58" s="11"/>
      <c r="BG58" s="11"/>
      <c r="BH58" s="220"/>
      <c r="BI58" s="184"/>
      <c r="BJ58" s="184"/>
      <c r="BK58" s="184"/>
      <c r="BL58" s="184"/>
      <c r="BM58" s="184"/>
      <c r="BN58" s="184"/>
      <c r="BO58" s="184"/>
      <c r="BP58" s="184"/>
    </row>
    <row r="59">
      <c r="A59" s="245" t="str">
        <f>IF( $AW$11 = "再製作", "◼︎ チェスターコート（対応着地：再製作）" &amp;char(10)&amp;"《修正数値》", IF($AW$11 &lt;&gt; "", "◼︎ チェスターコート（対応着地：お直し）" &amp;char(10)&amp;"《修正数値》", ""))</f>
        <v/>
      </c>
      <c r="B59" s="240"/>
      <c r="C59" s="11"/>
      <c r="D59" s="11"/>
      <c r="E59" s="220"/>
      <c r="F59" s="220"/>
      <c r="G59" s="220"/>
      <c r="H59" s="11"/>
      <c r="I59" s="11"/>
      <c r="J59" s="220"/>
      <c r="K59" s="184"/>
      <c r="L59" s="184"/>
      <c r="M59" s="11"/>
      <c r="N59" s="11"/>
      <c r="O59" s="195"/>
      <c r="P59" s="11"/>
      <c r="Q59" s="11"/>
      <c r="R59" s="12"/>
      <c r="S59" s="11"/>
      <c r="T59" s="220"/>
      <c r="U59" s="184"/>
      <c r="V59" s="184"/>
      <c r="W59" s="11"/>
      <c r="X59" s="11"/>
      <c r="Y59" s="220"/>
      <c r="Z59" s="184"/>
      <c r="AA59" s="184"/>
      <c r="AB59" s="11"/>
      <c r="AC59" s="11"/>
      <c r="AD59" s="220"/>
      <c r="AE59" s="184"/>
      <c r="AF59" s="184"/>
      <c r="AG59" s="11"/>
      <c r="AH59" s="11"/>
      <c r="AI59" s="220"/>
      <c r="AJ59" s="184"/>
      <c r="AK59" s="184"/>
      <c r="AL59" s="11"/>
      <c r="AM59" s="11"/>
      <c r="AN59" s="220"/>
      <c r="AO59" s="184"/>
      <c r="AP59" s="184"/>
      <c r="AQ59" s="11"/>
      <c r="AR59" s="11"/>
      <c r="AS59" s="220"/>
      <c r="AT59" s="184"/>
      <c r="AU59" s="184"/>
      <c r="AV59" s="11"/>
      <c r="AW59" s="11"/>
      <c r="AX59" s="220"/>
      <c r="AY59" s="184"/>
      <c r="AZ59" s="184"/>
      <c r="BA59" s="11"/>
      <c r="BB59" s="11"/>
      <c r="BC59" s="220"/>
      <c r="BD59" s="184"/>
      <c r="BE59" s="184"/>
      <c r="BF59" s="11"/>
      <c r="BG59" s="11"/>
      <c r="BH59" s="220"/>
      <c r="BI59" s="184"/>
      <c r="BJ59" s="184"/>
      <c r="BK59" s="184"/>
      <c r="BL59" s="184"/>
      <c r="BM59" s="184"/>
      <c r="BN59" s="184"/>
      <c r="BO59" s="184"/>
      <c r="BP59" s="184"/>
    </row>
    <row r="60">
      <c r="A60" s="228" t="str">
        <f>IFERROR(__xludf.DUMMYFUNCTION("TEXTJOIN(CHAR(10),TRUE,FILTER(ARRAYFORMULA(IF(AX$14:AX72&lt;&gt;"""",AW$14:AW72&amp;"" : ""&amp; AX$14:AX72 &amp;"" cm"","""")), AC$14:AC72 &lt;&gt;""""))"),"")</f>
        <v/>
      </c>
      <c r="B60" s="240"/>
      <c r="C60" s="11"/>
      <c r="D60" s="11"/>
      <c r="E60" s="220"/>
      <c r="F60" s="220"/>
      <c r="G60" s="220"/>
      <c r="H60" s="11"/>
      <c r="I60" s="11"/>
      <c r="J60" s="220"/>
      <c r="K60" s="184"/>
      <c r="L60" s="184"/>
      <c r="M60" s="11"/>
      <c r="N60" s="11"/>
      <c r="O60" s="195"/>
      <c r="P60" s="11"/>
      <c r="Q60" s="11"/>
      <c r="R60" s="12"/>
      <c r="S60" s="11"/>
      <c r="T60" s="220"/>
      <c r="U60" s="184"/>
      <c r="V60" s="184"/>
      <c r="W60" s="11"/>
      <c r="X60" s="11"/>
      <c r="Y60" s="220"/>
      <c r="Z60" s="184"/>
      <c r="AA60" s="184"/>
      <c r="AB60" s="11"/>
      <c r="AC60" s="11"/>
      <c r="AD60" s="220"/>
      <c r="AE60" s="184"/>
      <c r="AF60" s="184"/>
      <c r="AG60" s="11"/>
      <c r="AH60" s="11"/>
      <c r="AI60" s="220"/>
      <c r="AJ60" s="184"/>
      <c r="AK60" s="184"/>
      <c r="AL60" s="11"/>
      <c r="AM60" s="11"/>
      <c r="AN60" s="220"/>
      <c r="AO60" s="184"/>
      <c r="AP60" s="184"/>
      <c r="AQ60" s="11"/>
      <c r="AR60" s="11"/>
      <c r="AS60" s="220"/>
      <c r="AT60" s="184"/>
      <c r="AU60" s="184"/>
      <c r="AV60" s="11"/>
      <c r="AW60" s="11"/>
      <c r="AX60" s="220"/>
      <c r="AY60" s="184"/>
      <c r="AZ60" s="184"/>
      <c r="BA60" s="11"/>
      <c r="BB60" s="11"/>
      <c r="BC60" s="220"/>
      <c r="BD60" s="184"/>
      <c r="BE60" s="184"/>
      <c r="BF60" s="11"/>
      <c r="BG60" s="11"/>
      <c r="BH60" s="220"/>
      <c r="BI60" s="184"/>
      <c r="BJ60" s="184"/>
      <c r="BK60" s="184"/>
      <c r="BL60" s="184"/>
      <c r="BM60" s="184"/>
      <c r="BN60" s="184"/>
      <c r="BO60" s="184"/>
      <c r="BP60" s="184"/>
    </row>
    <row r="61">
      <c r="A61" s="244" t="str">
        <f>if($A$59&lt;&gt;"", "《仕上がり数値》","")</f>
        <v/>
      </c>
      <c r="B61" s="240"/>
      <c r="C61" s="11"/>
      <c r="D61" s="11"/>
      <c r="E61" s="220"/>
      <c r="F61" s="220"/>
      <c r="G61" s="220"/>
      <c r="H61" s="11"/>
      <c r="I61" s="11"/>
      <c r="J61" s="220"/>
      <c r="K61" s="184"/>
      <c r="L61" s="184"/>
      <c r="M61" s="11"/>
      <c r="N61" s="11"/>
      <c r="O61" s="195"/>
      <c r="P61" s="11"/>
      <c r="Q61" s="11"/>
      <c r="R61" s="12"/>
      <c r="S61" s="11"/>
      <c r="T61" s="220"/>
      <c r="U61" s="184"/>
      <c r="V61" s="184"/>
      <c r="W61" s="11"/>
      <c r="X61" s="11"/>
      <c r="Y61" s="220"/>
      <c r="Z61" s="184"/>
      <c r="AA61" s="184"/>
      <c r="AB61" s="11"/>
      <c r="AC61" s="11"/>
      <c r="AD61" s="220"/>
      <c r="AE61" s="184"/>
      <c r="AF61" s="184"/>
      <c r="AG61" s="11"/>
      <c r="AH61" s="11"/>
      <c r="AI61" s="220"/>
      <c r="AJ61" s="184"/>
      <c r="AK61" s="184"/>
      <c r="AL61" s="11"/>
      <c r="AM61" s="11"/>
      <c r="AN61" s="220"/>
      <c r="AO61" s="184"/>
      <c r="AP61" s="184"/>
      <c r="AQ61" s="11"/>
      <c r="AR61" s="11"/>
      <c r="AS61" s="220"/>
      <c r="AT61" s="184"/>
      <c r="AU61" s="184"/>
      <c r="AV61" s="11"/>
      <c r="AW61" s="11"/>
      <c r="AX61" s="220"/>
      <c r="AY61" s="184"/>
      <c r="AZ61" s="184"/>
      <c r="BA61" s="11"/>
      <c r="BB61" s="11"/>
      <c r="BC61" s="220"/>
      <c r="BD61" s="184"/>
      <c r="BE61" s="184"/>
      <c r="BF61" s="11"/>
      <c r="BG61" s="11"/>
      <c r="BH61" s="220"/>
      <c r="BI61" s="184"/>
      <c r="BJ61" s="184"/>
      <c r="BK61" s="184"/>
      <c r="BL61" s="184"/>
      <c r="BM61" s="184"/>
      <c r="BN61" s="184"/>
      <c r="BO61" s="184"/>
      <c r="BP61" s="184"/>
    </row>
    <row r="62">
      <c r="A62" s="228" t="str">
        <f>IFERROR(__xludf.DUMMYFUNCTION("TEXTJOIN(CHAR(10),TRUE,FILTER(ARRAYFORMULA(IF(AX$14:AX72&lt;&gt;"""",AW$14:AW72&amp;"" :  cm"","""")), AC$14:AC72 &lt;&gt;""""))"),"")</f>
        <v/>
      </c>
      <c r="B62" s="240"/>
      <c r="C62" s="11"/>
      <c r="D62" s="11"/>
      <c r="E62" s="220"/>
      <c r="F62" s="220"/>
      <c r="G62" s="220"/>
      <c r="H62" s="11"/>
      <c r="I62" s="11"/>
      <c r="J62" s="220"/>
      <c r="K62" s="184"/>
      <c r="L62" s="184"/>
      <c r="M62" s="11"/>
      <c r="N62" s="11"/>
      <c r="O62" s="195"/>
      <c r="P62" s="11"/>
      <c r="Q62" s="11"/>
      <c r="R62" s="12"/>
      <c r="S62" s="11"/>
      <c r="T62" s="220"/>
      <c r="U62" s="184"/>
      <c r="V62" s="184"/>
      <c r="W62" s="11"/>
      <c r="X62" s="11"/>
      <c r="Y62" s="220"/>
      <c r="Z62" s="184"/>
      <c r="AA62" s="184"/>
      <c r="AB62" s="11"/>
      <c r="AC62" s="11"/>
      <c r="AD62" s="220"/>
      <c r="AE62" s="184"/>
      <c r="AF62" s="184"/>
      <c r="AG62" s="11"/>
      <c r="AH62" s="11"/>
      <c r="AI62" s="220"/>
      <c r="AJ62" s="184"/>
      <c r="AK62" s="184"/>
      <c r="AL62" s="11"/>
      <c r="AM62" s="11"/>
      <c r="AN62" s="220"/>
      <c r="AO62" s="184"/>
      <c r="AP62" s="184"/>
      <c r="AQ62" s="11"/>
      <c r="AR62" s="11"/>
      <c r="AS62" s="220"/>
      <c r="AT62" s="184"/>
      <c r="AU62" s="184"/>
      <c r="AV62" s="11"/>
      <c r="AW62" s="11"/>
      <c r="AX62" s="220"/>
      <c r="AY62" s="184"/>
      <c r="AZ62" s="184"/>
      <c r="BA62" s="11"/>
      <c r="BB62" s="11"/>
      <c r="BC62" s="220"/>
      <c r="BD62" s="184"/>
      <c r="BE62" s="184"/>
      <c r="BF62" s="11"/>
      <c r="BG62" s="11"/>
      <c r="BH62" s="220"/>
      <c r="BI62" s="184"/>
      <c r="BJ62" s="184"/>
      <c r="BK62" s="184"/>
      <c r="BL62" s="184"/>
      <c r="BM62" s="184"/>
      <c r="BN62" s="184"/>
      <c r="BO62" s="184"/>
      <c r="BP62" s="184"/>
    </row>
    <row r="63">
      <c r="A63" s="243" t="s">
        <v>125</v>
      </c>
      <c r="B63" s="240"/>
      <c r="C63" s="11"/>
      <c r="D63" s="11"/>
      <c r="E63" s="220"/>
      <c r="F63" s="220"/>
      <c r="G63" s="220"/>
      <c r="H63" s="11"/>
      <c r="I63" s="11"/>
      <c r="J63" s="220"/>
      <c r="K63" s="184"/>
      <c r="L63" s="184"/>
      <c r="M63" s="11"/>
      <c r="N63" s="11"/>
      <c r="O63" s="195"/>
      <c r="P63" s="11"/>
      <c r="Q63" s="11"/>
      <c r="R63" s="12"/>
      <c r="S63" s="11"/>
      <c r="T63" s="220"/>
      <c r="U63" s="184"/>
      <c r="V63" s="184"/>
      <c r="W63" s="11"/>
      <c r="X63" s="11"/>
      <c r="Y63" s="220"/>
      <c r="Z63" s="184"/>
      <c r="AA63" s="184"/>
      <c r="AB63" s="11"/>
      <c r="AC63" s="11"/>
      <c r="AD63" s="220"/>
      <c r="AE63" s="184"/>
      <c r="AF63" s="184"/>
      <c r="AG63" s="11"/>
      <c r="AH63" s="11"/>
      <c r="AI63" s="220"/>
      <c r="AJ63" s="184"/>
      <c r="AK63" s="184"/>
      <c r="AL63" s="11"/>
      <c r="AM63" s="11"/>
      <c r="AN63" s="220"/>
      <c r="AO63" s="184"/>
      <c r="AP63" s="184"/>
      <c r="AQ63" s="11"/>
      <c r="AR63" s="11"/>
      <c r="AS63" s="220"/>
      <c r="AT63" s="184"/>
      <c r="AU63" s="184"/>
      <c r="AV63" s="11"/>
      <c r="AW63" s="11"/>
      <c r="AX63" s="220"/>
      <c r="AY63" s="184"/>
      <c r="AZ63" s="184"/>
      <c r="BA63" s="11"/>
      <c r="BB63" s="11"/>
      <c r="BC63" s="220"/>
      <c r="BD63" s="184"/>
      <c r="BE63" s="184"/>
      <c r="BF63" s="11"/>
      <c r="BG63" s="11"/>
      <c r="BH63" s="220"/>
      <c r="BI63" s="184"/>
      <c r="BJ63" s="184"/>
      <c r="BK63" s="184"/>
      <c r="BL63" s="184"/>
      <c r="BM63" s="184"/>
      <c r="BN63" s="184"/>
      <c r="BO63" s="184"/>
      <c r="BP63" s="184"/>
    </row>
    <row r="64">
      <c r="A64" s="245" t="str">
        <f>IF( $BB$11 = "再製作", "◼︎ トレンチコート（対応着地：再製作）" &amp;char(10)&amp; "《修正数値》", IF($BB$11 &lt;&gt; "", "◼︎ トレンチコート（対応着地：お直し）" &amp;char(10)&amp; "《修正数値》", ""))</f>
        <v/>
      </c>
      <c r="B64" s="240"/>
      <c r="C64" s="11"/>
      <c r="D64" s="11"/>
      <c r="E64" s="220"/>
      <c r="F64" s="220"/>
      <c r="G64" s="220"/>
      <c r="H64" s="11"/>
      <c r="I64" s="11"/>
      <c r="J64" s="220"/>
      <c r="K64" s="184"/>
      <c r="L64" s="184"/>
      <c r="M64" s="11"/>
      <c r="N64" s="11"/>
      <c r="O64" s="195"/>
      <c r="P64" s="11"/>
      <c r="Q64" s="11"/>
      <c r="R64" s="12"/>
      <c r="S64" s="11"/>
      <c r="T64" s="220"/>
      <c r="U64" s="184"/>
      <c r="V64" s="184"/>
      <c r="W64" s="11"/>
      <c r="X64" s="11"/>
      <c r="Y64" s="220"/>
      <c r="Z64" s="184"/>
      <c r="AA64" s="184"/>
      <c r="AB64" s="11"/>
      <c r="AC64" s="11"/>
      <c r="AD64" s="220"/>
      <c r="AE64" s="184"/>
      <c r="AF64" s="184"/>
      <c r="AG64" s="11"/>
      <c r="AH64" s="11"/>
      <c r="AI64" s="220"/>
      <c r="AJ64" s="184"/>
      <c r="AK64" s="184"/>
      <c r="AL64" s="11"/>
      <c r="AM64" s="11"/>
      <c r="AN64" s="220"/>
      <c r="AO64" s="184"/>
      <c r="AP64" s="184"/>
      <c r="AQ64" s="11"/>
      <c r="AR64" s="11"/>
      <c r="AS64" s="220"/>
      <c r="AT64" s="184"/>
      <c r="AU64" s="184"/>
      <c r="AV64" s="11"/>
      <c r="AW64" s="11"/>
      <c r="AX64" s="220"/>
      <c r="AY64" s="184"/>
      <c r="AZ64" s="184"/>
      <c r="BA64" s="11"/>
      <c r="BB64" s="11"/>
      <c r="BC64" s="220"/>
      <c r="BD64" s="184"/>
      <c r="BE64" s="184"/>
      <c r="BF64" s="11"/>
      <c r="BG64" s="11"/>
      <c r="BH64" s="220"/>
      <c r="BI64" s="184"/>
      <c r="BJ64" s="184"/>
      <c r="BK64" s="184"/>
      <c r="BL64" s="184"/>
      <c r="BM64" s="184"/>
      <c r="BN64" s="184"/>
      <c r="BO64" s="184"/>
      <c r="BP64" s="184"/>
    </row>
    <row r="65">
      <c r="A65" s="228" t="str">
        <f>IFERROR(__xludf.DUMMYFUNCTION("TEXTJOIN(CHAR(10),TRUE,FILTER(ARRAYFORMULA(IF(BC$14:BC72&lt;&gt;"""",BB$14:BB72&amp;"" : ""&amp; BC$14:BC72 &amp;"" cm"","""")), BB$14:BB72 &lt;&gt;""""))"),"")</f>
        <v/>
      </c>
      <c r="B65" s="240"/>
      <c r="C65" s="11"/>
      <c r="D65" s="11"/>
      <c r="E65" s="220"/>
      <c r="F65" s="220"/>
      <c r="G65" s="220"/>
      <c r="H65" s="11"/>
      <c r="I65" s="11"/>
      <c r="J65" s="220"/>
      <c r="K65" s="184"/>
      <c r="L65" s="184"/>
      <c r="M65" s="11"/>
      <c r="N65" s="11"/>
      <c r="O65" s="195"/>
      <c r="P65" s="11"/>
      <c r="Q65" s="11"/>
      <c r="R65" s="12"/>
      <c r="S65" s="11"/>
      <c r="T65" s="220"/>
      <c r="U65" s="184"/>
      <c r="V65" s="184"/>
      <c r="W65" s="11"/>
      <c r="X65" s="11"/>
      <c r="Y65" s="220"/>
      <c r="Z65" s="184"/>
      <c r="AA65" s="184"/>
      <c r="AB65" s="11"/>
      <c r="AC65" s="11"/>
      <c r="AD65" s="220"/>
      <c r="AE65" s="184"/>
      <c r="AF65" s="184"/>
      <c r="AG65" s="11"/>
      <c r="AH65" s="11"/>
      <c r="AI65" s="220"/>
      <c r="AJ65" s="184"/>
      <c r="AK65" s="184"/>
      <c r="AL65" s="11"/>
      <c r="AM65" s="11"/>
      <c r="AN65" s="220"/>
      <c r="AO65" s="184"/>
      <c r="AP65" s="184"/>
      <c r="AQ65" s="11"/>
      <c r="AR65" s="11"/>
      <c r="AS65" s="220"/>
      <c r="AT65" s="184"/>
      <c r="AU65" s="184"/>
      <c r="AV65" s="11"/>
      <c r="AW65" s="11"/>
      <c r="AX65" s="220"/>
      <c r="AY65" s="184"/>
      <c r="AZ65" s="184"/>
      <c r="BA65" s="11"/>
      <c r="BB65" s="11"/>
      <c r="BC65" s="220"/>
      <c r="BD65" s="184"/>
      <c r="BE65" s="184"/>
      <c r="BF65" s="11"/>
      <c r="BG65" s="11"/>
      <c r="BH65" s="220"/>
      <c r="BI65" s="184"/>
      <c r="BJ65" s="184"/>
      <c r="BK65" s="184"/>
      <c r="BL65" s="184"/>
      <c r="BM65" s="184"/>
      <c r="BN65" s="184"/>
      <c r="BO65" s="184"/>
      <c r="BP65" s="184"/>
    </row>
    <row r="66">
      <c r="A66" s="244" t="str">
        <f>if($A$64&lt;&gt;"", "《仕上がり数値》","")</f>
        <v/>
      </c>
      <c r="B66" s="240"/>
      <c r="C66" s="11"/>
      <c r="D66" s="11"/>
      <c r="E66" s="220"/>
      <c r="F66" s="220"/>
      <c r="G66" s="220"/>
      <c r="H66" s="11"/>
      <c r="I66" s="11"/>
      <c r="J66" s="220"/>
      <c r="K66" s="184"/>
      <c r="L66" s="184"/>
      <c r="M66" s="11"/>
      <c r="N66" s="11"/>
      <c r="O66" s="195"/>
      <c r="P66" s="11"/>
      <c r="Q66" s="11"/>
      <c r="R66" s="12"/>
      <c r="S66" s="11"/>
      <c r="T66" s="220"/>
      <c r="U66" s="184"/>
      <c r="V66" s="184"/>
      <c r="W66" s="11"/>
      <c r="X66" s="11"/>
      <c r="Y66" s="220"/>
      <c r="Z66" s="184"/>
      <c r="AA66" s="184"/>
      <c r="AB66" s="11"/>
      <c r="AC66" s="11"/>
      <c r="AD66" s="220"/>
      <c r="AE66" s="184"/>
      <c r="AF66" s="184"/>
      <c r="AG66" s="11"/>
      <c r="AH66" s="11"/>
      <c r="AI66" s="220"/>
      <c r="AJ66" s="184"/>
      <c r="AK66" s="184"/>
      <c r="AL66" s="11"/>
      <c r="AM66" s="11"/>
      <c r="AN66" s="220"/>
      <c r="AO66" s="184"/>
      <c r="AP66" s="184"/>
      <c r="AQ66" s="11"/>
      <c r="AR66" s="11"/>
      <c r="AS66" s="220"/>
      <c r="AT66" s="184"/>
      <c r="AU66" s="184"/>
      <c r="AV66" s="11"/>
      <c r="AW66" s="11"/>
      <c r="AX66" s="220"/>
      <c r="AY66" s="184"/>
      <c r="AZ66" s="184"/>
      <c r="BA66" s="11"/>
      <c r="BB66" s="11"/>
      <c r="BC66" s="220"/>
      <c r="BD66" s="184"/>
      <c r="BE66" s="184"/>
      <c r="BF66" s="11"/>
      <c r="BG66" s="11"/>
      <c r="BH66" s="220"/>
      <c r="BI66" s="184"/>
      <c r="BJ66" s="184"/>
      <c r="BK66" s="184"/>
      <c r="BL66" s="184"/>
      <c r="BM66" s="184"/>
      <c r="BN66" s="184"/>
      <c r="BO66" s="184"/>
      <c r="BP66" s="184"/>
    </row>
    <row r="67">
      <c r="A67" s="228" t="str">
        <f>IFERROR(__xludf.DUMMYFUNCTION("TEXTJOIN(CHAR(10),TRUE,FILTER(ARRAYFORMULA(IF(BC$14:BC72&lt;&gt;"""",BB$14:BB72&amp;"" :  cm"","""")), BB$14:BB72 &lt;&gt;""""))"),"")</f>
        <v/>
      </c>
      <c r="B67" s="240"/>
      <c r="C67" s="11"/>
      <c r="D67" s="11"/>
      <c r="E67" s="220"/>
      <c r="F67" s="220"/>
      <c r="G67" s="220"/>
      <c r="H67" s="11"/>
      <c r="I67" s="11"/>
      <c r="J67" s="220"/>
      <c r="K67" s="184"/>
      <c r="L67" s="184"/>
      <c r="M67" s="11"/>
      <c r="N67" s="11"/>
      <c r="O67" s="195"/>
      <c r="P67" s="11"/>
      <c r="Q67" s="11"/>
      <c r="R67" s="12"/>
      <c r="S67" s="11"/>
      <c r="T67" s="220"/>
      <c r="U67" s="184"/>
      <c r="V67" s="184"/>
      <c r="W67" s="11"/>
      <c r="X67" s="11"/>
      <c r="Y67" s="220"/>
      <c r="Z67" s="184"/>
      <c r="AA67" s="184"/>
      <c r="AB67" s="11"/>
      <c r="AC67" s="11"/>
      <c r="AD67" s="220"/>
      <c r="AE67" s="184"/>
      <c r="AF67" s="184"/>
      <c r="AG67" s="11"/>
      <c r="AH67" s="11"/>
      <c r="AI67" s="220"/>
      <c r="AJ67" s="184"/>
      <c r="AK67" s="184"/>
      <c r="AL67" s="11"/>
      <c r="AM67" s="11"/>
      <c r="AN67" s="220"/>
      <c r="AO67" s="184"/>
      <c r="AP67" s="184"/>
      <c r="AQ67" s="11"/>
      <c r="AR67" s="11"/>
      <c r="AS67" s="220"/>
      <c r="AT67" s="184"/>
      <c r="AU67" s="184"/>
      <c r="AV67" s="11"/>
      <c r="AW67" s="11"/>
      <c r="AX67" s="220"/>
      <c r="AY67" s="184"/>
      <c r="AZ67" s="184"/>
      <c r="BA67" s="11"/>
      <c r="BB67" s="11"/>
      <c r="BC67" s="220"/>
      <c r="BD67" s="184"/>
      <c r="BE67" s="184"/>
      <c r="BF67" s="11"/>
      <c r="BG67" s="11"/>
      <c r="BH67" s="220"/>
      <c r="BI67" s="184"/>
      <c r="BJ67" s="184"/>
      <c r="BK67" s="184"/>
      <c r="BL67" s="184"/>
      <c r="BM67" s="184"/>
      <c r="BN67" s="184"/>
      <c r="BO67" s="184"/>
      <c r="BP67" s="184"/>
    </row>
    <row r="68">
      <c r="A68" s="243" t="s">
        <v>126</v>
      </c>
      <c r="B68" s="240"/>
      <c r="C68" s="11"/>
      <c r="D68" s="11"/>
      <c r="E68" s="220"/>
      <c r="F68" s="220"/>
      <c r="G68" s="220"/>
      <c r="H68" s="11"/>
      <c r="I68" s="11"/>
      <c r="J68" s="220"/>
      <c r="K68" s="184"/>
      <c r="L68" s="184"/>
      <c r="M68" s="11"/>
      <c r="N68" s="11"/>
      <c r="O68" s="195"/>
      <c r="P68" s="11"/>
      <c r="Q68" s="11"/>
      <c r="R68" s="12"/>
      <c r="S68" s="11"/>
      <c r="T68" s="220"/>
      <c r="U68" s="184"/>
      <c r="V68" s="184"/>
      <c r="W68" s="11"/>
      <c r="X68" s="11"/>
      <c r="Y68" s="220"/>
      <c r="Z68" s="184"/>
      <c r="AA68" s="184"/>
      <c r="AB68" s="11"/>
      <c r="AC68" s="11"/>
      <c r="AD68" s="220"/>
      <c r="AE68" s="184"/>
      <c r="AF68" s="184"/>
      <c r="AG68" s="11"/>
      <c r="AH68" s="11"/>
      <c r="AI68" s="220"/>
      <c r="AJ68" s="184"/>
      <c r="AK68" s="184"/>
      <c r="AL68" s="11"/>
      <c r="AM68" s="11"/>
      <c r="AN68" s="220"/>
      <c r="AO68" s="184"/>
      <c r="AP68" s="184"/>
      <c r="AQ68" s="11"/>
      <c r="AR68" s="11"/>
      <c r="AS68" s="220"/>
      <c r="AT68" s="184"/>
      <c r="AU68" s="184"/>
      <c r="AV68" s="11"/>
      <c r="AW68" s="11"/>
      <c r="AX68" s="220"/>
      <c r="AY68" s="184"/>
      <c r="AZ68" s="184"/>
      <c r="BA68" s="11"/>
      <c r="BB68" s="11"/>
      <c r="BC68" s="220"/>
      <c r="BD68" s="184"/>
      <c r="BE68" s="184"/>
      <c r="BF68" s="11"/>
      <c r="BG68" s="11"/>
      <c r="BH68" s="220"/>
      <c r="BI68" s="184"/>
      <c r="BJ68" s="184"/>
      <c r="BK68" s="184"/>
      <c r="BL68" s="184"/>
      <c r="BM68" s="184"/>
      <c r="BN68" s="184"/>
      <c r="BO68" s="184"/>
      <c r="BP68" s="184"/>
    </row>
    <row r="69">
      <c r="A69" s="245" t="str">
        <f>IF( $BG$11 = "再製作", "◼︎ フーデッドコート（対応着地：再製作）"&amp;char(10)&amp;"《修正数値》", IF($BG$11 &lt;&gt; "", "◼︎ フーデッドコート（対応着地：お直し）"&amp;char(10)&amp;"《修正数値》", ""))</f>
        <v/>
      </c>
      <c r="B69" s="240"/>
      <c r="C69" s="11"/>
      <c r="D69" s="11"/>
      <c r="E69" s="220"/>
      <c r="F69" s="220"/>
      <c r="G69" s="220"/>
      <c r="H69" s="11"/>
      <c r="I69" s="11"/>
      <c r="J69" s="220"/>
      <c r="K69" s="184"/>
      <c r="L69" s="184"/>
      <c r="M69" s="11"/>
      <c r="N69" s="11"/>
      <c r="O69" s="195"/>
      <c r="P69" s="11"/>
      <c r="Q69" s="11"/>
      <c r="R69" s="12"/>
      <c r="S69" s="11"/>
      <c r="T69" s="220"/>
      <c r="U69" s="184"/>
      <c r="V69" s="184"/>
      <c r="W69" s="11"/>
      <c r="X69" s="11"/>
      <c r="Y69" s="220"/>
      <c r="Z69" s="184"/>
      <c r="AA69" s="184"/>
      <c r="AB69" s="11"/>
      <c r="AC69" s="11"/>
      <c r="AD69" s="220"/>
      <c r="AE69" s="184"/>
      <c r="AF69" s="184"/>
      <c r="AG69" s="11"/>
      <c r="AH69" s="11"/>
      <c r="AI69" s="220"/>
      <c r="AJ69" s="184"/>
      <c r="AK69" s="184"/>
      <c r="AL69" s="11"/>
      <c r="AM69" s="11"/>
      <c r="AN69" s="220"/>
      <c r="AO69" s="184"/>
      <c r="AP69" s="184"/>
      <c r="AQ69" s="11"/>
      <c r="AR69" s="11"/>
      <c r="AS69" s="220"/>
      <c r="AT69" s="184"/>
      <c r="AU69" s="184"/>
      <c r="AV69" s="11"/>
      <c r="AW69" s="11"/>
      <c r="AX69" s="220"/>
      <c r="AY69" s="184"/>
      <c r="AZ69" s="184"/>
      <c r="BA69" s="11"/>
      <c r="BB69" s="11"/>
      <c r="BC69" s="220"/>
      <c r="BD69" s="184"/>
      <c r="BE69" s="184"/>
      <c r="BF69" s="11"/>
      <c r="BG69" s="11"/>
      <c r="BH69" s="220"/>
      <c r="BI69" s="184"/>
      <c r="BJ69" s="184"/>
      <c r="BK69" s="184"/>
      <c r="BL69" s="184"/>
      <c r="BM69" s="184"/>
      <c r="BN69" s="184"/>
      <c r="BO69" s="184"/>
      <c r="BP69" s="184"/>
    </row>
    <row r="70">
      <c r="A70" s="228" t="str">
        <f>IFERROR(__xludf.DUMMYFUNCTION("TEXTJOIN(CHAR(10),TRUE,FILTER(ARRAYFORMULA(IF(BH$14:BH72&lt;&gt;"""",BG$14:BG72&amp;"" : ""&amp; BH$14:BH72 &amp;"" cm"","""")), BG$14:BG72 &lt;&gt;""""))"),"")</f>
        <v/>
      </c>
      <c r="B70" s="240"/>
      <c r="C70" s="11"/>
      <c r="D70" s="11"/>
      <c r="E70" s="220"/>
      <c r="F70" s="220"/>
      <c r="G70" s="220"/>
      <c r="H70" s="11"/>
      <c r="I70" s="11"/>
      <c r="J70" s="220"/>
      <c r="K70" s="184"/>
      <c r="L70" s="184"/>
      <c r="M70" s="11"/>
      <c r="N70" s="11"/>
      <c r="O70" s="195"/>
      <c r="P70" s="11"/>
      <c r="Q70" s="11"/>
      <c r="R70" s="12"/>
      <c r="S70" s="11"/>
      <c r="T70" s="220"/>
      <c r="U70" s="184"/>
      <c r="V70" s="184"/>
      <c r="W70" s="11"/>
      <c r="X70" s="11"/>
      <c r="Y70" s="220"/>
      <c r="Z70" s="184"/>
      <c r="AA70" s="184"/>
      <c r="AB70" s="11"/>
      <c r="AC70" s="11"/>
      <c r="AD70" s="220"/>
      <c r="AE70" s="184"/>
      <c r="AF70" s="184"/>
      <c r="AG70" s="11"/>
      <c r="AH70" s="11"/>
      <c r="AI70" s="220"/>
      <c r="AJ70" s="184"/>
      <c r="AK70" s="184"/>
      <c r="AL70" s="11"/>
      <c r="AM70" s="11"/>
      <c r="AN70" s="220"/>
      <c r="AO70" s="184"/>
      <c r="AP70" s="184"/>
      <c r="AQ70" s="11"/>
      <c r="AR70" s="11"/>
      <c r="AS70" s="220"/>
      <c r="AT70" s="184"/>
      <c r="AU70" s="184"/>
      <c r="AV70" s="11"/>
      <c r="AW70" s="11"/>
      <c r="AX70" s="220"/>
      <c r="AY70" s="184"/>
      <c r="AZ70" s="184"/>
      <c r="BA70" s="11"/>
      <c r="BB70" s="11"/>
      <c r="BC70" s="220"/>
      <c r="BD70" s="184"/>
      <c r="BE70" s="184"/>
      <c r="BF70" s="11"/>
      <c r="BG70" s="11"/>
      <c r="BH70" s="220"/>
      <c r="BI70" s="184"/>
      <c r="BJ70" s="184"/>
      <c r="BK70" s="184"/>
      <c r="BL70" s="184"/>
      <c r="BM70" s="184"/>
      <c r="BN70" s="184"/>
      <c r="BO70" s="184"/>
      <c r="BP70" s="184"/>
    </row>
    <row r="71">
      <c r="A71" s="244" t="str">
        <f>if($A$69&lt;&gt;"", "《仕上がり数値》","")</f>
        <v/>
      </c>
      <c r="B71" s="240"/>
      <c r="C71" s="11"/>
      <c r="D71" s="11"/>
      <c r="E71" s="220"/>
      <c r="F71" s="220"/>
      <c r="G71" s="220"/>
      <c r="H71" s="11"/>
      <c r="I71" s="11"/>
      <c r="J71" s="220"/>
      <c r="K71" s="184"/>
      <c r="L71" s="184"/>
      <c r="M71" s="11"/>
      <c r="N71" s="11"/>
      <c r="O71" s="195"/>
      <c r="P71" s="11"/>
      <c r="Q71" s="11"/>
      <c r="R71" s="12"/>
      <c r="S71" s="11"/>
      <c r="T71" s="220"/>
      <c r="U71" s="184"/>
      <c r="V71" s="184"/>
      <c r="W71" s="11"/>
      <c r="X71" s="11"/>
      <c r="Y71" s="220"/>
      <c r="Z71" s="184"/>
      <c r="AA71" s="184"/>
      <c r="AB71" s="11"/>
      <c r="AC71" s="11"/>
      <c r="AD71" s="220"/>
      <c r="AE71" s="184"/>
      <c r="AF71" s="184"/>
      <c r="AG71" s="11"/>
      <c r="AH71" s="11"/>
      <c r="AI71" s="220"/>
      <c r="AJ71" s="184"/>
      <c r="AK71" s="184"/>
      <c r="AL71" s="11"/>
      <c r="AM71" s="11"/>
      <c r="AN71" s="220"/>
      <c r="AO71" s="184"/>
      <c r="AP71" s="184"/>
      <c r="AQ71" s="11"/>
      <c r="AR71" s="11"/>
      <c r="AS71" s="220"/>
      <c r="AT71" s="184"/>
      <c r="AU71" s="184"/>
      <c r="AV71" s="11"/>
      <c r="AW71" s="11"/>
      <c r="AX71" s="220"/>
      <c r="AY71" s="184"/>
      <c r="AZ71" s="184"/>
      <c r="BA71" s="11"/>
      <c r="BB71" s="11"/>
      <c r="BC71" s="220"/>
      <c r="BD71" s="184"/>
      <c r="BE71" s="184"/>
      <c r="BF71" s="11"/>
      <c r="BG71" s="11"/>
      <c r="BH71" s="220"/>
      <c r="BI71" s="184"/>
      <c r="BJ71" s="184"/>
      <c r="BK71" s="184"/>
      <c r="BL71" s="184"/>
      <c r="BM71" s="184"/>
      <c r="BN71" s="184"/>
      <c r="BO71" s="184"/>
      <c r="BP71" s="184"/>
    </row>
    <row r="72">
      <c r="A72" s="228" t="str">
        <f>IFERROR(__xludf.DUMMYFUNCTION("TEXTJOIN(CHAR(10),TRUE,FILTER(ARRAYFORMULA(IF(BH$14:BH72&lt;&gt;"""",BG$14:BG72&amp;"" :  cm"","""")), BG$14:BG72 &lt;&gt;""""))"),"")</f>
        <v/>
      </c>
      <c r="B72" s="240"/>
      <c r="C72" s="11"/>
      <c r="D72" s="11"/>
      <c r="E72" s="220"/>
      <c r="F72" s="220"/>
      <c r="G72" s="220"/>
      <c r="H72" s="11"/>
      <c r="I72" s="11"/>
      <c r="J72" s="220"/>
      <c r="K72" s="184"/>
      <c r="L72" s="184"/>
      <c r="M72" s="11"/>
      <c r="N72" s="11"/>
      <c r="O72" s="195"/>
      <c r="P72" s="11"/>
      <c r="Q72" s="11"/>
      <c r="R72" s="12"/>
      <c r="S72" s="11"/>
      <c r="T72" s="220"/>
      <c r="U72" s="184"/>
      <c r="V72" s="184"/>
      <c r="W72" s="11"/>
      <c r="X72" s="11"/>
      <c r="Y72" s="220"/>
      <c r="Z72" s="184"/>
      <c r="AA72" s="184"/>
      <c r="AB72" s="11"/>
      <c r="AC72" s="11"/>
      <c r="AD72" s="220"/>
      <c r="AE72" s="184"/>
      <c r="AF72" s="184"/>
      <c r="AG72" s="11"/>
      <c r="AH72" s="11"/>
      <c r="AI72" s="220"/>
      <c r="AJ72" s="184"/>
      <c r="AK72" s="184"/>
      <c r="AL72" s="11"/>
      <c r="AM72" s="11"/>
      <c r="AN72" s="220"/>
      <c r="AO72" s="184"/>
      <c r="AP72" s="184"/>
      <c r="AQ72" s="11"/>
      <c r="AR72" s="11"/>
      <c r="AS72" s="220"/>
      <c r="AT72" s="184"/>
      <c r="AU72" s="184"/>
      <c r="AV72" s="11"/>
      <c r="AW72" s="11"/>
      <c r="AX72" s="220"/>
      <c r="AY72" s="184"/>
      <c r="AZ72" s="184"/>
      <c r="BA72" s="11"/>
      <c r="BB72" s="11"/>
      <c r="BC72" s="220"/>
      <c r="BD72" s="184"/>
      <c r="BE72" s="184"/>
      <c r="BF72" s="11"/>
      <c r="BG72" s="11"/>
      <c r="BH72" s="220"/>
      <c r="BI72" s="184"/>
      <c r="BJ72" s="184"/>
      <c r="BK72" s="184"/>
      <c r="BL72" s="184"/>
      <c r="BM72" s="184"/>
      <c r="BN72" s="184"/>
      <c r="BO72" s="184"/>
      <c r="BP72" s="184"/>
    </row>
  </sheetData>
  <mergeCells count="1">
    <mergeCell ref="D5:G5"/>
  </mergeCells>
  <hyperlinks>
    <hyperlink r:id="rId1" location="gid=1551873484" ref="K5"/>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hidden="1" min="1" max="2" width="20.88"/>
    <col customWidth="1" min="3" max="3" width="3.88"/>
    <col customWidth="1" min="4" max="4" width="25.13"/>
    <col customWidth="1" min="5" max="6" width="12.63"/>
    <col customWidth="1" hidden="1" min="7" max="7" width="12.63"/>
    <col customWidth="1" min="8" max="8" width="6.38"/>
    <col customWidth="1" min="9" max="9" width="25.13"/>
    <col customWidth="1" min="10" max="11" width="12.63"/>
    <col customWidth="1" hidden="1" min="12" max="12" width="12.63"/>
    <col customWidth="1" min="13" max="13" width="6.38"/>
    <col customWidth="1" min="14" max="14" width="25.13"/>
    <col customWidth="1" min="15" max="16" width="12.63"/>
    <col customWidth="1" hidden="1" min="17" max="17" width="12.63"/>
    <col customWidth="1" min="18" max="18" width="6.25"/>
    <col customWidth="1" min="19" max="19" width="25.13"/>
    <col customWidth="1" min="20" max="21" width="12.63"/>
    <col customWidth="1" hidden="1" min="22" max="22" width="12.63"/>
    <col customWidth="1" min="23" max="23" width="6.38"/>
    <col customWidth="1" min="24" max="24" width="25.13"/>
    <col customWidth="1" min="25" max="26" width="12.63"/>
    <col customWidth="1" hidden="1" min="27" max="27" width="12.63"/>
    <col customWidth="1" min="28" max="28" width="6.38"/>
    <col customWidth="1" min="29" max="29" width="25.13"/>
    <col customWidth="1" min="30" max="31" width="12.63"/>
    <col customWidth="1" hidden="1" min="32" max="32" width="12.63"/>
    <col customWidth="1" min="33" max="33" width="7.13"/>
    <col customWidth="1" min="34" max="34" width="25.13"/>
    <col customWidth="1" min="35" max="36" width="12.63"/>
    <col customWidth="1" hidden="1" min="37" max="37" width="12.63"/>
    <col customWidth="1" min="38" max="38" width="7.13"/>
    <col customWidth="1" min="39" max="39" width="25.13"/>
    <col customWidth="1" min="40" max="41" width="12.63"/>
    <col customWidth="1" hidden="1" min="42" max="42" width="12.63"/>
    <col customWidth="1" min="43" max="43" width="7.13"/>
    <col customWidth="1" min="44" max="44" width="25.13"/>
    <col customWidth="1" min="45" max="46" width="12.63"/>
    <col customWidth="1" hidden="1" min="47" max="47" width="12.63"/>
    <col customWidth="1" min="48" max="48" width="12.63"/>
    <col customWidth="1" min="49" max="49" width="25.13"/>
    <col customWidth="1" min="50" max="51" width="12.63"/>
    <col customWidth="1" hidden="1" min="52" max="52" width="12.63"/>
    <col customWidth="1" min="53" max="53" width="12.63"/>
    <col customWidth="1" min="54" max="54" width="25.13"/>
    <col customWidth="1" min="55" max="56" width="12.63"/>
    <col customWidth="1" hidden="1" min="57" max="57" width="12.63"/>
    <col customWidth="1" min="58" max="58" width="12.63"/>
    <col customWidth="1" min="59" max="59" width="25.13"/>
    <col customWidth="1" min="60" max="61" width="12.63"/>
    <col customWidth="1" hidden="1" min="62" max="62" width="12.63"/>
    <col customWidth="1" min="63" max="63" width="12.63"/>
    <col customWidth="1" min="64" max="64" width="19.25"/>
    <col customWidth="1" min="65" max="66" width="12.63"/>
    <col customWidth="1" hidden="1" min="67" max="67" width="12.63"/>
    <col customWidth="1" min="68" max="68" width="12.63"/>
  </cols>
  <sheetData>
    <row r="1">
      <c r="A1" s="176">
        <f>today()</f>
        <v>45991</v>
      </c>
      <c r="B1" s="177"/>
      <c r="C1" s="178"/>
      <c r="D1" s="179" t="s">
        <v>4</v>
      </c>
      <c r="E1" s="180"/>
      <c r="F1" s="180"/>
      <c r="G1" s="180"/>
      <c r="H1" s="181"/>
      <c r="I1" s="181"/>
      <c r="J1" s="180"/>
      <c r="K1" s="178" t="s">
        <v>127</v>
      </c>
      <c r="L1" s="180"/>
      <c r="M1" s="181"/>
      <c r="N1" s="180"/>
      <c r="O1" s="180"/>
      <c r="P1" s="180"/>
      <c r="Q1" s="180"/>
      <c r="R1" s="181"/>
      <c r="S1" s="181"/>
      <c r="T1" s="182"/>
      <c r="U1" s="182"/>
      <c r="V1" s="182"/>
      <c r="W1" s="181"/>
      <c r="X1" s="180"/>
      <c r="Y1" s="182"/>
      <c r="Z1" s="182"/>
      <c r="AA1" s="182"/>
      <c r="AB1" s="181"/>
      <c r="AC1" s="180"/>
      <c r="AD1" s="182"/>
      <c r="AE1" s="182"/>
      <c r="AF1" s="182"/>
      <c r="AG1" s="181"/>
      <c r="AH1" s="180"/>
      <c r="AI1" s="182"/>
      <c r="AJ1" s="182"/>
      <c r="AK1" s="182"/>
      <c r="AL1" s="181"/>
      <c r="AM1" s="180"/>
      <c r="AN1" s="182"/>
      <c r="AO1" s="182"/>
      <c r="AP1" s="182"/>
      <c r="AQ1" s="181"/>
      <c r="AR1" s="180"/>
      <c r="AS1" s="182"/>
      <c r="AT1" s="182"/>
      <c r="AU1" s="182"/>
      <c r="AV1" s="181"/>
      <c r="AW1" s="180"/>
      <c r="AX1" s="182"/>
      <c r="AY1" s="182"/>
      <c r="AZ1" s="182"/>
      <c r="BA1" s="181"/>
      <c r="BB1" s="180"/>
      <c r="BC1" s="182"/>
      <c r="BD1" s="182"/>
      <c r="BE1" s="182"/>
      <c r="BF1" s="181"/>
      <c r="BG1" s="180"/>
      <c r="BH1" s="182"/>
      <c r="BI1" s="182"/>
      <c r="BJ1" s="182"/>
      <c r="BK1" s="182"/>
      <c r="BL1" s="182"/>
      <c r="BM1" s="182"/>
      <c r="BN1" s="182"/>
      <c r="BO1" s="182"/>
      <c r="BP1" s="182"/>
    </row>
    <row r="2">
      <c r="A2" s="11"/>
      <c r="B2" s="183"/>
      <c r="C2" s="12"/>
      <c r="D2" s="12"/>
      <c r="E2" s="12"/>
      <c r="F2" s="12"/>
      <c r="G2" s="12"/>
      <c r="H2" s="11"/>
      <c r="I2" s="11"/>
      <c r="J2" s="12"/>
      <c r="K2" s="12"/>
      <c r="L2" s="12"/>
      <c r="M2" s="11"/>
      <c r="N2" s="12"/>
      <c r="O2" s="12"/>
      <c r="P2" s="12"/>
      <c r="Q2" s="12"/>
      <c r="R2" s="11"/>
      <c r="S2" s="11"/>
      <c r="T2" s="184"/>
      <c r="U2" s="184"/>
      <c r="V2" s="184"/>
      <c r="W2" s="11"/>
      <c r="X2" s="12"/>
      <c r="Y2" s="184"/>
      <c r="Z2" s="184"/>
      <c r="AA2" s="184"/>
      <c r="AB2" s="11"/>
      <c r="AC2" s="12"/>
      <c r="AD2" s="184"/>
      <c r="AE2" s="184"/>
      <c r="AF2" s="184"/>
      <c r="AG2" s="11"/>
      <c r="AH2" s="12"/>
      <c r="AI2" s="184"/>
      <c r="AJ2" s="184"/>
      <c r="AK2" s="184"/>
      <c r="AL2" s="11"/>
      <c r="AM2" s="12"/>
      <c r="AN2" s="184"/>
      <c r="AO2" s="184"/>
      <c r="AP2" s="184"/>
      <c r="AQ2" s="11"/>
      <c r="AR2" s="12"/>
      <c r="AS2" s="184"/>
      <c r="AT2" s="184"/>
      <c r="AU2" s="184"/>
      <c r="AV2" s="11"/>
      <c r="AW2" s="12"/>
      <c r="AX2" s="184"/>
      <c r="AY2" s="184"/>
      <c r="AZ2" s="184"/>
      <c r="BA2" s="11"/>
      <c r="BB2" s="12"/>
      <c r="BC2" s="184"/>
      <c r="BD2" s="184"/>
      <c r="BE2" s="184"/>
      <c r="BF2" s="11"/>
      <c r="BG2" s="12"/>
      <c r="BH2" s="184"/>
      <c r="BI2" s="184"/>
      <c r="BJ2" s="184"/>
      <c r="BK2" s="184"/>
      <c r="BL2" s="184"/>
      <c r="BM2" s="184"/>
      <c r="BN2" s="184"/>
      <c r="BO2" s="184"/>
      <c r="BP2" s="184"/>
    </row>
    <row r="3">
      <c r="A3" s="12"/>
      <c r="B3" s="185"/>
      <c r="C3" s="12"/>
      <c r="D3" s="12" t="str">
        <f t="array" ref="D3:D5">index(A3:A5,0)</f>
        <v/>
      </c>
      <c r="E3" s="12"/>
      <c r="F3" s="12"/>
      <c r="G3" s="12"/>
      <c r="H3" s="11"/>
      <c r="I3" s="11"/>
      <c r="J3" s="12"/>
      <c r="K3" s="12"/>
      <c r="L3" s="12"/>
      <c r="M3" s="11"/>
      <c r="N3" s="12"/>
      <c r="O3" s="12"/>
      <c r="P3" s="12"/>
      <c r="Q3" s="12"/>
      <c r="R3" s="11"/>
      <c r="S3" s="11"/>
      <c r="T3" s="184"/>
      <c r="U3" s="184"/>
      <c r="V3" s="184"/>
      <c r="W3" s="11"/>
      <c r="X3" s="12"/>
      <c r="Y3" s="184"/>
      <c r="Z3" s="184"/>
      <c r="AA3" s="184"/>
      <c r="AB3" s="11"/>
      <c r="AC3" s="12"/>
      <c r="AD3" s="184"/>
      <c r="AE3" s="184"/>
      <c r="AF3" s="184"/>
      <c r="AG3" s="11"/>
      <c r="AH3" s="12"/>
      <c r="AI3" s="184"/>
      <c r="AJ3" s="184"/>
      <c r="AK3" s="184"/>
      <c r="AL3" s="11"/>
      <c r="AM3" s="12"/>
      <c r="AN3" s="184"/>
      <c r="AO3" s="184"/>
      <c r="AP3" s="184"/>
      <c r="AQ3" s="11"/>
      <c r="AR3" s="12"/>
      <c r="AS3" s="184"/>
      <c r="AT3" s="184"/>
      <c r="AU3" s="184"/>
      <c r="AV3" s="11"/>
      <c r="AW3" s="12"/>
      <c r="AX3" s="184"/>
      <c r="AY3" s="184"/>
      <c r="AZ3" s="184"/>
      <c r="BA3" s="11"/>
      <c r="BB3" s="12"/>
      <c r="BC3" s="184"/>
      <c r="BD3" s="184"/>
      <c r="BE3" s="184"/>
      <c r="BF3" s="11"/>
      <c r="BG3" s="12"/>
      <c r="BH3" s="184"/>
      <c r="BI3" s="184"/>
      <c r="BJ3" s="184"/>
      <c r="BK3" s="184"/>
      <c r="BL3" s="184"/>
      <c r="BM3" s="184"/>
      <c r="BN3" s="184"/>
      <c r="BO3" s="184"/>
      <c r="BP3" s="184"/>
    </row>
    <row r="4">
      <c r="A4" s="186" t="s">
        <v>28</v>
      </c>
      <c r="B4" s="185"/>
      <c r="C4" s="12"/>
      <c r="D4" s="12" t="s">
        <v>28</v>
      </c>
      <c r="E4" s="12"/>
      <c r="F4" s="12"/>
      <c r="G4" s="12"/>
      <c r="H4" s="11"/>
      <c r="I4" s="11"/>
      <c r="J4" s="12"/>
      <c r="K4" s="12"/>
      <c r="L4" s="12"/>
      <c r="M4" s="11"/>
      <c r="N4" s="12"/>
      <c r="O4" s="12"/>
      <c r="P4" s="12"/>
      <c r="Q4" s="12"/>
      <c r="R4" s="11"/>
      <c r="S4" s="11"/>
      <c r="T4" s="184"/>
      <c r="U4" s="184"/>
      <c r="V4" s="184"/>
      <c r="W4" s="11"/>
      <c r="X4" s="12"/>
      <c r="Y4" s="184"/>
      <c r="Z4" s="184"/>
      <c r="AA4" s="184"/>
      <c r="AB4" s="11"/>
      <c r="AC4" s="12"/>
      <c r="AD4" s="184"/>
      <c r="AE4" s="184"/>
      <c r="AF4" s="184"/>
      <c r="AG4" s="11"/>
      <c r="AH4" s="12"/>
      <c r="AI4" s="184"/>
      <c r="AJ4" s="184"/>
      <c r="AK4" s="184"/>
      <c r="AL4" s="11"/>
      <c r="AM4" s="12"/>
      <c r="AN4" s="184"/>
      <c r="AO4" s="184"/>
      <c r="AP4" s="184"/>
      <c r="AQ4" s="11"/>
      <c r="AR4" s="12"/>
      <c r="AS4" s="184"/>
      <c r="AT4" s="184"/>
      <c r="AU4" s="184"/>
      <c r="AV4" s="11"/>
      <c r="AW4" s="12"/>
      <c r="AX4" s="184"/>
      <c r="AY4" s="184"/>
      <c r="AZ4" s="184"/>
      <c r="BA4" s="11"/>
      <c r="BB4" s="12"/>
      <c r="BC4" s="184"/>
      <c r="BD4" s="184"/>
      <c r="BE4" s="184"/>
      <c r="BF4" s="11"/>
      <c r="BG4" s="12"/>
      <c r="BH4" s="184"/>
      <c r="BI4" s="184"/>
      <c r="BJ4" s="184"/>
      <c r="BK4" s="184"/>
      <c r="BL4" s="184"/>
      <c r="BM4" s="184"/>
      <c r="BN4" s="184"/>
      <c r="BO4" s="184"/>
      <c r="BP4" s="184"/>
    </row>
    <row r="5" ht="225.0" customHeight="1">
      <c r="A5" s="187" t="str">
        <f>$A$7 &amp; $A$8 &amp; CHAR(10) &amp; $A$10 &amp; CHAR(10) &amp; CHAR(10) &amp; $A$11</f>
        <v>FABRIC TOKYO 新宿 2025-11-30 お直し適用サイズ
◼︎ パンツ（対応着地：お直し）
《修正数値》
パンツウエスト : -2 cm
《仕上がり数値》
パンツウエスト : cm
◼︎ シャツ（対応着地：再製作）
《修正数値》
バスト(長袖) : -2 cm
ウエスト : -3 cm
首まわり : -1 cm
ヒップ仕上がり寸 : -3 cm
裄丈 (長袖) : -3 cm
《仕上がり数値》
バスト(長袖) : cm
ウエスト : cm
首まわり : cm
ヒップ仕上がり寸 : cm
裄丈 (長袖)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v>
      </c>
      <c r="B5" s="188" t="str">
        <f>"【お直し来店済み】" &amp; CHAR(10) &amp; 
 "来店⽇時：" &amp; text($A$1," yyyy/mm/dd")&amp; CHAR(10) &amp;
 "来店店舗：" &amp; $D$1 &amp; CHAR(10) &amp; CHAR(10) &amp;
 "お直し着地：" &amp; CHAR(10) &amp; $A$10</f>
        <v>【お直し来店済み】
来店⽇時： 2025/11/30
来店店舗：新宿
お直し着地：
◼︎ パンツ（対応着地：お直し）
《修正数値》
パンツウエスト : -2 cm
《仕上がり数値》
パンツウエスト : cm
◼︎ シャツ（対応着地：再製作）
《修正数値》
バスト(長袖) : -2 cm
ウエスト : -3 cm
首まわり : -1 cm
ヒップ仕上がり寸 : -3 cm
裄丈 (長袖) : -3 cm
《仕上がり数値》
バスト(長袖) : cm
ウエスト : cm
首まわり : cm
ヒップ仕上がり寸 : cm
裄丈 (長袖) : cm</v>
      </c>
      <c r="C5" s="12"/>
      <c r="D5" s="189" t="s">
        <v>128</v>
      </c>
      <c r="H5" s="11"/>
      <c r="I5" s="190" t="str">
        <f>"【お直し来店済み】" &amp; CHAR(10) &amp; 
 "来店⽇時：" &amp; text($A$1," yyyy/mm/dd")&amp; CHAR(10) &amp;
 "来店店舗：" &amp; $D$1 &amp; CHAR(10) &amp; CHAR(10) &amp;
 "お直し着地：" &amp; CHAR(10) &amp; $A$10</f>
        <v>【お直し来店済み】
来店⽇時： 2025/11/30
来店店舗：新宿
お直し着地：
◼︎ パンツ（対応着地：お直し）
《修正数値》
パンツウエスト : -2 cm
《仕上がり数値》
パンツウエスト : cm
◼︎ シャツ（対応着地：再製作）
《修正数値》
バスト(長袖) : -2 cm
ウエスト : -3 cm
首まわり : -1 cm
ヒップ仕上がり寸 : -3 cm
裄丈 (長袖) : -3 cm
《仕上がり数値》
バスト(長袖) : cm
ウエスト : cm
首まわり : cm
ヒップ仕上がり寸 : cm
裄丈 (長袖) : cm</v>
      </c>
      <c r="J5" s="12"/>
      <c r="K5" s="191" t="s">
        <v>30</v>
      </c>
      <c r="L5" s="12"/>
      <c r="M5" s="11"/>
      <c r="N5" s="12"/>
      <c r="O5" s="12"/>
      <c r="P5" s="12"/>
      <c r="Q5" s="12"/>
      <c r="R5" s="11"/>
      <c r="S5" s="11"/>
      <c r="T5" s="184"/>
      <c r="U5" s="184"/>
      <c r="V5" s="184"/>
      <c r="W5" s="11"/>
      <c r="X5" s="12"/>
      <c r="Y5" s="184"/>
      <c r="Z5" s="184"/>
      <c r="AA5" s="184"/>
      <c r="AB5" s="11"/>
      <c r="AC5" s="12"/>
      <c r="AD5" s="184"/>
      <c r="AE5" s="184"/>
      <c r="AF5" s="184"/>
      <c r="AG5" s="11"/>
      <c r="AH5" s="12"/>
      <c r="AI5" s="184"/>
      <c r="AJ5" s="184"/>
      <c r="AK5" s="184"/>
      <c r="AL5" s="11"/>
      <c r="AM5" s="12"/>
      <c r="AN5" s="184"/>
      <c r="AO5" s="184"/>
      <c r="AP5" s="184"/>
      <c r="AQ5" s="11"/>
      <c r="AR5" s="12"/>
      <c r="AS5" s="184"/>
      <c r="AT5" s="184"/>
      <c r="AU5" s="184"/>
      <c r="AV5" s="11"/>
      <c r="AW5" s="12"/>
      <c r="AX5" s="184"/>
      <c r="AY5" s="184"/>
      <c r="AZ5" s="184"/>
      <c r="BA5" s="11"/>
      <c r="BB5" s="12"/>
      <c r="BC5" s="184"/>
      <c r="BD5" s="184"/>
      <c r="BE5" s="184"/>
      <c r="BF5" s="11"/>
      <c r="BG5" s="12"/>
      <c r="BH5" s="184"/>
      <c r="BI5" s="184"/>
      <c r="BJ5" s="184"/>
      <c r="BK5" s="184"/>
      <c r="BL5" s="184"/>
      <c r="BM5" s="184"/>
      <c r="BN5" s="184"/>
      <c r="BO5" s="184"/>
      <c r="BP5" s="184"/>
    </row>
    <row r="6">
      <c r="A6" s="12"/>
      <c r="B6" s="186"/>
      <c r="C6" s="12"/>
      <c r="D6" s="12"/>
      <c r="E6" s="12"/>
      <c r="F6" s="12"/>
      <c r="G6" s="12"/>
      <c r="H6" s="11"/>
      <c r="I6" s="11"/>
      <c r="J6" s="12"/>
      <c r="K6" s="12"/>
      <c r="L6" s="12"/>
      <c r="M6" s="11"/>
      <c r="N6" s="12"/>
      <c r="O6" s="12"/>
      <c r="P6" s="12"/>
      <c r="Q6" s="12"/>
      <c r="R6" s="11"/>
      <c r="S6" s="11"/>
      <c r="T6" s="184"/>
      <c r="U6" s="184"/>
      <c r="V6" s="184"/>
      <c r="W6" s="11"/>
      <c r="X6" s="12"/>
      <c r="Y6" s="184"/>
      <c r="Z6" s="184"/>
      <c r="AA6" s="184"/>
      <c r="AB6" s="11"/>
      <c r="AC6" s="12"/>
      <c r="AD6" s="184"/>
      <c r="AE6" s="184"/>
      <c r="AF6" s="184"/>
      <c r="AG6" s="11"/>
      <c r="AH6" s="12"/>
      <c r="AI6" s="184"/>
      <c r="AJ6" s="184"/>
      <c r="AK6" s="184"/>
      <c r="AL6" s="11"/>
      <c r="AM6" s="12"/>
      <c r="AN6" s="184"/>
      <c r="AO6" s="184"/>
      <c r="AP6" s="184"/>
      <c r="AQ6" s="11"/>
      <c r="AR6" s="12"/>
      <c r="AS6" s="184"/>
      <c r="AT6" s="184"/>
      <c r="AU6" s="184"/>
      <c r="AV6" s="11"/>
      <c r="AW6" s="12"/>
      <c r="AX6" s="184"/>
      <c r="AY6" s="184"/>
      <c r="AZ6" s="184"/>
      <c r="BA6" s="11"/>
      <c r="BB6" s="12"/>
      <c r="BC6" s="184"/>
      <c r="BD6" s="184"/>
      <c r="BE6" s="184"/>
      <c r="BF6" s="11"/>
      <c r="BG6" s="12"/>
      <c r="BH6" s="184"/>
      <c r="BI6" s="184"/>
      <c r="BJ6" s="184"/>
      <c r="BK6" s="184"/>
      <c r="BL6" s="184"/>
      <c r="BM6" s="184"/>
      <c r="BN6" s="184"/>
      <c r="BO6" s="184"/>
      <c r="BP6" s="184"/>
    </row>
    <row r="7" ht="28.5" customHeight="1">
      <c r="A7" s="192" t="str">
        <f>IF((SUM(LEN(I11), LEN(N11), LEN(S11), LEN(X11), LEN(AC11), LEN(AH11), LEN(AM11), LEN(AR11), LEN(AW11), LEN(BB11), LEN(BG11)))&gt;0, "FABRIC TOKYO "&amp; $D$1 &amp; " " &amp; TEXT($A$1, "yyyy-m-d") &amp; " お直し適用サイズ" &amp; CHAR(10), "")</f>
        <v>FABRIC TOKYO 新宿 2025-11-30 お直し適用サイズ
</v>
      </c>
      <c r="B7" s="193"/>
      <c r="C7" s="12"/>
      <c r="D7" s="194" t="s">
        <v>31</v>
      </c>
      <c r="E7" s="12"/>
      <c r="F7" s="12"/>
      <c r="G7" s="12"/>
      <c r="H7" s="11"/>
      <c r="I7" s="11"/>
      <c r="J7" s="12"/>
      <c r="K7" s="197"/>
      <c r="L7" s="12"/>
      <c r="M7" s="11"/>
      <c r="N7" s="12"/>
      <c r="O7" s="12"/>
      <c r="P7" s="12"/>
      <c r="Q7" s="12"/>
      <c r="R7" s="11"/>
      <c r="S7" s="11"/>
      <c r="T7" s="184"/>
      <c r="U7" s="184"/>
      <c r="V7" s="184"/>
      <c r="W7" s="11"/>
      <c r="X7" s="12"/>
      <c r="Y7" s="184"/>
      <c r="Z7" s="184"/>
      <c r="AA7" s="184"/>
      <c r="AB7" s="11"/>
      <c r="AC7" s="12"/>
      <c r="AD7" s="184"/>
      <c r="AE7" s="184"/>
      <c r="AF7" s="184"/>
      <c r="AG7" s="11"/>
      <c r="AH7" s="12"/>
      <c r="AI7" s="184"/>
      <c r="AJ7" s="184"/>
      <c r="AK7" s="184"/>
      <c r="AL7" s="11"/>
      <c r="AM7" s="12"/>
      <c r="AN7" s="184"/>
      <c r="AO7" s="184"/>
      <c r="AP7" s="184"/>
      <c r="AQ7" s="11"/>
      <c r="AR7" s="12"/>
      <c r="AS7" s="184"/>
      <c r="AT7" s="184"/>
      <c r="AU7" s="184"/>
      <c r="AV7" s="11"/>
      <c r="AW7" s="12"/>
      <c r="AX7" s="184"/>
      <c r="AY7" s="184"/>
      <c r="AZ7" s="184"/>
      <c r="BA7" s="11"/>
      <c r="BB7" s="12"/>
      <c r="BC7" s="184"/>
      <c r="BD7" s="184"/>
      <c r="BE7" s="184"/>
      <c r="BF7" s="11"/>
      <c r="BG7" s="12"/>
      <c r="BH7" s="184"/>
      <c r="BI7" s="184"/>
      <c r="BJ7" s="184"/>
      <c r="BK7" s="184"/>
      <c r="BL7" s="184"/>
      <c r="BM7" s="184"/>
      <c r="BN7" s="184"/>
      <c r="BO7" s="184"/>
      <c r="BP7" s="184"/>
    </row>
    <row r="8">
      <c r="A8" s="192" t="str">
        <f>ifs($D$11&lt;&gt;"", 
"FABRIC TOKYO "&amp; $D$1&amp; "" &amp; text($A$1," yyyy-m-d"&amp;" お直し適用サイズ ＊スーツサイズ")
&amp; CHAR(10) &amp;
"FABRIC TOKYO "&amp; $D$1&amp; "" &amp; text($A$1," yyyy-m-d"&amp;" お直し適用サイズ ＊ビジネスカジュアルサイズ" &amp; CHAR(10))
,
$D$11="", "")</f>
        <v/>
      </c>
      <c r="B8" s="193"/>
      <c r="C8" s="195"/>
      <c r="D8" s="196">
        <f>IF(OR($D$11="再製作", $I$11="再製作", $N$11="再製作"), "再製作", 
  IF(AND(COUNTIF($E$11:$O$11, "&gt;=" &amp;  TODAY()), COUNTIF($E$11:$O11, "&lt;&gt;")), MAX($D$11, $I$11, $N$11), ""))</f>
        <v>45996</v>
      </c>
      <c r="E8" s="197" t="s">
        <v>32</v>
      </c>
      <c r="F8" s="12"/>
      <c r="G8" s="12"/>
      <c r="H8" s="12"/>
      <c r="I8" s="12"/>
      <c r="J8" s="195"/>
      <c r="K8" s="195"/>
      <c r="L8" s="195"/>
      <c r="M8" s="11"/>
      <c r="N8" s="198" t="s">
        <v>33</v>
      </c>
      <c r="O8" s="12"/>
      <c r="P8" s="12"/>
      <c r="Q8" s="12"/>
      <c r="R8" s="11"/>
      <c r="S8" s="11"/>
      <c r="T8" s="184"/>
      <c r="U8" s="184"/>
      <c r="V8" s="184"/>
      <c r="W8" s="11"/>
      <c r="X8" s="12"/>
      <c r="Y8" s="184"/>
      <c r="Z8" s="184"/>
      <c r="AA8" s="184"/>
      <c r="AB8" s="11"/>
      <c r="AC8" s="12"/>
      <c r="AD8" s="184"/>
      <c r="AE8" s="184"/>
      <c r="AF8" s="184"/>
      <c r="AG8" s="11"/>
      <c r="AH8" s="12"/>
      <c r="AI8" s="184"/>
      <c r="AJ8" s="184"/>
      <c r="AK8" s="184"/>
      <c r="AL8" s="11"/>
      <c r="AM8" s="12"/>
      <c r="AN8" s="184"/>
      <c r="AO8" s="184"/>
      <c r="AP8" s="184"/>
      <c r="AQ8" s="11"/>
      <c r="AR8" s="12"/>
      <c r="AS8" s="184"/>
      <c r="AT8" s="184"/>
      <c r="AU8" s="184"/>
      <c r="AV8" s="11"/>
      <c r="AW8" s="12"/>
      <c r="AX8" s="184"/>
      <c r="AY8" s="184"/>
      <c r="AZ8" s="184"/>
      <c r="BA8" s="11"/>
      <c r="BB8" s="12"/>
      <c r="BC8" s="184"/>
      <c r="BD8" s="184"/>
      <c r="BE8" s="184"/>
      <c r="BF8" s="11"/>
      <c r="BG8" s="12"/>
      <c r="BH8" s="184"/>
      <c r="BI8" s="184"/>
      <c r="BJ8" s="184"/>
      <c r="BK8" s="184"/>
      <c r="BL8" s="184"/>
      <c r="BM8" s="184"/>
      <c r="BN8" s="184"/>
      <c r="BO8" s="184"/>
      <c r="BP8" s="184"/>
    </row>
    <row r="9">
      <c r="A9" s="12"/>
      <c r="B9" s="186"/>
      <c r="C9" s="12"/>
      <c r="D9" s="12"/>
      <c r="E9" s="11"/>
      <c r="F9" s="11"/>
      <c r="G9" s="11"/>
      <c r="H9" s="11"/>
      <c r="I9" s="11"/>
      <c r="J9" s="11"/>
      <c r="K9" s="11"/>
      <c r="L9" s="11"/>
      <c r="M9" s="11"/>
      <c r="N9" s="11"/>
      <c r="O9" s="11"/>
      <c r="P9" s="11"/>
      <c r="Q9" s="11"/>
      <c r="R9" s="11"/>
      <c r="S9" s="12"/>
      <c r="T9" s="184"/>
      <c r="U9" s="184"/>
      <c r="V9" s="184"/>
      <c r="W9" s="11"/>
      <c r="X9" s="12"/>
      <c r="Y9" s="184"/>
      <c r="Z9" s="184"/>
      <c r="AA9" s="184"/>
      <c r="AB9" s="11"/>
      <c r="AC9" s="12"/>
      <c r="AD9" s="184"/>
      <c r="AE9" s="184"/>
      <c r="AF9" s="184"/>
      <c r="AG9" s="11"/>
      <c r="AH9" s="12"/>
      <c r="AI9" s="184"/>
      <c r="AJ9" s="184"/>
      <c r="AK9" s="184"/>
      <c r="AL9" s="11"/>
      <c r="AM9" s="12"/>
      <c r="AN9" s="184"/>
      <c r="AO9" s="184"/>
      <c r="AP9" s="184"/>
      <c r="AQ9" s="11"/>
      <c r="AR9" s="12"/>
      <c r="AS9" s="184"/>
      <c r="AT9" s="184"/>
      <c r="AU9" s="184"/>
      <c r="AV9" s="11"/>
      <c r="AW9" s="12"/>
      <c r="AX9" s="184"/>
      <c r="AY9" s="184"/>
      <c r="AZ9" s="184"/>
      <c r="BA9" s="11"/>
      <c r="BB9" s="12"/>
      <c r="BC9" s="184"/>
      <c r="BD9" s="184"/>
      <c r="BE9" s="184"/>
      <c r="BF9" s="11"/>
      <c r="BG9" s="12"/>
      <c r="BH9" s="184"/>
      <c r="BI9" s="184"/>
      <c r="BJ9" s="184"/>
      <c r="BK9" s="184"/>
      <c r="BL9" s="184"/>
      <c r="BM9" s="184"/>
      <c r="BN9" s="184"/>
      <c r="BO9" s="184"/>
      <c r="BP9" s="184"/>
    </row>
    <row r="10" ht="15.75" customHeight="1">
      <c r="A10" s="199" t="str">
        <f t="array" ref="A10">TRIM(
 IF($A$14&lt;&gt;"",TEXTJOIN(CHAR(10),TRUE,IF($A$14:$A$17&lt;&gt;"",$A$14:$A$17,"")) &amp; CHAR(10) &amp; CHAR(10),"") &amp;
 IF($A$19&lt;&gt;"",TEXTJOIN(CHAR(10),TRUE,IF($A$19:$A$22&lt;&gt;"",$A$19:$A$22,"")) &amp; CHAR(10) &amp; CHAR(10),"") &amp;
 IF($A$24&lt;&gt;"",TEXTJOIN(CHAR(10),TRUE,IF($A$24:$A$27&lt;&gt;"",$A$24:$A$27,"")) &amp; CHAR(10) &amp; CHAR(10),"") &amp;
 IF($A$29&lt;&gt;"",TEXTJOIN(CHAR(10),TRUE,IF($A$29:$A$32&lt;&gt;"",$A$29:$A$32,"")) &amp; CHAR(10) &amp; CHAR(10),"") &amp;
 IF($A$34&lt;&gt;"",TEXTJOIN(CHAR(10),TRUE,IF($A$34:$A$37&lt;&gt;"",$A$34:$A$37,"")) &amp; CHAR(10) &amp; CHAR(10),"") &amp;
 IF($A$39&lt;&gt;"",TEXTJOIN(CHAR(10),TRUE,IF($A$39:$A$42&lt;&gt;"",$A$39:$A$42,"")) &amp; CHAR(10) &amp; CHAR(10),"") &amp;
 IF($A$44&lt;&gt;"",TEXTJOIN(CHAR(10),TRUE,IF($A$44:$A$47&lt;&gt;"",$A$44:$A$47,"")) &amp; CHAR(10) &amp; CHAR(10),"") &amp;
 IF($A$49&lt;&gt;"",TEXTJOIN(CHAR(10),TRUE,IF($A$49:$A$52&lt;&gt;"",$A$49:$A$52,"")) &amp; CHAR(10) &amp; CHAR(10),"") &amp;
 IF($A$54&lt;&gt;"",TEXTJOIN(CHAR(10),TRUE,IF($A$54:$A$57&lt;&gt;"",$A$54:$A$57,"")) &amp; CHAR(10) &amp; CHAR(10),"") &amp;
 IF($A$59&lt;&gt;"",TEXTJOIN(CHAR(10),TRUE,IF($A$59:$A$62&lt;&gt;"",$A$59:$A$62,"")) &amp; CHAR(10) &amp; CHAR(10),"") &amp;
 IF($A$64&lt;&gt;"",TEXTJOIN(CHAR(10),TRUE,IF($A$64:$A$67&lt;&gt;"",$A$64:$A$67,"")) &amp; CHAR(10) &amp; CHAR(10),"") &amp;
 IF($A$69&lt;&gt;"",TEXTJOIN(CHAR(10),TRUE,IF($A$69:$A$72&lt;&gt;"",$A$69:$A$72,"")) &amp; CHAR(10) &amp; CHAR(10),"") 
)
</f>
        <v>◼︎ パンツ（対応着地：お直し）
《修正数値》
パンツウエスト : -2 cm
《仕上がり数値》
パンツウエスト : cm
◼︎ シャツ（対応着地：再製作）
《修正数値》
バスト(長袖) : -2 cm
ウエスト : -3 cm
首まわり : -1 cm
ヒップ仕上がり寸 : -3 cm
裄丈 (長袖) : -3 cm
《仕上がり数値》
バスト(長袖) : cm
ウエスト : cm
首まわり : cm
ヒップ仕上がり寸 : cm
裄丈 (長袖) : cm</v>
      </c>
      <c r="B10" s="12"/>
      <c r="C10" s="12"/>
      <c r="D10" s="200" t="s">
        <v>34</v>
      </c>
      <c r="E10" s="201"/>
      <c r="F10" s="201"/>
      <c r="G10" s="202" t="s">
        <v>35</v>
      </c>
      <c r="H10" s="11"/>
      <c r="I10" s="200" t="s">
        <v>36</v>
      </c>
      <c r="J10" s="203"/>
      <c r="K10" s="201"/>
      <c r="L10" s="202" t="s">
        <v>35</v>
      </c>
      <c r="M10" s="11"/>
      <c r="N10" s="204" t="s">
        <v>37</v>
      </c>
      <c r="O10" s="203"/>
      <c r="P10" s="201"/>
      <c r="Q10" s="202" t="s">
        <v>35</v>
      </c>
      <c r="R10" s="11"/>
      <c r="S10" s="200" t="s">
        <v>38</v>
      </c>
      <c r="T10" s="203"/>
      <c r="U10" s="201"/>
      <c r="V10" s="202" t="s">
        <v>35</v>
      </c>
      <c r="W10" s="11"/>
      <c r="X10" s="200" t="s">
        <v>39</v>
      </c>
      <c r="Y10" s="203"/>
      <c r="Z10" s="201"/>
      <c r="AA10" s="202" t="s">
        <v>35</v>
      </c>
      <c r="AB10" s="11"/>
      <c r="AC10" s="200" t="s">
        <v>40</v>
      </c>
      <c r="AD10" s="203"/>
      <c r="AE10" s="201"/>
      <c r="AF10" s="202" t="s">
        <v>35</v>
      </c>
      <c r="AG10" s="11"/>
      <c r="AH10" s="200" t="s">
        <v>41</v>
      </c>
      <c r="AI10" s="203"/>
      <c r="AJ10" s="201"/>
      <c r="AK10" s="202" t="s">
        <v>35</v>
      </c>
      <c r="AL10" s="11"/>
      <c r="AM10" s="200" t="s">
        <v>42</v>
      </c>
      <c r="AN10" s="203"/>
      <c r="AO10" s="201"/>
      <c r="AP10" s="202" t="s">
        <v>35</v>
      </c>
      <c r="AQ10" s="11"/>
      <c r="AR10" s="200" t="s">
        <v>43</v>
      </c>
      <c r="AS10" s="203"/>
      <c r="AT10" s="201"/>
      <c r="AU10" s="202" t="s">
        <v>35</v>
      </c>
      <c r="AV10" s="12"/>
      <c r="AW10" s="200" t="s">
        <v>44</v>
      </c>
      <c r="AX10" s="203"/>
      <c r="AY10" s="201"/>
      <c r="AZ10" s="202" t="s">
        <v>35</v>
      </c>
      <c r="BA10" s="12"/>
      <c r="BB10" s="200" t="s">
        <v>45</v>
      </c>
      <c r="BC10" s="203"/>
      <c r="BD10" s="201"/>
      <c r="BE10" s="202" t="s">
        <v>35</v>
      </c>
      <c r="BF10" s="12"/>
      <c r="BG10" s="200" t="s">
        <v>46</v>
      </c>
      <c r="BH10" s="203"/>
      <c r="BI10" s="201"/>
      <c r="BJ10" s="202" t="s">
        <v>35</v>
      </c>
      <c r="BK10" s="12"/>
      <c r="BL10" s="200" t="s">
        <v>47</v>
      </c>
      <c r="BM10" s="201"/>
      <c r="BN10" s="201"/>
      <c r="BO10" s="202" t="s">
        <v>35</v>
      </c>
      <c r="BP10" s="12"/>
    </row>
    <row r="11" ht="37.5" customHeight="1">
      <c r="A11" s="205" t="s">
        <v>48</v>
      </c>
      <c r="B11" s="206"/>
      <c r="C11" s="207"/>
      <c r="D11" s="196" t="str">
        <f t="array" ref="D11">IFS( COUNTA(F$13:F27) = 0, "", COUNTIF(F$13:F27, "再製作") &gt; 0, "再製作", COUNTIF(F$13:F27, "&gt;0") = 1, INDEX(F$13:F27, MATCH(TRUE, ISNUMBER(F$13:F27), 0)), COUNTIF(F$13:F27, "&gt;0") = 2, 'アイテム別限界値DB'!$S$4, COUNTIF(F$13:F27, "&gt;0") &gt;= 3, 'アイテム別限界値DB'!$S$6, TRUE, "" ) </f>
        <v/>
      </c>
      <c r="E11" s="208" t="s">
        <v>49</v>
      </c>
      <c r="F11" s="202" t="s">
        <v>50</v>
      </c>
      <c r="G11" s="209">
        <f>sum(G12:G72)</f>
        <v>0</v>
      </c>
      <c r="H11" s="206"/>
      <c r="I11" s="196">
        <f t="array" ref="I11">IFS( COUNTA(K$13:K27) = 0, "", COUNTIF(K$13:K27, "再製作") &gt; 0, "再製作", COUNTIF(K$13:K27, "&gt;0") = 1, INDEX(K$13:K27, MATCH(TRUE, ISNUMBER(K$13:K27), 0)), COUNTIF(K$13:K27, "&gt;0") = 2, 'アイテム別限界値DB'!$S$8, COUNTIF(K$13:K27, "&gt;0") &gt;= 3, 'アイテム別限界値DB'!$S$10, TRUE, "" ) </f>
        <v>45996</v>
      </c>
      <c r="J11" s="210" t="s">
        <v>49</v>
      </c>
      <c r="K11" s="202" t="s">
        <v>50</v>
      </c>
      <c r="L11" s="209">
        <f>sum(L12:L72)</f>
        <v>0</v>
      </c>
      <c r="M11" s="206"/>
      <c r="N11" s="196" t="str">
        <f t="array" ref="N11">IFS( COUNTA(P$13:P27) = 0, "", COUNTIF(P$13:P27, "再製作") &gt; 0, "再製作", COUNTIF(P$13:P27, "&gt;0") = 1, INDEX(P$13:P27, MATCH(TRUE, ISNUMBER(P$13:P27), 0)), COUNTIF(P$13:P27, "&gt;0") = 2, 'アイテム別限界値DB'!$S$4, COUNTIF(P$13:P27, "&gt;0") &gt;= 3, 'アイテム別限界値DB'!$S$6, TRUE, "" ) </f>
        <v/>
      </c>
      <c r="O11" s="210" t="s">
        <v>49</v>
      </c>
      <c r="P11" s="202" t="s">
        <v>50</v>
      </c>
      <c r="Q11" s="209">
        <f>sum(Q12:Q72)</f>
        <v>0</v>
      </c>
      <c r="R11" s="211"/>
      <c r="S11" s="196" t="str">
        <f t="array" ref="S11">IFS( COUNTA(U$13:U27) = 0, "", COUNTIF(U$13:U27, "再製作") &gt; 0, "再製作", COUNTIF(U$13:U27, "&gt;0") = 1, INDEX(U$13:U27, MATCH(TRUE, ISNUMBER(U$13:U27), 0)), COUNTIF(U$13:U27, "&gt;0") = 2, 'アイテム別限界値DB'!$S$8, COUNTIF(U$13:U27, "&gt;0") &gt;= 3, 'アイテム別限界値DB'!$S$10, TRUE, "" ) </f>
        <v/>
      </c>
      <c r="T11" s="210" t="s">
        <v>49</v>
      </c>
      <c r="U11" s="202" t="s">
        <v>50</v>
      </c>
      <c r="V11" s="209">
        <f>sum(V12:V72)</f>
        <v>0</v>
      </c>
      <c r="W11" s="212"/>
      <c r="X11" s="196" t="str">
        <f t="array" ref="X11">IFS( COUNTA(Z$13:Z27) = 0, "", COUNTIF(Z$13:Z27, "再製作") &gt; 0, "再製作", COUNTIF(Z$13:Z27, "&gt;0") = 1, INDEX(Z$13:Z27, MATCH(TRUE, ISNUMBER(Z$13:Z27), 0)), COUNTIF(Z$13:Z27, "&gt;0") = 2, 'アイテム別限界値DB'!$S$4, COUNTIF(Z$13:Z27, "&gt;0") &gt;= 3, 'アイテム別限界値DB'!$S$6, TRUE, "" ) </f>
        <v>再製作</v>
      </c>
      <c r="Y11" s="210" t="s">
        <v>49</v>
      </c>
      <c r="Z11" s="202" t="s">
        <v>50</v>
      </c>
      <c r="AA11" s="209">
        <f>sum(AA12:AA72)</f>
        <v>0</v>
      </c>
      <c r="AB11" s="211"/>
      <c r="AC11" s="196" t="str">
        <f t="array" ref="AC11">IFS( COUNTA(AE$13:AE27) = 0, "", COUNTIF(AE$13:AE27, "再製作") &gt; 0, "再製作", COUNTIF(AE$13:AE27, "&gt;0") = 1, INDEX(AE$13:AE27, MATCH(TRUE, ISNUMBER(AE$13:AE27), 0)), COUNTIF(AE$13:AE27, "&gt;0") = 2, 'アイテム別限界値DB'!$S$4, COUNTIF(AE$13:AE27, "&gt;0") &gt;= 3, 'アイテム別限界値DB'!$S$6, TRUE, "" ) </f>
        <v/>
      </c>
      <c r="AD11" s="210" t="s">
        <v>49</v>
      </c>
      <c r="AE11" s="202" t="s">
        <v>50</v>
      </c>
      <c r="AF11" s="209">
        <f>sum(AF12:AF72)</f>
        <v>0</v>
      </c>
      <c r="AG11" s="211"/>
      <c r="AH11" s="196" t="str">
        <f t="array" ref="AH11">IFS( COUNTA(AJ$13:AJ27) = 0, "", COUNTIF(AJ$13:AJ27, "再製作") &gt; 0, "再製作", COUNTIF(AJ$13:AJ27, "&gt;0") = 1, INDEX(AJ$13:AJ27, MATCH(TRUE, ISNUMBER(AJ$13:AJ27), 0)), COUNTIF(AJ$13:AJ27, "&gt;0") = 2, 'アイテム別限界値DB'!$S$4, COUNTIF(AJ$13:AJ27, "&gt;0") &gt;= 3, 'アイテム別限界値DB'!$S$6, TRUE, "" ) </f>
        <v/>
      </c>
      <c r="AI11" s="210" t="s">
        <v>49</v>
      </c>
      <c r="AJ11" s="202" t="s">
        <v>50</v>
      </c>
      <c r="AK11" s="209">
        <f>sum(AK12:AK72)</f>
        <v>0</v>
      </c>
      <c r="AL11" s="211"/>
      <c r="AM11" s="196" t="str">
        <f t="array" ref="AM11">IFS( COUNTA(AO$13:AO27) = 0, "", COUNTIF(AO$13:AO27, "再製作") &gt; 0, "再製作", COUNTIF(AO$13:AO27, "&gt;0") = 1, INDEX(AO$13:AO27, MATCH(TRUE, ISNUMBER(AO$13:AO27), 0)), COUNTIF(AO$13:AO27, "&gt;0") = 2, 'アイテム別限界値DB'!$S$4, COUNTIF(AO$13:AO27, "&gt;0") &gt;= 3, 'アイテム別限界値DB'!$S$6, TRUE, "" ) </f>
        <v/>
      </c>
      <c r="AN11" s="210" t="s">
        <v>49</v>
      </c>
      <c r="AO11" s="202" t="s">
        <v>50</v>
      </c>
      <c r="AP11" s="209">
        <f>sum(AP12:AP72)</f>
        <v>0</v>
      </c>
      <c r="AQ11" s="211"/>
      <c r="AR11" s="196" t="str">
        <f t="array" ref="AR11">IFS( COUNTA(AT$13:AT27) = 0, "", COUNTIF(AT$13:AT27, "再製作") &gt; 0, "再製作", COUNTIF(AT$13:AT27, "&gt;0") = 1, INDEX(AT$13:AT27, MATCH(TRUE, ISNUMBER(AT$13:AT27), 0)), COUNTIF(AT$13:AT27, "&gt;0") = 2, 'アイテム別限界値DB'!$S$4, COUNTIF(AT$13:AT27, "&gt;0") &gt;= 3, 'アイテム別限界値DB'!$S$6, TRUE, "" ) </f>
        <v/>
      </c>
      <c r="AS11" s="210" t="s">
        <v>49</v>
      </c>
      <c r="AT11" s="202" t="s">
        <v>50</v>
      </c>
      <c r="AU11" s="209">
        <f>sum(AU12:AU72)</f>
        <v>0</v>
      </c>
      <c r="AV11" s="213"/>
      <c r="AW11" s="196" t="str">
        <f t="array" ref="AW11">IFS( COUNTA(AY$13:AY27) = 0, "", COUNTIF(AY$13:AY27, "再製作") &gt; 0, "再製作", COUNTIF(AY$13:AY27, "&gt;0") = 1, INDEX(AY$13:AY27, MATCH(TRUE, ISNUMBER(AY$13:AY27), 0)), COUNTIF(AY$13:AY27, "&gt;0") = 2, 'アイテム別限界値DB'!$S$4, COUNTIF(AY$13:AY27, "&gt;0") &gt;= 3, 'アイテム別限界値DB'!$S$6, TRUE, "" ) </f>
        <v/>
      </c>
      <c r="AX11" s="210" t="s">
        <v>49</v>
      </c>
      <c r="AY11" s="202" t="s">
        <v>50</v>
      </c>
      <c r="AZ11" s="209">
        <f>sum(AZ12:AZ72)</f>
        <v>0</v>
      </c>
      <c r="BA11" s="213"/>
      <c r="BB11" s="196" t="str">
        <f t="array" ref="BB11">IFS( COUNTA(BD$13:BD27) = 0, "", COUNTIF(BD$13:BD27, "再製作") &gt; 0, "再製作", COUNTIF(BD$13:BD27, "&gt;0") = 1, INDEX(BD$13:BD27, MATCH(TRUE, ISNUMBER(BD$13:BD27), 0)), COUNTIF(BD$13:BD27, "&gt;0") = 2, 'アイテム別限界値DB'!$S$4, COUNTIF(BD$13:BD27, "&gt;0") &gt;= 3, 'アイテム別限界値DB'!$S$6, TRUE, "" ) </f>
        <v/>
      </c>
      <c r="BC11" s="210" t="s">
        <v>49</v>
      </c>
      <c r="BD11" s="202" t="s">
        <v>50</v>
      </c>
      <c r="BE11" s="209">
        <f>sum(BE12:BE72)</f>
        <v>0</v>
      </c>
      <c r="BF11" s="213"/>
      <c r="BG11" s="196" t="str">
        <f t="array" ref="BG11">IFS( COUNTA(BI$13:BI27) = 0, "", COUNTIF(BI$13:BI27, "再製作") &gt; 0, "再製作", COUNTIF(BI$13:BI27, "&gt;0") = 1, INDEX(BI$13:BI27, MATCH(TRUE, ISNUMBER(BI$13:BI27), 0)), COUNTIF(BI$13:BI27, "&gt;0") = 2, 'アイテム別限界値DB'!$S$4, COUNTIF(BI$13:BI27, "&gt;0") &gt;= 3, 'アイテム別限界値DB'!$S$6, TRUE, "" ) </f>
        <v/>
      </c>
      <c r="BH11" s="210" t="s">
        <v>49</v>
      </c>
      <c r="BI11" s="202" t="s">
        <v>50</v>
      </c>
      <c r="BJ11" s="209">
        <f>sum(BJ12:BJ72)</f>
        <v>0</v>
      </c>
      <c r="BK11" s="213"/>
      <c r="BL11" s="196">
        <f t="array" ref="BL11">IFS( COUNTA(BN$13:BN27) = 0, "", COUNTIF(BN$13:BN27, "再製作") &gt; 0, "再製作", COUNTIF(BN$13:BN27, "&gt;0") = 1, INDEX(BN$13:BN27, MATCH(TRUE, ISNUMBER(BN$13:BN27), 0)), COUNTIF(BN$13:BN27, "&gt;0") = 2, 'アイテム別限界値DB'!$S$4, COUNTIF(BN$13:BN27, "&gt;0") &gt;= 3, 'アイテム別限界値DB'!$S$6, TRUE, "" ) </f>
        <v>46003</v>
      </c>
      <c r="BM11" s="214" t="s">
        <v>49</v>
      </c>
      <c r="BN11" s="215" t="s">
        <v>50</v>
      </c>
      <c r="BO11" s="209">
        <f>sum(BO12:BO72)</f>
        <v>0</v>
      </c>
      <c r="BP11" s="213"/>
    </row>
    <row r="12" ht="15.75" hidden="1" customHeight="1">
      <c r="A12" s="11"/>
      <c r="B12" s="11"/>
      <c r="C12" s="11"/>
      <c r="D12" s="216" t="s">
        <v>51</v>
      </c>
      <c r="E12" s="217" t="str">
        <f>IF(D11="再製作", "再製作", IF(D11&lt;&gt;"", "お直し", ""))
</f>
        <v/>
      </c>
      <c r="F12" s="195"/>
      <c r="G12" s="218" t="str">
        <f t="array" ref="G12">IF(
  E12 = "再製作", 
  "", 
 if(E12="", "",
  IFERROR(
    INDEX(
      'アイテム別限界値DB'!$L:$L, 
      MATCH(
        1, 
        ('アイテム別限界値DB'!$B:$B = D$10) * 
        ('アイテム別限界値DB'!$C:$C = D12), 
        0
      )
    ), 
    "再製作"
  )
))
</f>
        <v/>
      </c>
      <c r="H12" s="12"/>
      <c r="I12" s="216" t="s">
        <v>51</v>
      </c>
      <c r="J12" s="217" t="str">
        <f>IF(I11="再製作", "再製作", IF(I11&lt;&gt;"", "お直し", ""))
</f>
        <v>お直し</v>
      </c>
      <c r="K12" s="195"/>
      <c r="L12" s="218" t="str">
        <f t="array" ref="L12">IF(
  J12 = "再製作", 
  "", 
 if(J12="", "",
  IFERROR(
    INDEX(
      'アイテム別限界値DB'!$L:$L, 
      MATCH(
        1, 
        ('アイテム別限界値DB'!$B:$B = I$10) * 
        ('アイテム別限界値DB'!$C:$C = I12), 
        0
      )
    ), 
    "再製作"
  )
))
</f>
        <v/>
      </c>
      <c r="M12" s="121"/>
      <c r="N12" s="216" t="s">
        <v>51</v>
      </c>
      <c r="O12" s="217" t="str">
        <f>IF(N11="再製作", "再製作", IF(N11&lt;&gt;"", "お直し", ""))
</f>
        <v/>
      </c>
      <c r="P12" s="195"/>
      <c r="Q12" s="218" t="str">
        <f t="array" ref="Q12">IF(
  O12 = "再製作", 
  "", 
 if(O12="", "",
  IFERROR(
    INDEX(
      'アイテム別限界値DB'!$L:$L, 
      MATCH(
        1, 
        ('アイテム別限界値DB'!$B:$B = N$10) * 
        ('アイテム別限界値DB'!$C:$C = N12), 
        0
      )
    ), 
    "再製作"
  )
))
</f>
        <v/>
      </c>
      <c r="R12" s="11"/>
      <c r="S12" s="216" t="s">
        <v>51</v>
      </c>
      <c r="T12" s="219" t="str">
        <f>IF(S11="再製作", "再製作", IF(S11&lt;&gt;"", "お直し", ""))
</f>
        <v/>
      </c>
      <c r="U12" s="220"/>
      <c r="V12" s="218" t="str">
        <f t="array" ref="V12">IF(
  T12 = "再製作", 
  "", 
 if(T12="", "",
  IFERROR(
    INDEX(
      'アイテム別限界値DB'!$L:$L, 
      MATCH(
        1, 
        ('アイテム別限界値DB'!$B:$B = S$10) * 
        ('アイテム別限界値DB'!$C:$C = S12), 
        0
      )
    ), 
    "再製作"
  )
))
</f>
        <v/>
      </c>
      <c r="W12" s="12"/>
      <c r="X12" s="216" t="s">
        <v>51</v>
      </c>
      <c r="Y12" s="219" t="str">
        <f>IF(X11="再製作", "再製作", IF(X11&lt;&gt;"", "お直し", ""))
</f>
        <v>再製作</v>
      </c>
      <c r="Z12" s="220"/>
      <c r="AA12" s="218" t="str">
        <f t="array" ref="AA12">IF(
  Y12 = "再製作", 
  "", 
 if(Y12="", "",
  IFERROR(
    INDEX(
      'アイテム別限界値DB'!$L:$L, 
      MATCH(
        1, 
        ('アイテム別限界値DB'!$B:$B = X$10) * 
        ('アイテム別限界値DB'!$C:$C = X12), 
        0
      )
    ), 
    "再製作"
  )
))
</f>
        <v/>
      </c>
      <c r="AB12" s="11"/>
      <c r="AC12" s="216" t="s">
        <v>51</v>
      </c>
      <c r="AD12" s="219" t="str">
        <f>IF(AC11="再製作", "再製作", IF(AC11&lt;&gt;"", "お直し", ""))
</f>
        <v/>
      </c>
      <c r="AE12" s="220"/>
      <c r="AF12" s="218" t="str">
        <f t="array" ref="AF12">IF(
  AD12 = "再製作", 
  "", 
 if(AD12="", "",
  IFERROR(
    INDEX(
      'アイテム別限界値DB'!$L:$L, 
      MATCH(
        1, 
        ('アイテム別限界値DB'!$B:$B = AC$10) * 
        ('アイテム別限界値DB'!$C:$C = AC12), 
        0
      )
    ), 
    "再製作"
  )
))
</f>
        <v/>
      </c>
      <c r="AG12" s="11"/>
      <c r="AH12" s="216" t="s">
        <v>51</v>
      </c>
      <c r="AI12" s="219" t="str">
        <f>IF(AH11="再製作", "再製作", IF(AH11&lt;&gt;"", "お直し", ""))
</f>
        <v/>
      </c>
      <c r="AJ12" s="220"/>
      <c r="AK12" s="218" t="str">
        <f t="array" ref="AK12">IF(
  AI12 = "再製作", 
  "", 
 if(AI12="", "",
  IFERROR(
    INDEX(
      'アイテム別限界値DB'!$L:$L, 
      MATCH(
        1, 
        ('アイテム別限界値DB'!$B:$B = AH$10) * 
        ('アイテム別限界値DB'!$C:$C = AH12), 
        0
      )
    ), 
    "再製作"
  )
))
</f>
        <v/>
      </c>
      <c r="AL12" s="11"/>
      <c r="AM12" s="216" t="s">
        <v>51</v>
      </c>
      <c r="AN12" s="219" t="str">
        <f>IF(AM11="再製作", "再製作", IF(AM11&lt;&gt;"", "お直し", ""))
</f>
        <v/>
      </c>
      <c r="AO12" s="220"/>
      <c r="AP12" s="218" t="str">
        <f t="array" ref="AP12">IF(
  AN12 = "再製作", 
  "", 
 if(AN12="", "",
  IFERROR(
    INDEX(
      'アイテム別限界値DB'!$L:$L, 
      MATCH(
        1, 
        ('アイテム別限界値DB'!$B:$B = AM$10) * 
        ('アイテム別限界値DB'!$C:$C = AM12), 
        0
      )
    ), 
    "再製作"
  )
))
</f>
        <v/>
      </c>
      <c r="AQ12" s="11"/>
      <c r="AR12" s="216" t="s">
        <v>51</v>
      </c>
      <c r="AS12" s="219" t="str">
        <f>IF(AR11="再製作", "再製作", IF(AR11&lt;&gt;"", "お直し", ""))
</f>
        <v/>
      </c>
      <c r="AT12" s="220"/>
      <c r="AU12" s="218" t="str">
        <f t="array" ref="AU12">IF(
  AS12 = "再製作", 
  "", 
 if(AS12="", "",
  IFERROR(
    INDEX(
      'アイテム別限界値DB'!$L:$L, 
      MATCH(
        1, 
        ('アイテム別限界値DB'!$B:$B = AR$10) * 
        ('アイテム別限界値DB'!$C:$C = AR12), 
        0
      )
    ), 
    "再製作"
  )
))
</f>
        <v/>
      </c>
      <c r="AV12" s="121"/>
      <c r="AW12" s="216" t="s">
        <v>51</v>
      </c>
      <c r="AX12" s="219" t="str">
        <f>IF(AW11="再製作", "再製作", IF(AW11&lt;&gt;"", "お直し", ""))
</f>
        <v/>
      </c>
      <c r="AY12" s="220"/>
      <c r="AZ12" s="218" t="str">
        <f t="array" ref="AZ12">IF(
  AX12 = "再製作", 
  "", 
 if(AX12="", "",
  IFERROR(
    INDEX(
      'アイテム別限界値DB'!$L:$L, 
      MATCH(
        1, 
        ('アイテム別限界値DB'!$B:$B = AW$10) * 
        ('アイテム別限界値DB'!$C:$C = AW12), 
        0
      )
    ), 
    "再製作"
  )
))
</f>
        <v/>
      </c>
      <c r="BA12" s="121"/>
      <c r="BB12" s="216" t="s">
        <v>51</v>
      </c>
      <c r="BC12" s="217" t="str">
        <f>IF(BB11="再製作", "再製作", IF(BB11&lt;&gt;"", "お直し", ""))
</f>
        <v/>
      </c>
      <c r="BD12" s="195"/>
      <c r="BE12" s="218" t="str">
        <f t="array" ref="BE12">IF(
  BC12 = "再製作", 
  "", 
 if(BC12="", "",
  IFERROR(
    INDEX(
      'アイテム別限界値DB'!$L:$L, 
      MATCH(
        1, 
        ('アイテム別限界値DB'!$B:$B = BB$10) * 
        ('アイテム別限界値DB'!$C:$C = BB12), 
        0
      )
    ), 
    "再製作"
  )
))
</f>
        <v/>
      </c>
      <c r="BF12" s="121"/>
      <c r="BG12" s="216" t="s">
        <v>51</v>
      </c>
      <c r="BH12" s="217" t="str">
        <f>IF(BG11="再製作", "再製作", IF(BG11&lt;&gt;"", "お直し", ""))
</f>
        <v/>
      </c>
      <c r="BI12" s="195"/>
      <c r="BJ12" s="218" t="str">
        <f t="array" ref="BJ12">IF(
  BH12 = "再製作", 
  "", 
 if(BH12="", "",
  IFERROR(
    INDEX(
      'アイテム別限界値DB'!$L:$L, 
      MATCH(
        1, 
        ('アイテム別限界値DB'!$B:$B = BG$10) * 
        ('アイテム別限界値DB'!$C:$C = BG12), 
        0
      )
    ), 
    "再製作"
  )
))
</f>
        <v/>
      </c>
      <c r="BK12" s="121"/>
      <c r="BL12" s="221" t="s">
        <v>51</v>
      </c>
      <c r="BM12" s="219" t="str">
        <f>IF(BL11="再製作", "再製作", IF(BL11&lt;&gt;"", "お直し", ""))
</f>
        <v>お直し</v>
      </c>
      <c r="BN12" s="195"/>
      <c r="BO12" s="218" t="str">
        <f t="array" ref="BO12">IF(
  BM12 = "再製作", 
  "", 
 if(BM12="", "",
  IFERROR(
    INDEX(
      'アイテム別限界値DB'!$L:$L, 
      MATCH(
        1, 
        ('アイテム別限界値DB'!$B:$B = BL$10) * 
        ('アイテム別限界値DB'!$C:$C = BL12), 
        0
      )
    ), 
    "再製作"
  )
))
</f>
        <v/>
      </c>
      <c r="BP12" s="195"/>
    </row>
    <row r="13" ht="18.75" hidden="1" customHeight="1">
      <c r="A13" s="222" t="s">
        <v>52</v>
      </c>
      <c r="B13" s="12"/>
      <c r="C13" s="12"/>
      <c r="D13" s="223" t="b">
        <f t="array" ref="D13:D42">UNIQUE(IF( ('アイテム別限界値DB'!$B:$B = D$10) * ('アイテム別限界値DB'!$A:$A = "サイズ"),  IF('アイテム別限界値DB'!$B:$B = D$10, 'アイテム別限界値DB'!$F:$F, "") ))</f>
        <v>0</v>
      </c>
      <c r="E13" s="224"/>
      <c r="F13" s="12"/>
      <c r="G13" s="121"/>
      <c r="H13" s="12"/>
      <c r="I13" s="223" t="b">
        <f t="array" ref="I13:I27">UNIQUE(IF( ('アイテム別限界値DB'!$B:$B = I$10) * ('アイテム別限界値DB'!$A:$A = "サイズ"),  IF('アイテム別限界値DB'!$B:$B = I$10, 'アイテム別限界値DB'!$F:$F, "") ))</f>
        <v>0</v>
      </c>
      <c r="J13" s="224"/>
      <c r="K13" s="12"/>
      <c r="L13" s="121"/>
      <c r="M13" s="12"/>
      <c r="N13" s="223" t="b">
        <f t="array" ref="N13:N21">UNIQUE(IF( ('アイテム別限界値DB'!$B:$B = N$10) * ('アイテム別限界値DB'!$A:$A = "サイズ"),  IF('アイテム別限界値DB'!$B:$B = N$10, 'アイテム別限界値DB'!$C:$C, "") ))</f>
        <v>0</v>
      </c>
      <c r="O13" s="224"/>
      <c r="P13" s="12"/>
      <c r="Q13" s="121"/>
      <c r="R13" s="11"/>
      <c r="S13" s="223" t="b">
        <f t="array" ref="S13:S28">UNIQUE(IF( ('アイテム別限界値DB'!$B:$B = S$10) * ('アイテム別限界値DB'!$A:$A = "サイズ"),  IF('アイテム別限界値DB'!$B:$B = S$10, 'アイテム別限界値DB'!$F:$F, "") ))</f>
        <v>0</v>
      </c>
      <c r="T13" s="225"/>
      <c r="U13" s="226"/>
      <c r="V13" s="121"/>
      <c r="W13" s="12"/>
      <c r="X13" s="223" t="b">
        <f t="array" ref="X13:X31">UNIQUE(IF( ('アイテム別限界値DB'!$B:$B = X$10) * ('アイテム別限界値DB'!$A:$A = "サイズ"),  IF('アイテム別限界値DB'!$B:$B = X$10, 'アイテム別限界値DB'!$C:$C, "") ))</f>
        <v>0</v>
      </c>
      <c r="Y13" s="225"/>
      <c r="Z13" s="226"/>
      <c r="AA13" s="121"/>
      <c r="AB13" s="11"/>
      <c r="AC13" s="223" t="b">
        <f t="array" ref="AC13:AC29">UNIQUE(IF( ('アイテム別限界値DB'!$B:$B = AC$10) * ('アイテム別限界値DB'!$A:$A = "サイズ"),  IF('アイテム別限界値DB'!$B:$B = AC$10, 'アイテム別限界値DB'!$F:$F, "") ))</f>
        <v>0</v>
      </c>
      <c r="AD13" s="225"/>
      <c r="AE13" s="226"/>
      <c r="AF13" s="121"/>
      <c r="AG13" s="11"/>
      <c r="AH13" s="223" t="b">
        <f t="array" ref="AH13:AH20">UNIQUE(IF( ('アイテム別限界値DB'!$B:$B = AH$10) * ('アイテム別限界値DB'!$A:$A = "サイズ"),  IF('アイテム別限界値DB'!$B:$B = AH$10, 'アイテム別限界値DB'!$F:$F, "") ))</f>
        <v>0</v>
      </c>
      <c r="AI13" s="225"/>
      <c r="AJ13" s="226"/>
      <c r="AK13" s="121"/>
      <c r="AL13" s="11"/>
      <c r="AM13" s="223" t="b">
        <f t="array" ref="AM13:AM20">UNIQUE(IF( ('アイテム別限界値DB'!$B:$B = AM$10) * ('アイテム別限界値DB'!$A:$A = "サイズ"),  IF('アイテム別限界値DB'!$B:$B = AM$10, 'アイテム別限界値DB'!$F:$F, "") ))</f>
        <v>0</v>
      </c>
      <c r="AN13" s="225"/>
      <c r="AO13" s="226"/>
      <c r="AP13" s="121"/>
      <c r="AQ13" s="11"/>
      <c r="AR13" s="223" t="b">
        <f t="array" ref="AR13:AR20">UNIQUE(IF( ('アイテム別限界値DB'!$B:$B = AR$10) * ('アイテム別限界値DB'!$A:$A = "サイズ"),  IF('アイテム別限界値DB'!$B:$B = AR$10, 'アイテム別限界値DB'!$F:$F, "") ))</f>
        <v>0</v>
      </c>
      <c r="AS13" s="225"/>
      <c r="AT13" s="226"/>
      <c r="AU13" s="121"/>
      <c r="AV13" s="121"/>
      <c r="AW13" s="223" t="b">
        <f t="array" ref="AW13:AW20">UNIQUE(IF( ('アイテム別限界値DB'!$B:$B = AW$10) * ('アイテム別限界値DB'!$A:$A = "サイズ"),  IF('アイテム別限界値DB'!$B:$B = AW$10, 'アイテム別限界値DB'!$F:$F, "") ))</f>
        <v>0</v>
      </c>
      <c r="AX13" s="225"/>
      <c r="AY13" s="226"/>
      <c r="AZ13" s="121"/>
      <c r="BA13" s="121"/>
      <c r="BB13" s="223" t="b">
        <f t="array" ref="BB13:BB20">UNIQUE(IF( ('アイテム別限界値DB'!$B:$B = BB$10) * ('アイテム別限界値DB'!$A:$A = "サイズ"),  IF('アイテム別限界値DB'!$B:$B = BB$10, 'アイテム別限界値DB'!$F:$F, "") ))</f>
        <v>0</v>
      </c>
      <c r="BC13" s="224"/>
      <c r="BD13" s="12"/>
      <c r="BE13" s="121"/>
      <c r="BF13" s="121"/>
      <c r="BG13" s="223" t="b">
        <f t="array" ref="BG13:BG20">UNIQUE(IF( ('アイテム別限界値DB'!$B:$B = BG$10) * ('アイテム別限界値DB'!$A:$A = "サイズ"),  IF('アイテム別限界値DB'!$B:$B = BG$10, 'アイテム別限界値DB'!$F:$F, "") ))</f>
        <v>0</v>
      </c>
      <c r="BH13" s="224"/>
      <c r="BI13" s="12"/>
      <c r="BJ13" s="121"/>
      <c r="BK13" s="121"/>
      <c r="BL13" s="227" t="b">
        <f t="array" ref="BL13:BL23">UNIQUE(IF( ('アイテム別限界値DB'!$B:$B = BL$10) * ('アイテム別限界値DB'!$A:$A = "サイズ"),  IF('アイテム別限界値DB'!$B:$B = BL$10, 'アイテム別限界値DB'!$F:$F, "") ))</f>
        <v>0</v>
      </c>
      <c r="BM13" s="224"/>
      <c r="BN13" s="121"/>
      <c r="BO13" s="121"/>
      <c r="BP13" s="121"/>
    </row>
    <row r="14" ht="18.75" customHeight="1">
      <c r="A14" s="228" t="str">
        <f>IF($D$11 = "再製作", "◼︎ ジャケット（対応着地：再製作）" &amp; char(10) &amp; "《修正数値》", IF( $D$11 &lt;&gt;"", "◼︎ ジャケット（対応着地：お直し）" &amp; char(10) &amp; "《修正数値》", ""))</f>
        <v/>
      </c>
      <c r="B14" s="229"/>
      <c r="C14" s="224"/>
      <c r="D14" s="224" t="s">
        <v>51</v>
      </c>
      <c r="E14" s="232"/>
      <c r="F14" s="231" t="str">
        <f t="array" ref="F14">IF(
  E14 = 0, 
  "", 
  IFERROR(
    INDEX(
      'アイテム別限界値DB'!$K:$K, 
      MATCH(
        1, 
        ('アイテム別限界値DB'!$B:$B = D$10) * 
        ('アイテム別限界値DB'!$F:$F = D14) * 
        ('アイテム別限界値DB'!$H:$H = E14), 
        0
      )
    ), 
    "再製作"
  )
)
</f>
        <v/>
      </c>
      <c r="G14" s="218" t="str">
        <f t="array" ref="G14">IF(
  E14 = 0, 
  "", 
  IFERROR(
    INDEX(
      'アイテム別限界値DB'!$L:$L, 
      MATCH(
        1, 
        ('アイテム別限界値DB'!$B:$B = D$10) * 
        ('アイテム別限界値DB'!$C:$C = D14) * 
        ('アイテム別限界値DB'!$F:$F = E14), 
        0
      )
    ), 
    ""
  )
)
</f>
        <v/>
      </c>
      <c r="H14" s="195"/>
      <c r="I14" s="224" t="s">
        <v>51</v>
      </c>
      <c r="J14" s="232"/>
      <c r="K14" s="231" t="str">
        <f t="array" ref="K14">IF(
  J14 = 0, 
  "", 
  IFERROR(
    INDEX(
      'アイテム別限界値DB'!$K:$K, 
      MATCH(
        1, 
        ('アイテム別限界値DB'!$B:$B = I$10) * 
        ('アイテム別限界値DB'!$F:$F = I14) * 
        ('アイテム別限界値DB'!$H:$H = J14), 
        0
      )
    ), 
    "再製作"
  )
)
</f>
        <v/>
      </c>
      <c r="L14" s="218" t="str">
        <f t="array" ref="L14">IF(
  J14 = 0, 
  "", 
  IFERROR(
    INDEX(
      'アイテム別限界値DB'!$L:$L, 
      MATCH(
        1, 
        ('アイテム別限界値DB'!$B:$B = I$10) * 
        ('アイテム別限界値DB'!$C:$C = I14) * 
        ('アイテム別限界値DB'!$F:$F = J14), 
        0
      )
    ), 
    ""
  )
)
</f>
        <v/>
      </c>
      <c r="M14" s="12"/>
      <c r="N14" s="224" t="s">
        <v>51</v>
      </c>
      <c r="O14" s="232"/>
      <c r="P14" s="231" t="str">
        <f t="array" ref="P14">IF(
  O14 = 0, 
  "", 
  IFERROR(
    INDEX(
      'アイテム別限界値DB'!$K:$K, 
      MATCH(
        1, 
        ('アイテム別限界値DB'!$B:$B = N$10) * 
        ('アイテム別限界値DB'!$F:$F = N14) * 
        ('アイテム別限界値DB'!$H:$H = O14), 
        0
      )
    ), 
    "再製作"
  )
)
</f>
        <v/>
      </c>
      <c r="Q14" s="218" t="str">
        <f t="array" ref="Q14">IF(
  O14 = 0, 
  "", 
  IFERROR(
    INDEX(
      'アイテム別限界値DB'!$L:$L, 
      MATCH(
        1, 
        ('アイテム別限界値DB'!$B:$B = N$10) * 
        ('アイテム別限界値DB'!$C:$C = N14) * 
        ('アイテム別限界値DB'!$F:$F = O14), 
        0
      )
    ), 
    ""
  )
)
</f>
        <v/>
      </c>
      <c r="R14" s="12"/>
      <c r="S14" s="224" t="s">
        <v>51</v>
      </c>
      <c r="T14" s="232"/>
      <c r="U14" s="231" t="str">
        <f t="array" ref="U14">IF(
  T14 = 0, 
  "", 
  IFERROR(
    INDEX(
      'アイテム別限界値DB'!$K:$K, 
      MATCH(
        1, 
        ('アイテム別限界値DB'!$B:$B = S$10) * 
        ('アイテム別限界値DB'!$F:$F = S14) * 
        ('アイテム別限界値DB'!$H:$H = T14), 
        0
      )
    ), 
    "再製作"
  )
)
</f>
        <v/>
      </c>
      <c r="V14" s="218" t="str">
        <f t="array" ref="V14">IF(
  T14 = 0, 
  "", 
  IFERROR(
    INDEX(
      'アイテム別限界値DB'!$L:$L, 
      MATCH(
        1, 
        ('アイテム別限界値DB'!$B:$B = S$10) * 
        ('アイテム別限界値DB'!$C:$C = S14) * 
        ('アイテム別限界値DB'!$F:$F = T14), 
        0
      )
    ), 
    ""
  )
)
</f>
        <v/>
      </c>
      <c r="W14" s="12"/>
      <c r="X14" s="224" t="s">
        <v>51</v>
      </c>
      <c r="Y14" s="232"/>
      <c r="Z14" s="231" t="str">
        <f t="array" ref="Z14">IF(
  Y14 = 0, 
  "", 
  IFERROR(
    INDEX(
      'アイテム別限界値DB'!$K:$K, 
      MATCH(
        1, 
        ('アイテム別限界値DB'!$B:$B = X$10) * 
        ('アイテム別限界値DB'!$F:$F = X14) * 
        ('アイテム別限界値DB'!$H:$H = Y14), 
        0
      )
    ), 
    "再製作"
  )
)
</f>
        <v/>
      </c>
      <c r="AA14" s="218" t="str">
        <f t="array" ref="AA14">IF(
  Y14 = 0, 
  "", 
  IFERROR(
    INDEX(
      'アイテム別限界値DB'!$L:$L, 
      MATCH(
        1, 
        ('アイテム別限界値DB'!$B:$B = X$10) * 
        ('アイテム別限界値DB'!$C:$C = X14) * 
        ('アイテム別限界値DB'!$F:$F = Y14), 
        0
      )
    ), 
    ""
  )
)
</f>
        <v/>
      </c>
      <c r="AB14" s="11"/>
      <c r="AC14" s="224" t="s">
        <v>51</v>
      </c>
      <c r="AD14" s="232"/>
      <c r="AE14" s="231" t="str">
        <f t="array" ref="AE14">IF(
  AD14 = 0, 
  "", 
  IFERROR(
    INDEX(
      'アイテム別限界値DB'!$K:$K, 
      MATCH(
        1, 
        ('アイテム別限界値DB'!$B:$B = AC$10) * 
        ('アイテム別限界値DB'!$F:$F = AC14) * 
        ('アイテム別限界値DB'!$H:$H = AD14), 
        0
      )
    ), 
    "再製作"
  )
)
</f>
        <v/>
      </c>
      <c r="AF14" s="218" t="str">
        <f t="array" ref="AF14">IF(
  AD14 = 0, 
  "", 
  IFERROR(
    INDEX(
      'アイテム別限界値DB'!$L:$L, 
      MATCH(
        1, 
        ('アイテム別限界値DB'!$B:$B = AC$10) * 
        ('アイテム別限界値DB'!$C:$C = AC14) * 
        ('アイテム別限界値DB'!$F:$F = AD14), 
        0
      )
    ), 
    ""
  )
)
</f>
        <v/>
      </c>
      <c r="AG14" s="11"/>
      <c r="AH14" s="224" t="s">
        <v>51</v>
      </c>
      <c r="AI14" s="232"/>
      <c r="AJ14" s="231" t="str">
        <f t="array" ref="AJ14">IF(
  AI14 = 0, 
  "", 
  IFERROR(
    INDEX(
      'アイテム別限界値DB'!$K:$K, 
      MATCH(
        1, 
        ('アイテム別限界値DB'!$B:$B = AH$10) * 
        ('アイテム別限界値DB'!$F:$F = AH14) * 
        ('アイテム別限界値DB'!$H:$H = AI14), 
        0
      )
    ), 
    "再製作"
  )
)
</f>
        <v/>
      </c>
      <c r="AK14" s="218" t="str">
        <f t="array" ref="AK14">IF(
  AI14 = 0, 
  "", 
  IFERROR(
    INDEX(
      'アイテム別限界値DB'!$L:$L, 
      MATCH(
        1, 
        ('アイテム別限界値DB'!$B:$B = AH$10) * 
        ('アイテム別限界値DB'!$C:$C = AH14) * 
        ('アイテム別限界値DB'!$F:$F = AI14), 
        0
      )
    ), 
    ""
  )
)
</f>
        <v/>
      </c>
      <c r="AL14" s="11"/>
      <c r="AM14" s="224" t="s">
        <v>51</v>
      </c>
      <c r="AN14" s="232"/>
      <c r="AO14" s="231" t="str">
        <f t="array" ref="AO14">IF(
  AN14 = 0, 
  "", 
  IFERROR(
    INDEX(
      'アイテム別限界値DB'!$K:$K, 
      MATCH(
        1, 
        ('アイテム別限界値DB'!$B:$B = AM$10) * 
        ('アイテム別限界値DB'!$F:$F = AM14) * 
        ('アイテム別限界値DB'!$H:$H = AN14), 
        0
      )
    ), 
    "再製作"
  )
)
</f>
        <v/>
      </c>
      <c r="AP14" s="218" t="str">
        <f t="array" ref="AP14">IF(
  AN14 = 0, 
  "", 
  IFERROR(
    INDEX(
      'アイテム別限界値DB'!$L:$L, 
      MATCH(
        1, 
        ('アイテム別限界値DB'!$B:$B = AM$10) * 
        ('アイテム別限界値DB'!$C:$C = AM14) * 
        ('アイテム別限界値DB'!$F:$F = AN14), 
        0
      )
    ), 
    ""
  )
)
</f>
        <v/>
      </c>
      <c r="AQ14" s="11"/>
      <c r="AR14" s="224" t="s">
        <v>51</v>
      </c>
      <c r="AS14" s="232"/>
      <c r="AT14" s="231" t="str">
        <f t="array" ref="AT14">IF(
  AS14 = 0, 
  "", 
  IFERROR(
    INDEX(
      'アイテム別限界値DB'!$K:$K, 
      MATCH(
        1, 
        ('アイテム別限界値DB'!$B:$B = AR$10) * 
        ('アイテム別限界値DB'!$F:$F = AR14) * 
        ('アイテム別限界値DB'!$H:$H = AS14), 
        0
      )
    ), 
    "再製作"
  )
)
</f>
        <v/>
      </c>
      <c r="AU14" s="218" t="str">
        <f t="array" ref="AU14">IF(
  AS14 = 0, 
  "", 
  IFERROR(
    INDEX(
      'アイテム別限界値DB'!$L:$L, 
      MATCH(
        1, 
        ('アイテム別限界値DB'!$B:$B = AR$10) * 
        ('アイテム別限界値DB'!$C:$C = AR14) * 
        ('アイテム別限界値DB'!$F:$F = AS14), 
        0
      )
    ), 
    ""
  )
)
</f>
        <v/>
      </c>
      <c r="AV14" s="121"/>
      <c r="AW14" s="224" t="s">
        <v>51</v>
      </c>
      <c r="AX14" s="232"/>
      <c r="AY14" s="231" t="str">
        <f t="array" ref="AY14">IF(
  AX14 = 0, 
  "", 
  IFERROR(
    INDEX(
      'アイテム別限界値DB'!$K:$K, 
      MATCH(
        1, 
        ('アイテム別限界値DB'!$B:$B = AW$10) * 
        ('アイテム別限界値DB'!$F:$F = AW14) * 
        ('アイテム別限界値DB'!$H:$H = AX14), 
        0
      )
    ), 
    "再製作"
  )
)
</f>
        <v/>
      </c>
      <c r="AZ14" s="218" t="str">
        <f t="array" ref="AZ14">IF(
  AX14 = 0, 
  "", 
  IFERROR(
    INDEX(
      'アイテム別限界値DB'!$L:$L, 
      MATCH(
        1, 
        ('アイテム別限界値DB'!$B:$B = AW$10) * 
        ('アイテム別限界値DB'!$C:$C = AW14) * 
        ('アイテム別限界値DB'!$F:$F = AX14), 
        0
      )
    ), 
    ""
  )
)
</f>
        <v/>
      </c>
      <c r="BA14" s="121"/>
      <c r="BB14" s="224" t="s">
        <v>51</v>
      </c>
      <c r="BC14" s="232"/>
      <c r="BD14" s="231" t="str">
        <f t="array" ref="BD14">IF(
  BC14 = 0, 
  "", 
  IFERROR(
    INDEX(
      'アイテム別限界値DB'!$K:$K, 
      MATCH(
        1, 
        ('アイテム別限界値DB'!$B:$B = BB$10) * 
        ('アイテム別限界値DB'!$F:$F = BB14) * 
        ('アイテム別限界値DB'!$H:$H = BC14), 
        0
      )
    ), 
    "再製作"
  )
)
</f>
        <v/>
      </c>
      <c r="BE14" s="218" t="str">
        <f t="array" ref="BE14">IF(
  BC14 = 0, 
  "", 
  IFERROR(
    INDEX(
      'アイテム別限界値DB'!$L:$L, 
      MATCH(
        1, 
        ('アイテム別限界値DB'!$B:$B = BB$10) * 
        ('アイテム別限界値DB'!$C:$C = BB14) * 
        ('アイテム別限界値DB'!$F:$F = BC14), 
        0
      )
    ), 
    ""
  )
)
</f>
        <v/>
      </c>
      <c r="BF14" s="121"/>
      <c r="BG14" s="224" t="s">
        <v>51</v>
      </c>
      <c r="BH14" s="233"/>
      <c r="BI14" s="234" t="str">
        <f t="array" ref="BI14">IF(
  BH14 = 0, 
  "", 
  IFERROR(
    INDEX(
      'アイテム別限界値DB'!$K:$K, 
      MATCH(
        1, 
        ('アイテム別限界値DB'!$B:$B = BG$10) * 
        ('アイテム別限界値DB'!$F:$F = BG14) * 
        ('アイテム別限界値DB'!$H:$H = BH14), 
        0
      )
    ), 
    "再製作"
  )
)
</f>
        <v/>
      </c>
      <c r="BJ14" s="218" t="str">
        <f t="array" ref="BJ14">IF(
  BH14 = 0, 
  "", 
  IFERROR(
    INDEX(
      'アイテム別限界値DB'!$L:$L, 
      MATCH(
        1, 
        ('アイテム別限界値DB'!$B:$B = BG$10) * 
        ('アイテム別限界値DB'!$C:$C = BG14) * 
        ('アイテム別限界値DB'!$F:$F = BH14), 
        0
      )
    ), 
    ""
  )
)
</f>
        <v/>
      </c>
      <c r="BK14" s="121"/>
      <c r="BL14" s="224" t="s">
        <v>51</v>
      </c>
      <c r="BM14" s="232"/>
      <c r="BN14" s="231" t="str">
        <f t="array" ref="BN14">IF(
  BM14 = 0, 
  "", 
  IFERROR(
    INDEX(
      'アイテム別限界値DB'!$K:$K, 
      MATCH(
        1, 
        ('アイテム別限界値DB'!$B:$B = BL$10) * 
        ('アイテム別限界値DB'!$F:$F = BL14) * 
        ('アイテム別限界値DB'!$H:$H = BM14), 
        0
      )
    ), 
    "再製作"
  )
)
</f>
        <v/>
      </c>
      <c r="BO14" s="218" t="str">
        <f t="array" ref="BO14">IF(
  BM14 = 0, 
  "", 
  IFERROR(
    INDEX(
      'アイテム別限界値DB'!$L:$L, 
      MATCH(
        1, 
        ('アイテム別限界値DB'!$B:$B = BL$10) * 
        ('アイテム別限界値DB'!$C:$C = BL14) * 
        ('アイテム別限界値DB'!$F:$F = BM14), 
        0
      )
    ), 
    ""
  )
)
</f>
        <v/>
      </c>
      <c r="BP14" s="195"/>
    </row>
    <row r="15" ht="18.75" customHeight="1">
      <c r="A15" s="228" t="str">
        <f>IFERROR(__xludf.DUMMYFUNCTION("TEXTJOIN(CHAR(10),TRUE,FILTER(ARRAYFORMULA(IF(E$14:E72&lt;&gt;"""",D$14:D72&amp;"" : ""&amp; E$14:E72 &amp;"" cm"","""")), D$14:D72 &lt;&gt;""""))"),"")</f>
        <v/>
      </c>
      <c r="B15" s="235"/>
      <c r="C15" s="224"/>
      <c r="D15" s="224" t="s">
        <v>53</v>
      </c>
      <c r="E15" s="230"/>
      <c r="F15" s="231" t="str">
        <f t="array" ref="F15">IF(
  E15 = 0, 
  "", 
  IFERROR(
    INDEX(
      'アイテム別限界値DB'!$K:$K, 
      MATCH(
        1, 
        ('アイテム別限界値DB'!$B:$B = D$10) * 
        ('アイテム別限界値DB'!$F:$F = D15) * 
        ('アイテム別限界値DB'!$H:$H = E15), 
        0
      )
    ), 
    "再製作"
  )
)
</f>
        <v/>
      </c>
      <c r="G15" s="218" t="str">
        <f t="array" ref="G15">IF(
  E15 = 0, 
  "", 
  IFERROR(
    INDEX(
      'アイテム別限界値DB'!$L:$L, 
      MATCH(
        1, 
        ('アイテム別限界値DB'!$B:$B = D$10) * 
        ('アイテム別限界値DB'!$C:$C = D15) * 
        ('アイテム別限界値DB'!$F:$F = E15), 
        0
      )
    ), 
    ""
  )
)
</f>
        <v/>
      </c>
      <c r="H15" s="12"/>
      <c r="I15" s="224" t="s">
        <v>54</v>
      </c>
      <c r="J15" s="230" t="s">
        <v>129</v>
      </c>
      <c r="K15" s="231">
        <f t="array" ref="K15">IF(
  J15 = 0, 
  "", 
  IFERROR(
    INDEX(
      'アイテム別限界値DB'!$K:$K, 
      MATCH(
        1, 
        ('アイテム別限界値DB'!$B:$B = I$10) * 
        ('アイテム別限界値DB'!$F:$F = I15) * 
        ('アイテム別限界値DB'!$H:$H = J15), 
        0
      )
    ), 
    "再製作"
  )
)
</f>
        <v>45996</v>
      </c>
      <c r="L15" s="218" t="str">
        <f t="array" ref="L15">IF(
  J15 = 0, 
  "", 
  IFERROR(
    INDEX(
      'アイテム別限界値DB'!$L:$L, 
      MATCH(
        1, 
        ('アイテム別限界値DB'!$B:$B = I$10) * 
        ('アイテム別限界値DB'!$C:$C = I15) * 
        ('アイテム別限界値DB'!$F:$F = J15), 
        0
      )
    ), 
    ""
  )
)
</f>
        <v/>
      </c>
      <c r="M15" s="12"/>
      <c r="N15" s="224" t="s">
        <v>55</v>
      </c>
      <c r="O15" s="230"/>
      <c r="P15" s="231" t="str">
        <f t="array" ref="P15">IF(
  O15 = 0, 
  "", 
  IFERROR(
    INDEX(
      'アイテム別限界値DB'!$K:$K, 
      MATCH(
        1, 
        ('アイテム別限界値DB'!$B:$B = N$10) * 
        ('アイテム別限界値DB'!$F:$F = N15) * 
        ('アイテム別限界値DB'!$H:$H = O15), 
        0
      )
    ), 
    "再製作"
  )
)
</f>
        <v/>
      </c>
      <c r="Q15" s="218" t="str">
        <f t="array" ref="Q15">IF(
  O15 = 0, 
  "", 
  IFERROR(
    INDEX(
      'アイテム別限界値DB'!$L:$L, 
      MATCH(
        1, 
        ('アイテム別限界値DB'!$B:$B = N$10) * 
        ('アイテム別限界値DB'!$C:$C = N15) * 
        ('アイテム別限界値DB'!$F:$F = O15), 
        0
      )
    ), 
    ""
  )
)
</f>
        <v/>
      </c>
      <c r="R15" s="12"/>
      <c r="S15" s="224" t="s">
        <v>54</v>
      </c>
      <c r="T15" s="230"/>
      <c r="U15" s="231" t="str">
        <f t="array" ref="U15">IF(
  T15 = 0, 
  "", 
  IFERROR(
    INDEX(
      'アイテム別限界値DB'!$K:$K, 
      MATCH(
        1, 
        ('アイテム別限界値DB'!$B:$B = S$10) * 
        ('アイテム別限界値DB'!$F:$F = S15) * 
        ('アイテム別限界値DB'!$H:$H = T15), 
        0
      )
    ), 
    "再製作"
  )
)
</f>
        <v/>
      </c>
      <c r="V15" s="218" t="str">
        <f t="array" ref="V15">IF(
  T15 = 0, 
  "", 
  IFERROR(
    INDEX(
      'アイテム別限界値DB'!$L:$L, 
      MATCH(
        1, 
        ('アイテム別限界値DB'!$B:$B = S$10) * 
        ('アイテム別限界値DB'!$C:$C = S15) * 
        ('アイテム別限界値DB'!$F:$F = T15), 
        0
      )
    ), 
    ""
  )
)
</f>
        <v/>
      </c>
      <c r="W15" s="12"/>
      <c r="X15" s="224" t="s">
        <v>53</v>
      </c>
      <c r="Y15" s="230"/>
      <c r="Z15" s="231" t="str">
        <f t="array" ref="Z15">IF(
  Y15 = 0, 
  "", 
  IFERROR(
    INDEX(
      'アイテム別限界値DB'!$K:$K, 
      MATCH(
        1, 
        ('アイテム別限界値DB'!$B:$B = X$10) * 
        ('アイテム別限界値DB'!$F:$F = X15) * 
        ('アイテム別限界値DB'!$H:$H = Y15), 
        0
      )
    ), 
    "再製作"
  )
)
</f>
        <v/>
      </c>
      <c r="AA15" s="218" t="str">
        <f t="array" ref="AA15">IF(
  Y15 = 0, 
  "", 
  IFERROR(
    INDEX(
      'アイテム別限界値DB'!$L:$L, 
      MATCH(
        1, 
        ('アイテム別限界値DB'!$B:$B = X$10) * 
        ('アイテム別限界値DB'!$C:$C = X15) * 
        ('アイテム別限界値DB'!$F:$F = Y15), 
        0
      )
    ), 
    ""
  )
)
</f>
        <v/>
      </c>
      <c r="AB15" s="11"/>
      <c r="AC15" s="224" t="s">
        <v>53</v>
      </c>
      <c r="AD15" s="232"/>
      <c r="AE15" s="231" t="str">
        <f t="array" ref="AE15">IF(
  AD15 = 0, 
  "", 
  IFERROR(
    INDEX(
      'アイテム別限界値DB'!$K:$K, 
      MATCH(
        1, 
        ('アイテム別限界値DB'!$B:$B = AC$10) * 
        ('アイテム別限界値DB'!$F:$F = AC15) * 
        ('アイテム別限界値DB'!$H:$H = AD15), 
        0
      )
    ), 
    "再製作"
  )
)
</f>
        <v/>
      </c>
      <c r="AF15" s="218" t="str">
        <f t="array" ref="AF15">IF(
  AD15 = 0, 
  "", 
  IFERROR(
    INDEX(
      'アイテム別限界値DB'!$L:$L, 
      MATCH(
        1, 
        ('アイテム別限界値DB'!$B:$B = AC$10) * 
        ('アイテム別限界値DB'!$C:$C = AC15) * 
        ('アイテム別限界値DB'!$F:$F = AD15), 
        0
      )
    ), 
    ""
  )
)
</f>
        <v/>
      </c>
      <c r="AG15" s="11"/>
      <c r="AH15" s="224" t="s">
        <v>53</v>
      </c>
      <c r="AI15" s="232"/>
      <c r="AJ15" s="231" t="str">
        <f t="array" ref="AJ15">IF(
  AI15 = 0, 
  "", 
  IFERROR(
    INDEX(
      'アイテム別限界値DB'!$K:$K, 
      MATCH(
        1, 
        ('アイテム別限界値DB'!$B:$B = AH$10) * 
        ('アイテム別限界値DB'!$F:$F = AH15) * 
        ('アイテム別限界値DB'!$H:$H = AI15), 
        0
      )
    ), 
    "再製作"
  )
)
</f>
        <v/>
      </c>
      <c r="AK15" s="218" t="str">
        <f t="array" ref="AK15">IF(
  AI15 = 0, 
  "", 
  IFERROR(
    INDEX(
      'アイテム別限界値DB'!$L:$L, 
      MATCH(
        1, 
        ('アイテム別限界値DB'!$B:$B = AH$10) * 
        ('アイテム別限界値DB'!$C:$C = AH15) * 
        ('アイテム別限界値DB'!$F:$F = AI15), 
        0
      )
    ), 
    ""
  )
)
</f>
        <v/>
      </c>
      <c r="AL15" s="11"/>
      <c r="AM15" s="224" t="s">
        <v>53</v>
      </c>
      <c r="AN15" s="232"/>
      <c r="AO15" s="231" t="str">
        <f t="array" ref="AO15">IF(
  AN15 = 0, 
  "", 
  IFERROR(
    INDEX(
      'アイテム別限界値DB'!$K:$K, 
      MATCH(
        1, 
        ('アイテム別限界値DB'!$B:$B = AM$10) * 
        ('アイテム別限界値DB'!$F:$F = AM15) * 
        ('アイテム別限界値DB'!$H:$H = AN15), 
        0
      )
    ), 
    "再製作"
  )
)
</f>
        <v/>
      </c>
      <c r="AP15" s="218" t="str">
        <f t="array" ref="AP15">IF(
  AN15 = 0, 
  "", 
  IFERROR(
    INDEX(
      'アイテム別限界値DB'!$L:$L, 
      MATCH(
        1, 
        ('アイテム別限界値DB'!$B:$B = AM$10) * 
        ('アイテム別限界値DB'!$C:$C = AM15) * 
        ('アイテム別限界値DB'!$F:$F = AN15), 
        0
      )
    ), 
    ""
  )
)
</f>
        <v/>
      </c>
      <c r="AQ15" s="11"/>
      <c r="AR15" s="224" t="s">
        <v>53</v>
      </c>
      <c r="AS15" s="232"/>
      <c r="AT15" s="231" t="str">
        <f t="array" ref="AT15">IF(
  AS15 = 0, 
  "", 
  IFERROR(
    INDEX(
      'アイテム別限界値DB'!$K:$K, 
      MATCH(
        1, 
        ('アイテム別限界値DB'!$B:$B = AR$10) * 
        ('アイテム別限界値DB'!$F:$F = AR15) * 
        ('アイテム別限界値DB'!$H:$H = AS15), 
        0
      )
    ), 
    "再製作"
  )
)
</f>
        <v/>
      </c>
      <c r="AU15" s="218" t="str">
        <f t="array" ref="AU15">IF(
  AS15 = 0, 
  "", 
  IFERROR(
    INDEX(
      'アイテム別限界値DB'!$L:$L, 
      MATCH(
        1, 
        ('アイテム別限界値DB'!$B:$B = AR$10) * 
        ('アイテム別限界値DB'!$C:$C = AR15) * 
        ('アイテム別限界値DB'!$F:$F = AS15), 
        0
      )
    ), 
    ""
  )
)
</f>
        <v/>
      </c>
      <c r="AV15" s="121"/>
      <c r="AW15" s="224" t="s">
        <v>53</v>
      </c>
      <c r="AX15" s="230"/>
      <c r="AY15" s="231" t="str">
        <f t="array" ref="AY15">IF(
  AX15 = 0, 
  "", 
  IFERROR(
    INDEX(
      'アイテム別限界値DB'!$K:$K, 
      MATCH(
        1, 
        ('アイテム別限界値DB'!$B:$B = AW$10) * 
        ('アイテム別限界値DB'!$F:$F = AW15) * 
        ('アイテム別限界値DB'!$H:$H = AX15), 
        0
      )
    ), 
    "再製作"
  )
)
</f>
        <v/>
      </c>
      <c r="AZ15" s="218" t="str">
        <f t="array" ref="AZ15">IF(
  AX15 = 0, 
  "", 
  IFERROR(
    INDEX(
      'アイテム別限界値DB'!$L:$L, 
      MATCH(
        1, 
        ('アイテム別限界値DB'!$B:$B = AW$10) * 
        ('アイテム別限界値DB'!$C:$C = AW15) * 
        ('アイテム別限界値DB'!$F:$F = AX15), 
        0
      )
    ), 
    ""
  )
)
</f>
        <v/>
      </c>
      <c r="BA15" s="121"/>
      <c r="BB15" s="224" t="s">
        <v>53</v>
      </c>
      <c r="BC15" s="232"/>
      <c r="BD15" s="231" t="str">
        <f t="array" ref="BD15">IF(
  BC15 = 0, 
  "", 
  IFERROR(
    INDEX(
      'アイテム別限界値DB'!$K:$K, 
      MATCH(
        1, 
        ('アイテム別限界値DB'!$B:$B = BB$10) * 
        ('アイテム別限界値DB'!$F:$F = BB15) * 
        ('アイテム別限界値DB'!$H:$H = BC15), 
        0
      )
    ), 
    "再製作"
  )
)
</f>
        <v/>
      </c>
      <c r="BE15" s="218" t="str">
        <f t="array" ref="BE15">IF(
  BC15 = 0, 
  "", 
  IFERROR(
    INDEX(
      'アイテム別限界値DB'!$L:$L, 
      MATCH(
        1, 
        ('アイテム別限界値DB'!$B:$B = BB$10) * 
        ('アイテム別限界値DB'!$C:$C = BB15) * 
        ('アイテム別限界値DB'!$F:$F = BC15), 
        0
      )
    ), 
    ""
  )
)
</f>
        <v/>
      </c>
      <c r="BF15" s="121"/>
      <c r="BG15" s="224" t="s">
        <v>53</v>
      </c>
      <c r="BH15" s="232"/>
      <c r="BI15" s="231" t="str">
        <f t="array" ref="BI15">IF(
  BH15 = 0, 
  "", 
  IFERROR(
    INDEX(
      'アイテム別限界値DB'!$K:$K, 
      MATCH(
        1, 
        ('アイテム別限界値DB'!$B:$B = BG$10) * 
        ('アイテム別限界値DB'!$F:$F = BG15) * 
        ('アイテム別限界値DB'!$H:$H = BH15), 
        0
      )
    ), 
    "再製作"
  )
)
</f>
        <v/>
      </c>
      <c r="BJ15" s="218" t="str">
        <f t="array" ref="BJ15">IF(
  BH15 = 0, 
  "", 
  IFERROR(
    INDEX(
      'アイテム別限界値DB'!$L:$L, 
      MATCH(
        1, 
        ('アイテム別限界値DB'!$B:$B = BG$10) * 
        ('アイテム別限界値DB'!$C:$C = BG15) * 
        ('アイテム別限界値DB'!$F:$F = BH15), 
        0
      )
    ), 
    ""
  )
)
</f>
        <v/>
      </c>
      <c r="BK15" s="121"/>
      <c r="BL15" s="224" t="s">
        <v>53</v>
      </c>
      <c r="BM15" s="232"/>
      <c r="BN15" s="231" t="str">
        <f t="array" ref="BN15">IF(
  BM15 = 0, 
  "", 
  IFERROR(
    INDEX(
      'アイテム別限界値DB'!$K:$K, 
      MATCH(
        1, 
        ('アイテム別限界値DB'!$B:$B = BL$10) * 
        ('アイテム別限界値DB'!$F:$F = BL15) * 
        ('アイテム別限界値DB'!$H:$H = BM15), 
        0
      )
    ), 
    "再製作"
  )
)
</f>
        <v/>
      </c>
      <c r="BO15" s="218" t="str">
        <f t="array" ref="BO15">IF(
  BM15 = 0, 
  "", 
  IFERROR(
    INDEX(
      'アイテム別限界値DB'!$L:$L, 
      MATCH(
        1, 
        ('アイテム別限界値DB'!$B:$B = BL$10) * 
        ('アイテム別限界値DB'!$C:$C = BL15) * 
        ('アイテム別限界値DB'!$F:$F = BM15), 
        0
      )
    ), 
    ""
  )
)
</f>
        <v/>
      </c>
      <c r="BP15" s="195"/>
    </row>
    <row r="16" ht="18.75" customHeight="1">
      <c r="A16" s="236" t="str">
        <f>if($A$14&lt;&gt;"", "《仕上がり数値》","")</f>
        <v/>
      </c>
      <c r="B16" s="224"/>
      <c r="C16" s="224"/>
      <c r="D16" s="224" t="s">
        <v>55</v>
      </c>
      <c r="E16" s="230"/>
      <c r="F16" s="231" t="str">
        <f t="array" ref="F16">IF(
  E16 = 0, 
  "", 
  IFERROR(
    INDEX(
      'アイテム別限界値DB'!$K:$K, 
      MATCH(
        1, 
        ('アイテム別限界値DB'!$B:$B = D$10) * 
        ('アイテム別限界値DB'!$F:$F = D16) * 
        ('アイテム別限界値DB'!$H:$H = E16), 
        0
      )
    ), 
    "再製作"
  )
)
</f>
        <v/>
      </c>
      <c r="G16" s="218" t="str">
        <f t="array" ref="G16">IF(
  E16 = 0, 
  "", 
  IFERROR(
    INDEX(
      'アイテム別限界値DB'!$L:$L, 
      MATCH(
        1, 
        ('アイテム別限界値DB'!$B:$B = D$10) * 
        ('アイテム別限界値DB'!$C:$C = D16) * 
        ('アイテム別限界値DB'!$F:$F = E16), 
        0
      )
    ), 
    ""
  )
)
</f>
        <v/>
      </c>
      <c r="H16" s="12"/>
      <c r="I16" s="224" t="s">
        <v>56</v>
      </c>
      <c r="J16" s="230"/>
      <c r="K16" s="231" t="str">
        <f t="array" ref="K16">IF(
  J16 = 0, 
  "", 
  IFERROR(
    INDEX(
      'アイテム別限界値DB'!$K:$K, 
      MATCH(
        1, 
        ('アイテム別限界値DB'!$B:$B = I$10) * 
        ('アイテム別限界値DB'!$F:$F = I16) * 
        ('アイテム別限界値DB'!$H:$H = J16), 
        0
      )
    ), 
    "再製作"
  )
)
</f>
        <v/>
      </c>
      <c r="L16" s="218" t="str">
        <f t="array" ref="L16">IF(
  J16 = 0, 
  "", 
  IFERROR(
    INDEX(
      'アイテム別限界値DB'!$L:$L, 
      MATCH(
        1, 
        ('アイテム別限界値DB'!$B:$B = I$10) * 
        ('アイテム別限界値DB'!$C:$C = I16) * 
        ('アイテム別限界値DB'!$F:$F = J16), 
        0
      )
    ), 
    ""
  )
)
</f>
        <v/>
      </c>
      <c r="M16" s="12"/>
      <c r="N16" s="224" t="s">
        <v>57</v>
      </c>
      <c r="O16" s="230"/>
      <c r="P16" s="231" t="str">
        <f t="array" ref="P16">IF(
  O16 = 0, 
  "", 
  IFERROR(
    INDEX(
      'アイテム別限界値DB'!$K:$K, 
      MATCH(
        1, 
        ('アイテム別限界値DB'!$B:$B = N$10) * 
        ('アイテム別限界値DB'!$F:$F = N16) * 
        ('アイテム別限界値DB'!$H:$H = O16), 
        0
      )
    ), 
    "再製作"
  )
)
</f>
        <v/>
      </c>
      <c r="Q16" s="218" t="str">
        <f t="array" ref="Q16">IF(
  O16 = 0, 
  "", 
  IFERROR(
    INDEX(
      'アイテム別限界値DB'!$L:$L, 
      MATCH(
        1, 
        ('アイテム別限界値DB'!$B:$B = N$10) * 
        ('アイテム別限界値DB'!$C:$C = N16) * 
        ('アイテム別限界値DB'!$F:$F = O16), 
        0
      )
    ), 
    ""
  )
)
</f>
        <v/>
      </c>
      <c r="R16" s="12"/>
      <c r="S16" s="224" t="s">
        <v>56</v>
      </c>
      <c r="T16" s="230"/>
      <c r="U16" s="231" t="str">
        <f t="array" ref="U16">IF(
  T16 = 0, 
  "", 
  IFERROR(
    INDEX(
      'アイテム別限界値DB'!$K:$K, 
      MATCH(
        1, 
        ('アイテム別限界値DB'!$B:$B = S$10) * 
        ('アイテム別限界値DB'!$F:$F = S16) * 
        ('アイテム別限界値DB'!$H:$H = T16), 
        0
      )
    ), 
    "再製作"
  )
)
</f>
        <v/>
      </c>
      <c r="V16" s="218" t="str">
        <f t="array" ref="V16">IF(
  T16 = 0, 
  "", 
  IFERROR(
    INDEX(
      'アイテム別限界値DB'!$L:$L, 
      MATCH(
        1, 
        ('アイテム別限界値DB'!$B:$B = S$10) * 
        ('アイテム別限界値DB'!$C:$C = S16) * 
        ('アイテム別限界値DB'!$F:$F = T16), 
        0
      )
    ), 
    ""
  )
)
</f>
        <v/>
      </c>
      <c r="W16" s="12"/>
      <c r="X16" s="224" t="s">
        <v>58</v>
      </c>
      <c r="Y16" s="230" t="s">
        <v>129</v>
      </c>
      <c r="Z16" s="231">
        <f t="array" ref="Z16">IF(
  Y16 = 0, 
  "", 
  IFERROR(
    INDEX(
      'アイテム別限界値DB'!$K:$K, 
      MATCH(
        1, 
        ('アイテム別限界値DB'!$B:$B = X$10) * 
        ('アイテム別限界値DB'!$F:$F = X16) * 
        ('アイテム別限界値DB'!$H:$H = Y16), 
        0
      )
    ), 
    "再製作"
  )
)
</f>
        <v>46000</v>
      </c>
      <c r="AA16" s="218" t="str">
        <f t="array" ref="AA16">IF(
  Y16 = 0, 
  "", 
  IFERROR(
    INDEX(
      'アイテム別限界値DB'!$L:$L, 
      MATCH(
        1, 
        ('アイテム別限界値DB'!$B:$B = X$10) * 
        ('アイテム別限界値DB'!$C:$C = X16) * 
        ('アイテム別限界値DB'!$F:$F = Y16), 
        0
      )
    ), 
    ""
  )
)
</f>
        <v/>
      </c>
      <c r="AB16" s="11"/>
      <c r="AC16" s="224" t="s">
        <v>55</v>
      </c>
      <c r="AD16" s="232"/>
      <c r="AE16" s="231" t="str">
        <f t="array" ref="AE16">IF(
  AD16 = 0, 
  "", 
  IFERROR(
    INDEX(
      'アイテム別限界値DB'!$K:$K, 
      MATCH(
        1, 
        ('アイテム別限界値DB'!$B:$B = AC$10) * 
        ('アイテム別限界値DB'!$F:$F = AC16) * 
        ('アイテム別限界値DB'!$H:$H = AD16), 
        0
      )
    ), 
    "再製作"
  )
)
</f>
        <v/>
      </c>
      <c r="AF16" s="218" t="str">
        <f t="array" ref="AF16">IF(
  AD16 = 0, 
  "", 
  IFERROR(
    INDEX(
      'アイテム別限界値DB'!$L:$L, 
      MATCH(
        1, 
        ('アイテム別限界値DB'!$B:$B = AC$10) * 
        ('アイテム別限界値DB'!$C:$C = AC16) * 
        ('アイテム別限界値DB'!$F:$F = AD16), 
        0
      )
    ), 
    ""
  )
)
</f>
        <v/>
      </c>
      <c r="AG16" s="11"/>
      <c r="AH16" s="224" t="s">
        <v>55</v>
      </c>
      <c r="AI16" s="232"/>
      <c r="AJ16" s="231" t="str">
        <f t="array" ref="AJ16">IF(
  AI16 = 0, 
  "", 
  IFERROR(
    INDEX(
      'アイテム別限界値DB'!$K:$K, 
      MATCH(
        1, 
        ('アイテム別限界値DB'!$B:$B = AH$10) * 
        ('アイテム別限界値DB'!$F:$F = AH16) * 
        ('アイテム別限界値DB'!$H:$H = AI16), 
        0
      )
    ), 
    "再製作"
  )
)
</f>
        <v/>
      </c>
      <c r="AK16" s="218" t="str">
        <f t="array" ref="AK16">IF(
  AI16 = 0, 
  "", 
  IFERROR(
    INDEX(
      'アイテム別限界値DB'!$L:$L, 
      MATCH(
        1, 
        ('アイテム別限界値DB'!$B:$B = AH$10) * 
        ('アイテム別限界値DB'!$C:$C = AH16) * 
        ('アイテム別限界値DB'!$F:$F = AI16), 
        0
      )
    ), 
    ""
  )
)
</f>
        <v/>
      </c>
      <c r="AL16" s="11"/>
      <c r="AM16" s="224" t="s">
        <v>55</v>
      </c>
      <c r="AN16" s="232"/>
      <c r="AO16" s="231" t="str">
        <f t="array" ref="AO16">IF(
  AN16 = 0, 
  "", 
  IFERROR(
    INDEX(
      'アイテム別限界値DB'!$K:$K, 
      MATCH(
        1, 
        ('アイテム別限界値DB'!$B:$B = AM$10) * 
        ('アイテム別限界値DB'!$F:$F = AM16) * 
        ('アイテム別限界値DB'!$H:$H = AN16), 
        0
      )
    ), 
    "再製作"
  )
)
</f>
        <v/>
      </c>
      <c r="AP16" s="218" t="str">
        <f t="array" ref="AP16">IF(
  AN16 = 0, 
  "", 
  IFERROR(
    INDEX(
      'アイテム別限界値DB'!$L:$L, 
      MATCH(
        1, 
        ('アイテム別限界値DB'!$B:$B = AM$10) * 
        ('アイテム別限界値DB'!$C:$C = AM16) * 
        ('アイテム別限界値DB'!$F:$F = AN16), 
        0
      )
    ), 
    ""
  )
)
</f>
        <v/>
      </c>
      <c r="AQ16" s="11"/>
      <c r="AR16" s="224" t="s">
        <v>55</v>
      </c>
      <c r="AS16" s="232"/>
      <c r="AT16" s="231" t="str">
        <f t="array" ref="AT16">IF(
  AS16 = 0, 
  "", 
  IFERROR(
    INDEX(
      'アイテム別限界値DB'!$K:$K, 
      MATCH(
        1, 
        ('アイテム別限界値DB'!$B:$B = AR$10) * 
        ('アイテム別限界値DB'!$F:$F = AR16) * 
        ('アイテム別限界値DB'!$H:$H = AS16), 
        0
      )
    ), 
    "再製作"
  )
)
</f>
        <v/>
      </c>
      <c r="AU16" s="218" t="str">
        <f t="array" ref="AU16">IF(
  AS16 = 0, 
  "", 
  IFERROR(
    INDEX(
      'アイテム別限界値DB'!$L:$L, 
      MATCH(
        1, 
        ('アイテム別限界値DB'!$B:$B = AR$10) * 
        ('アイテム別限界値DB'!$C:$C = AR16) * 
        ('アイテム別限界値DB'!$F:$F = AS16), 
        0
      )
    ), 
    ""
  )
)
</f>
        <v/>
      </c>
      <c r="AV16" s="121"/>
      <c r="AW16" s="224" t="s">
        <v>55</v>
      </c>
      <c r="AX16" s="230"/>
      <c r="AY16" s="231" t="str">
        <f t="array" ref="AY16">IF(
  AX16 = 0, 
  "", 
  IFERROR(
    INDEX(
      'アイテム別限界値DB'!$K:$K, 
      MATCH(
        1, 
        ('アイテム別限界値DB'!$B:$B = AW$10) * 
        ('アイテム別限界値DB'!$F:$F = AW16) * 
        ('アイテム別限界値DB'!$H:$H = AX16), 
        0
      )
    ), 
    "再製作"
  )
)
</f>
        <v/>
      </c>
      <c r="AZ16" s="218" t="str">
        <f t="array" ref="AZ16">IF(
  AX16 = 0, 
  "", 
  IFERROR(
    INDEX(
      'アイテム別限界値DB'!$L:$L, 
      MATCH(
        1, 
        ('アイテム別限界値DB'!$B:$B = AW$10) * 
        ('アイテム別限界値DB'!$C:$C = AW16) * 
        ('アイテム別限界値DB'!$F:$F = AX16), 
        0
      )
    ), 
    ""
  )
)
</f>
        <v/>
      </c>
      <c r="BA16" s="121"/>
      <c r="BB16" s="224" t="s">
        <v>55</v>
      </c>
      <c r="BC16" s="232"/>
      <c r="BD16" s="231" t="str">
        <f t="array" ref="BD16">IF(
  BC16 = 0, 
  "", 
  IFERROR(
    INDEX(
      'アイテム別限界値DB'!$K:$K, 
      MATCH(
        1, 
        ('アイテム別限界値DB'!$B:$B = BB$10) * 
        ('アイテム別限界値DB'!$F:$F = BB16) * 
        ('アイテム別限界値DB'!$H:$H = BC16), 
        0
      )
    ), 
    "再製作"
  )
)
</f>
        <v/>
      </c>
      <c r="BE16" s="218" t="str">
        <f t="array" ref="BE16">IF(
  BC16 = 0, 
  "", 
  IFERROR(
    INDEX(
      'アイテム別限界値DB'!$L:$L, 
      MATCH(
        1, 
        ('アイテム別限界値DB'!$B:$B = BB$10) * 
        ('アイテム別限界値DB'!$C:$C = BB16) * 
        ('アイテム別限界値DB'!$F:$F = BC16), 
        0
      )
    ), 
    ""
  )
)
</f>
        <v/>
      </c>
      <c r="BF16" s="121"/>
      <c r="BG16" s="224" t="s">
        <v>55</v>
      </c>
      <c r="BH16" s="232"/>
      <c r="BI16" s="231" t="str">
        <f t="array" ref="BI16">IF(
  BH16 = 0, 
  "", 
  IFERROR(
    INDEX(
      'アイテム別限界値DB'!$K:$K, 
      MATCH(
        1, 
        ('アイテム別限界値DB'!$B:$B = BG$10) * 
        ('アイテム別限界値DB'!$F:$F = BG16) * 
        ('アイテム別限界値DB'!$H:$H = BH16), 
        0
      )
    ), 
    "再製作"
  )
)
</f>
        <v/>
      </c>
      <c r="BJ16" s="218" t="str">
        <f t="array" ref="BJ16">IF(
  BH16 = 0, 
  "", 
  IFERROR(
    INDEX(
      'アイテム別限界値DB'!$L:$L, 
      MATCH(
        1, 
        ('アイテム別限界値DB'!$B:$B = BG$10) * 
        ('アイテム別限界値DB'!$C:$C = BG16) * 
        ('アイテム別限界値DB'!$F:$F = BH16), 
        0
      )
    ), 
    ""
  )
)
</f>
        <v/>
      </c>
      <c r="BK16" s="121"/>
      <c r="BL16" s="224" t="s">
        <v>55</v>
      </c>
      <c r="BM16" s="232" t="s">
        <v>59</v>
      </c>
      <c r="BN16" s="231">
        <f t="array" ref="BN16">IF(
  BM16 = 0, 
  "", 
  IFERROR(
    INDEX(
      'アイテム別限界値DB'!$K:$K, 
      MATCH(
        1, 
        ('アイテム別限界値DB'!$B:$B = BL$10) * 
        ('アイテム別限界値DB'!$F:$F = BL16) * 
        ('アイテム別限界値DB'!$H:$H = BM16), 
        0
      )
    ), 
    "再製作"
  )
)
</f>
        <v>46000</v>
      </c>
      <c r="BO16" s="218" t="str">
        <f t="array" ref="BO16">IF(
  BM16 = 0, 
  "", 
  IFERROR(
    INDEX(
      'アイテム別限界値DB'!$L:$L, 
      MATCH(
        1, 
        ('アイテム別限界値DB'!$B:$B = BL$10) * 
        ('アイテム別限界値DB'!$C:$C = BL16) * 
        ('アイテム別限界値DB'!$F:$F = BM16), 
        0
      )
    ), 
    ""
  )
)
</f>
        <v/>
      </c>
      <c r="BP16" s="195"/>
    </row>
    <row r="17" ht="18.75" customHeight="1">
      <c r="A17" s="228" t="str">
        <f>IFERROR(__xludf.DUMMYFUNCTION("TEXTJOIN(CHAR(10),TRUE,FILTER(ARRAYFORMULA(IF(E$14:E72&lt;&gt;"""",D$14:D72&amp;"" :  cm"","""")), D$14:D72 &lt;&gt;""""))"),"")</f>
        <v/>
      </c>
      <c r="B17" s="229"/>
      <c r="C17" s="224"/>
      <c r="D17" s="224" t="s">
        <v>60</v>
      </c>
      <c r="E17" s="230"/>
      <c r="F17" s="231" t="str">
        <f t="array" ref="F17">IF(
  E17 = 0, 
  "", 
  IFERROR(
    INDEX(
      'アイテム別限界値DB'!$K:$K, 
      MATCH(
        1, 
        ('アイテム別限界値DB'!$B:$B = D$10) * 
        ('アイテム別限界値DB'!$F:$F = D17) * 
        ('アイテム別限界値DB'!$H:$H = E17), 
        0
      )
    ), 
    "再製作"
  )
)
</f>
        <v/>
      </c>
      <c r="G17" s="218" t="str">
        <f t="array" ref="G17">IF(
  E17 = 0, 
  "", 
  IFERROR(
    INDEX(
      'アイテム別限界値DB'!$L:$L, 
      MATCH(
        1, 
        ('アイテム別限界値DB'!$B:$B = D$10) * 
        ('アイテム別限界値DB'!$C:$C = D17) * 
        ('アイテム別限界値DB'!$F:$F = E17), 
        0
      )
    ), 
    ""
  )
)
</f>
        <v/>
      </c>
      <c r="H17" s="12"/>
      <c r="I17" s="224" t="s">
        <v>61</v>
      </c>
      <c r="J17" s="230"/>
      <c r="K17" s="231" t="str">
        <f t="array" ref="K17">IF(
  J17 = 0, 
  "", 
  IFERROR(
    INDEX(
      'アイテム別限界値DB'!$K:$K, 
      MATCH(
        1, 
        ('アイテム別限界値DB'!$B:$B = I$10) * 
        ('アイテム別限界値DB'!$F:$F = I17) * 
        ('アイテム別限界値DB'!$H:$H = J17), 
        0
      )
    ), 
    "再製作"
  )
)
</f>
        <v/>
      </c>
      <c r="L17" s="218" t="str">
        <f t="array" ref="L17">IF(
  J17 = 0, 
  "", 
  IFERROR(
    INDEX(
      'アイテム別限界値DB'!$L:$L, 
      MATCH(
        1, 
        ('アイテム別限界値DB'!$B:$B = I$10) * 
        ('アイテム別限界値DB'!$C:$C = I17) * 
        ('アイテム別限界値DB'!$F:$F = J17), 
        0
      )
    ), 
    ""
  )
)
</f>
        <v/>
      </c>
      <c r="M17" s="12"/>
      <c r="N17" s="224" t="s">
        <v>62</v>
      </c>
      <c r="O17" s="230"/>
      <c r="P17" s="231" t="str">
        <f t="array" ref="P17">IF(
  O17 = 0, 
  "", 
  IFERROR(
    INDEX(
      'アイテム別限界値DB'!$K:$K, 
      MATCH(
        1, 
        ('アイテム別限界値DB'!$B:$B = N$10) * 
        ('アイテム別限界値DB'!$F:$F = N17) * 
        ('アイテム別限界値DB'!$H:$H = O17), 
        0
      )
    ), 
    "再製作"
  )
)
</f>
        <v/>
      </c>
      <c r="Q17" s="218" t="str">
        <f t="array" ref="Q17">IF(
  O17 = 0, 
  "", 
  IFERROR(
    INDEX(
      'アイテム別限界値DB'!$L:$L, 
      MATCH(
        1, 
        ('アイテム別限界値DB'!$B:$B = N$10) * 
        ('アイテム別限界値DB'!$C:$C = N17) * 
        ('アイテム別限界値DB'!$F:$F = O17), 
        0
      )
    ), 
    ""
  )
)
</f>
        <v/>
      </c>
      <c r="R17" s="11"/>
      <c r="S17" s="224" t="s">
        <v>61</v>
      </c>
      <c r="T17" s="230"/>
      <c r="U17" s="231" t="str">
        <f t="array" ref="U17">IF(
  T17 = 0, 
  "", 
  IFERROR(
    INDEX(
      'アイテム別限界値DB'!$K:$K, 
      MATCH(
        1, 
        ('アイテム別限界値DB'!$B:$B = S$10) * 
        ('アイテム別限界値DB'!$F:$F = S17) * 
        ('アイテム別限界値DB'!$H:$H = T17), 
        0
      )
    ), 
    "再製作"
  )
)
</f>
        <v/>
      </c>
      <c r="V17" s="218" t="str">
        <f t="array" ref="V17">IF(
  T17 = 0, 
  "", 
  IFERROR(
    INDEX(
      'アイテム別限界値DB'!$L:$L, 
      MATCH(
        1, 
        ('アイテム別限界値DB'!$B:$B = S$10) * 
        ('アイテム別限界値DB'!$C:$C = S17) * 
        ('アイテム別限界値DB'!$F:$F = T17), 
        0
      )
    ), 
    ""
  )
)
</f>
        <v/>
      </c>
      <c r="W17" s="12"/>
      <c r="X17" s="224" t="s">
        <v>63</v>
      </c>
      <c r="Y17" s="230"/>
      <c r="Z17" s="231" t="str">
        <f t="array" ref="Z17">IF(
  Y17 = 0, 
  "", 
  IFERROR(
    INDEX(
      'アイテム別限界値DB'!$K:$K, 
      MATCH(
        1, 
        ('アイテム別限界値DB'!$B:$B = X$10) * 
        ('アイテム別限界値DB'!$F:$F = X17) * 
        ('アイテム別限界値DB'!$H:$H = Y17), 
        0
      )
    ), 
    "再製作"
  )
)
</f>
        <v/>
      </c>
      <c r="AA17" s="218" t="str">
        <f t="array" ref="AA17">IF(
  Y17 = 0, 
  "", 
  IFERROR(
    INDEX(
      'アイテム別限界値DB'!$L:$L, 
      MATCH(
        1, 
        ('アイテム別限界値DB'!$B:$B = X$10) * 
        ('アイテム別限界値DB'!$C:$C = X17) * 
        ('アイテム別限界値DB'!$F:$F = Y17), 
        0
      )
    ), 
    ""
  )
)
</f>
        <v/>
      </c>
      <c r="AB17" s="11"/>
      <c r="AC17" s="224" t="s">
        <v>57</v>
      </c>
      <c r="AD17" s="232"/>
      <c r="AE17" s="231" t="str">
        <f t="array" ref="AE17">IF(
  AD17 = 0, 
  "", 
  IFERROR(
    INDEX(
      'アイテム別限界値DB'!$K:$K, 
      MATCH(
        1, 
        ('アイテム別限界値DB'!$B:$B = AC$10) * 
        ('アイテム別限界値DB'!$F:$F = AC17) * 
        ('アイテム別限界値DB'!$H:$H = AD17), 
        0
      )
    ), 
    "再製作"
  )
)
</f>
        <v/>
      </c>
      <c r="AF17" s="218" t="str">
        <f t="array" ref="AF17">IF(
  AD17 = 0, 
  "", 
  IFERROR(
    INDEX(
      'アイテム別限界値DB'!$L:$L, 
      MATCH(
        1, 
        ('アイテム別限界値DB'!$B:$B = AC$10) * 
        ('アイテム別限界値DB'!$C:$C = AC17) * 
        ('アイテム別限界値DB'!$F:$F = AD17), 
        0
      )
    ), 
    ""
  )
)
</f>
        <v/>
      </c>
      <c r="AG17" s="11"/>
      <c r="AH17" s="224" t="s">
        <v>57</v>
      </c>
      <c r="AI17" s="232"/>
      <c r="AJ17" s="231" t="str">
        <f t="array" ref="AJ17">IF(
  AI17 = 0, 
  "", 
  IFERROR(
    INDEX(
      'アイテム別限界値DB'!$K:$K, 
      MATCH(
        1, 
        ('アイテム別限界値DB'!$B:$B = AH$10) * 
        ('アイテム別限界値DB'!$F:$F = AH17) * 
        ('アイテム別限界値DB'!$H:$H = AI17), 
        0
      )
    ), 
    "再製作"
  )
)
</f>
        <v/>
      </c>
      <c r="AK17" s="218" t="str">
        <f t="array" ref="AK17">IF(
  AI17 = 0, 
  "", 
  IFERROR(
    INDEX(
      'アイテム別限界値DB'!$L:$L, 
      MATCH(
        1, 
        ('アイテム別限界値DB'!$B:$B = AH$10) * 
        ('アイテム別限界値DB'!$C:$C = AH17) * 
        ('アイテム別限界値DB'!$F:$F = AI17), 
        0
      )
    ), 
    ""
  )
)
</f>
        <v/>
      </c>
      <c r="AL17" s="11"/>
      <c r="AM17" s="224" t="s">
        <v>57</v>
      </c>
      <c r="AN17" s="232"/>
      <c r="AO17" s="231" t="str">
        <f t="array" ref="AO17">IF(
  AN17 = 0, 
  "", 
  IFERROR(
    INDEX(
      'アイテム別限界値DB'!$K:$K, 
      MATCH(
        1, 
        ('アイテム別限界値DB'!$B:$B = AM$10) * 
        ('アイテム別限界値DB'!$F:$F = AM17) * 
        ('アイテム別限界値DB'!$H:$H = AN17), 
        0
      )
    ), 
    "再製作"
  )
)
</f>
        <v/>
      </c>
      <c r="AP17" s="218" t="str">
        <f t="array" ref="AP17">IF(
  AN17 = 0, 
  "", 
  IFERROR(
    INDEX(
      'アイテム別限界値DB'!$L:$L, 
      MATCH(
        1, 
        ('アイテム別限界値DB'!$B:$B = AM$10) * 
        ('アイテム別限界値DB'!$C:$C = AM17) * 
        ('アイテム別限界値DB'!$F:$F = AN17), 
        0
      )
    ), 
    ""
  )
)
</f>
        <v/>
      </c>
      <c r="AQ17" s="11"/>
      <c r="AR17" s="224" t="s">
        <v>57</v>
      </c>
      <c r="AS17" s="232"/>
      <c r="AT17" s="231" t="str">
        <f t="array" ref="AT17">IF(
  AS17 = 0, 
  "", 
  IFERROR(
    INDEX(
      'アイテム別限界値DB'!$K:$K, 
      MATCH(
        1, 
        ('アイテム別限界値DB'!$B:$B = AR$10) * 
        ('アイテム別限界値DB'!$F:$F = AR17) * 
        ('アイテム別限界値DB'!$H:$H = AS17), 
        0
      )
    ), 
    "再製作"
  )
)
</f>
        <v/>
      </c>
      <c r="AU17" s="218" t="str">
        <f t="array" ref="AU17">IF(
  AS17 = 0, 
  "", 
  IFERROR(
    INDEX(
      'アイテム別限界値DB'!$L:$L, 
      MATCH(
        1, 
        ('アイテム別限界値DB'!$B:$B = AR$10) * 
        ('アイテム別限界値DB'!$C:$C = AR17) * 
        ('アイテム別限界値DB'!$F:$F = AS17), 
        0
      )
    ), 
    ""
  )
)
</f>
        <v/>
      </c>
      <c r="AV17" s="121"/>
      <c r="AW17" s="224" t="s">
        <v>57</v>
      </c>
      <c r="AX17" s="230"/>
      <c r="AY17" s="231" t="str">
        <f t="array" ref="AY17">IF(
  AX17 = 0, 
  "", 
  IFERROR(
    INDEX(
      'アイテム別限界値DB'!$K:$K, 
      MATCH(
        1, 
        ('アイテム別限界値DB'!$B:$B = AW$10) * 
        ('アイテム別限界値DB'!$F:$F = AW17) * 
        ('アイテム別限界値DB'!$H:$H = AX17), 
        0
      )
    ), 
    "再製作"
  )
)
</f>
        <v/>
      </c>
      <c r="AZ17" s="218" t="str">
        <f t="array" ref="AZ17">IF(
  AX17 = 0, 
  "", 
  IFERROR(
    INDEX(
      'アイテム別限界値DB'!$L:$L, 
      MATCH(
        1, 
        ('アイテム別限界値DB'!$B:$B = AW$10) * 
        ('アイテム別限界値DB'!$C:$C = AW17) * 
        ('アイテム別限界値DB'!$F:$F = AX17), 
        0
      )
    ), 
    ""
  )
)
</f>
        <v/>
      </c>
      <c r="BA17" s="121"/>
      <c r="BB17" s="224" t="s">
        <v>57</v>
      </c>
      <c r="BC17" s="232"/>
      <c r="BD17" s="231" t="str">
        <f t="array" ref="BD17">IF(
  BC17 = 0, 
  "", 
  IFERROR(
    INDEX(
      'アイテム別限界値DB'!$K:$K, 
      MATCH(
        1, 
        ('アイテム別限界値DB'!$B:$B = BB$10) * 
        ('アイテム別限界値DB'!$F:$F = BB17) * 
        ('アイテム別限界値DB'!$H:$H = BC17), 
        0
      )
    ), 
    "再製作"
  )
)
</f>
        <v/>
      </c>
      <c r="BE17" s="218" t="str">
        <f t="array" ref="BE17">IF(
  BC17 = 0, 
  "", 
  IFERROR(
    INDEX(
      'アイテム別限界値DB'!$L:$L, 
      MATCH(
        1, 
        ('アイテム別限界値DB'!$B:$B = BB$10) * 
        ('アイテム別限界値DB'!$C:$C = BB17) * 
        ('アイテム別限界値DB'!$F:$F = BC17), 
        0
      )
    ), 
    ""
  )
)
</f>
        <v/>
      </c>
      <c r="BF17" s="121"/>
      <c r="BG17" s="224" t="s">
        <v>57</v>
      </c>
      <c r="BH17" s="232"/>
      <c r="BI17" s="231" t="str">
        <f t="array" ref="BI17">IF(
  BH17 = 0, 
  "", 
  IFERROR(
    INDEX(
      'アイテム別限界値DB'!$K:$K, 
      MATCH(
        1, 
        ('アイテム別限界値DB'!$B:$B = BG$10) * 
        ('アイテム別限界値DB'!$F:$F = BG17) * 
        ('アイテム別限界値DB'!$H:$H = BH17), 
        0
      )
    ), 
    "再製作"
  )
)
</f>
        <v/>
      </c>
      <c r="BJ17" s="218" t="str">
        <f t="array" ref="BJ17">IF(
  BH17 = 0, 
  "", 
  IFERROR(
    INDEX(
      'アイテム別限界値DB'!$L:$L, 
      MATCH(
        1, 
        ('アイテム別限界値DB'!$B:$B = BG$10) * 
        ('アイテム別限界値DB'!$C:$C = BG17) * 
        ('アイテム別限界値DB'!$F:$F = BH17), 
        0
      )
    ), 
    ""
  )
)
</f>
        <v/>
      </c>
      <c r="BK17" s="121"/>
      <c r="BL17" s="224" t="s">
        <v>57</v>
      </c>
      <c r="BM17" s="232" t="s">
        <v>59</v>
      </c>
      <c r="BN17" s="231">
        <f t="array" ref="BN17">IF(
  BM17 = 0, 
  "", 
  IFERROR(
    INDEX(
      'アイテム別限界値DB'!$K:$K, 
      MATCH(
        1, 
        ('アイテム別限界値DB'!$B:$B = BL$10) * 
        ('アイテム別限界値DB'!$F:$F = BL17) * 
        ('アイテム別限界値DB'!$H:$H = BM17), 
        0
      )
    ), 
    "再製作"
  )
)
</f>
        <v>46000</v>
      </c>
      <c r="BO17" s="218" t="str">
        <f t="array" ref="BO17">IF(
  BM17 = 0, 
  "", 
  IFERROR(
    INDEX(
      'アイテム別限界値DB'!$L:$L, 
      MATCH(
        1, 
        ('アイテム別限界値DB'!$B:$B = BL$10) * 
        ('アイテム別限界値DB'!$C:$C = BL17) * 
        ('アイテム別限界値DB'!$F:$F = BM17), 
        0
      )
    ), 
    ""
  )
)
</f>
        <v/>
      </c>
      <c r="BP17" s="195"/>
    </row>
    <row r="18" ht="18.75" customHeight="1">
      <c r="A18" s="237" t="s">
        <v>64</v>
      </c>
      <c r="B18" s="235"/>
      <c r="C18" s="224"/>
      <c r="D18" s="224" t="s">
        <v>65</v>
      </c>
      <c r="E18" s="230"/>
      <c r="F18" s="231" t="str">
        <f t="array" ref="F18">IF(
  E18 = 0, 
  "", 
  IFERROR(
    INDEX(
      'アイテム別限界値DB'!$K:$K, 
      MATCH(
        1, 
        ('アイテム別限界値DB'!$B:$B = D$10) * 
        ('アイテム別限界値DB'!$F:$F = D18) * 
        ('アイテム別限界値DB'!$H:$H = E18), 
        0
      )
    ), 
    "再製作"
  )
)
</f>
        <v/>
      </c>
      <c r="G18" s="218" t="str">
        <f t="array" ref="G18">IF(
  E18 = 0, 
  "", 
  IFERROR(
    INDEX(
      'アイテム別限界値DB'!$L:$L, 
      MATCH(
        1, 
        ('アイテム別限界値DB'!$B:$B = D$10) * 
        ('アイテム別限界値DB'!$C:$C = D18) * 
        ('アイテム別限界値DB'!$F:$F = E18), 
        0
      )
    ), 
    ""
  )
)
</f>
        <v/>
      </c>
      <c r="H18" s="12"/>
      <c r="I18" s="224" t="s">
        <v>66</v>
      </c>
      <c r="J18" s="230"/>
      <c r="K18" s="231" t="str">
        <f t="array" ref="K18">IF(
  J18 = 0, 
  "", 
  IFERROR(
    INDEX(
      'アイテム別限界値DB'!$K:$K, 
      MATCH(
        1, 
        ('アイテム別限界値DB'!$B:$B = I$10) * 
        ('アイテム別限界値DB'!$F:$F = I18) * 
        ('アイテム別限界値DB'!$H:$H = J18), 
        0
      )
    ), 
    "再製作"
  )
)
</f>
        <v/>
      </c>
      <c r="L18" s="218" t="str">
        <f t="array" ref="L18">IF(
  J18 = 0, 
  "", 
  IFERROR(
    INDEX(
      'アイテム別限界値DB'!$L:$L, 
      MATCH(
        1, 
        ('アイテム別限界値DB'!$B:$B = I$10) * 
        ('アイテム別限界値DB'!$C:$C = I18) * 
        ('アイテム別限界値DB'!$F:$F = J18), 
        0
      )
    ), 
    ""
  )
)
</f>
        <v/>
      </c>
      <c r="M18" s="12"/>
      <c r="N18" s="224" t="s">
        <v>67</v>
      </c>
      <c r="O18" s="230"/>
      <c r="P18" s="231" t="str">
        <f t="array" ref="P18">IF(
  O18 = 0, 
  "", 
  IFERROR(
    INDEX(
      'アイテム別限界値DB'!$K:$K, 
      MATCH(
        1, 
        ('アイテム別限界値DB'!$B:$B = N$10) * 
        ('アイテム別限界値DB'!$F:$F = N18) * 
        ('アイテム別限界値DB'!$H:$H = O18), 
        0
      )
    ), 
    "再製作"
  )
)
</f>
        <v/>
      </c>
      <c r="Q18" s="218" t="str">
        <f t="array" ref="Q18">IF(
  O18 = 0, 
  "", 
  IFERROR(
    INDEX(
      'アイテム別限界値DB'!$L:$L, 
      MATCH(
        1, 
        ('アイテム別限界値DB'!$B:$B = N$10) * 
        ('アイテム別限界値DB'!$C:$C = N18) * 
        ('アイテム別限界値DB'!$F:$F = O18), 
        0
      )
    ), 
    ""
  )
)
</f>
        <v/>
      </c>
      <c r="R18" s="11"/>
      <c r="S18" s="224" t="s">
        <v>68</v>
      </c>
      <c r="T18" s="230"/>
      <c r="U18" s="231" t="str">
        <f t="array" ref="U18">IF(
  T18 = 0, 
  "", 
  IFERROR(
    INDEX(
      'アイテム別限界値DB'!$K:$K, 
      MATCH(
        1, 
        ('アイテム別限界値DB'!$B:$B = S$10) * 
        ('アイテム別限界値DB'!$F:$F = S18) * 
        ('アイテム別限界値DB'!$H:$H = T18), 
        0
      )
    ), 
    "再製作"
  )
)
</f>
        <v/>
      </c>
      <c r="V18" s="218" t="str">
        <f t="array" ref="V18">IF(
  T18 = 0, 
  "", 
  IFERROR(
    INDEX(
      'アイテム別限界値DB'!$L:$L, 
      MATCH(
        1, 
        ('アイテム別限界値DB'!$B:$B = S$10) * 
        ('アイテム別限界値DB'!$C:$C = S18) * 
        ('アイテム別限界値DB'!$F:$F = T18), 
        0
      )
    ), 
    ""
  )
)
</f>
        <v/>
      </c>
      <c r="W18" s="11"/>
      <c r="X18" s="224" t="s">
        <v>57</v>
      </c>
      <c r="Y18" s="230" t="s">
        <v>130</v>
      </c>
      <c r="Z18" s="231">
        <f t="array" ref="Z18">IF(
  Y18 = 0, 
  "", 
  IFERROR(
    INDEX(
      'アイテム別限界値DB'!$K:$K, 
      MATCH(
        1, 
        ('アイテム別限界値DB'!$B:$B = X$10) * 
        ('アイテム別限界値DB'!$F:$F = X18) * 
        ('アイテム別限界値DB'!$H:$H = Y18), 
        0
      )
    ), 
    "再製作"
  )
)
</f>
        <v>46000</v>
      </c>
      <c r="AA18" s="218" t="str">
        <f t="array" ref="AA18">IF(
  Y18 = 0, 
  "", 
  IFERROR(
    INDEX(
      'アイテム別限界値DB'!$L:$L, 
      MATCH(
        1, 
        ('アイテム別限界値DB'!$B:$B = X$10) * 
        ('アイテム別限界値DB'!$C:$C = X18) * 
        ('アイテム別限界値DB'!$F:$F = Y18), 
        0
      )
    ), 
    ""
  )
)
</f>
        <v/>
      </c>
      <c r="AB18" s="11"/>
      <c r="AC18" s="224" t="s">
        <v>69</v>
      </c>
      <c r="AD18" s="232"/>
      <c r="AE18" s="231" t="str">
        <f t="array" ref="AE18">IF(
  AD18 = 0, 
  "", 
  IFERROR(
    INDEX(
      'アイテム別限界値DB'!$K:$K, 
      MATCH(
        1, 
        ('アイテム別限界値DB'!$B:$B = AC$10) * 
        ('アイテム別限界値DB'!$F:$F = AC18) * 
        ('アイテム別限界値DB'!$H:$H = AD18), 
        0
      )
    ), 
    "再製作"
  )
)
</f>
        <v/>
      </c>
      <c r="AF18" s="218" t="str">
        <f t="array" ref="AF18">IF(
  AD18 = 0, 
  "", 
  IFERROR(
    INDEX(
      'アイテム別限界値DB'!$L:$L, 
      MATCH(
        1, 
        ('アイテム別限界値DB'!$B:$B = AC$10) * 
        ('アイテム別限界値DB'!$C:$C = AC18) * 
        ('アイテム別限界値DB'!$F:$F = AD18), 
        0
      )
    ), 
    ""
  )
)
</f>
        <v/>
      </c>
      <c r="AG18" s="11"/>
      <c r="AH18" s="224" t="s">
        <v>70</v>
      </c>
      <c r="AI18" s="232"/>
      <c r="AJ18" s="231" t="str">
        <f t="array" ref="AJ18">IF(
  AI18 = 0, 
  "", 
  IFERROR(
    INDEX(
      'アイテム別限界値DB'!$K:$K, 
      MATCH(
        1, 
        ('アイテム別限界値DB'!$B:$B = AH$10) * 
        ('アイテム別限界値DB'!$F:$F = AH18) * 
        ('アイテム別限界値DB'!$H:$H = AI18), 
        0
      )
    ), 
    "再製作"
  )
)
</f>
        <v/>
      </c>
      <c r="AK18" s="218" t="str">
        <f t="array" ref="AK18">IF(
  AI18 = 0, 
  "", 
  IFERROR(
    INDEX(
      'アイテム別限界値DB'!$L:$L, 
      MATCH(
        1, 
        ('アイテム別限界値DB'!$B:$B = AH$10) * 
        ('アイテム別限界値DB'!$C:$C = AH18) * 
        ('アイテム別限界値DB'!$F:$F = AI18), 
        0
      )
    ), 
    ""
  )
)
</f>
        <v/>
      </c>
      <c r="AL18" s="11"/>
      <c r="AM18" s="224" t="s">
        <v>71</v>
      </c>
      <c r="AN18" s="232"/>
      <c r="AO18" s="231" t="str">
        <f t="array" ref="AO18">IF(
  AN18 = 0, 
  "", 
  IFERROR(
    INDEX(
      'アイテム別限界値DB'!$K:$K, 
      MATCH(
        1, 
        ('アイテム別限界値DB'!$B:$B = AM$10) * 
        ('アイテム別限界値DB'!$F:$F = AM18) * 
        ('アイテム別限界値DB'!$H:$H = AN18), 
        0
      )
    ), 
    "再製作"
  )
)
</f>
        <v/>
      </c>
      <c r="AP18" s="218" t="str">
        <f t="array" ref="AP18">IF(
  AN18 = 0, 
  "", 
  IFERROR(
    INDEX(
      'アイテム別限界値DB'!$L:$L, 
      MATCH(
        1, 
        ('アイテム別限界値DB'!$B:$B = AM$10) * 
        ('アイテム別限界値DB'!$C:$C = AM18) * 
        ('アイテム別限界値DB'!$F:$F = AN18), 
        0
      )
    ), 
    ""
  )
)
</f>
        <v/>
      </c>
      <c r="AQ18" s="11"/>
      <c r="AR18" s="224" t="s">
        <v>71</v>
      </c>
      <c r="AS18" s="232"/>
      <c r="AT18" s="231" t="str">
        <f t="array" ref="AT18">IF(
  AS18 = 0, 
  "", 
  IFERROR(
    INDEX(
      'アイテム別限界値DB'!$K:$K, 
      MATCH(
        1, 
        ('アイテム別限界値DB'!$B:$B = AR$10) * 
        ('アイテム別限界値DB'!$F:$F = AR18) * 
        ('アイテム別限界値DB'!$H:$H = AS18), 
        0
      )
    ), 
    "再製作"
  )
)
</f>
        <v/>
      </c>
      <c r="AU18" s="218" t="str">
        <f t="array" ref="AU18">IF(
  AS18 = 0, 
  "", 
  IFERROR(
    INDEX(
      'アイテム別限界値DB'!$L:$L, 
      MATCH(
        1, 
        ('アイテム別限界値DB'!$B:$B = AR$10) * 
        ('アイテム別限界値DB'!$C:$C = AR18) * 
        ('アイテム別限界値DB'!$F:$F = AS18), 
        0
      )
    ), 
    ""
  )
)
</f>
        <v/>
      </c>
      <c r="AV18" s="121"/>
      <c r="AW18" s="224" t="s">
        <v>71</v>
      </c>
      <c r="AX18" s="232"/>
      <c r="AY18" s="231" t="str">
        <f t="array" ref="AY18">IF(
  AX18 = 0, 
  "", 
  IFERROR(
    INDEX(
      'アイテム別限界値DB'!$K:$K, 
      MATCH(
        1, 
        ('アイテム別限界値DB'!$B:$B = AW$10) * 
        ('アイテム別限界値DB'!$F:$F = AW18) * 
        ('アイテム別限界値DB'!$H:$H = AX18), 
        0
      )
    ), 
    "再製作"
  )
)
</f>
        <v/>
      </c>
      <c r="AZ18" s="218" t="str">
        <f t="array" ref="AZ18">IF(
  AX18 = 0, 
  "", 
  IFERROR(
    INDEX(
      'アイテム別限界値DB'!$L:$L, 
      MATCH(
        1, 
        ('アイテム別限界値DB'!$B:$B = AW$10) * 
        ('アイテム別限界値DB'!$C:$C = AW18) * 
        ('アイテム別限界値DB'!$F:$F = AX18), 
        0
      )
    ), 
    ""
  )
)
</f>
        <v/>
      </c>
      <c r="BA18" s="121"/>
      <c r="BB18" s="224" t="s">
        <v>71</v>
      </c>
      <c r="BC18" s="232"/>
      <c r="BD18" s="231" t="str">
        <f t="array" ref="BD18">IF(
  BC18 = 0, 
  "", 
  IFERROR(
    INDEX(
      'アイテム別限界値DB'!$K:$K, 
      MATCH(
        1, 
        ('アイテム別限界値DB'!$B:$B = BB$10) * 
        ('アイテム別限界値DB'!$F:$F = BB18) * 
        ('アイテム別限界値DB'!$H:$H = BC18), 
        0
      )
    ), 
    "再製作"
  )
)
</f>
        <v/>
      </c>
      <c r="BE18" s="218" t="str">
        <f t="array" ref="BE18">IF(
  BC18 = 0, 
  "", 
  IFERROR(
    INDEX(
      'アイテム別限界値DB'!$L:$L, 
      MATCH(
        1, 
        ('アイテム別限界値DB'!$B:$B = BB$10) * 
        ('アイテム別限界値DB'!$C:$C = BB18) * 
        ('アイテム別限界値DB'!$F:$F = BC18), 
        0
      )
    ), 
    ""
  )
)
</f>
        <v/>
      </c>
      <c r="BF18" s="121"/>
      <c r="BG18" s="224" t="s">
        <v>71</v>
      </c>
      <c r="BH18" s="232"/>
      <c r="BI18" s="231" t="str">
        <f t="array" ref="BI18">IF(
  BH18 = 0, 
  "", 
  IFERROR(
    INDEX(
      'アイテム別限界値DB'!$K:$K, 
      MATCH(
        1, 
        ('アイテム別限界値DB'!$B:$B = BG$10) * 
        ('アイテム別限界値DB'!$F:$F = BG18) * 
        ('アイテム別限界値DB'!$H:$H = BH18), 
        0
      )
    ), 
    "再製作"
  )
)
</f>
        <v/>
      </c>
      <c r="BJ18" s="218" t="str">
        <f t="array" ref="BJ18">IF(
  BH18 = 0, 
  "", 
  IFERROR(
    INDEX(
      'アイテム別限界値DB'!$L:$L, 
      MATCH(
        1, 
        ('アイテム別限界値DB'!$B:$B = BG$10) * 
        ('アイテム別限界値DB'!$C:$C = BG18) * 
        ('アイテム別限界値DB'!$F:$F = BH18), 
        0
      )
    ), 
    ""
  )
)
</f>
        <v/>
      </c>
      <c r="BK18" s="121"/>
      <c r="BL18" s="224" t="s">
        <v>69</v>
      </c>
      <c r="BM18" s="232"/>
      <c r="BN18" s="231" t="str">
        <f t="array" ref="BN18">IF(
  BM18 = 0, 
  "", 
  IFERROR(
    INDEX(
      'アイテム別限界値DB'!$K:$K, 
      MATCH(
        1, 
        ('アイテム別限界値DB'!$B:$B = BL$10) * 
        ('アイテム別限界値DB'!$F:$F = BL18) * 
        ('アイテム別限界値DB'!$H:$H = BM18), 
        0
      )
    ), 
    "再製作"
  )
)
</f>
        <v/>
      </c>
      <c r="BO18" s="218" t="str">
        <f t="array" ref="BO18">IF(
  BM18 = 0, 
  "", 
  IFERROR(
    INDEX(
      'アイテム別限界値DB'!$L:$L, 
      MATCH(
        1, 
        ('アイテム別限界値DB'!$B:$B = BL$10) * 
        ('アイテム別限界値DB'!$C:$C = BL18) * 
        ('アイテム別限界値DB'!$F:$F = BM18), 
        0
      )
    ), 
    ""
  )
)
</f>
        <v/>
      </c>
      <c r="BP18" s="195"/>
    </row>
    <row r="19" ht="18.75" customHeight="1">
      <c r="A19" s="228" t="str">
        <f>IF($I$11 ="再製作", "◼︎ パンツ（対応着地：再製作）"　&amp; char(10) &amp; "《修正数値》", IF($I$11 &lt;&gt; "", "◼︎ パンツ（対応着地：お直し）"　&amp; char(10) &amp; "《修正数値》", ""))</f>
        <v>◼︎ パンツ（対応着地：お直し）
《修正数値》</v>
      </c>
      <c r="B19" s="224"/>
      <c r="C19" s="224"/>
      <c r="D19" s="238" t="s">
        <v>72</v>
      </c>
      <c r="E19" s="232"/>
      <c r="F19" s="231" t="str">
        <f t="array" ref="F19">IF(
  E19 = 0, 
  "", 
  IFERROR(
    INDEX(
      'アイテム別限界値DB'!$K:$K, 
      MATCH(
        1, 
        ('アイテム別限界値DB'!$B:$B = D$10) * 
        ('アイテム別限界値DB'!$F:$F = D19) * 
        ('アイテム別限界値DB'!$H:$H = E19), 
        0
      )
    ), 
    "再製作"
  )
)
</f>
        <v/>
      </c>
      <c r="G19" s="218" t="str">
        <f t="array" ref="G19">IF(
  E19 = 0, 
  "", 
  IFERROR(
    INDEX(
      'アイテム別限界値DB'!$L:$L, 
      MATCH(
        1, 
        ('アイテム別限界値DB'!$B:$B = D$10) * 
        ('アイテム別限界値DB'!$C:$C = D19) * 
        ('アイテム別限界値DB'!$F:$F = E19), 
        0
      )
    ), 
    ""
  )
)
</f>
        <v/>
      </c>
      <c r="H19" s="12"/>
      <c r="I19" s="238" t="s">
        <v>73</v>
      </c>
      <c r="J19" s="230"/>
      <c r="K19" s="231" t="str">
        <f t="array" ref="K19">IF(
  J19 = 0, 
  "", 
  IFERROR(
    INDEX(
      'アイテム別限界値DB'!$K:$K, 
      MATCH(
        1, 
        ('アイテム別限界値DB'!$B:$B = I$10) * 
        ('アイテム別限界値DB'!$F:$F = I19) * 
        ('アイテム別限界値DB'!$H:$H = J19), 
        0
      )
    ), 
    "再製作"
  )
)
</f>
        <v/>
      </c>
      <c r="L19" s="218" t="str">
        <f t="array" ref="L19">IF(
  J19 = 0, 
  "", 
  IFERROR(
    INDEX(
      'アイテム別限界値DB'!$L:$L, 
      MATCH(
        1, 
        ('アイテム別限界値DB'!$B:$B = I$10) * 
        ('アイテム別限界値DB'!$C:$C = I19) * 
        ('アイテム別限界値DB'!$F:$F = J19), 
        0
      )
    ), 
    ""
  )
)
</f>
        <v/>
      </c>
      <c r="M19" s="12"/>
      <c r="N19" s="238" t="s">
        <v>74</v>
      </c>
      <c r="O19" s="232"/>
      <c r="P19" s="231" t="str">
        <f t="array" ref="P19">IF(
  O19 = 0, 
  "", 
  IFERROR(
    INDEX(
      'アイテム別限界値DB'!$K:$K, 
      MATCH(
        1, 
        ('アイテム別限界値DB'!$B:$B = N$10) * 
        ('アイテム別限界値DB'!$F:$F = N19) * 
        ('アイテム別限界値DB'!$H:$H = O19), 
        0
      )
    ), 
    "再製作"
  )
)
</f>
        <v/>
      </c>
      <c r="Q19" s="218" t="str">
        <f t="array" ref="Q19">IF(
  O19 = 0, 
  "", 
  IFERROR(
    INDEX(
      'アイテム別限界値DB'!$L:$L, 
      MATCH(
        1, 
        ('アイテム別限界値DB'!$B:$B = N$10) * 
        ('アイテム別限界値DB'!$C:$C = N19) * 
        ('アイテム別限界値DB'!$F:$F = O19), 
        0
      )
    ), 
    ""
  )
)
</f>
        <v/>
      </c>
      <c r="R19" s="11"/>
      <c r="S19" s="238" t="s">
        <v>75</v>
      </c>
      <c r="T19" s="232"/>
      <c r="U19" s="231" t="str">
        <f t="array" ref="U19">IF(
  T19 = 0, 
  "", 
  IFERROR(
    INDEX(
      'アイテム別限界値DB'!$K:$K, 
      MATCH(
        1, 
        ('アイテム別限界値DB'!$B:$B = S$10) * 
        ('アイテム別限界値DB'!$F:$F = S19) * 
        ('アイテム別限界値DB'!$H:$H = T19), 
        0
      )
    ), 
    "再製作"
  )
)
</f>
        <v/>
      </c>
      <c r="V19" s="218" t="str">
        <f t="array" ref="V19">IF(
  T19 = 0, 
  "", 
  IFERROR(
    INDEX(
      'アイテム別限界値DB'!$L:$L, 
      MATCH(
        1, 
        ('アイテム別限界値DB'!$B:$B = S$10) * 
        ('アイテム別限界値DB'!$C:$C = S19) * 
        ('アイテム別限界値DB'!$F:$F = T19), 
        0
      )
    ), 
    ""
  )
)
</f>
        <v/>
      </c>
      <c r="W19" s="11"/>
      <c r="X19" s="238" t="s">
        <v>69</v>
      </c>
      <c r="Y19" s="230" t="s">
        <v>59</v>
      </c>
      <c r="Z19" s="231" t="str">
        <f t="array" ref="Z19">IF(
  Y19 = 0, 
  "", 
  IFERROR(
    INDEX(
      'アイテム別限界値DB'!$K:$K, 
      MATCH(
        1, 
        ('アイテム別限界値DB'!$B:$B = X$10) * 
        ('アイテム別限界値DB'!$F:$F = X19) * 
        ('アイテム別限界値DB'!$H:$H = Y19), 
        0
      )
    ), 
    "再製作"
  )
)
</f>
        <v>再製作</v>
      </c>
      <c r="AA19" s="218" t="str">
        <f t="array" ref="AA19">IF(
  Y19 = 0, 
  "", 
  IFERROR(
    INDEX(
      'アイテム別限界値DB'!$L:$L, 
      MATCH(
        1, 
        ('アイテム別限界値DB'!$B:$B = X$10) * 
        ('アイテム別限界値DB'!$C:$C = X19) * 
        ('アイテム別限界値DB'!$F:$F = Y19), 
        0
      )
    ), 
    ""
  )
)
</f>
        <v/>
      </c>
      <c r="AB19" s="11"/>
      <c r="AC19" s="238" t="s">
        <v>76</v>
      </c>
      <c r="AD19" s="232"/>
      <c r="AE19" s="231" t="str">
        <f t="array" ref="AE19">IF(
  AD19 = 0, 
  "", 
  IFERROR(
    INDEX(
      'アイテム別限界値DB'!$K:$K, 
      MATCH(
        1, 
        ('アイテム別限界値DB'!$B:$B = AC$10) * 
        ('アイテム別限界値DB'!$F:$F = AC19) * 
        ('アイテム別限界値DB'!$H:$H = AD19), 
        0
      )
    ), 
    "再製作"
  )
)
</f>
        <v/>
      </c>
      <c r="AF19" s="218" t="str">
        <f t="array" ref="AF19">IF(
  AD19 = 0, 
  "", 
  IFERROR(
    INDEX(
      'アイテム別限界値DB'!$L:$L, 
      MATCH(
        1, 
        ('アイテム別限界値DB'!$B:$B = AC$10) * 
        ('アイテム別限界値DB'!$C:$C = AC19) * 
        ('アイテム別限界値DB'!$F:$F = AD19), 
        0
      )
    ), 
    ""
  )
)
</f>
        <v/>
      </c>
      <c r="AG19" s="11"/>
      <c r="AH19" s="238" t="s">
        <v>71</v>
      </c>
      <c r="AI19" s="232"/>
      <c r="AJ19" s="231" t="str">
        <f t="array" ref="AJ19">IF(
  AI19 = 0, 
  "", 
  IFERROR(
    INDEX(
      'アイテム別限界値DB'!$K:$K, 
      MATCH(
        1, 
        ('アイテム別限界値DB'!$B:$B = AH$10) * 
        ('アイテム別限界値DB'!$F:$F = AH19) * 
        ('アイテム別限界値DB'!$H:$H = AI19), 
        0
      )
    ), 
    "再製作"
  )
)
</f>
        <v/>
      </c>
      <c r="AK19" s="218" t="str">
        <f t="array" ref="AK19">IF(
  AI19 = 0, 
  "", 
  IFERROR(
    INDEX(
      'アイテム別限界値DB'!$L:$L, 
      MATCH(
        1, 
        ('アイテム別限界値DB'!$B:$B = AH$10) * 
        ('アイテム別限界値DB'!$C:$C = AH19) * 
        ('アイテム別限界値DB'!$F:$F = AI19), 
        0
      )
    ), 
    ""
  )
)
</f>
        <v/>
      </c>
      <c r="AL19" s="11"/>
      <c r="AM19" s="238" t="s">
        <v>62</v>
      </c>
      <c r="AN19" s="232"/>
      <c r="AO19" s="231" t="str">
        <f t="array" ref="AO19">IF(
  AN19 = 0, 
  "", 
  IFERROR(
    INDEX(
      'アイテム別限界値DB'!$K:$K, 
      MATCH(
        1, 
        ('アイテム別限界値DB'!$B:$B = AM$10) * 
        ('アイテム別限界値DB'!$F:$F = AM19) * 
        ('アイテム別限界値DB'!$H:$H = AN19), 
        0
      )
    ), 
    "再製作"
  )
)
</f>
        <v/>
      </c>
      <c r="AP19" s="218" t="str">
        <f t="array" ref="AP19">IF(
  AN19 = 0, 
  "", 
  IFERROR(
    INDEX(
      'アイテム別限界値DB'!$L:$L, 
      MATCH(
        1, 
        ('アイテム別限界値DB'!$B:$B = AM$10) * 
        ('アイテム別限界値DB'!$C:$C = AM19) * 
        ('アイテム別限界値DB'!$F:$F = AN19), 
        0
      )
    ), 
    ""
  )
)
</f>
        <v/>
      </c>
      <c r="AQ19" s="11"/>
      <c r="AR19" s="238" t="s">
        <v>62</v>
      </c>
      <c r="AS19" s="232"/>
      <c r="AT19" s="231" t="str">
        <f t="array" ref="AT19">IF(
  AS19 = 0, 
  "", 
  IFERROR(
    INDEX(
      'アイテム別限界値DB'!$K:$K, 
      MATCH(
        1, 
        ('アイテム別限界値DB'!$B:$B = AR$10) * 
        ('アイテム別限界値DB'!$F:$F = AR19) * 
        ('アイテム別限界値DB'!$H:$H = AS19), 
        0
      )
    ), 
    "再製作"
  )
)
</f>
        <v/>
      </c>
      <c r="AU19" s="218" t="str">
        <f t="array" ref="AU19">IF(
  AS19 = 0, 
  "", 
  IFERROR(
    INDEX(
      'アイテム別限界値DB'!$L:$L, 
      MATCH(
        1, 
        ('アイテム別限界値DB'!$B:$B = AR$10) * 
        ('アイテム別限界値DB'!$C:$C = AR19) * 
        ('アイテム別限界値DB'!$F:$F = AS19), 
        0
      )
    ), 
    ""
  )
)
</f>
        <v/>
      </c>
      <c r="AV19" s="121"/>
      <c r="AW19" s="224" t="s">
        <v>62</v>
      </c>
      <c r="AX19" s="232"/>
      <c r="AY19" s="231" t="str">
        <f t="array" ref="AY19">IF(
  AX19 = 0, 
  "", 
  IFERROR(
    INDEX(
      'アイテム別限界値DB'!$K:$K, 
      MATCH(
        1, 
        ('アイテム別限界値DB'!$B:$B = AW$10) * 
        ('アイテム別限界値DB'!$F:$F = AW19) * 
        ('アイテム別限界値DB'!$H:$H = AX19), 
        0
      )
    ), 
    "再製作"
  )
)
</f>
        <v/>
      </c>
      <c r="AZ19" s="218" t="str">
        <f t="array" ref="AZ19">IF(
  AX19 = 0, 
  "", 
  IFERROR(
    INDEX(
      'アイテム別限界値DB'!$L:$L, 
      MATCH(
        1, 
        ('アイテム別限界値DB'!$B:$B = AW$10) * 
        ('アイテム別限界値DB'!$C:$C = AW19) * 
        ('アイテム別限界値DB'!$F:$F = AX19), 
        0
      )
    ), 
    ""
  )
)
</f>
        <v/>
      </c>
      <c r="BA19" s="121"/>
      <c r="BB19" s="224" t="s">
        <v>62</v>
      </c>
      <c r="BC19" s="232"/>
      <c r="BD19" s="231" t="str">
        <f t="array" ref="BD19">IF(
  BC19 = 0, 
  "", 
  IFERROR(
    INDEX(
      'アイテム別限界値DB'!$K:$K, 
      MATCH(
        1, 
        ('アイテム別限界値DB'!$B:$B = BB$10) * 
        ('アイテム別限界値DB'!$F:$F = BB19) * 
        ('アイテム別限界値DB'!$H:$H = BC19), 
        0
      )
    ), 
    "再製作"
  )
)
</f>
        <v/>
      </c>
      <c r="BE19" s="218" t="str">
        <f t="array" ref="BE19">IF(
  BC19 = 0, 
  "", 
  IFERROR(
    INDEX(
      'アイテム別限界値DB'!$L:$L, 
      MATCH(
        1, 
        ('アイテム別限界値DB'!$B:$B = BB$10) * 
        ('アイテム別限界値DB'!$C:$C = BB19) * 
        ('アイテム別限界値DB'!$F:$F = BC19), 
        0
      )
    ), 
    ""
  )
)
</f>
        <v/>
      </c>
      <c r="BF19" s="121"/>
      <c r="BG19" s="224" t="s">
        <v>62</v>
      </c>
      <c r="BH19" s="232"/>
      <c r="BI19" s="231" t="str">
        <f t="array" ref="BI19">IF(
  BH19 = 0, 
  "", 
  IFERROR(
    INDEX(
      'アイテム別限界値DB'!$K:$K, 
      MATCH(
        1, 
        ('アイテム別限界値DB'!$B:$B = BG$10) * 
        ('アイテム別限界値DB'!$F:$F = BG19) * 
        ('アイテム別限界値DB'!$H:$H = BH19), 
        0
      )
    ), 
    "再製作"
  )
)
</f>
        <v/>
      </c>
      <c r="BJ19" s="218" t="str">
        <f t="array" ref="BJ19">IF(
  BH19 = 0, 
  "", 
  IFERROR(
    INDEX(
      'アイテム別限界値DB'!$L:$L, 
      MATCH(
        1, 
        ('アイテム別限界値DB'!$B:$B = BG$10) * 
        ('アイテム別限界値DB'!$C:$C = BG19) * 
        ('アイテム別限界値DB'!$F:$F = BH19), 
        0
      )
    ), 
    ""
  )
)
</f>
        <v/>
      </c>
      <c r="BK19" s="121"/>
      <c r="BL19" s="224" t="s">
        <v>76</v>
      </c>
      <c r="BM19" s="232"/>
      <c r="BN19" s="231" t="str">
        <f t="array" ref="BN19">IF(
  BM19 = 0, 
  "", 
  IFERROR(
    INDEX(
      'アイテム別限界値DB'!$K:$K, 
      MATCH(
        1, 
        ('アイテム別限界値DB'!$B:$B = BL$10) * 
        ('アイテム別限界値DB'!$F:$F = BL19) * 
        ('アイテム別限界値DB'!$H:$H = BM19), 
        0
      )
    ), 
    "再製作"
  )
)
</f>
        <v/>
      </c>
      <c r="BO19" s="218" t="str">
        <f t="array" ref="BO19">IF(
  BM19 = 0, 
  "", 
  IFERROR(
    INDEX(
      'アイテム別限界値DB'!$L:$L, 
      MATCH(
        1, 
        ('アイテム別限界値DB'!$B:$B = BL$10) * 
        ('アイテム別限界値DB'!$C:$C = BL19) * 
        ('アイテム別限界値DB'!$F:$F = BM19), 
        0
      )
    ), 
    ""
  )
)
</f>
        <v/>
      </c>
      <c r="BP19" s="195"/>
    </row>
    <row r="20" ht="18.75" customHeight="1">
      <c r="A20" s="228" t="str">
        <f>IFERROR(__xludf.DUMMYFUNCTION("TEXTJOIN(CHAR(10),TRUE,FILTER(ARRAYFORMULA(IF(J$14:J72&lt;&gt;"""", I$14:I72 &amp;"" : ""&amp; J$14:J72 &amp;"" cm"","""")), I$14:I72 &lt;&gt;""""))"),"パンツウエスト : -2 cm")</f>
        <v>パンツウエスト : -2 cm</v>
      </c>
      <c r="B20" s="229"/>
      <c r="C20" s="224"/>
      <c r="D20" s="238" t="s">
        <v>77</v>
      </c>
      <c r="E20" s="230"/>
      <c r="F20" s="231"/>
      <c r="G20" s="218" t="str">
        <f t="array" ref="G20">IF(
  E20 = 0, 
  "", 
  IFERROR(
    INDEX(
      'アイテム別限界値DB'!$L:$L, 
      MATCH(
        1, 
        ('アイテム別限界値DB'!$B:$B = D$10) * 
        ('アイテム別限界値DB'!$C:$C = D20) * 
        ('アイテム別限界値DB'!$F:$F = E20), 
        0
      )
    ), 
    ""
  )
)
</f>
        <v/>
      </c>
      <c r="H20" s="12"/>
      <c r="I20" s="238" t="s">
        <v>78</v>
      </c>
      <c r="J20" s="230"/>
      <c r="K20" s="231" t="str">
        <f t="array" ref="K20">IF(
  J20 = 0, 
  "", 
  IFERROR(
    INDEX(
      'アイテム別限界値DB'!$K:$K, 
      MATCH(
        1, 
        ('アイテム別限界値DB'!$B:$B = I$10) * 
        ('アイテム別限界値DB'!$F:$F = I20) * 
        ('アイテム別限界値DB'!$H:$H = J20), 
        0
      )
    ), 
    "再製作"
  )
)
</f>
        <v/>
      </c>
      <c r="L20" s="218" t="str">
        <f t="array" ref="L20">IF(
  J20 = 0, 
  "", 
  IFERROR(
    INDEX(
      'アイテム別限界値DB'!$L:$L, 
      MATCH(
        1, 
        ('アイテム別限界値DB'!$B:$B = I$10) * 
        ('アイテム別限界値DB'!$C:$C = I20) * 
        ('アイテム別限界値DB'!$F:$F = J20), 
        0
      )
    ), 
    ""
  )
)
</f>
        <v/>
      </c>
      <c r="M20" s="12"/>
      <c r="N20" s="238" t="s">
        <v>79</v>
      </c>
      <c r="O20" s="232"/>
      <c r="P20" s="231" t="str">
        <f t="array" ref="P20">IF(
  O20 = 0, 
  "", 
  IFERROR(
    INDEX(
      'アイテム別限界値DB'!$K:$K, 
      MATCH(
        1, 
        ('アイテム別限界値DB'!$B:$B = N$10) * 
        ('アイテム別限界値DB'!$F:$F = N20) * 
        ('アイテム別限界値DB'!$H:$H = O20), 
        0
      )
    ), 
    "再製作"
  )
)
</f>
        <v/>
      </c>
      <c r="Q20" s="218" t="str">
        <f t="array" ref="Q20">IF(
  O20 = 0, 
  "", 
  IFERROR(
    INDEX(
      'アイテム別限界値DB'!$L:$L, 
      MATCH(
        1, 
        ('アイテム別限界値DB'!$B:$B = N$10) * 
        ('アイテム別限界値DB'!$C:$C = N20) * 
        ('アイテム別限界値DB'!$F:$F = O20), 
        0
      )
    ), 
    ""
  )
)
</f>
        <v/>
      </c>
      <c r="R20" s="11"/>
      <c r="S20" s="238" t="s">
        <v>78</v>
      </c>
      <c r="T20" s="232"/>
      <c r="U20" s="231" t="str">
        <f t="array" ref="U20">IF(
  T20 = 0, 
  "", 
  IFERROR(
    INDEX(
      'アイテム別限界値DB'!$K:$K, 
      MATCH(
        1, 
        ('アイテム別限界値DB'!$B:$B = S$10) * 
        ('アイテム別限界値DB'!$F:$F = S20) * 
        ('アイテム別限界値DB'!$H:$H = T20), 
        0
      )
    ), 
    "再製作"
  )
)
</f>
        <v/>
      </c>
      <c r="V20" s="218" t="str">
        <f t="array" ref="V20">IF(
  T20 = 0, 
  "", 
  IFERROR(
    INDEX(
      'アイテム別限界値DB'!$L:$L, 
      MATCH(
        1, 
        ('アイテム別限界値DB'!$B:$B = S$10) * 
        ('アイテム別限界値DB'!$C:$C = S20) * 
        ('アイテム別限界値DB'!$F:$F = T20), 
        0
      )
    ), 
    ""
  )
)
</f>
        <v/>
      </c>
      <c r="W20" s="11"/>
      <c r="X20" s="238" t="s">
        <v>76</v>
      </c>
      <c r="Y20" s="230" t="s">
        <v>130</v>
      </c>
      <c r="Z20" s="231">
        <f t="array" ref="Z20">IF(
  Y20 = 0, 
  "", 
  IFERROR(
    INDEX(
      'アイテム別限界値DB'!$K:$K, 
      MATCH(
        1, 
        ('アイテム別限界値DB'!$B:$B = X$10) * 
        ('アイテム別限界値DB'!$F:$F = X20) * 
        ('アイテム別限界値DB'!$H:$H = Y20), 
        0
      )
    ), 
    "再製作"
  )
)
</f>
        <v>46000</v>
      </c>
      <c r="AA20" s="218" t="str">
        <f t="array" ref="AA20">IF(
  Y20 = 0, 
  "", 
  IFERROR(
    INDEX(
      'アイテム別限界値DB'!$L:$L, 
      MATCH(
        1, 
        ('アイテム別限界値DB'!$B:$B = X$10) * 
        ('アイテム別限界値DB'!$C:$C = X20) * 
        ('アイテム別限界値DB'!$F:$F = Y20), 
        0
      )
    ), 
    ""
  )
)
</f>
        <v/>
      </c>
      <c r="AB20" s="11"/>
      <c r="AC20" s="238" t="s">
        <v>80</v>
      </c>
      <c r="AD20" s="232"/>
      <c r="AE20" s="231" t="str">
        <f t="array" ref="AE20">IF(
  AD20 = 0, 
  "", 
  IFERROR(
    INDEX(
      'アイテム別限界値DB'!$K:$K, 
      MATCH(
        1, 
        ('アイテム別限界値DB'!$B:$B = AC$10) * 
        ('アイテム別限界値DB'!$F:$F = AC20) * 
        ('アイテム別限界値DB'!$H:$H = AD20), 
        0
      )
    ), 
    "再製作"
  )
)
</f>
        <v/>
      </c>
      <c r="AF20" s="218" t="str">
        <f t="array" ref="AF20">IF(
  AD20 = 0, 
  "", 
  IFERROR(
    INDEX(
      'アイテム別限界値DB'!$L:$L, 
      MATCH(
        1, 
        ('アイテム別限界値DB'!$B:$B = AC$10) * 
        ('アイテム別限界値DB'!$C:$C = AC20) * 
        ('アイテム別限界値DB'!$F:$F = AD20), 
        0
      )
    ), 
    ""
  )
)
</f>
        <v/>
      </c>
      <c r="AG20" s="11"/>
      <c r="AH20" s="224" t="s">
        <v>62</v>
      </c>
      <c r="AI20" s="232"/>
      <c r="AJ20" s="231" t="str">
        <f t="array" ref="AJ20">IF(
  AI20 = 0, 
  "", 
  IFERROR(
    INDEX(
      'アイテム別限界値DB'!$K:$K, 
      MATCH(
        1, 
        ('アイテム別限界値DB'!$B:$B = AH$10) * 
        ('アイテム別限界値DB'!$F:$F = AH20) * 
        ('アイテム別限界値DB'!$H:$H = AI20), 
        0
      )
    ), 
    "再製作"
  )
)
</f>
        <v/>
      </c>
      <c r="AK20" s="218" t="str">
        <f t="array" ref="AK20">IF(
  AI20 = 0, 
  "", 
  IFERROR(
    INDEX(
      'アイテム別限界値DB'!$L:$L, 
      MATCH(
        1, 
        ('アイテム別限界値DB'!$B:$B = AH$10) * 
        ('アイテム別限界値DB'!$C:$C = AH20) * 
        ('アイテム別限界値DB'!$F:$F = AI20), 
        0
      )
    ), 
    ""
  )
)
</f>
        <v/>
      </c>
      <c r="AL20" s="11"/>
      <c r="AM20" s="224" t="s">
        <v>70</v>
      </c>
      <c r="AN20" s="232"/>
      <c r="AO20" s="231" t="str">
        <f t="array" ref="AO20">IF(
  AN20 = 0, 
  "", 
  IFERROR(
    INDEX(
      'アイテム別限界値DB'!$K:$K, 
      MATCH(
        1, 
        ('アイテム別限界値DB'!$B:$B = AM$10) * 
        ('アイテム別限界値DB'!$F:$F = AM20) * 
        ('アイテム別限界値DB'!$H:$H = AN20), 
        0
      )
    ), 
    "再製作"
  )
)
</f>
        <v/>
      </c>
      <c r="AP20" s="218" t="str">
        <f t="array" ref="AP20">IF(
  AN20 = 0, 
  "", 
  IFERROR(
    INDEX(
      'アイテム別限界値DB'!$L:$L, 
      MATCH(
        1, 
        ('アイテム別限界値DB'!$B:$B = AM$10) * 
        ('アイテム別限界値DB'!$C:$C = AM20) * 
        ('アイテム別限界値DB'!$F:$F = AN20), 
        0
      )
    ), 
    ""
  )
)
</f>
        <v/>
      </c>
      <c r="AQ20" s="11"/>
      <c r="AR20" s="224" t="s">
        <v>70</v>
      </c>
      <c r="AS20" s="232"/>
      <c r="AT20" s="231" t="str">
        <f t="array" ref="AT20">IF(
  AS20 = 0, 
  "", 
  IFERROR(
    INDEX(
      'アイテム別限界値DB'!$K:$K, 
      MATCH(
        1, 
        ('アイテム別限界値DB'!$B:$B = AR$10) * 
        ('アイテム別限界値DB'!$F:$F = AR20) * 
        ('アイテム別限界値DB'!$H:$H = AS20), 
        0
      )
    ), 
    "再製作"
  )
)
</f>
        <v/>
      </c>
      <c r="AU20" s="218" t="str">
        <f t="array" ref="AU20">IF(
  AS20 = 0, 
  "", 
  IFERROR(
    INDEX(
      'アイテム別限界値DB'!$L:$L, 
      MATCH(
        1, 
        ('アイテム別限界値DB'!$B:$B = AR$10) * 
        ('アイテム別限界値DB'!$C:$C = AR20) * 
        ('アイテム別限界値DB'!$F:$F = AS20), 
        0
      )
    ), 
    ""
  )
)
</f>
        <v/>
      </c>
      <c r="AV20" s="121"/>
      <c r="AW20" s="224" t="s">
        <v>70</v>
      </c>
      <c r="AX20" s="230"/>
      <c r="AY20" s="231" t="str">
        <f t="array" ref="AY20">IF(
  AX20 = 0, 
  "", 
  IFERROR(
    INDEX(
      'アイテム別限界値DB'!$K:$K, 
      MATCH(
        1, 
        ('アイテム別限界値DB'!$B:$B = AW$10) * 
        ('アイテム別限界値DB'!$F:$F = AW20) * 
        ('アイテム別限界値DB'!$H:$H = AX20), 
        0
      )
    ), 
    "再製作"
  )
)
</f>
        <v/>
      </c>
      <c r="AZ20" s="218" t="str">
        <f t="array" ref="AZ20">IF(
  AX20 = 0, 
  "", 
  IFERROR(
    INDEX(
      'アイテム別限界値DB'!$L:$L, 
      MATCH(
        1, 
        ('アイテム別限界値DB'!$B:$B = AW$10) * 
        ('アイテム別限界値DB'!$C:$C = AW20) * 
        ('アイテム別限界値DB'!$F:$F = AX20), 
        0
      )
    ), 
    ""
  )
)
</f>
        <v/>
      </c>
      <c r="BA20" s="121"/>
      <c r="BB20" s="224" t="s">
        <v>70</v>
      </c>
      <c r="BC20" s="232"/>
      <c r="BD20" s="231" t="str">
        <f t="array" ref="BD20">IF(
  BC20 = 0, 
  "", 
  IFERROR(
    INDEX(
      'アイテム別限界値DB'!$K:$K, 
      MATCH(
        1, 
        ('アイテム別限界値DB'!$B:$B = BB$10) * 
        ('アイテム別限界値DB'!$F:$F = BB20) * 
        ('アイテム別限界値DB'!$H:$H = BC20), 
        0
      )
    ), 
    "再製作"
  )
)
</f>
        <v/>
      </c>
      <c r="BE20" s="218" t="str">
        <f t="array" ref="BE20">IF(
  BC20 = 0, 
  "", 
  IFERROR(
    INDEX(
      'アイテム別限界値DB'!$L:$L, 
      MATCH(
        1, 
        ('アイテム別限界値DB'!$B:$B = BB$10) * 
        ('アイテム別限界値DB'!$C:$C = BB20) * 
        ('アイテム別限界値DB'!$F:$F = BC20), 
        0
      )
    ), 
    ""
  )
)
</f>
        <v/>
      </c>
      <c r="BF20" s="121"/>
      <c r="BG20" s="224" t="s">
        <v>70</v>
      </c>
      <c r="BH20" s="232"/>
      <c r="BI20" s="231" t="str">
        <f t="array" ref="BI20">IF(
  BH20 = 0, 
  "", 
  IFERROR(
    INDEX(
      'アイテム別限界値DB'!$K:$K, 
      MATCH(
        1, 
        ('アイテム別限界値DB'!$B:$B = BG$10) * 
        ('アイテム別限界値DB'!$F:$F = BG20) * 
        ('アイテム別限界値DB'!$H:$H = BH20), 
        0
      )
    ), 
    "再製作"
  )
)
</f>
        <v/>
      </c>
      <c r="BJ20" s="218" t="str">
        <f t="array" ref="BJ20">IF(
  BH20 = 0, 
  "", 
  IFERROR(
    INDEX(
      'アイテム別限界値DB'!$L:$L, 
      MATCH(
        1, 
        ('アイテム別限界値DB'!$B:$B = BG$10) * 
        ('アイテム別限界値DB'!$C:$C = BG20) * 
        ('アイテム別限界値DB'!$F:$F = BH20), 
        0
      )
    ), 
    ""
  )
)
</f>
        <v/>
      </c>
      <c r="BK20" s="121"/>
      <c r="BL20" s="224" t="s">
        <v>80</v>
      </c>
      <c r="BM20" s="232"/>
      <c r="BN20" s="231" t="str">
        <f t="array" ref="BN20">IF(
  BM20 = 0, 
  "", 
  IFERROR(
    INDEX(
      'アイテム別限界値DB'!$K:$K, 
      MATCH(
        1, 
        ('アイテム別限界値DB'!$B:$B = BL$10) * 
        ('アイテム別限界値DB'!$F:$F = BL20) * 
        ('アイテム別限界値DB'!$H:$H = BM20), 
        0
      )
    ), 
    "再製作"
  )
)
</f>
        <v/>
      </c>
      <c r="BO20" s="218" t="str">
        <f t="array" ref="BO20">IF(
  BM20 = 0, 
  "", 
  IFERROR(
    INDEX(
      'アイテム別限界値DB'!$L:$L, 
      MATCH(
        1, 
        ('アイテム別限界値DB'!$B:$B = BL$10) * 
        ('アイテム別限界値DB'!$C:$C = BL20) * 
        ('アイテム別限界値DB'!$F:$F = BM20), 
        0
      )
    ), 
    ""
  )
)
</f>
        <v/>
      </c>
      <c r="BP20" s="195"/>
    </row>
    <row r="21" ht="18.75" customHeight="1">
      <c r="A21" s="236" t="str">
        <f>if($A$19&lt;&gt;"", "《仕上がり数値》","")</f>
        <v>《仕上がり数値》</v>
      </c>
      <c r="B21" s="229"/>
      <c r="C21" s="224"/>
      <c r="D21" s="238" t="s">
        <v>81</v>
      </c>
      <c r="E21" s="230"/>
      <c r="F21" s="231" t="str">
        <f t="array" ref="F21">IF(
  E21 = 0, 
  "", 
  IFERROR(
    INDEX(
      'アイテム別限界値DB'!$K:$K, 
      MATCH(
        1, 
        ('アイテム別限界値DB'!$B:$B = D$10) * 
        ('アイテム別限界値DB'!$F:$F = D21) * 
        ('アイテム別限界値DB'!$H:$H = E21), 
        0
      )
    ), 
    "再製作"
  )
)
</f>
        <v/>
      </c>
      <c r="G21" s="218" t="str">
        <f t="array" ref="G21">IF(
  E21 = 0, 
  "", 
  IFERROR(
    INDEX(
      'アイテム別限界値DB'!$L:$L, 
      MATCH(
        1, 
        ('アイテム別限界値DB'!$B:$B = D$10) * 
        ('アイテム別限界値DB'!$C:$C = D21) * 
        ('アイテム別限界値DB'!$F:$F = E21), 
        0
      )
    ), 
    ""
  )
)
</f>
        <v/>
      </c>
      <c r="H21" s="12"/>
      <c r="I21" s="238" t="s">
        <v>82</v>
      </c>
      <c r="J21" s="230"/>
      <c r="K21" s="231" t="str">
        <f t="array" ref="K21">IF(
  J21 = 0, 
  "", 
  IFERROR(
    INDEX(
      'アイテム別限界値DB'!$K:$K, 
      MATCH(
        1, 
        ('アイテム別限界値DB'!$B:$B = I$10) * 
        ('アイテム別限界値DB'!$F:$F = I21) * 
        ('アイテム別限界値DB'!$H:$H = J21), 
        0
      )
    ), 
    "再製作"
  )
)
</f>
        <v/>
      </c>
      <c r="L21" s="218" t="str">
        <f t="array" ref="L21">IF(
  J21 = 0, 
  "", 
  IFERROR(
    INDEX(
      'アイテム別限界値DB'!$L:$L, 
      MATCH(
        1, 
        ('アイテム別限界値DB'!$B:$B = I$10) * 
        ('アイテム別限界値DB'!$C:$C = I21) * 
        ('アイテム別限界値DB'!$F:$F = J21), 
        0
      )
    ), 
    ""
  )
)
</f>
        <v/>
      </c>
      <c r="M21" s="12"/>
      <c r="N21" s="224" t="s">
        <v>83</v>
      </c>
      <c r="O21" s="232"/>
      <c r="P21" s="231" t="str">
        <f t="array" ref="P21">IF(
  O21 = 0, 
  "", 
  IFERROR(
    INDEX(
      'アイテム別限界値DB'!$K:$K, 
      MATCH(
        1, 
        ('アイテム別限界値DB'!$B:$B = N$10) * 
        ('アイテム別限界値DB'!$F:$F = N21) * 
        ('アイテム別限界値DB'!$H:$H = O21), 
        0
      )
    ), 
    "再製作"
  )
)
</f>
        <v/>
      </c>
      <c r="Q21" s="121" t="str">
        <f t="array" ref="Q21">IF(
  O21 = 0, 
  "", 
  IFERROR(
    INDEX(
      'アイテム別限界値DB'!$L:$L, 
      MATCH(
        1, 
        ('アイテム別限界値DB'!$B:$B = N$10) * 
        ('アイテム別限界値DB'!$C:$C = N21) * 
        ('アイテム別限界値DB'!$F:$F = O21), 
        0
      )
    ), 
    ""
  )
)
</f>
        <v/>
      </c>
      <c r="R21" s="11"/>
      <c r="S21" s="238" t="s">
        <v>82</v>
      </c>
      <c r="T21" s="232"/>
      <c r="U21" s="231" t="str">
        <f t="array" ref="U21">IF(
  T21 = 0, 
  "", 
  IFERROR(
    INDEX(
      'アイテム別限界値DB'!$K:$K, 
      MATCH(
        1, 
        ('アイテム別限界値DB'!$B:$B = S$10) * 
        ('アイテム別限界値DB'!$F:$F = S21) * 
        ('アイテム別限界値DB'!$H:$H = T21), 
        0
      )
    ), 
    "再製作"
  )
)
</f>
        <v/>
      </c>
      <c r="V21" s="218" t="str">
        <f t="array" ref="V21">IF(
  T21 = 0, 
  "", 
  IFERROR(
    INDEX(
      'アイテム別限界値DB'!$L:$L, 
      MATCH(
        1, 
        ('アイテム別限界値DB'!$B:$B = S$10) * 
        ('アイテム別限界値DB'!$C:$C = S21) * 
        ('アイテム別限界値DB'!$F:$F = T21), 
        0
      )
    ), 
    ""
  )
)
</f>
        <v/>
      </c>
      <c r="W21" s="11"/>
      <c r="X21" s="238" t="s">
        <v>84</v>
      </c>
      <c r="Y21" s="230" t="s">
        <v>130</v>
      </c>
      <c r="Z21" s="231">
        <f t="array" ref="Z21">IF(
  Y21 = 0, 
  "", 
  IFERROR(
    INDEX(
      'アイテム別限界値DB'!$K:$K, 
      MATCH(
        1, 
        ('アイテム別限界値DB'!$B:$B = X$10) * 
        ('アイテム別限界値DB'!$F:$F = X21) * 
        ('アイテム別限界値DB'!$H:$H = Y21), 
        0
      )
    ), 
    "再製作"
  )
)
</f>
        <v>46000</v>
      </c>
      <c r="AA21" s="218" t="str">
        <f t="array" ref="AA21">IF(
  Y21 = 0, 
  "", 
  IFERROR(
    INDEX(
      'アイテム別限界値DB'!$L:$L, 
      MATCH(
        1, 
        ('アイテム別限界値DB'!$B:$B = X$10) * 
        ('アイテム別限界値DB'!$C:$C = X21) * 
        ('アイテム別限界値DB'!$F:$F = Y21), 
        0
      )
    ), 
    ""
  )
)
</f>
        <v/>
      </c>
      <c r="AB21" s="11"/>
      <c r="AC21" s="238" t="s">
        <v>85</v>
      </c>
      <c r="AD21" s="232"/>
      <c r="AE21" s="231" t="str">
        <f t="array" ref="AE21">IF(
  AD21 = 0, 
  "", 
  IFERROR(
    INDEX(
      'アイテム別限界値DB'!$K:$K, 
      MATCH(
        1, 
        ('アイテム別限界値DB'!$B:$B = AC$10) * 
        ('アイテム別限界値DB'!$F:$F = AC21) * 
        ('アイテム別限界値DB'!$H:$H = AD21), 
        0
      )
    ), 
    "再製作"
  )
)
</f>
        <v/>
      </c>
      <c r="AF21" s="218" t="str">
        <f t="array" ref="AF21">IF(
  AD21 = 0, 
  "", 
  IFERROR(
    INDEX(
      'アイテム別限界値DB'!$L:$L, 
      MATCH(
        1, 
        ('アイテム別限界値DB'!$B:$B = AC$10) * 
        ('アイテム別限界値DB'!$C:$C = AC21) * 
        ('アイテム別限界値DB'!$F:$F = AD21), 
        0
      )
    ), 
    ""
  )
)
</f>
        <v/>
      </c>
      <c r="AG21" s="11"/>
      <c r="AH21" s="224"/>
      <c r="AI21" s="225"/>
      <c r="AJ21" s="220" t="str">
        <f t="array" ref="AJ21">IF(
  AI21 = 0, 
  "", 
  IFERROR(
    INDEX(
      'アイテム別限界値DB'!$I:$I, 
      MATCH(
        1, 
        ('アイテム別限界値DB'!$B:$B = AH$10) * 
        ('アイテム別限界値DB'!$C:$C = AH21) * 
        ('アイテム別限界値DB'!$F:$F = AI21), 
        0
      )
    ), 
    "再製作"
  )
)
</f>
        <v/>
      </c>
      <c r="AK21" s="121" t="str">
        <f t="array" ref="AK21">IF(
  AI21 = 0, 
  "", 
  IFERROR(
    INDEX(
      'アイテム別限界値DB'!$L:$L, 
      MATCH(
        1, 
        ('アイテム別限界値DB'!$B:$B = AH$10) * 
        ('アイテム別限界値DB'!$C:$C = AH21) * 
        ('アイテム別限界値DB'!$F:$F = AI21), 
        0
      )
    ), 
    ""
  )
)
</f>
        <v/>
      </c>
      <c r="AL21" s="11"/>
      <c r="AM21" s="224"/>
      <c r="AN21" s="225"/>
      <c r="AO21" s="220" t="str">
        <f t="array" ref="AO21">IF(
  AN21 = 0, 
  "", 
  IFERROR(
    INDEX(
      'アイテム別限界値DB'!$I:$I, 
      MATCH(
        1, 
        ('アイテム別限界値DB'!$B:$B = AM$10) * 
        ('アイテム別限界値DB'!$C:$C = AM21) * 
        ('アイテム別限界値DB'!$F:$F = AN21), 
        0
      )
    ), 
    "再製作"
  )
)
</f>
        <v/>
      </c>
      <c r="AP21" s="121" t="str">
        <f t="array" ref="AP21">IF(
  AN21 = 0, 
  "", 
  IFERROR(
    INDEX(
      'アイテム別限界値DB'!$L:$L, 
      MATCH(
        1, 
        ('アイテム別限界値DB'!$B:$B = AM$10) * 
        ('アイテム別限界値DB'!$C:$C = AM21) * 
        ('アイテム別限界値DB'!$F:$F = AN21), 
        0
      )
    ), 
    ""
  )
)
</f>
        <v/>
      </c>
      <c r="AQ21" s="11"/>
      <c r="AR21" s="224"/>
      <c r="AS21" s="225"/>
      <c r="AT21" s="220" t="str">
        <f t="array" ref="AT21">IF(
  AS21 = 0, 
  "", 
  IFERROR(
    INDEX(
      'アイテム別限界値DB'!$I:$I, 
      MATCH(
        1, 
        ('アイテム別限界値DB'!$B:$B = AR$10) * 
        ('アイテム別限界値DB'!$C:$C = AR21) * 
        ('アイテム別限界値DB'!$F:$F = AS21), 
        0
      )
    ), 
    "再製作"
  )
)
</f>
        <v/>
      </c>
      <c r="AU21" s="121" t="str">
        <f t="array" ref="AU21">IF(
  AS21 = 0, 
  "", 
  IFERROR(
    INDEX(
      'アイテム別限界値DB'!$L:$L, 
      MATCH(
        1, 
        ('アイテム別限界値DB'!$B:$B = AR$10) * 
        ('アイテム別限界値DB'!$C:$C = AR21) * 
        ('アイテム別限界値DB'!$F:$F = AS21), 
        0
      )
    ), 
    ""
  )
)
</f>
        <v/>
      </c>
      <c r="AV21" s="121"/>
      <c r="AW21" s="224"/>
      <c r="AX21" s="225"/>
      <c r="AY21" s="220" t="str">
        <f t="array" ref="AY21">IF(
  AX21 = 0, 
  "", 
  IFERROR(
    INDEX(
      'アイテム別限界値DB'!$I:$I, 
      MATCH(
        1, 
        ('アイテム別限界値DB'!$B:$B = AW$10) * 
        ('アイテム別限界値DB'!$C:$C = AW21) * 
        ('アイテム別限界値DB'!$F:$F = AX21), 
        0
      )
    ), 
    "再製作"
  )
)
</f>
        <v/>
      </c>
      <c r="AZ21" s="121" t="str">
        <f t="array" ref="AZ21">IF(
  AX21 = 0, 
  "", 
  IFERROR(
    INDEX(
      'アイテム別限界値DB'!$L:$L, 
      MATCH(
        1, 
        ('アイテム別限界値DB'!$B:$B = AW$10) * 
        ('アイテム別限界値DB'!$C:$C = AW21) * 
        ('アイテム別限界値DB'!$F:$F = AX21), 
        0
      )
    ), 
    ""
  )
)
</f>
        <v/>
      </c>
      <c r="BA21" s="121"/>
      <c r="BB21" s="224"/>
      <c r="BC21" s="225"/>
      <c r="BD21" s="220" t="str">
        <f t="array" ref="BD21">IF(
  BC21 = 0, 
  "", 
  IFERROR(
    INDEX(
      'アイテム別限界値DB'!$I:$I, 
      MATCH(
        1, 
        ('アイテム別限界値DB'!$B:$B = BB$10) * 
        ('アイテム別限界値DB'!$C:$C = BB21) * 
        ('アイテム別限界値DB'!$F:$F = BC21), 
        0
      )
    ), 
    "再製作"
  )
)
</f>
        <v/>
      </c>
      <c r="BE21" s="121" t="str">
        <f t="array" ref="BE21">IF(
  BC21 = 0, 
  "", 
  IFERROR(
    INDEX(
      'アイテム別限界値DB'!$L:$L, 
      MATCH(
        1, 
        ('アイテム別限界値DB'!$B:$B = BB$10) * 
        ('アイテム別限界値DB'!$C:$C = BB21) * 
        ('アイテム別限界値DB'!$F:$F = BC21), 
        0
      )
    ), 
    ""
  )
)
</f>
        <v/>
      </c>
      <c r="BF21" s="121"/>
      <c r="BG21" s="224"/>
      <c r="BH21" s="225"/>
      <c r="BI21" s="220" t="str">
        <f t="array" ref="BI21">IF(
  BH21 = 0, 
  "", 
  IFERROR(
    INDEX(
      'アイテム別限界値DB'!$I:$I, 
      MATCH(
        1, 
        ('アイテム別限界値DB'!$B:$B = BG$10) * 
        ('アイテム別限界値DB'!$C:$C = BG21) * 
        ('アイテム別限界値DB'!$F:$F = BH21), 
        0
      )
    ), 
    "再製作"
  )
)
</f>
        <v/>
      </c>
      <c r="BJ21" s="121" t="str">
        <f t="array" ref="BJ21">IF(
  BH21 = 0, 
  "", 
  IFERROR(
    INDEX(
      'アイテム別限界値DB'!$L:$L, 
      MATCH(
        1, 
        ('アイテム別限界値DB'!$B:$B = BG$10) * 
        ('アイテム別限界値DB'!$C:$C = BG21) * 
        ('アイテム別限界値DB'!$F:$F = BH21), 
        0
      )
    ), 
    ""
  )
)
</f>
        <v/>
      </c>
      <c r="BK21" s="121"/>
      <c r="BL21" s="224" t="s">
        <v>85</v>
      </c>
      <c r="BM21" s="232"/>
      <c r="BN21" s="231" t="str">
        <f t="array" ref="BN21">IF(
  BM21 = 0, 
  "", 
  IFERROR(
    INDEX(
      'アイテム別限界値DB'!$K:$K, 
      MATCH(
        1, 
        ('アイテム別限界値DB'!$B:$B = BL$10) * 
        ('アイテム別限界値DB'!$F:$F = BL21) * 
        ('アイテム別限界値DB'!$H:$H = BM21), 
        0
      )
    ), 
    "再製作"
  )
)
</f>
        <v/>
      </c>
      <c r="BO21" s="218" t="str">
        <f t="array" ref="BO21">IF(
  BM21 = 0, 
  "", 
  IFERROR(
    INDEX(
      'アイテム別限界値DB'!$L:$L, 
      MATCH(
        1, 
        ('アイテム別限界値DB'!$B:$B = BL$10) * 
        ('アイテム別限界値DB'!$C:$C = BL21) * 
        ('アイテム別限界値DB'!$F:$F = BM21), 
        0
      )
    ), 
    ""
  )
)
</f>
        <v/>
      </c>
      <c r="BP21" s="195"/>
    </row>
    <row r="22" ht="18.75" customHeight="1">
      <c r="A22" s="228" t="str">
        <f>IFERROR(__xludf.DUMMYFUNCTION("TEXTJOIN(CHAR(10),TRUE,FILTER(ARRAYFORMULA(IF(J$14:J72&lt;&gt;"""", I$14:I72 &amp;"" :  cm"","""")), I$14:I72 &lt;&gt;""""))"),"パンツウエスト :  cm")</f>
        <v>パンツウエスト :  cm</v>
      </c>
      <c r="B22" s="224"/>
      <c r="C22" s="224"/>
      <c r="D22" s="238" t="s">
        <v>86</v>
      </c>
      <c r="E22" s="232"/>
      <c r="F22" s="231" t="str">
        <f t="array" ref="F22">IF(
  E22 = 0, 
  "", 
  IFERROR(
    INDEX(
      'アイテム別限界値DB'!$K:$K, 
      MATCH(
        1, 
        ('アイテム別限界値DB'!$B:$B = D$10) * 
        ('アイテム別限界値DB'!$F:$F = D22) * 
        ('アイテム別限界値DB'!$H:$H = E22), 
        0
      )
    ), 
    "再製作"
  )
)
</f>
        <v/>
      </c>
      <c r="G22" s="218" t="str">
        <f t="array" ref="G22">IF(
  E22 = 0, 
  "", 
  IFERROR(
    INDEX(
      'アイテム別限界値DB'!$L:$L, 
      MATCH(
        1, 
        ('アイテム別限界値DB'!$B:$B = D$10) * 
        ('アイテム別限界値DB'!$C:$C = D22) * 
        ('アイテム別限界値DB'!$F:$F = E22), 
        0
      )
    ), 
    ""
  )
)
</f>
        <v/>
      </c>
      <c r="H22" s="12"/>
      <c r="I22" s="238" t="s">
        <v>87</v>
      </c>
      <c r="J22" s="230"/>
      <c r="K22" s="231" t="str">
        <f t="array" ref="K22">IF(
  J22 = 0, 
  "", 
  IFERROR(
    INDEX(
      'アイテム別限界値DB'!$K:$K, 
      MATCH(
        1, 
        ('アイテム別限界値DB'!$B:$B = I$10) * 
        ('アイテム別限界値DB'!$F:$F = I22) * 
        ('アイテム別限界値DB'!$H:$H = J22), 
        0
      )
    ), 
    "再製作"
  )
)
</f>
        <v/>
      </c>
      <c r="L22" s="218" t="str">
        <f t="array" ref="L22">IF(
  J22 = 0, 
  "", 
  IFERROR(
    INDEX(
      'アイテム別限界値DB'!$L:$L, 
      MATCH(
        1, 
        ('アイテム別限界値DB'!$B:$B = I$10) * 
        ('アイテム別限界値DB'!$C:$C = I22) * 
        ('アイテム別限界値DB'!$F:$F = J22), 
        0
      )
    ), 
    ""
  )
)
</f>
        <v/>
      </c>
      <c r="M22" s="11"/>
      <c r="N22" s="224"/>
      <c r="O22" s="220"/>
      <c r="P22" s="220" t="str">
        <f t="array" ref="P22">IF(
  O22 = 0, 
  "", 
  IFERROR(
    INDEX(
      'アイテム別限界値DB'!$I:$I, 
      MATCH(
        1, 
        ('アイテム別限界値DB'!$B:$B = N$10) * 
        ('アイテム別限界値DB'!$C:$C = N22) * 
        ('アイテム別限界値DB'!$F:$F = O22), 
        0
      )
    ), 
    "再製作"
  )
)
</f>
        <v/>
      </c>
      <c r="Q22" s="121" t="str">
        <f t="array" ref="Q22">IF(
  O22 = 0, 
  "", 
  IFERROR(
    INDEX(
      'アイテム別限界値DB'!$L:$L, 
      MATCH(
        1, 
        ('アイテム別限界値DB'!$B:$B = N$10) * 
        ('アイテム別限界値DB'!$C:$C = N22) * 
        ('アイテム別限界値DB'!$F:$F = O22), 
        0
      )
    ), 
    ""
  )
)
</f>
        <v/>
      </c>
      <c r="R22" s="11"/>
      <c r="S22" s="238" t="s">
        <v>87</v>
      </c>
      <c r="T22" s="232"/>
      <c r="U22" s="231" t="str">
        <f t="array" ref="U22">IF(
  T22 = 0, 
  "", 
  IFERROR(
    INDEX(
      'アイテム別限界値DB'!$K:$K, 
      MATCH(
        1, 
        ('アイテム別限界値DB'!$B:$B = S$10) * 
        ('アイテム別限界値DB'!$F:$F = S22) * 
        ('アイテム別限界値DB'!$H:$H = T22), 
        0
      )
    ), 
    "再製作"
  )
)
</f>
        <v/>
      </c>
      <c r="V22" s="218" t="str">
        <f t="array" ref="V22">IF(
  T22 = 0, 
  "", 
  IFERROR(
    INDEX(
      'アイテム別限界値DB'!$L:$L, 
      MATCH(
        1, 
        ('アイテム別限界値DB'!$B:$B = S$10) * 
        ('アイテム別限界値DB'!$C:$C = S22) * 
        ('アイテム別限界値DB'!$F:$F = T22), 
        0
      )
    ), 
    ""
  )
)
</f>
        <v/>
      </c>
      <c r="W22" s="11"/>
      <c r="X22" s="238" t="s">
        <v>88</v>
      </c>
      <c r="Y22" s="230"/>
      <c r="Z22" s="231" t="str">
        <f t="array" ref="Z22">IF(
  Y22 = 0, 
  "", 
  IFERROR(
    INDEX(
      'アイテム別限界値DB'!$K:$K, 
      MATCH(
        1, 
        ('アイテム別限界値DB'!$B:$B = X$10) * 
        ('アイテム別限界値DB'!$F:$F = X22) * 
        ('アイテム別限界値DB'!$H:$H = Y22), 
        0
      )
    ), 
    "再製作"
  )
)
</f>
        <v/>
      </c>
      <c r="AA22" s="218" t="str">
        <f t="array" ref="AA22">IF(
  Y22 = 0, 
  "", 
  IFERROR(
    INDEX(
      'アイテム別限界値DB'!$L:$L, 
      MATCH(
        1, 
        ('アイテム別限界値DB'!$B:$B = X$10) * 
        ('アイテム別限界値DB'!$C:$C = X22) * 
        ('アイテム別限界値DB'!$F:$F = Y22), 
        0
      )
    ), 
    ""
  )
)
</f>
        <v/>
      </c>
      <c r="AB22" s="11"/>
      <c r="AC22" s="238" t="s">
        <v>89</v>
      </c>
      <c r="AD22" s="232"/>
      <c r="AE22" s="231" t="str">
        <f t="array" ref="AE22">IF(
  AD22 = 0, 
  "", 
  IFERROR(
    INDEX(
      'アイテム別限界値DB'!$K:$K, 
      MATCH(
        1, 
        ('アイテム別限界値DB'!$B:$B = AC$10) * 
        ('アイテム別限界値DB'!$F:$F = AC22) * 
        ('アイテム別限界値DB'!$H:$H = AD22), 
        0
      )
    ), 
    "再製作"
  )
)
</f>
        <v/>
      </c>
      <c r="AF22" s="218" t="str">
        <f t="array" ref="AF22">IF(
  AD22 = 0, 
  "", 
  IFERROR(
    INDEX(
      'アイテム別限界値DB'!$L:$L, 
      MATCH(
        1, 
        ('アイテム別限界値DB'!$B:$B = AC$10) * 
        ('アイテム別限界値DB'!$C:$C = AC22) * 
        ('アイテム別限界値DB'!$F:$F = AD22), 
        0
      )
    ), 
    ""
  )
)
</f>
        <v/>
      </c>
      <c r="AG22" s="11"/>
      <c r="AH22" s="224"/>
      <c r="AI22" s="225"/>
      <c r="AJ22" s="220" t="str">
        <f t="array" ref="AJ22">IF(
  AI22 = 0, 
  "", 
  IFERROR(
    INDEX(
      'アイテム別限界値DB'!$I:$I, 
      MATCH(
        1, 
        ('アイテム別限界値DB'!$B:$B = AH$10) * 
        ('アイテム別限界値DB'!$C:$C = AH22) * 
        ('アイテム別限界値DB'!$F:$F = AI22), 
        0
      )
    ), 
    "再製作"
  )
)
</f>
        <v/>
      </c>
      <c r="AK22" s="121" t="str">
        <f t="array" ref="AK22">IF(
  AI22 = 0, 
  "", 
  IFERROR(
    INDEX(
      'アイテム別限界値DB'!$L:$L, 
      MATCH(
        1, 
        ('アイテム別限界値DB'!$B:$B = AH$10) * 
        ('アイテム別限界値DB'!$C:$C = AH22) * 
        ('アイテム別限界値DB'!$F:$F = AI22), 
        0
      )
    ), 
    ""
  )
)
</f>
        <v/>
      </c>
      <c r="AL22" s="11"/>
      <c r="AM22" s="224"/>
      <c r="AN22" s="225"/>
      <c r="AO22" s="220" t="str">
        <f t="array" ref="AO22">IF(
  AN22 = 0, 
  "", 
  IFERROR(
    INDEX(
      'アイテム別限界値DB'!$I:$I, 
      MATCH(
        1, 
        ('アイテム別限界値DB'!$B:$B = AM$10) * 
        ('アイテム別限界値DB'!$C:$C = AM22) * 
        ('アイテム別限界値DB'!$F:$F = AN22), 
        0
      )
    ), 
    "再製作"
  )
)
</f>
        <v/>
      </c>
      <c r="AP22" s="121" t="str">
        <f t="array" ref="AP22">IF(
  AN22 = 0, 
  "", 
  IFERROR(
    INDEX(
      'アイテム別限界値DB'!$L:$L, 
      MATCH(
        1, 
        ('アイテム別限界値DB'!$B:$B = AM$10) * 
        ('アイテム別限界値DB'!$C:$C = AM22) * 
        ('アイテム別限界値DB'!$F:$F = AN22), 
        0
      )
    ), 
    ""
  )
)
</f>
        <v/>
      </c>
      <c r="AQ22" s="11"/>
      <c r="AR22" s="224"/>
      <c r="AS22" s="225"/>
      <c r="AT22" s="220" t="str">
        <f t="array" ref="AT22">IF(
  AS22 = 0, 
  "", 
  IFERROR(
    INDEX(
      'アイテム別限界値DB'!$I:$I, 
      MATCH(
        1, 
        ('アイテム別限界値DB'!$B:$B = AR$10) * 
        ('アイテム別限界値DB'!$C:$C = AR22) * 
        ('アイテム別限界値DB'!$F:$F = AS22), 
        0
      )
    ), 
    "再製作"
  )
)
</f>
        <v/>
      </c>
      <c r="AU22" s="121" t="str">
        <f t="array" ref="AU22">IF(
  AS22 = 0, 
  "", 
  IFERROR(
    INDEX(
      'アイテム別限界値DB'!$L:$L, 
      MATCH(
        1, 
        ('アイテム別限界値DB'!$B:$B = AR$10) * 
        ('アイテム別限界値DB'!$C:$C = AR22) * 
        ('アイテム別限界値DB'!$F:$F = AS22), 
        0
      )
    ), 
    ""
  )
)
</f>
        <v/>
      </c>
      <c r="AV22" s="121"/>
      <c r="AW22" s="224"/>
      <c r="AX22" s="225"/>
      <c r="AY22" s="220" t="str">
        <f t="array" ref="AY22">IF(
  AX22 = 0, 
  "", 
  IFERROR(
    INDEX(
      'アイテム別限界値DB'!$I:$I, 
      MATCH(
        1, 
        ('アイテム別限界値DB'!$B:$B = AW$10) * 
        ('アイテム別限界値DB'!$C:$C = AW22) * 
        ('アイテム別限界値DB'!$F:$F = AX22), 
        0
      )
    ), 
    "再製作"
  )
)
</f>
        <v/>
      </c>
      <c r="AZ22" s="121" t="str">
        <f t="array" ref="AZ22">IF(
  AX22 = 0, 
  "", 
  IFERROR(
    INDEX(
      'アイテム別限界値DB'!$L:$L, 
      MATCH(
        1, 
        ('アイテム別限界値DB'!$B:$B = AW$10) * 
        ('アイテム別限界値DB'!$C:$C = AW22) * 
        ('アイテム別限界値DB'!$F:$F = AX22), 
        0
      )
    ), 
    ""
  )
)
</f>
        <v/>
      </c>
      <c r="BA22" s="121"/>
      <c r="BB22" s="224"/>
      <c r="BC22" s="225"/>
      <c r="BD22" s="220" t="str">
        <f t="array" ref="BD22">IF(
  BC22 = 0, 
  "", 
  IFERROR(
    INDEX(
      'アイテム別限界値DB'!$I:$I, 
      MATCH(
        1, 
        ('アイテム別限界値DB'!$B:$B = BB$10) * 
        ('アイテム別限界値DB'!$C:$C = BB22) * 
        ('アイテム別限界値DB'!$F:$F = BC22), 
        0
      )
    ), 
    "再製作"
  )
)
</f>
        <v/>
      </c>
      <c r="BE22" s="121" t="str">
        <f t="array" ref="BE22">IF(
  BC22 = 0, 
  "", 
  IFERROR(
    INDEX(
      'アイテム別限界値DB'!$L:$L, 
      MATCH(
        1, 
        ('アイテム別限界値DB'!$B:$B = BB$10) * 
        ('アイテム別限界値DB'!$C:$C = BB22) * 
        ('アイテム別限界値DB'!$F:$F = BC22), 
        0
      )
    ), 
    ""
  )
)
</f>
        <v/>
      </c>
      <c r="BF22" s="121"/>
      <c r="BG22" s="224"/>
      <c r="BH22" s="225"/>
      <c r="BI22" s="220" t="str">
        <f t="array" ref="BI22">IF(
  BH22 = 0, 
  "", 
  IFERROR(
    INDEX(
      'アイテム別限界値DB'!$I:$I, 
      MATCH(
        1, 
        ('アイテム別限界値DB'!$B:$B = BG$10) * 
        ('アイテム別限界値DB'!$C:$C = BG22) * 
        ('アイテム別限界値DB'!$F:$F = BH22), 
        0
      )
    ), 
    "再製作"
  )
)
</f>
        <v/>
      </c>
      <c r="BJ22" s="121" t="str">
        <f t="array" ref="BJ22">IF(
  BH22 = 0, 
  "", 
  IFERROR(
    INDEX(
      'アイテム別限界値DB'!$L:$L, 
      MATCH(
        1, 
        ('アイテム別限界値DB'!$B:$B = BG$10) * 
        ('アイテム別限界値DB'!$C:$C = BG22) * 
        ('アイテム別限界値DB'!$F:$F = BH22), 
        0
      )
    ), 
    ""
  )
)
</f>
        <v/>
      </c>
      <c r="BK22" s="121"/>
      <c r="BL22" s="224" t="s">
        <v>90</v>
      </c>
      <c r="BM22" s="232"/>
      <c r="BN22" s="231" t="str">
        <f t="array" ref="BN22">IF(
  BM22 = 0, 
  "", 
  IFERROR(
    INDEX(
      'アイテム別限界値DB'!$K:$K, 
      MATCH(
        1, 
        ('アイテム別限界値DB'!$B:$B = BL$10) * 
        ('アイテム別限界値DB'!$F:$F = BL22) * 
        ('アイテム別限界値DB'!$H:$H = BM22), 
        0
      )
    ), 
    "再製作"
  )
)
</f>
        <v/>
      </c>
      <c r="BO22" s="218" t="str">
        <f t="array" ref="BO22">IF(
  BM22 = 0, 
  "", 
  IFERROR(
    INDEX(
      'アイテム別限界値DB'!$L:$L, 
      MATCH(
        1, 
        ('アイテム別限界値DB'!$B:$B = BL$10) * 
        ('アイテム別限界値DB'!$C:$C = BL22) * 
        ('アイテム別限界値DB'!$F:$F = BM22), 
        0
      )
    ), 
    ""
  )
)
</f>
        <v/>
      </c>
      <c r="BP22" s="195"/>
    </row>
    <row r="23" ht="18.75" customHeight="1">
      <c r="A23" s="237" t="s">
        <v>91</v>
      </c>
      <c r="B23" s="229"/>
      <c r="C23" s="224"/>
      <c r="D23" s="238" t="s">
        <v>92</v>
      </c>
      <c r="E23" s="232"/>
      <c r="F23" s="231" t="str">
        <f t="array" ref="F23">IF(
  E23 = 0, 
  "", 
  IFERROR(
    INDEX(
      'アイテム別限界値DB'!$K:$K, 
      MATCH(
        1, 
        ('アイテム別限界値DB'!$B:$B = D$10) * 
        ('アイテム別限界値DB'!$F:$F = D23) * 
        ('アイテム別限界値DB'!$H:$H = E23), 
        0
      )
    ), 
    "再製作"
  )
)
</f>
        <v/>
      </c>
      <c r="G23" s="218" t="str">
        <f t="array" ref="G23">IF(
  E23 = 0, 
  "", 
  IFERROR(
    INDEX(
      'アイテム別限界値DB'!$L:$L, 
      MATCH(
        1, 
        ('アイテム別限界値DB'!$B:$B = D$10) * 
        ('アイテム別限界値DB'!$C:$C = D23) * 
        ('アイテム別限界値DB'!$F:$F = E23), 
        0
      )
    ), 
    ""
  )
)
</f>
        <v/>
      </c>
      <c r="H23" s="12"/>
      <c r="I23" s="238" t="s">
        <v>93</v>
      </c>
      <c r="J23" s="232"/>
      <c r="K23" s="231" t="str">
        <f t="array" ref="K23">IF(
  J23 = 0, 
  "", 
  IFERROR(
    INDEX(
      'アイテム別限界値DB'!$K:$K, 
      MATCH(
        1, 
        ('アイテム別限界値DB'!$B:$B = I$10) * 
        ('アイテム別限界値DB'!$F:$F = I23) * 
        ('アイテム別限界値DB'!$H:$H = J23), 
        0
      )
    ), 
    "再製作"
  )
)
</f>
        <v/>
      </c>
      <c r="L23" s="218" t="str">
        <f t="array" ref="L23">IF(
  J23 = 0, 
  "", 
  IFERROR(
    INDEX(
      'アイテム別限界値DB'!$L:$L, 
      MATCH(
        1, 
        ('アイテム別限界値DB'!$B:$B = I$10) * 
        ('アイテム別限界値DB'!$C:$C = I23) * 
        ('アイテム別限界値DB'!$F:$F = J23), 
        0
      )
    ), 
    ""
  )
)
</f>
        <v/>
      </c>
      <c r="M23" s="11"/>
      <c r="N23" s="224"/>
      <c r="O23" s="220"/>
      <c r="P23" s="220" t="str">
        <f t="array" ref="P23">IF(
  O23 = 0, 
  "", 
  IFERROR(
    INDEX(
      'アイテム別限界値DB'!$I:$I, 
      MATCH(
        1, 
        ('アイテム別限界値DB'!$B:$B = N$10) * 
        ('アイテム別限界値DB'!$C:$C = N23) * 
        ('アイテム別限界値DB'!$F:$F = O23), 
        0
      )
    ), 
    "再製作"
  )
)
</f>
        <v/>
      </c>
      <c r="Q23" s="121" t="str">
        <f t="array" ref="Q23">IF(
  O23 = 0, 
  "", 
  IFERROR(
    INDEX(
      'アイテム別限界値DB'!$L:$L, 
      MATCH(
        1, 
        ('アイテム別限界値DB'!$B:$B = N$10) * 
        ('アイテム別限界値DB'!$C:$C = N23) * 
        ('アイテム別限界値DB'!$F:$F = O23), 
        0
      )
    ), 
    ""
  )
)
</f>
        <v/>
      </c>
      <c r="R23" s="11"/>
      <c r="S23" s="238" t="s">
        <v>93</v>
      </c>
      <c r="T23" s="232"/>
      <c r="U23" s="231" t="str">
        <f t="array" ref="U23">IF(
  T23 = 0, 
  "", 
  IFERROR(
    INDEX(
      'アイテム別限界値DB'!$K:$K, 
      MATCH(
        1, 
        ('アイテム別限界値DB'!$B:$B = S$10) * 
        ('アイテム別限界値DB'!$F:$F = S23) * 
        ('アイテム別限界値DB'!$H:$H = T23), 
        0
      )
    ), 
    "再製作"
  )
)
</f>
        <v/>
      </c>
      <c r="V23" s="218" t="str">
        <f t="array" ref="V23">IF(
  T23 = 0, 
  "", 
  IFERROR(
    INDEX(
      'アイテム別限界値DB'!$L:$L, 
      MATCH(
        1, 
        ('アイテム別限界値DB'!$B:$B = S$10) * 
        ('アイテム別限界値DB'!$C:$C = S23) * 
        ('アイテム別限界値DB'!$F:$F = T23), 
        0
      )
    ), 
    ""
  )
)
</f>
        <v/>
      </c>
      <c r="W23" s="11"/>
      <c r="X23" s="238" t="s">
        <v>89</v>
      </c>
      <c r="Y23" s="232"/>
      <c r="Z23" s="231" t="str">
        <f t="array" ref="Z23">IF(
  Y23 = 0, 
  "", 
  IFERROR(
    INDEX(
      'アイテム別限界値DB'!$K:$K, 
      MATCH(
        1, 
        ('アイテム別限界値DB'!$B:$B = X$10) * 
        ('アイテム別限界値DB'!$F:$F = X23) * 
        ('アイテム別限界値DB'!$H:$H = Y23), 
        0
      )
    ), 
    "再製作"
  )
)
</f>
        <v/>
      </c>
      <c r="AA23" s="218" t="str">
        <f t="array" ref="AA23">IF(
  Y23 = 0, 
  "", 
  IFERROR(
    INDEX(
      'アイテム別限界値DB'!$L:$L, 
      MATCH(
        1, 
        ('アイテム別限界値DB'!$B:$B = X$10) * 
        ('アイテム別限界値DB'!$C:$C = X23) * 
        ('アイテム別限界値DB'!$F:$F = Y23), 
        0
      )
    ), 
    ""
  )
)
</f>
        <v/>
      </c>
      <c r="AB23" s="11"/>
      <c r="AC23" s="238" t="s">
        <v>90</v>
      </c>
      <c r="AD23" s="232"/>
      <c r="AE23" s="231" t="str">
        <f t="array" ref="AE23">IF(
  AD23 = 0, 
  "", 
  IFERROR(
    INDEX(
      'アイテム別限界値DB'!$K:$K, 
      MATCH(
        1, 
        ('アイテム別限界値DB'!$B:$B = AC$10) * 
        ('アイテム別限界値DB'!$F:$F = AC23) * 
        ('アイテム別限界値DB'!$H:$H = AD23), 
        0
      )
    ), 
    "再製作"
  )
)
</f>
        <v/>
      </c>
      <c r="AF23" s="218" t="str">
        <f t="array" ref="AF23">IF(
  AD23 = 0, 
  "", 
  IFERROR(
    INDEX(
      'アイテム別限界値DB'!$L:$L, 
      MATCH(
        1, 
        ('アイテム別限界値DB'!$B:$B = AC$10) * 
        ('アイテム別限界値DB'!$C:$C = AC23) * 
        ('アイテム別限界値DB'!$F:$F = AD23), 
        0
      )
    ), 
    ""
  )
)
</f>
        <v/>
      </c>
      <c r="AG23" s="11"/>
      <c r="AH23" s="224"/>
      <c r="AI23" s="225"/>
      <c r="AJ23" s="220" t="str">
        <f t="array" ref="AJ23">IF(
  AI23 = 0, 
  "", 
  IFERROR(
    INDEX(
      'アイテム別限界値DB'!$I:$I, 
      MATCH(
        1, 
        ('アイテム別限界値DB'!$B:$B = AH$10) * 
        ('アイテム別限界値DB'!$C:$C = AH23) * 
        ('アイテム別限界値DB'!$F:$F = AI23), 
        0
      )
    ), 
    "再製作"
  )
)
</f>
        <v/>
      </c>
      <c r="AK23" s="121" t="str">
        <f t="array" ref="AK23">IF(
  AI23 = 0, 
  "", 
  IFERROR(
    INDEX(
      'アイテム別限界値DB'!$L:$L, 
      MATCH(
        1, 
        ('アイテム別限界値DB'!$B:$B = AH$10) * 
        ('アイテム別限界値DB'!$C:$C = AH23) * 
        ('アイテム別限界値DB'!$F:$F = AI23), 
        0
      )
    ), 
    ""
  )
)
</f>
        <v/>
      </c>
      <c r="AL23" s="11"/>
      <c r="AM23" s="224"/>
      <c r="AN23" s="225"/>
      <c r="AO23" s="220" t="str">
        <f t="array" ref="AO23">IF(
  AN23 = 0, 
  "", 
  IFERROR(
    INDEX(
      'アイテム別限界値DB'!$I:$I, 
      MATCH(
        1, 
        ('アイテム別限界値DB'!$B:$B = AM$10) * 
        ('アイテム別限界値DB'!$C:$C = AM23) * 
        ('アイテム別限界値DB'!$F:$F = AN23), 
        0
      )
    ), 
    "再製作"
  )
)
</f>
        <v/>
      </c>
      <c r="AP23" s="121" t="str">
        <f t="array" ref="AP23">IF(
  AN23 = 0, 
  "", 
  IFERROR(
    INDEX(
      'アイテム別限界値DB'!$L:$L, 
      MATCH(
        1, 
        ('アイテム別限界値DB'!$B:$B = AM$10) * 
        ('アイテム別限界値DB'!$C:$C = AM23) * 
        ('アイテム別限界値DB'!$F:$F = AN23), 
        0
      )
    ), 
    ""
  )
)
</f>
        <v/>
      </c>
      <c r="AQ23" s="11"/>
      <c r="AR23" s="224"/>
      <c r="AS23" s="225"/>
      <c r="AT23" s="220" t="str">
        <f t="array" ref="AT23">IF(
  AS23 = 0, 
  "", 
  IFERROR(
    INDEX(
      'アイテム別限界値DB'!$I:$I, 
      MATCH(
        1, 
        ('アイテム別限界値DB'!$B:$B = AR$10) * 
        ('アイテム別限界値DB'!$C:$C = AR23) * 
        ('アイテム別限界値DB'!$F:$F = AS23), 
        0
      )
    ), 
    "再製作"
  )
)
</f>
        <v/>
      </c>
      <c r="AU23" s="121" t="str">
        <f t="array" ref="AU23">IF(
  AS23 = 0, 
  "", 
  IFERROR(
    INDEX(
      'アイテム別限界値DB'!$L:$L, 
      MATCH(
        1, 
        ('アイテム別限界値DB'!$B:$B = AR$10) * 
        ('アイテム別限界値DB'!$C:$C = AR23) * 
        ('アイテム別限界値DB'!$F:$F = AS23), 
        0
      )
    ), 
    ""
  )
)
</f>
        <v/>
      </c>
      <c r="AV23" s="121"/>
      <c r="AW23" s="224"/>
      <c r="AX23" s="225"/>
      <c r="AY23" s="220" t="str">
        <f t="array" ref="AY23">IF(
  AX23 = 0, 
  "", 
  IFERROR(
    INDEX(
      'アイテム別限界値DB'!$I:$I, 
      MATCH(
        1, 
        ('アイテム別限界値DB'!$B:$B = AW$10) * 
        ('アイテム別限界値DB'!$C:$C = AW23) * 
        ('アイテム別限界値DB'!$F:$F = AX23), 
        0
      )
    ), 
    "再製作"
  )
)
</f>
        <v/>
      </c>
      <c r="AZ23" s="121" t="str">
        <f t="array" ref="AZ23">IF(
  AX23 = 0, 
  "", 
  IFERROR(
    INDEX(
      'アイテム別限界値DB'!$L:$L, 
      MATCH(
        1, 
        ('アイテム別限界値DB'!$B:$B = AW$10) * 
        ('アイテム別限界値DB'!$C:$C = AW23) * 
        ('アイテム別限界値DB'!$F:$F = AX23), 
        0
      )
    ), 
    ""
  )
)
</f>
        <v/>
      </c>
      <c r="BA23" s="121"/>
      <c r="BB23" s="224"/>
      <c r="BC23" s="225"/>
      <c r="BD23" s="220" t="str">
        <f t="array" ref="BD23">IF(
  BC23 = 0, 
  "", 
  IFERROR(
    INDEX(
      'アイテム別限界値DB'!$I:$I, 
      MATCH(
        1, 
        ('アイテム別限界値DB'!$B:$B = BB$10) * 
        ('アイテム別限界値DB'!$C:$C = BB23) * 
        ('アイテム別限界値DB'!$F:$F = BC23), 
        0
      )
    ), 
    "再製作"
  )
)
</f>
        <v/>
      </c>
      <c r="BE23" s="121" t="str">
        <f t="array" ref="BE23">IF(
  BC23 = 0, 
  "", 
  IFERROR(
    INDEX(
      'アイテム別限界値DB'!$L:$L, 
      MATCH(
        1, 
        ('アイテム別限界値DB'!$B:$B = BB$10) * 
        ('アイテム別限界値DB'!$C:$C = BB23) * 
        ('アイテム別限界値DB'!$F:$F = BC23), 
        0
      )
    ), 
    ""
  )
)
</f>
        <v/>
      </c>
      <c r="BF23" s="121"/>
      <c r="BG23" s="224"/>
      <c r="BH23" s="225"/>
      <c r="BI23" s="220" t="str">
        <f t="array" ref="BI23">IF(
  BH23 = 0, 
  "", 
  IFERROR(
    INDEX(
      'アイテム別限界値DB'!$I:$I, 
      MATCH(
        1, 
        ('アイテム別限界値DB'!$B:$B = BG$10) * 
        ('アイテム別限界値DB'!$C:$C = BG23) * 
        ('アイテム別限界値DB'!$F:$F = BH23), 
        0
      )
    ), 
    "再製作"
  )
)
</f>
        <v/>
      </c>
      <c r="BJ23" s="121" t="str">
        <f t="array" ref="BJ23">IF(
  BH23 = 0, 
  "", 
  IFERROR(
    INDEX(
      'アイテム別限界値DB'!$L:$L, 
      MATCH(
        1, 
        ('アイテム別限界値DB'!$B:$B = BG$10) * 
        ('アイテム別限界値DB'!$C:$C = BG23) * 
        ('アイテム別限界値DB'!$F:$F = BH23), 
        0
      )
    ), 
    ""
  )
)
</f>
        <v/>
      </c>
      <c r="BK23" s="121"/>
      <c r="BL23" s="224" t="s">
        <v>62</v>
      </c>
      <c r="BM23" s="232"/>
      <c r="BN23" s="231" t="str">
        <f t="array" ref="BN23">IF(
  BM23 = 0, 
  "", 
  IFERROR(
    INDEX(
      'アイテム別限界値DB'!$K:$K, 
      MATCH(
        1, 
        ('アイテム別限界値DB'!$B:$B = BL$10) * 
        ('アイテム別限界値DB'!$F:$F = BL23) * 
        ('アイテム別限界値DB'!$H:$H = BM23), 
        0
      )
    ), 
    "再製作"
  )
)
</f>
        <v/>
      </c>
      <c r="BO23" s="218" t="str">
        <f t="array" ref="BO23">IF(
  BM23 = 0, 
  "", 
  IFERROR(
    INDEX(
      'アイテム別限界値DB'!$L:$L, 
      MATCH(
        1, 
        ('アイテム別限界値DB'!$B:$B = BL$10) * 
        ('アイテム別限界値DB'!$C:$C = BL23) * 
        ('アイテム別限界値DB'!$F:$F = BM23), 
        0
      )
    ), 
    ""
  )
)
</f>
        <v/>
      </c>
      <c r="BP23" s="195"/>
    </row>
    <row r="24" ht="18.75" customHeight="1">
      <c r="A24" s="228" t="str">
        <f>IF($N$11="再製作", "◼︎ ベスト（対応着地：再製作）" &amp; char(10) &amp; "《修正数値》", IF($N$11&lt;&gt;"", "◼︎ ベスト（対応着地：お直し）" &amp; char(10) &amp; "《修正数値》", ""))</f>
        <v/>
      </c>
      <c r="B24" s="229"/>
      <c r="C24" s="224"/>
      <c r="D24" s="239" t="s">
        <v>94</v>
      </c>
      <c r="E24" s="232"/>
      <c r="F24" s="231" t="str">
        <f t="array" ref="F24">IF(
  E24 = 0, 
  "", 
  IFERROR(
    INDEX(
      'アイテム別限界値DB'!$K:$K, 
      MATCH(
        1, 
        ('アイテム別限界値DB'!$B:$B = D$10) * 
        ('アイテム別限界値DB'!$F:$F = D24) * 
        ('アイテム別限界値DB'!$H:$H = E24), 
        0
      )
    ), 
    "再製作"
  )
)
</f>
        <v/>
      </c>
      <c r="G24" s="218" t="str">
        <f t="array" ref="G24">IF(
  E24 = 0, 
  "", 
  IFERROR(
    INDEX(
      'アイテム別限界値DB'!$L:$L, 
      MATCH(
        1, 
        ('アイテム別限界値DB'!$B:$B = D$10) * 
        ('アイテム別限界値DB'!$C:$C = D24) * 
        ('アイテム別限界値DB'!$F:$F = E24), 
        0
      )
    ), 
    ""
  )
)
</f>
        <v/>
      </c>
      <c r="H24" s="12"/>
      <c r="I24" s="239" t="s">
        <v>95</v>
      </c>
      <c r="J24" s="232"/>
      <c r="K24" s="231" t="str">
        <f t="array" ref="K24">IF(
  J24 = 0, 
  "", 
  IFERROR(
    INDEX(
      'アイテム別限界値DB'!$K:$K, 
      MATCH(
        1, 
        ('アイテム別限界値DB'!$B:$B = I$10) * 
        ('アイテム別限界値DB'!$F:$F = I24) * 
        ('アイテム別限界値DB'!$H:$H = J24), 
        0
      )
    ), 
    "再製作"
  )
)
</f>
        <v/>
      </c>
      <c r="L24" s="218" t="str">
        <f t="array" ref="L24">IF(
  J24 = 0, 
  "", 
  IFERROR(
    INDEX(
      'アイテム別限界値DB'!$L:$L, 
      MATCH(
        1, 
        ('アイテム別限界値DB'!$B:$B = I$10) * 
        ('アイテム別限界値DB'!$C:$C = I24) * 
        ('アイテム別限界値DB'!$F:$F = J24), 
        0
      )
    ), 
    ""
  )
)
</f>
        <v/>
      </c>
      <c r="M24" s="11"/>
      <c r="N24" s="224"/>
      <c r="O24" s="220"/>
      <c r="P24" s="220" t="str">
        <f t="array" ref="P24">IF(
  O24 = 0, 
  "", 
  IFERROR(
    INDEX(
      'アイテム別限界値DB'!$I:$I, 
      MATCH(
        1, 
        ('アイテム別限界値DB'!$B:$B = N$10) * 
        ('アイテム別限界値DB'!$C:$C = N24) * 
        ('アイテム別限界値DB'!$F:$F = O24), 
        0
      )
    ), 
    "再製作"
  )
)
</f>
        <v/>
      </c>
      <c r="Q24" s="121" t="str">
        <f t="array" ref="Q24">IF(
  O24 = 0, 
  "", 
  IFERROR(
    INDEX(
      'アイテム別限界値DB'!$L:$L, 
      MATCH(
        1, 
        ('アイテム別限界値DB'!$B:$B = N$10) * 
        ('アイテム別限界値DB'!$C:$C = N24) * 
        ('アイテム別限界値DB'!$F:$F = O24), 
        0
      )
    ), 
    ""
  )
)
</f>
        <v/>
      </c>
      <c r="R24" s="11"/>
      <c r="S24" s="239" t="s">
        <v>96</v>
      </c>
      <c r="T24" s="232"/>
      <c r="U24" s="231" t="str">
        <f t="array" ref="U24">IF(
  T24 = 0, 
  "", 
  IFERROR(
    INDEX(
      'アイテム別限界値DB'!$K:$K, 
      MATCH(
        1, 
        ('アイテム別限界値DB'!$B:$B = S$10) * 
        ('アイテム別限界値DB'!$F:$F = S24) * 
        ('アイテム別限界値DB'!$H:$H = T24), 
        0
      )
    ), 
    "再製作"
  )
)
</f>
        <v/>
      </c>
      <c r="V24" s="218" t="str">
        <f t="array" ref="V24">IF(
  T24 = 0, 
  "", 
  IFERROR(
    INDEX(
      'アイテム別限界値DB'!$L:$L, 
      MATCH(
        1, 
        ('アイテム別限界値DB'!$B:$B = S$10) * 
        ('アイテム別限界値DB'!$C:$C = S24) * 
        ('アイテム別限界値DB'!$F:$F = T24), 
        0
      )
    ), 
    ""
  )
)
</f>
        <v/>
      </c>
      <c r="W24" s="11"/>
      <c r="X24" s="239" t="s">
        <v>97</v>
      </c>
      <c r="Y24" s="230"/>
      <c r="Z24" s="231" t="str">
        <f t="array" ref="Z24">IF(
  Y24 = 0, 
  "", 
  IFERROR(
    INDEX(
      'アイテム別限界値DB'!$K:$K, 
      MATCH(
        1, 
        ('アイテム別限界値DB'!$B:$B = X$10) * 
        ('アイテム別限界値DB'!$F:$F = X24) * 
        ('アイテム別限界値DB'!$H:$H = Y24), 
        0
      )
    ), 
    "再製作"
  )
)
</f>
        <v/>
      </c>
      <c r="AA24" s="218" t="str">
        <f t="array" ref="AA24">IF(
  Y24 = 0, 
  "", 
  IFERROR(
    INDEX(
      'アイテム別限界値DB'!$L:$L, 
      MATCH(
        1, 
        ('アイテム別限界値DB'!$B:$B = X$10) * 
        ('アイテム別限界値DB'!$C:$C = X24) * 
        ('アイテム別限界値DB'!$F:$F = Y24), 
        0
      )
    ), 
    ""
  )
)
</f>
        <v/>
      </c>
      <c r="AB24" s="11"/>
      <c r="AC24" s="239" t="s">
        <v>62</v>
      </c>
      <c r="AD24" s="232"/>
      <c r="AE24" s="231" t="str">
        <f t="array" ref="AE24">IF(
  AD24 = 0, 
  "", 
  IFERROR(
    INDEX(
      'アイテム別限界値DB'!$K:$K, 
      MATCH(
        1, 
        ('アイテム別限界値DB'!$B:$B = AC$10) * 
        ('アイテム別限界値DB'!$F:$F = AC24) * 
        ('アイテム別限界値DB'!$H:$H = AD24), 
        0
      )
    ), 
    "再製作"
  )
)
</f>
        <v/>
      </c>
      <c r="AF24" s="218" t="str">
        <f t="array" ref="AF24">IF(
  AD24 = 0, 
  "", 
  IFERROR(
    INDEX(
      'アイテム別限界値DB'!$L:$L, 
      MATCH(
        1, 
        ('アイテム別限界値DB'!$B:$B = AC$10) * 
        ('アイテム別限界値DB'!$C:$C = AC24) * 
        ('アイテム別限界値DB'!$F:$F = AD24), 
        0
      )
    ), 
    ""
  )
)
</f>
        <v/>
      </c>
      <c r="AG24" s="11"/>
      <c r="AH24" s="224"/>
      <c r="AI24" s="225"/>
      <c r="AJ24" s="220" t="str">
        <f t="array" ref="AJ24">IF(
  AI24 = 0, 
  "", 
  IFERROR(
    INDEX(
      'アイテム別限界値DB'!$I:$I, 
      MATCH(
        1, 
        ('アイテム別限界値DB'!$B:$B = AH$10) * 
        ('アイテム別限界値DB'!$C:$C = AH24) * 
        ('アイテム別限界値DB'!$F:$F = AI24), 
        0
      )
    ), 
    "再製作"
  )
)
</f>
        <v/>
      </c>
      <c r="AK24" s="121" t="str">
        <f t="array" ref="AK24">IF(
  AI24 = 0, 
  "", 
  IFERROR(
    INDEX(
      'アイテム別限界値DB'!$L:$L, 
      MATCH(
        1, 
        ('アイテム別限界値DB'!$B:$B = AH$10) * 
        ('アイテム別限界値DB'!$C:$C = AH24) * 
        ('アイテム別限界値DB'!$F:$F = AI24), 
        0
      )
    ), 
    ""
  )
)
</f>
        <v/>
      </c>
      <c r="AL24" s="11"/>
      <c r="AM24" s="224"/>
      <c r="AN24" s="225"/>
      <c r="AO24" s="220" t="str">
        <f t="array" ref="AO24">IF(
  AN24 = 0, 
  "", 
  IFERROR(
    INDEX(
      'アイテム別限界値DB'!$I:$I, 
      MATCH(
        1, 
        ('アイテム別限界値DB'!$B:$B = AM$10) * 
        ('アイテム別限界値DB'!$C:$C = AM24) * 
        ('アイテム別限界値DB'!$F:$F = AN24), 
        0
      )
    ), 
    "再製作"
  )
)
</f>
        <v/>
      </c>
      <c r="AP24" s="121" t="str">
        <f t="array" ref="AP24">IF(
  AN24 = 0, 
  "", 
  IFERROR(
    INDEX(
      'アイテム別限界値DB'!$L:$L, 
      MATCH(
        1, 
        ('アイテム別限界値DB'!$B:$B = AM$10) * 
        ('アイテム別限界値DB'!$C:$C = AM24) * 
        ('アイテム別限界値DB'!$F:$F = AN24), 
        0
      )
    ), 
    ""
  )
)
</f>
        <v/>
      </c>
      <c r="AQ24" s="11"/>
      <c r="AR24" s="224"/>
      <c r="AS24" s="225"/>
      <c r="AT24" s="220" t="str">
        <f t="array" ref="AT24">IF(
  AS24 = 0, 
  "", 
  IFERROR(
    INDEX(
      'アイテム別限界値DB'!$I:$I, 
      MATCH(
        1, 
        ('アイテム別限界値DB'!$B:$B = AR$10) * 
        ('アイテム別限界値DB'!$C:$C = AR24) * 
        ('アイテム別限界値DB'!$F:$F = AS24), 
        0
      )
    ), 
    "再製作"
  )
)
</f>
        <v/>
      </c>
      <c r="AU24" s="121" t="str">
        <f t="array" ref="AU24">IF(
  AS24 = 0, 
  "", 
  IFERROR(
    INDEX(
      'アイテム別限界値DB'!$L:$L, 
      MATCH(
        1, 
        ('アイテム別限界値DB'!$B:$B = AR$10) * 
        ('アイテム別限界値DB'!$C:$C = AR24) * 
        ('アイテム別限界値DB'!$F:$F = AS24), 
        0
      )
    ), 
    ""
  )
)
</f>
        <v/>
      </c>
      <c r="AV24" s="121"/>
      <c r="AW24" s="224"/>
      <c r="AX24" s="225"/>
      <c r="AY24" s="220" t="str">
        <f t="array" ref="AY24">IF(
  AX24 = 0, 
  "", 
  IFERROR(
    INDEX(
      'アイテム別限界値DB'!$I:$I, 
      MATCH(
        1, 
        ('アイテム別限界値DB'!$B:$B = AW$10) * 
        ('アイテム別限界値DB'!$C:$C = AW24) * 
        ('アイテム別限界値DB'!$F:$F = AX24), 
        0
      )
    ), 
    "再製作"
  )
)
</f>
        <v/>
      </c>
      <c r="AZ24" s="121" t="str">
        <f t="array" ref="AZ24">IF(
  AX24 = 0, 
  "", 
  IFERROR(
    INDEX(
      'アイテム別限界値DB'!$L:$L, 
      MATCH(
        1, 
        ('アイテム別限界値DB'!$B:$B = AW$10) * 
        ('アイテム別限界値DB'!$C:$C = AW24) * 
        ('アイテム別限界値DB'!$F:$F = AX24), 
        0
      )
    ), 
    ""
  )
)
</f>
        <v/>
      </c>
      <c r="BA24" s="121"/>
      <c r="BB24" s="224"/>
      <c r="BC24" s="225"/>
      <c r="BD24" s="220" t="str">
        <f t="array" ref="BD24">IF(
  BC24 = 0, 
  "", 
  IFERROR(
    INDEX(
      'アイテム別限界値DB'!$I:$I, 
      MATCH(
        1, 
        ('アイテム別限界値DB'!$B:$B = BB$10) * 
        ('アイテム別限界値DB'!$C:$C = BB24) * 
        ('アイテム別限界値DB'!$F:$F = BC24), 
        0
      )
    ), 
    "再製作"
  )
)
</f>
        <v/>
      </c>
      <c r="BE24" s="121" t="str">
        <f t="array" ref="BE24">IF(
  BC24 = 0, 
  "", 
  IFERROR(
    INDEX(
      'アイテム別限界値DB'!$L:$L, 
      MATCH(
        1, 
        ('アイテム別限界値DB'!$B:$B = BB$10) * 
        ('アイテム別限界値DB'!$C:$C = BB24) * 
        ('アイテム別限界値DB'!$F:$F = BC24), 
        0
      )
    ), 
    ""
  )
)
</f>
        <v/>
      </c>
      <c r="BF24" s="121"/>
      <c r="BG24" s="224"/>
      <c r="BH24" s="225"/>
      <c r="BI24" s="220" t="str">
        <f t="array" ref="BI24">IF(
  BH24 = 0, 
  "", 
  IFERROR(
    INDEX(
      'アイテム別限界値DB'!$I:$I, 
      MATCH(
        1, 
        ('アイテム別限界値DB'!$B:$B = BG$10) * 
        ('アイテム別限界値DB'!$C:$C = BG24) * 
        ('アイテム別限界値DB'!$F:$F = BH24), 
        0
      )
    ), 
    "再製作"
  )
)
</f>
        <v/>
      </c>
      <c r="BJ24" s="121" t="str">
        <f t="array" ref="BJ24">IF(
  BH24 = 0, 
  "", 
  IFERROR(
    INDEX(
      'アイテム別限界値DB'!$L:$L, 
      MATCH(
        1, 
        ('アイテム別限界値DB'!$B:$B = BG$10) * 
        ('アイテム別限界値DB'!$C:$C = BG24) * 
        ('アイテム別限界値DB'!$F:$F = BH24), 
        0
      )
    ), 
    ""
  )
)
</f>
        <v/>
      </c>
      <c r="BK24" s="121"/>
      <c r="BL24" s="224"/>
      <c r="BM24" s="225"/>
      <c r="BN24" s="220" t="str">
        <f t="array" ref="BN24">IF(
  BM24 = 0, 
  "", 
  IFERROR(
    INDEX(
      'アイテム別限界値DB'!$I:$I, 
      MATCH(
        1, 
        ('アイテム別限界値DB'!$B:$B = BL$10) * 
        ('アイテム別限界値DB'!$C:$C = BL24) * 
        ('アイテム別限界値DB'!$F:$F = BM24), 
        0
      )
    ), 
    "再製作"
  )
)
</f>
        <v/>
      </c>
      <c r="BO24" s="121" t="str">
        <f t="array" ref="BO24">IF(
  BM24 = 0, 
  "", 
  IFERROR(
    INDEX(
      'アイテム別限界値DB'!$L:$L, 
      MATCH(
        1, 
        ('アイテム別限界値DB'!$B:$B = BL$10) * 
        ('アイテム別限界値DB'!$C:$C = BL24) * 
        ('アイテム別限界値DB'!$F:$F = BM24), 
        0
      )
    ), 
    ""
  )
)
</f>
        <v/>
      </c>
      <c r="BP24" s="195"/>
    </row>
    <row r="25" ht="18.75" customHeight="1">
      <c r="A25" s="228" t="str">
        <f>IFERROR(__xludf.DUMMYFUNCTION("TEXTJOIN(CHAR(10),TRUE,FILTER(ARRAYFORMULA(IF(O$14:O72&lt;&gt;"""",N$14:N72 &amp;"" : ""&amp; O$14:O72 &amp;"" cm"","""")), N$14:N72 &lt;&gt;""""))"),"")</f>
        <v/>
      </c>
      <c r="B25" s="224"/>
      <c r="C25" s="224"/>
      <c r="D25" s="239" t="s">
        <v>98</v>
      </c>
      <c r="E25" s="232"/>
      <c r="F25" s="231" t="str">
        <f t="array" ref="F25">IF(
  E25 = 0, 
  "", 
  IFERROR(
    INDEX(
      'アイテム別限界値DB'!$K:$K, 
      MATCH(
        1, 
        ('アイテム別限界値DB'!$B:$B = D$10) * 
        ('アイテム別限界値DB'!$F:$F = D25) * 
        ('アイテム別限界値DB'!$H:$H = E25), 
        0
      )
    ), 
    "再製作"
  )
)
</f>
        <v/>
      </c>
      <c r="G25" s="218" t="str">
        <f t="array" ref="G25">IF(
  E25 = 0, 
  "", 
  IFERROR(
    INDEX(
      'アイテム別限界値DB'!$L:$L, 
      MATCH(
        1, 
        ('アイテム別限界値DB'!$B:$B = D$10) * 
        ('アイテム別限界値DB'!$C:$C = D25) * 
        ('アイテム別限界値DB'!$F:$F = E25), 
        0
      )
    ), 
    ""
  )
)
</f>
        <v/>
      </c>
      <c r="H25" s="12"/>
      <c r="I25" s="224" t="s">
        <v>99</v>
      </c>
      <c r="J25" s="232"/>
      <c r="K25" s="231" t="str">
        <f t="array" ref="K25">IF(
  J25 = 0, 
  "", 
  IFERROR(
    INDEX(
      'アイテム別限界値DB'!$K:$K, 
      MATCH(
        1, 
        ('アイテム別限界値DB'!$B:$B = I$10) * 
        ('アイテム別限界値DB'!$F:$F = I25) * 
        ('アイテム別限界値DB'!$H:$H = J25), 
        0
      )
    ), 
    "再製作"
  )
)
</f>
        <v/>
      </c>
      <c r="L25" s="195"/>
      <c r="M25" s="11"/>
      <c r="N25" s="11"/>
      <c r="O25" s="220"/>
      <c r="P25" s="184"/>
      <c r="Q25" s="11"/>
      <c r="R25" s="11"/>
      <c r="S25" s="186" t="s">
        <v>100</v>
      </c>
      <c r="T25" s="232"/>
      <c r="U25" s="231" t="str">
        <f t="array" ref="U25">IF(
  T25 = 0, 
  "", 
  IFERROR(
    INDEX(
      'アイテム別限界値DB'!$K:$K, 
      MATCH(
        1, 
        ('アイテム別限界値DB'!$B:$B = S$10) * 
        ('アイテム別限界値DB'!$F:$F = S25) * 
        ('アイテム別限界値DB'!$H:$H = T25), 
        0
      )
    ), 
    "再製作"
  )
)
</f>
        <v/>
      </c>
      <c r="V25" s="234"/>
      <c r="W25" s="11"/>
      <c r="X25" s="186" t="s">
        <v>101</v>
      </c>
      <c r="Y25" s="232"/>
      <c r="Z25" s="231" t="str">
        <f t="array" ref="Z25">IF(
  Y25 = 0, 
  "", 
  IFERROR(
    INDEX(
      'アイテム別限界値DB'!$K:$K, 
      MATCH(
        1, 
        ('アイテム別限界値DB'!$B:$B = X$10) * 
        ('アイテム別限界値DB'!$F:$F = X25) * 
        ('アイテム別限界値DB'!$H:$H = Y25), 
        0
      )
    ), 
    "再製作"
  )
)
</f>
        <v/>
      </c>
      <c r="AA25" s="218" t="str">
        <f t="array" ref="AA25">IF(
  Y25 = 0, 
  "", 
  IFERROR(
    INDEX(
      'アイテム別限界値DB'!$L:$L, 
      MATCH(
        1, 
        ('アイテム別限界値DB'!$B:$B = X$10) * 
        ('アイテム別限界値DB'!$C:$C = X25) * 
        ('アイテム別限界値DB'!$F:$F = Y25), 
        0
      )
    ), 
    ""
  )
)
</f>
        <v/>
      </c>
      <c r="AB25" s="11"/>
      <c r="AC25" s="186" t="s">
        <v>74</v>
      </c>
      <c r="AD25" s="232"/>
      <c r="AE25" s="231" t="str">
        <f t="array" ref="AE25">IF(
  AD25 = 0, 
  "", 
  IFERROR(
    INDEX(
      'アイテム別限界値DB'!$K:$K, 
      MATCH(
        1, 
        ('アイテム別限界値DB'!$B:$B = AC$10) * 
        ('アイテム別限界値DB'!$F:$F = AC25) * 
        ('アイテム別限界値DB'!$H:$H = AD25), 
        0
      )
    ), 
    "再製作"
  )
)
</f>
        <v/>
      </c>
      <c r="AF25" s="218" t="str">
        <f t="array" ref="AF25">IF(
  AD25 = 0, 
  "", 
  IFERROR(
    INDEX(
      'アイテム別限界値DB'!$L:$L, 
      MATCH(
        1, 
        ('アイテム別限界値DB'!$B:$B = AC$10) * 
        ('アイテム別限界値DB'!$C:$C = AC25) * 
        ('アイテム別限界値DB'!$F:$F = AD25), 
        0
      )
    ), 
    ""
  )
)
</f>
        <v/>
      </c>
      <c r="AG25" s="11"/>
      <c r="AH25" s="12"/>
      <c r="AI25" s="220"/>
      <c r="AJ25" s="220" t="str">
        <f t="array" ref="AJ25">IF(
  AI25 = 0, 
  "", 
  IFERROR(
    INDEX(
      'アイテム別限界値DB'!$I:$I, 
      MATCH(
        1, 
        ('アイテム別限界値DB'!$B:$B = AH$10) * 
        ('アイテム別限界値DB'!$C:$C = AH25) * 
        ('アイテム別限界値DB'!$F:$F = AI25), 
        0
      )
    ), 
    "再製作"
  )
)
</f>
        <v/>
      </c>
      <c r="AK25" s="195"/>
      <c r="AL25" s="11"/>
      <c r="AM25" s="12"/>
      <c r="AN25" s="220"/>
      <c r="AO25" s="220" t="str">
        <f t="array" ref="AO25">IF(
  AN25 = 0, 
  "", 
  IFERROR(
    INDEX(
      'アイテム別限界値DB'!$I:$I, 
      MATCH(
        1, 
        ('アイテム別限界値DB'!$B:$B = AM$10) * 
        ('アイテム別限界値DB'!$C:$C = AM25) * 
        ('アイテム別限界値DB'!$F:$F = AN25), 
        0
      )
    ), 
    "再製作"
  )
)
</f>
        <v/>
      </c>
      <c r="AP25" s="195"/>
      <c r="AQ25" s="11"/>
      <c r="AR25" s="12"/>
      <c r="AS25" s="220"/>
      <c r="AT25" s="220" t="str">
        <f t="array" ref="AT25">IF(
  AS25 = 0, 
  "", 
  IFERROR(
    INDEX(
      'アイテム別限界値DB'!$I:$I, 
      MATCH(
        1, 
        ('アイテム別限界値DB'!$B:$B = AR$10) * 
        ('アイテム別限界値DB'!$C:$C = AR25) * 
        ('アイテム別限界値DB'!$F:$F = AS25), 
        0
      )
    ), 
    "再製作"
  )
)
</f>
        <v/>
      </c>
      <c r="AU25" s="195"/>
      <c r="AV25" s="195"/>
      <c r="AW25" s="12"/>
      <c r="AX25" s="220"/>
      <c r="AY25" s="220" t="str">
        <f t="array" ref="AY25">IF(
  AX25 = 0, 
  "", 
  IFERROR(
    INDEX(
      'アイテム別限界値DB'!$I:$I, 
      MATCH(
        1, 
        ('アイテム別限界値DB'!$B:$B = AW$10) * 
        ('アイテム別限界値DB'!$C:$C = AW25) * 
        ('アイテム別限界値DB'!$F:$F = AX25), 
        0
      )
    ), 
    "再製作"
  )
)
</f>
        <v/>
      </c>
      <c r="AZ25" s="195"/>
      <c r="BA25" s="195"/>
      <c r="BB25" s="12"/>
      <c r="BC25" s="220"/>
      <c r="BD25" s="220" t="str">
        <f t="array" ref="BD25">IF(
  BC25 = 0, 
  "", 
  IFERROR(
    INDEX(
      'アイテム別限界値DB'!$I:$I, 
      MATCH(
        1, 
        ('アイテム別限界値DB'!$B:$B = BB$10) * 
        ('アイテム別限界値DB'!$C:$C = BB25) * 
        ('アイテム別限界値DB'!$F:$F = BC25), 
        0
      )
    ), 
    "再製作"
  )
)
</f>
        <v/>
      </c>
      <c r="BE25" s="195"/>
      <c r="BF25" s="195"/>
      <c r="BG25" s="12"/>
      <c r="BH25" s="220"/>
      <c r="BI25" s="220" t="str">
        <f t="array" ref="BI25">IF(
  BH25 = 0, 
  "", 
  IFERROR(
    INDEX(
      'アイテム別限界値DB'!$I:$I, 
      MATCH(
        1, 
        ('アイテム別限界値DB'!$B:$B = BG$10) * 
        ('アイテム別限界値DB'!$C:$C = BG25) * 
        ('アイテム別限界値DB'!$F:$F = BH25), 
        0
      )
    ), 
    "再製作"
  )
)
</f>
        <v/>
      </c>
      <c r="BJ25" s="195"/>
      <c r="BK25" s="195"/>
      <c r="BL25" s="195"/>
      <c r="BM25" s="220"/>
      <c r="BN25" s="220" t="str">
        <f t="array" ref="BN25">IF(
  BM25 = 0, 
  "", 
  IFERROR(
    INDEX(
      'アイテム別限界値DB'!$I:$I, 
      MATCH(
        1, 
        ('アイテム別限界値DB'!$B:$B = BL$10) * 
        ('アイテム別限界値DB'!$C:$C = BL25) * 
        ('アイテム別限界値DB'!$F:$F = BM25), 
        0
      )
    ), 
    "再製作"
  )
)
</f>
        <v/>
      </c>
      <c r="BO25" s="195"/>
      <c r="BP25" s="195"/>
    </row>
    <row r="26" ht="18.75" customHeight="1">
      <c r="A26" s="236" t="str">
        <f>if($A$24&lt;&gt;"", "《仕上がり数値》","")</f>
        <v/>
      </c>
      <c r="B26" s="229"/>
      <c r="C26" s="224"/>
      <c r="D26" s="239" t="s">
        <v>74</v>
      </c>
      <c r="E26" s="232"/>
      <c r="F26" s="231" t="str">
        <f t="array" ref="F26">IF(
  E26 = 0, 
  "", 
  IFERROR(
    INDEX(
      'アイテム別限界値DB'!$K:$K, 
      MATCH(
        1, 
        ('アイテム別限界値DB'!$B:$B = D$10) * 
        ('アイテム別限界値DB'!$F:$F = D26) * 
        ('アイテム別限界値DB'!$H:$H = E26), 
        0
      )
    ), 
    "再製作"
  )
)
</f>
        <v/>
      </c>
      <c r="G26" s="218" t="str">
        <f t="array" ref="G26">IF(
  E26 = 0, 
  "", 
  IFERROR(
    INDEX(
      'アイテム別限界値DB'!$L:$L, 
      MATCH(
        1, 
        ('アイテム別限界値DB'!$B:$B = D$10) * 
        ('アイテム別限界値DB'!$C:$C = D26) * 
        ('アイテム別限界値DB'!$F:$F = E26), 
        0
      )
    ), 
    ""
  )
)
</f>
        <v/>
      </c>
      <c r="H26" s="12"/>
      <c r="I26" s="11" t="s">
        <v>100</v>
      </c>
      <c r="J26" s="232"/>
      <c r="K26" s="231" t="str">
        <f t="array" ref="K26">IF(
  J26 = 0, 
  "", 
  IFERROR(
    INDEX(
      'アイテム別限界値DB'!$K:$K, 
      MATCH(
        1, 
        ('アイテム別限界値DB'!$B:$B = I$10) * 
        ('アイテム別限界値DB'!$F:$F = I26) * 
        ('アイテム別限界値DB'!$H:$H = J26), 
        0
      )
    ), 
    "再製作"
  )
)
</f>
        <v/>
      </c>
      <c r="L26" s="195"/>
      <c r="M26" s="11"/>
      <c r="N26" s="11"/>
      <c r="O26" s="220"/>
      <c r="P26" s="184"/>
      <c r="Q26" s="11"/>
      <c r="R26" s="11"/>
      <c r="S26" s="12" t="s">
        <v>95</v>
      </c>
      <c r="T26" s="232"/>
      <c r="U26" s="231" t="str">
        <f t="array" ref="U26">IF(
  T26 = 0, 
  "", 
  IFERROR(
    INDEX(
      'アイテム別限界値DB'!$K:$K, 
      MATCH(
        1, 
        ('アイテム別限界値DB'!$B:$B = S$10) * 
        ('アイテム別限界値DB'!$F:$F = S26) * 
        ('アイテム別限界値DB'!$H:$H = T26), 
        0
      )
    ), 
    "再製作"
  )
)
</f>
        <v/>
      </c>
      <c r="V26" s="195"/>
      <c r="W26" s="11"/>
      <c r="X26" s="186" t="s">
        <v>62</v>
      </c>
      <c r="Y26" s="232"/>
      <c r="Z26" s="231" t="str">
        <f t="array" ref="Z26">IF(
  Y26 = 0, 
  "", 
  IFERROR(
    INDEX(
      'アイテム別限界値DB'!$K:$K, 
      MATCH(
        1, 
        ('アイテム別限界値DB'!$B:$B = X$10) * 
        ('アイテム別限界値DB'!$F:$F = X26) * 
        ('アイテム別限界値DB'!$H:$H = Y26), 
        0
      )
    ), 
    "再製作"
  )
)
</f>
        <v/>
      </c>
      <c r="AA26" s="218" t="str">
        <f t="array" ref="AA26">IF(
  Y26 = 0, 
  "", 
  IFERROR(
    INDEX(
      'アイテム別限界値DB'!$L:$L, 
      MATCH(
        1, 
        ('アイテム別限界値DB'!$B:$B = X$10) * 
        ('アイテム別限界値DB'!$C:$C = X26) * 
        ('アイテム別限界値DB'!$F:$F = Y26), 
        0
      )
    ), 
    ""
  )
)
</f>
        <v/>
      </c>
      <c r="AB26" s="11"/>
      <c r="AC26" s="186" t="s">
        <v>67</v>
      </c>
      <c r="AD26" s="232"/>
      <c r="AE26" s="231" t="str">
        <f t="array" ref="AE26">IF(
  AD26 = 0, 
  "", 
  IFERROR(
    INDEX(
      'アイテム別限界値DB'!$K:$K, 
      MATCH(
        1, 
        ('アイテム別限界値DB'!$B:$B = AC$10) * 
        ('アイテム別限界値DB'!$F:$F = AC26) * 
        ('アイテム別限界値DB'!$H:$H = AD26), 
        0
      )
    ), 
    "再製作"
  )
)
</f>
        <v/>
      </c>
      <c r="AF26" s="218" t="str">
        <f t="array" ref="AF26">IF(
  AD26 = 0, 
  "", 
  IFERROR(
    INDEX(
      'アイテム別限界値DB'!$L:$L, 
      MATCH(
        1, 
        ('アイテム別限界値DB'!$B:$B = AC$10) * 
        ('アイテム別限界値DB'!$C:$C = AC26) * 
        ('アイテム別限界値DB'!$F:$F = AD26), 
        0
      )
    ), 
    ""
  )
)
</f>
        <v/>
      </c>
      <c r="AG26" s="11"/>
      <c r="AH26" s="12"/>
      <c r="AI26" s="220"/>
      <c r="AJ26" s="220" t="str">
        <f t="array" ref="AJ26">IF(
  AI26 = 0, 
  "", 
  IFERROR(
    INDEX(
      'アイテム別限界値DB'!$I:$I, 
      MATCH(
        1, 
        ('アイテム別限界値DB'!$B:$B = AH$10) * 
        ('アイテム別限界値DB'!$C:$C = AH26) * 
        ('アイテム別限界値DB'!$F:$F = AI26), 
        0
      )
    ), 
    "再製作"
  )
)
</f>
        <v/>
      </c>
      <c r="AK26" s="195"/>
      <c r="AL26" s="11"/>
      <c r="AM26" s="12"/>
      <c r="AN26" s="220"/>
      <c r="AO26" s="220" t="str">
        <f t="array" ref="AO26">IF(
  AN26 = 0, 
  "", 
  IFERROR(
    INDEX(
      'アイテム別限界値DB'!$I:$I, 
      MATCH(
        1, 
        ('アイテム別限界値DB'!$B:$B = AM$10) * 
        ('アイテム別限界値DB'!$C:$C = AM26) * 
        ('アイテム別限界値DB'!$F:$F = AN26), 
        0
      )
    ), 
    "再製作"
  )
)
</f>
        <v/>
      </c>
      <c r="AP26" s="195"/>
      <c r="AQ26" s="11"/>
      <c r="AR26" s="12"/>
      <c r="AS26" s="220"/>
      <c r="AT26" s="220" t="str">
        <f t="array" ref="AT26">IF(
  AS26 = 0, 
  "", 
  IFERROR(
    INDEX(
      'アイテム別限界値DB'!$I:$I, 
      MATCH(
        1, 
        ('アイテム別限界値DB'!$B:$B = AR$10) * 
        ('アイテム別限界値DB'!$C:$C = AR26) * 
        ('アイテム別限界値DB'!$F:$F = AS26), 
        0
      )
    ), 
    "再製作"
  )
)
</f>
        <v/>
      </c>
      <c r="AU26" s="195"/>
      <c r="AV26" s="195"/>
      <c r="AW26" s="12"/>
      <c r="AX26" s="220"/>
      <c r="AY26" s="220" t="str">
        <f t="array" ref="AY26">IF(
  AX26 = 0, 
  "", 
  IFERROR(
    INDEX(
      'アイテム別限界値DB'!$I:$I, 
      MATCH(
        1, 
        ('アイテム別限界値DB'!$B:$B = AW$10) * 
        ('アイテム別限界値DB'!$C:$C = AW26) * 
        ('アイテム別限界値DB'!$F:$F = AX26), 
        0
      )
    ), 
    "再製作"
  )
)
</f>
        <v/>
      </c>
      <c r="AZ26" s="195"/>
      <c r="BA26" s="195"/>
      <c r="BB26" s="12"/>
      <c r="BC26" s="220"/>
      <c r="BD26" s="220" t="str">
        <f t="array" ref="BD26">IF(
  BC26 = 0, 
  "", 
  IFERROR(
    INDEX(
      'アイテム別限界値DB'!$I:$I, 
      MATCH(
        1, 
        ('アイテム別限界値DB'!$B:$B = BB$10) * 
        ('アイテム別限界値DB'!$C:$C = BB26) * 
        ('アイテム別限界値DB'!$F:$F = BC26), 
        0
      )
    ), 
    "再製作"
  )
)
</f>
        <v/>
      </c>
      <c r="BE26" s="195"/>
      <c r="BF26" s="195"/>
      <c r="BG26" s="12"/>
      <c r="BH26" s="220"/>
      <c r="BI26" s="220" t="str">
        <f t="array" ref="BI26">IF(
  BH26 = 0, 
  "", 
  IFERROR(
    INDEX(
      'アイテム別限界値DB'!$I:$I, 
      MATCH(
        1, 
        ('アイテム別限界値DB'!$B:$B = BG$10) * 
        ('アイテム別限界値DB'!$C:$C = BG26) * 
        ('アイテム別限界値DB'!$F:$F = BH26), 
        0
      )
    ), 
    "再製作"
  )
)
</f>
        <v/>
      </c>
      <c r="BJ26" s="195"/>
      <c r="BK26" s="195"/>
      <c r="BL26" s="195"/>
      <c r="BM26" s="220"/>
      <c r="BN26" s="220" t="str">
        <f t="array" ref="BN26">IF(
  BM26 = 0, 
  "", 
  IFERROR(
    INDEX(
      'アイテム別限界値DB'!$I:$I, 
      MATCH(
        1, 
        ('アイテム別限界値DB'!$B:$B = BL$10) * 
        ('アイテム別限界値DB'!$C:$C = BL26) * 
        ('アイテム別限界値DB'!$F:$F = BM26), 
        0
      )
    ), 
    "再製作"
  )
)
</f>
        <v/>
      </c>
      <c r="BO26" s="195"/>
      <c r="BP26" s="195"/>
    </row>
    <row r="27" ht="18.75" customHeight="1">
      <c r="A27" s="228" t="str">
        <f>IFERROR(__xludf.DUMMYFUNCTION("TEXTJOIN(CHAR(10),TRUE,FILTER(ARRAYFORMULA(IF(O$14:O72&lt;&gt;"""",N$14:N72 &amp;"" :  cm"","""")), N$14:N72 &lt;&gt;""""))"),"")</f>
        <v/>
      </c>
      <c r="B27" s="229"/>
      <c r="C27" s="224"/>
      <c r="D27" s="239" t="s">
        <v>67</v>
      </c>
      <c r="E27" s="230"/>
      <c r="F27" s="231" t="str">
        <f t="array" ref="F27">IF(
  E27 = 0, 
  "", 
  IFERROR(
    INDEX(
      'アイテム別限界値DB'!$K:$K, 
      MATCH(
        1, 
        ('アイテム別限界値DB'!$B:$B = D$10) * 
        ('アイテム別限界値DB'!$F:$F = D27) * 
        ('アイテム別限界値DB'!$H:$H = E27), 
        0
      )
    ), 
    "再製作"
  )
)
</f>
        <v/>
      </c>
      <c r="G27" s="218" t="str">
        <f t="array" ref="G27">IF(
  E27 = 0, 
  "", 
  IFERROR(
    INDEX(
      'アイテム別限界値DB'!$L:$L, 
      MATCH(
        1, 
        ('アイテム別限界値DB'!$B:$B = D$10) * 
        ('アイテム別限界値DB'!$C:$C = D27) * 
        ('アイテム別限界値DB'!$F:$F = E27), 
        0
      )
    ), 
    ""
  )
)
</f>
        <v/>
      </c>
      <c r="H27" s="12"/>
      <c r="I27" s="11" t="s">
        <v>103</v>
      </c>
      <c r="J27" s="232"/>
      <c r="K27" s="231" t="str">
        <f t="array" ref="K27">IF(
  J27 = 0, 
  "", 
  IFERROR(
    INDEX(
      'アイテム別限界値DB'!$K:$K, 
      MATCH(
        1, 
        ('アイテム別限界値DB'!$B:$B = I$10) * 
        ('アイテム別限界値DB'!$F:$F = I27) * 
        ('アイテム別限界値DB'!$H:$H = J27), 
        0
      )
    ), 
    "再製作"
  )
)
</f>
        <v/>
      </c>
      <c r="L27" s="11"/>
      <c r="M27" s="11"/>
      <c r="N27" s="11"/>
      <c r="O27" s="220"/>
      <c r="P27" s="184"/>
      <c r="Q27" s="11"/>
      <c r="R27" s="11"/>
      <c r="S27" s="12" t="s">
        <v>99</v>
      </c>
      <c r="T27" s="232"/>
      <c r="U27" s="231" t="str">
        <f t="array" ref="U27">IF(
  T27 = 0, 
  "", 
  IFERROR(
    INDEX(
      'アイテム別限界値DB'!$K:$K, 
      MATCH(
        1, 
        ('アイテム別限界値DB'!$B:$B = S$10) * 
        ('アイテム別限界値DB'!$F:$F = S27) * 
        ('アイテム別限界値DB'!$H:$H = T27), 
        0
      )
    ), 
    "再製作"
  )
)
</f>
        <v/>
      </c>
      <c r="V27" s="12"/>
      <c r="W27" s="11"/>
      <c r="X27" s="240" t="s">
        <v>74</v>
      </c>
      <c r="Y27" s="232"/>
      <c r="Z27" s="231" t="str">
        <f t="array" ref="Z27">IF(
  Y27 = 0, 
  "", 
  IFERROR(
    INDEX(
      'アイテム別限界値DB'!$K:$K, 
      MATCH(
        1, 
        ('アイテム別限界値DB'!$B:$B = X$10) * 
        ('アイテム別限界値DB'!$F:$F = X27) * 
        ('アイテム別限界値DB'!$H:$H = Y27), 
        0
      )
    ), 
    "再製作"
  )
)
</f>
        <v/>
      </c>
      <c r="AA27" s="218" t="str">
        <f t="array" ref="AA27">IF(
  Y27 = 0, 
  "", 
  IFERROR(
    INDEX(
      'アイテム別限界値DB'!$L:$L, 
      MATCH(
        1, 
        ('アイテム別限界値DB'!$B:$B = X$10) * 
        ('アイテム別限界値DB'!$C:$C = X27) * 
        ('アイテム別限界値DB'!$F:$F = Y27), 
        0
      )
    ), 
    ""
  )
)
</f>
        <v/>
      </c>
      <c r="AB27" s="11"/>
      <c r="AC27" s="240" t="s">
        <v>79</v>
      </c>
      <c r="AD27" s="232"/>
      <c r="AE27" s="231" t="str">
        <f t="array" ref="AE27">IF(
  AD27 = 0, 
  "", 
  IFERROR(
    INDEX(
      'アイテム別限界値DB'!$K:$K, 
      MATCH(
        1, 
        ('アイテム別限界値DB'!$B:$B = AC$10) * 
        ('アイテム別限界値DB'!$F:$F = AC27) * 
        ('アイテム別限界値DB'!$H:$H = AD27), 
        0
      )
    ), 
    "再製作"
  )
)
</f>
        <v/>
      </c>
      <c r="AF27" s="218" t="str">
        <f t="array" ref="AF27">IF(
  AD27 = 0, 
  "", 
  IFERROR(
    INDEX(
      'アイテム別限界値DB'!$L:$L, 
      MATCH(
        1, 
        ('アイテム別限界値DB'!$B:$B = AC$10) * 
        ('アイテム別限界値DB'!$C:$C = AC27) * 
        ('アイテム別限界値DB'!$F:$F = AD27), 
        0
      )
    ), 
    ""
  )
)
</f>
        <v/>
      </c>
      <c r="AG27" s="11"/>
      <c r="AH27" s="11"/>
      <c r="AI27" s="220"/>
      <c r="AJ27" s="184"/>
      <c r="AK27" s="11"/>
      <c r="AL27" s="11"/>
      <c r="AM27" s="11"/>
      <c r="AN27" s="220"/>
      <c r="AO27" s="184"/>
      <c r="AP27" s="11"/>
      <c r="AQ27" s="11"/>
      <c r="AR27" s="11"/>
      <c r="AS27" s="220"/>
      <c r="AT27" s="184"/>
      <c r="AU27" s="11"/>
      <c r="AV27" s="11"/>
      <c r="AW27" s="11"/>
      <c r="AX27" s="220"/>
      <c r="AY27" s="184"/>
      <c r="AZ27" s="11"/>
      <c r="BA27" s="11"/>
      <c r="BB27" s="11"/>
      <c r="BC27" s="220"/>
      <c r="BD27" s="184"/>
      <c r="BE27" s="11"/>
      <c r="BF27" s="11"/>
      <c r="BG27" s="11"/>
      <c r="BH27" s="220"/>
      <c r="BI27" s="184"/>
      <c r="BJ27" s="11"/>
      <c r="BK27" s="11"/>
      <c r="BL27" s="11"/>
      <c r="BM27" s="220"/>
      <c r="BN27" s="184"/>
      <c r="BO27" s="11"/>
      <c r="BP27" s="11"/>
    </row>
    <row r="28" ht="15.75" customHeight="1">
      <c r="A28" s="237" t="s">
        <v>104</v>
      </c>
      <c r="B28" s="11"/>
      <c r="C28" s="11"/>
      <c r="D28" s="11" t="s">
        <v>79</v>
      </c>
      <c r="E28" s="230"/>
      <c r="F28" s="231" t="str">
        <f t="array" ref="F28">IF(
  E28 = 0, 
  "", 
  IFERROR(
    INDEX(
      'アイテム別限界値DB'!$K:$K, 
      MATCH(
        1, 
        ('アイテム別限界値DB'!$B:$B = D$10) * 
        ('アイテム別限界値DB'!$F:$F = D28) * 
        ('アイテム別限界値DB'!$H:$H = E28), 
        0
      )
    ), 
    "再製作"
  )
)
</f>
        <v/>
      </c>
      <c r="G28" s="218" t="str">
        <f t="array" ref="G28">IF(
  E28 = 0, 
  "", 
  IFERROR(
    INDEX(
      'アイテム別限界値DB'!$L:$L, 
      MATCH(
        1, 
        ('アイテム別限界値DB'!$B:$B = D$10) * 
        ('アイテム別限界値DB'!$C:$C = D28) * 
        ('アイテム別限界値DB'!$F:$F = E28), 
        0
      )
    ), 
    ""
  )
)
</f>
        <v/>
      </c>
      <c r="H28" s="11"/>
      <c r="I28" s="11"/>
      <c r="J28" s="220"/>
      <c r="K28" s="184"/>
      <c r="L28" s="11"/>
      <c r="M28" s="11"/>
      <c r="N28" s="11"/>
      <c r="O28" s="220"/>
      <c r="P28" s="184"/>
      <c r="Q28" s="11"/>
      <c r="R28" s="12"/>
      <c r="S28" s="11" t="s">
        <v>103</v>
      </c>
      <c r="T28" s="232"/>
      <c r="U28" s="231" t="str">
        <f t="array" ref="U28">IF(
  T28 = 0, 
  "", 
  IFERROR(
    INDEX(
      'アイテム別限界値DB'!$K:$K, 
      MATCH(
        1, 
        ('アイテム別限界値DB'!$B:$B = S$10) * 
        ('アイテム別限界値DB'!$F:$F = S28) * 
        ('アイテム別限界値DB'!$H:$H = T28), 
        0
      )
    ), 
    "再製作"
  )
)
</f>
        <v/>
      </c>
      <c r="V28" s="11"/>
      <c r="W28" s="11"/>
      <c r="X28" s="11" t="s">
        <v>67</v>
      </c>
      <c r="Y28" s="247"/>
      <c r="Z28" s="231" t="str">
        <f t="array" ref="Z28">IF(
  Y28 = 0, 
  "", 
  IFERROR(
    INDEX(
      'アイテム別限界値DB'!$K:$K, 
      MATCH(
        1, 
        ('アイテム別限界値DB'!$B:$B = X$10) * 
        ('アイテム別限界値DB'!$F:$F = X28) * 
        ('アイテム別限界値DB'!$H:$H = Y28), 
        0
      )
    ), 
    "再製作"
  )
)
</f>
        <v/>
      </c>
      <c r="AA28" s="218" t="str">
        <f t="array" ref="AA28">IF(
  Y28 = 0, 
  "", 
  IFERROR(
    INDEX(
      'アイテム別限界値DB'!$L:$L, 
      MATCH(
        1, 
        ('アイテム別限界値DB'!$B:$B = X$10) * 
        ('アイテム別限界値DB'!$C:$C = X28) * 
        ('アイテム別限界値DB'!$F:$F = Y28), 
        0
      )
    ), 
    ""
  )
)
</f>
        <v/>
      </c>
      <c r="AB28" s="11"/>
      <c r="AC28" s="11" t="s">
        <v>83</v>
      </c>
      <c r="AD28" s="232"/>
      <c r="AE28" s="231" t="str">
        <f t="array" ref="AE28">IF(
  AD28 = 0, 
  "", 
  IFERROR(
    INDEX(
      'アイテム別限界値DB'!$K:$K, 
      MATCH(
        1, 
        ('アイテム別限界値DB'!$B:$B = AC$10) * 
        ('アイテム別限界値DB'!$F:$F = AC28) * 
        ('アイテム別限界値DB'!$H:$H = AD28), 
        0
      )
    ), 
    "再製作"
  )
)
</f>
        <v/>
      </c>
      <c r="AF28" s="218" t="str">
        <f t="array" ref="AF28">IF(
  AD28 = 0, 
  "", 
  IFERROR(
    INDEX(
      'アイテム別限界値DB'!$L:$L, 
      MATCH(
        1, 
        ('アイテム別限界値DB'!$B:$B = AC$10) * 
        ('アイテム別限界値DB'!$C:$C = AC28) * 
        ('アイテム別限界値DB'!$F:$F = AD28), 
        0
      )
    ), 
    ""
  )
)
</f>
        <v/>
      </c>
      <c r="AG28" s="11"/>
      <c r="AH28" s="11"/>
      <c r="AI28" s="220"/>
      <c r="AJ28" s="184"/>
      <c r="AK28" s="11"/>
      <c r="AL28" s="11"/>
      <c r="AM28" s="11"/>
      <c r="AN28" s="220"/>
      <c r="AO28" s="184"/>
      <c r="AP28" s="11"/>
      <c r="AQ28" s="11"/>
      <c r="AR28" s="11"/>
      <c r="AS28" s="220"/>
      <c r="AT28" s="184"/>
      <c r="AU28" s="11"/>
      <c r="AV28" s="11"/>
      <c r="AW28" s="11"/>
      <c r="AX28" s="220"/>
      <c r="AY28" s="184"/>
      <c r="AZ28" s="11"/>
      <c r="BA28" s="11"/>
      <c r="BB28" s="11"/>
      <c r="BC28" s="220"/>
      <c r="BD28" s="184"/>
      <c r="BE28" s="11"/>
      <c r="BF28" s="11"/>
      <c r="BG28" s="11"/>
      <c r="BH28" s="220"/>
      <c r="BI28" s="184"/>
      <c r="BJ28" s="11"/>
      <c r="BK28" s="11"/>
      <c r="BL28" s="11"/>
      <c r="BM28" s="220"/>
      <c r="BN28" s="184"/>
      <c r="BO28" s="11"/>
      <c r="BP28" s="11"/>
    </row>
    <row r="29" ht="15.75" customHeight="1">
      <c r="A29" s="228" t="str">
        <f>IF($S$11="再製作", "◼︎ チノ（対応着地：再製作）" &amp; char(10) &amp; "《修正数値》", IF($S$11&lt;&gt;"", "◼︎ チノ（対応着地：お直し）" &amp; char(10) &amp; "《修正数値》", ""))</f>
        <v/>
      </c>
      <c r="B29" s="160"/>
      <c r="C29" s="11"/>
      <c r="D29" s="11" t="s">
        <v>83</v>
      </c>
      <c r="E29" s="232"/>
      <c r="F29" s="231" t="str">
        <f t="array" ref="F29">IF(
  E29 = 0, 
  "", 
  IFERROR(
    INDEX(
      'アイテム別限界値DB'!$K:$K, 
      MATCH(
        1, 
        ('アイテム別限界値DB'!$B:$B = D$10) * 
        ('アイテム別限界値DB'!$F:$F = D29) * 
        ('アイテム別限界値DB'!$H:$H = E29), 
        0
      )
    ), 
    "再製作"
  )
)
</f>
        <v/>
      </c>
      <c r="G29" s="218" t="str">
        <f t="array" ref="G29">IF(
  E29 = 0, 
  "", 
  IFERROR(
    INDEX(
      'アイテム別限界値DB'!$L:$L, 
      MATCH(
        1, 
        ('アイテム別限界値DB'!$B:$B = D$10) * 
        ('アイテム別限界値DB'!$C:$C = D29) * 
        ('アイテム別限界値DB'!$F:$F = E29), 
        0
      )
    ), 
    ""
  )
)
</f>
        <v/>
      </c>
      <c r="H29" s="11"/>
      <c r="I29" s="11"/>
      <c r="J29" s="220"/>
      <c r="K29" s="184"/>
      <c r="L29" s="11"/>
      <c r="M29" s="11"/>
      <c r="N29" s="11"/>
      <c r="O29" s="220"/>
      <c r="P29" s="184"/>
      <c r="Q29" s="11"/>
      <c r="R29" s="12"/>
      <c r="S29" s="11"/>
      <c r="T29" s="220"/>
      <c r="U29" s="184"/>
      <c r="V29" s="11"/>
      <c r="W29" s="11"/>
      <c r="X29" s="11" t="s">
        <v>79</v>
      </c>
      <c r="Y29" s="232"/>
      <c r="Z29" s="231" t="str">
        <f t="array" ref="Z29">IF(
  Y29 = 0, 
  "", 
  IFERROR(
    INDEX(
      'アイテム別限界値DB'!$K:$K, 
      MATCH(
        1, 
        ('アイテム別限界値DB'!$B:$B = X$10) * 
        ('アイテム別限界値DB'!$F:$F = X29) * 
        ('アイテム別限界値DB'!$H:$H = Y29), 
        0
      )
    ), 
    "再製作"
  )
)
</f>
        <v/>
      </c>
      <c r="AA29" s="11"/>
      <c r="AB29" s="11"/>
      <c r="AC29" s="11" t="s">
        <v>105</v>
      </c>
      <c r="AD29" s="232"/>
      <c r="AE29" s="231" t="str">
        <f t="array" ref="AE29">IF(
  AD29 = 0, 
  "", 
  IFERROR(
    INDEX(
      'アイテム別限界値DB'!$K:$K, 
      MATCH(
        1, 
        ('アイテム別限界値DB'!$B:$B = AC$10) * 
        ('アイテム別限界値DB'!$F:$F = AC29) * 
        ('アイテム別限界値DB'!$H:$H = AD29), 
        0
      )
    ), 
    "再製作"
  )
)
</f>
        <v/>
      </c>
      <c r="AF29" s="11"/>
      <c r="AG29" s="11"/>
      <c r="AH29" s="11"/>
      <c r="AI29" s="220"/>
      <c r="AJ29" s="184"/>
      <c r="AK29" s="11"/>
      <c r="AL29" s="11"/>
      <c r="AM29" s="11"/>
      <c r="AN29" s="220"/>
      <c r="AO29" s="184"/>
      <c r="AP29" s="11"/>
      <c r="AQ29" s="11"/>
      <c r="AR29" s="11"/>
      <c r="AS29" s="220"/>
      <c r="AT29" s="184"/>
      <c r="AU29" s="11"/>
      <c r="AV29" s="11"/>
      <c r="AW29" s="11"/>
      <c r="AX29" s="220"/>
      <c r="AY29" s="184"/>
      <c r="AZ29" s="11"/>
      <c r="BA29" s="11"/>
      <c r="BB29" s="11"/>
      <c r="BC29" s="220"/>
      <c r="BD29" s="184"/>
      <c r="BE29" s="11"/>
      <c r="BF29" s="11"/>
      <c r="BG29" s="11"/>
      <c r="BH29" s="220"/>
      <c r="BI29" s="184"/>
      <c r="BJ29" s="11"/>
      <c r="BK29" s="11"/>
      <c r="BL29" s="11"/>
      <c r="BM29" s="220"/>
      <c r="BN29" s="184"/>
      <c r="BO29" s="11"/>
      <c r="BP29" s="11"/>
    </row>
    <row r="30" ht="15.75" customHeight="1">
      <c r="A30" s="228" t="str">
        <f>IFERROR(__xludf.DUMMYFUNCTION("TEXTJOIN(CHAR(10),TRUE,FILTER(ARRAYFORMULA(IF(T$14:T72&lt;&gt;"""", S$14:S72 &amp;"" : ""&amp; T$14:T72 &amp;"" cm"","""")), S$14:S72 &lt;&gt;""""))"),"")</f>
        <v/>
      </c>
      <c r="B30" s="229"/>
      <c r="C30" s="11"/>
      <c r="D30" s="11" t="s">
        <v>106</v>
      </c>
      <c r="E30" s="232"/>
      <c r="F30" s="231" t="str">
        <f t="array" ref="F30">IF(
  E30 = 0, 
  "", 
  IFERROR(
    INDEX(
      'アイテム別限界値DB'!$K:$K, 
      MATCH(
        1, 
        ('アイテム別限界値DB'!$B:$B = D$10) * 
        ('アイテム別限界値DB'!$F:$F = D30) * 
        ('アイテム別限界値DB'!$H:$H = E30), 
        0
      )
    ), 
    "再製作"
  )
)
</f>
        <v/>
      </c>
      <c r="G30" s="218" t="str">
        <f t="array" ref="G30">IF(
  E30 = 0, 
  "", 
  IFERROR(
    INDEX(
      'アイテム別限界値DB'!$L:$L, 
      MATCH(
        1, 
        ('アイテム別限界値DB'!$B:$B = D$10) * 
        ('アイテム別限界値DB'!$C:$C = D30) * 
        ('アイテム別限界値DB'!$F:$F = E30), 
        0
      )
    ), 
    ""
  )
)
</f>
        <v/>
      </c>
      <c r="H30" s="11"/>
      <c r="I30" s="11"/>
      <c r="J30" s="220"/>
      <c r="K30" s="184"/>
      <c r="L30" s="11"/>
      <c r="M30" s="11"/>
      <c r="N30" s="11"/>
      <c r="O30" s="220"/>
      <c r="P30" s="184"/>
      <c r="Q30" s="11"/>
      <c r="R30" s="12"/>
      <c r="S30" s="11"/>
      <c r="T30" s="220"/>
      <c r="U30" s="184"/>
      <c r="V30" s="11"/>
      <c r="W30" s="11"/>
      <c r="X30" s="11" t="s">
        <v>83</v>
      </c>
      <c r="Y30" s="232"/>
      <c r="Z30" s="231" t="str">
        <f t="array" ref="Z30">IF(
  Y30 = 0, 
  "", 
  IFERROR(
    INDEX(
      'アイテム別限界値DB'!$K:$K, 
      MATCH(
        1, 
        ('アイテム別限界値DB'!$B:$B = X$10) * 
        ('アイテム別限界値DB'!$F:$F = X30) * 
        ('アイテム別限界値DB'!$H:$H = Y30), 
        0
      )
    ), 
    "再製作"
  )
)
</f>
        <v/>
      </c>
      <c r="AA30" s="11"/>
      <c r="AB30" s="11"/>
      <c r="AC30" s="11"/>
      <c r="AD30" s="220"/>
      <c r="AE30" s="184"/>
      <c r="AF30" s="11"/>
      <c r="AG30" s="11"/>
      <c r="AH30" s="11"/>
      <c r="AI30" s="220"/>
      <c r="AJ30" s="184"/>
      <c r="AK30" s="11"/>
      <c r="AL30" s="11"/>
      <c r="AM30" s="11"/>
      <c r="AN30" s="220"/>
      <c r="AO30" s="184"/>
      <c r="AP30" s="11"/>
      <c r="AQ30" s="11"/>
      <c r="AR30" s="11"/>
      <c r="AS30" s="220"/>
      <c r="AT30" s="184"/>
      <c r="AU30" s="11"/>
      <c r="AV30" s="11"/>
      <c r="AW30" s="11"/>
      <c r="AX30" s="220"/>
      <c r="AY30" s="184"/>
      <c r="AZ30" s="11"/>
      <c r="BA30" s="11"/>
      <c r="BB30" s="11"/>
      <c r="BC30" s="220"/>
      <c r="BD30" s="184"/>
      <c r="BE30" s="11"/>
      <c r="BF30" s="11"/>
      <c r="BG30" s="11"/>
      <c r="BH30" s="220"/>
      <c r="BI30" s="184"/>
      <c r="BJ30" s="11"/>
      <c r="BK30" s="11"/>
      <c r="BL30" s="11"/>
      <c r="BM30" s="220"/>
      <c r="BN30" s="184"/>
      <c r="BO30" s="11"/>
      <c r="BP30" s="11"/>
    </row>
    <row r="31" ht="15.75" customHeight="1">
      <c r="A31" s="242" t="str">
        <f>if($A$29&lt;&gt;"", "《仕上がり数値》","")</f>
        <v/>
      </c>
      <c r="B31" s="12"/>
      <c r="C31" s="11"/>
      <c r="D31" s="11" t="s">
        <v>107</v>
      </c>
      <c r="E31" s="232"/>
      <c r="F31" s="231" t="str">
        <f t="array" ref="F31">IF(
  E31 = 0, 
  "", 
  IFERROR(
    INDEX(
      'アイテム別限界値DB'!$K:$K, 
      MATCH(
        1, 
        ('アイテム別限界値DB'!$B:$B = D$10) * 
        ('アイテム別限界値DB'!$F:$F = D31) * 
        ('アイテム別限界値DB'!$H:$H = E31), 
        0
      )
    ), 
    "再製作"
  )
)
</f>
        <v/>
      </c>
      <c r="G31" s="218" t="str">
        <f t="array" ref="G31">IF(
  E31 = 0, 
  "", 
  IFERROR(
    INDEX(
      'アイテム別限界値DB'!$L:$L, 
      MATCH(
        1, 
        ('アイテム別限界値DB'!$B:$B = D$10) * 
        ('アイテム別限界値DB'!$C:$C = D31) * 
        ('アイテム別限界値DB'!$F:$F = E31), 
        0
      )
    ), 
    ""
  )
)
</f>
        <v/>
      </c>
      <c r="H31" s="11"/>
      <c r="I31" s="11"/>
      <c r="J31" s="220"/>
      <c r="K31" s="184"/>
      <c r="L31" s="11"/>
      <c r="M31" s="11"/>
      <c r="N31" s="11"/>
      <c r="O31" s="220"/>
      <c r="P31" s="184"/>
      <c r="Q31" s="11"/>
      <c r="R31" s="12"/>
      <c r="S31" s="11"/>
      <c r="T31" s="220"/>
      <c r="U31" s="184"/>
      <c r="V31" s="11"/>
      <c r="W31" s="11"/>
      <c r="X31" s="11" t="s">
        <v>105</v>
      </c>
      <c r="Y31" s="232"/>
      <c r="Z31" s="231" t="str">
        <f t="array" ref="Z31">IF(
  Y31 = 0, 
  "", 
  IFERROR(
    INDEX(
      'アイテム別限界値DB'!$K:$K, 
      MATCH(
        1, 
        ('アイテム別限界値DB'!$B:$B = X$10) * 
        ('アイテム別限界値DB'!$F:$F = X31) * 
        ('アイテム別限界値DB'!$H:$H = Y31), 
        0
      )
    ), 
    "再製作"
  )
)
</f>
        <v/>
      </c>
      <c r="AA31" s="11"/>
      <c r="AB31" s="11"/>
      <c r="AC31" s="11"/>
      <c r="AD31" s="220"/>
      <c r="AE31" s="184"/>
      <c r="AF31" s="11"/>
      <c r="AG31" s="11"/>
      <c r="AH31" s="11"/>
      <c r="AI31" s="220"/>
      <c r="AJ31" s="184"/>
      <c r="AK31" s="11"/>
      <c r="AL31" s="11"/>
      <c r="AM31" s="11"/>
      <c r="AN31" s="220"/>
      <c r="AO31" s="184"/>
      <c r="AP31" s="11"/>
      <c r="AQ31" s="11"/>
      <c r="AR31" s="11"/>
      <c r="AS31" s="220"/>
      <c r="AT31" s="184"/>
      <c r="AU31" s="11"/>
      <c r="AV31" s="11"/>
      <c r="AW31" s="11"/>
      <c r="AX31" s="220"/>
      <c r="AY31" s="184"/>
      <c r="AZ31" s="11"/>
      <c r="BA31" s="11"/>
      <c r="BB31" s="11"/>
      <c r="BC31" s="220"/>
      <c r="BD31" s="184"/>
      <c r="BE31" s="11"/>
      <c r="BF31" s="11"/>
      <c r="BG31" s="11"/>
      <c r="BH31" s="220"/>
      <c r="BI31" s="184"/>
      <c r="BJ31" s="11"/>
      <c r="BK31" s="11"/>
      <c r="BL31" s="11"/>
      <c r="BM31" s="220"/>
      <c r="BN31" s="184"/>
      <c r="BO31" s="11"/>
      <c r="BP31" s="11"/>
    </row>
    <row r="32" ht="15.75" customHeight="1">
      <c r="A32" s="228" t="str">
        <f>IFERROR(__xludf.DUMMYFUNCTION("TEXTJOIN(CHAR(10),TRUE,FILTER(ARRAYFORMULA(IF(T$14:T72&lt;&gt;"""", S$14:S72 &amp;"" :  cm"","""")), S$14:S72 &lt;&gt;""""))"),"")</f>
        <v/>
      </c>
      <c r="B32" s="160"/>
      <c r="C32" s="11"/>
      <c r="D32" s="11" t="s">
        <v>108</v>
      </c>
      <c r="E32" s="230"/>
      <c r="F32" s="231" t="str">
        <f t="array" ref="F32">IF(
  E32 = 0, 
  "", 
  IFERROR(
    INDEX(
      'アイテム別限界値DB'!$K:$K, 
      MATCH(
        1, 
        ('アイテム別限界値DB'!$B:$B = D$10) * 
        ('アイテム別限界値DB'!$F:$F = D32) * 
        ('アイテム別限界値DB'!$H:$H = E32), 
        0
      )
    ), 
    "再製作"
  )
)
</f>
        <v/>
      </c>
      <c r="G32" s="218" t="str">
        <f t="array" ref="G32">IF(
  E32 = 0, 
  "", 
  IFERROR(
    INDEX(
      'アイテム別限界値DB'!$L:$L, 
      MATCH(
        1, 
        ('アイテム別限界値DB'!$B:$B = D$10) * 
        ('アイテム別限界値DB'!$C:$C = D32) * 
        ('アイテム別限界値DB'!$F:$F = E32), 
        0
      )
    ), 
    ""
  )
)
</f>
        <v/>
      </c>
      <c r="H32" s="11"/>
      <c r="I32" s="11"/>
      <c r="J32" s="220"/>
      <c r="K32" s="184"/>
      <c r="L32" s="11"/>
      <c r="M32" s="11"/>
      <c r="N32" s="11"/>
      <c r="O32" s="220"/>
      <c r="P32" s="184"/>
      <c r="Q32" s="11"/>
      <c r="R32" s="12"/>
      <c r="S32" s="11"/>
      <c r="T32" s="220"/>
      <c r="U32" s="184"/>
      <c r="V32" s="11"/>
      <c r="W32" s="11"/>
      <c r="X32" s="11"/>
      <c r="Y32" s="220"/>
      <c r="Z32" s="184"/>
      <c r="AA32" s="11"/>
      <c r="AB32" s="11"/>
      <c r="AC32" s="11"/>
      <c r="AD32" s="220"/>
      <c r="AE32" s="184"/>
      <c r="AF32" s="11"/>
      <c r="AG32" s="11"/>
      <c r="AH32" s="11"/>
      <c r="AI32" s="220"/>
      <c r="AJ32" s="184"/>
      <c r="AK32" s="11"/>
      <c r="AL32" s="11"/>
      <c r="AM32" s="11"/>
      <c r="AN32" s="220"/>
      <c r="AO32" s="184"/>
      <c r="AP32" s="11"/>
      <c r="AQ32" s="11"/>
      <c r="AR32" s="11"/>
      <c r="AS32" s="220"/>
      <c r="AT32" s="184"/>
      <c r="AU32" s="11"/>
      <c r="AV32" s="11"/>
      <c r="AW32" s="11"/>
      <c r="AX32" s="220"/>
      <c r="AY32" s="184"/>
      <c r="AZ32" s="11"/>
      <c r="BA32" s="11"/>
      <c r="BB32" s="11"/>
      <c r="BC32" s="220"/>
      <c r="BD32" s="184"/>
      <c r="BE32" s="11"/>
      <c r="BF32" s="11"/>
      <c r="BG32" s="11"/>
      <c r="BH32" s="220"/>
      <c r="BI32" s="184"/>
      <c r="BJ32" s="11"/>
      <c r="BK32" s="11"/>
      <c r="BL32" s="11"/>
      <c r="BM32" s="220"/>
      <c r="BN32" s="184"/>
      <c r="BO32" s="11"/>
      <c r="BP32" s="11"/>
    </row>
    <row r="33" ht="15.75" customHeight="1">
      <c r="A33" s="237" t="s">
        <v>109</v>
      </c>
      <c r="B33" s="229"/>
      <c r="C33" s="11"/>
      <c r="D33" s="11" t="s">
        <v>110</v>
      </c>
      <c r="E33" s="232"/>
      <c r="F33" s="231" t="str">
        <f t="array" ref="F33">IF(
  E33 = 0, 
  "", 
  IFERROR(
    INDEX(
      'アイテム別限界値DB'!$K:$K, 
      MATCH(
        1, 
        ('アイテム別限界値DB'!$B:$B = D$10) * 
        ('アイテム別限界値DB'!$F:$F = D33) * 
        ('アイテム別限界値DB'!$H:$H = E33), 
        0
      )
    ), 
    "再製作"
  )
)
</f>
        <v/>
      </c>
      <c r="G33" s="218" t="str">
        <f t="array" ref="G33">IF(
  E33 = 0, 
  "", 
  IFERROR(
    INDEX(
      'アイテム別限界値DB'!$L:$L, 
      MATCH(
        1, 
        ('アイテム別限界値DB'!$B:$B = D$10) * 
        ('アイテム別限界値DB'!$C:$C = D33) * 
        ('アイテム別限界値DB'!$F:$F = E33), 
        0
      )
    ), 
    ""
  )
)
</f>
        <v/>
      </c>
      <c r="H33" s="11"/>
      <c r="I33" s="11"/>
      <c r="J33" s="220"/>
      <c r="K33" s="184"/>
      <c r="L33" s="11"/>
      <c r="M33" s="11"/>
      <c r="N33" s="11"/>
      <c r="O33" s="220"/>
      <c r="P33" s="184"/>
      <c r="Q33" s="11"/>
      <c r="R33" s="12"/>
      <c r="S33" s="11"/>
      <c r="T33" s="220"/>
      <c r="U33" s="184"/>
      <c r="V33" s="11"/>
      <c r="W33" s="11"/>
      <c r="X33" s="11"/>
      <c r="Y33" s="220"/>
      <c r="Z33" s="184"/>
      <c r="AA33" s="11"/>
      <c r="AB33" s="11"/>
      <c r="AC33" s="11"/>
      <c r="AD33" s="220"/>
      <c r="AE33" s="184"/>
      <c r="AF33" s="11"/>
      <c r="AG33" s="11"/>
      <c r="AH33" s="11"/>
      <c r="AI33" s="220"/>
      <c r="AJ33" s="184"/>
      <c r="AK33" s="11"/>
      <c r="AL33" s="11"/>
      <c r="AM33" s="11"/>
      <c r="AN33" s="220"/>
      <c r="AO33" s="184"/>
      <c r="AP33" s="11"/>
      <c r="AQ33" s="11"/>
      <c r="AR33" s="11"/>
      <c r="AS33" s="220"/>
      <c r="AT33" s="184"/>
      <c r="AU33" s="11"/>
      <c r="AV33" s="11"/>
      <c r="AW33" s="11"/>
      <c r="AX33" s="220"/>
      <c r="AY33" s="184"/>
      <c r="AZ33" s="11"/>
      <c r="BA33" s="11"/>
      <c r="BB33" s="11"/>
      <c r="BC33" s="220"/>
      <c r="BD33" s="184"/>
      <c r="BE33" s="11"/>
      <c r="BF33" s="11"/>
      <c r="BG33" s="11"/>
      <c r="BH33" s="220"/>
      <c r="BI33" s="184"/>
      <c r="BJ33" s="11"/>
      <c r="BK33" s="11"/>
      <c r="BL33" s="11"/>
      <c r="BM33" s="220"/>
      <c r="BN33" s="184"/>
      <c r="BO33" s="11"/>
      <c r="BP33" s="11"/>
    </row>
    <row r="34" ht="15.75" customHeight="1">
      <c r="A34" s="228" t="str">
        <f>IF($X$11="再製作", "◼︎ シャツ（対応着地：再製作）" &amp; char(10) &amp; "《修正数値》" , IF($X$11&lt;&gt;"", "◼︎ シャツ（対応着地：お直し）" &amp; char(10) &amp; "《修正数値》", ""))</f>
        <v>◼︎ シャツ（対応着地：再製作）
《修正数値》</v>
      </c>
      <c r="B34" s="12"/>
      <c r="C34" s="11"/>
      <c r="D34" s="11" t="s">
        <v>111</v>
      </c>
      <c r="E34" s="230"/>
      <c r="F34" s="231" t="str">
        <f t="array" ref="F34">IF(
  E34 = 0, 
  "", 
  IFERROR(
    INDEX(
      'アイテム別限界値DB'!$K:$K, 
      MATCH(
        1, 
        ('アイテム別限界値DB'!$B:$B = D$10) * 
        ('アイテム別限界値DB'!$F:$F = D34) * 
        ('アイテム別限界値DB'!$H:$H = E34), 
        0
      )
    ), 
    "再製作"
  )
)
</f>
        <v/>
      </c>
      <c r="G34" s="218" t="str">
        <f t="array" ref="G34">IF(
  E34 = 0, 
  "", 
  IFERROR(
    INDEX(
      'アイテム別限界値DB'!$L:$L, 
      MATCH(
        1, 
        ('アイテム別限界値DB'!$B:$B = D$10) * 
        ('アイテム別限界値DB'!$C:$C = D34) * 
        ('アイテム別限界値DB'!$F:$F = E34), 
        0
      )
    ), 
    ""
  )
)
</f>
        <v/>
      </c>
      <c r="H34" s="11"/>
      <c r="I34" s="11"/>
      <c r="J34" s="220"/>
      <c r="K34" s="184"/>
      <c r="L34" s="11"/>
      <c r="M34" s="11"/>
      <c r="N34" s="11"/>
      <c r="O34" s="220"/>
      <c r="P34" s="184"/>
      <c r="Q34" s="11"/>
      <c r="R34" s="12"/>
      <c r="S34" s="11"/>
      <c r="T34" s="220"/>
      <c r="U34" s="184"/>
      <c r="V34" s="11"/>
      <c r="W34" s="11"/>
      <c r="X34" s="11"/>
      <c r="Y34" s="220"/>
      <c r="Z34" s="184"/>
      <c r="AA34" s="11"/>
      <c r="AB34" s="11"/>
      <c r="AC34" s="11"/>
      <c r="AD34" s="220"/>
      <c r="AE34" s="184"/>
      <c r="AF34" s="11"/>
      <c r="AG34" s="11"/>
      <c r="AH34" s="11"/>
      <c r="AI34" s="220"/>
      <c r="AJ34" s="184"/>
      <c r="AK34" s="11"/>
      <c r="AL34" s="11"/>
      <c r="AM34" s="11"/>
      <c r="AN34" s="220"/>
      <c r="AO34" s="184"/>
      <c r="AP34" s="11"/>
      <c r="AQ34" s="11"/>
      <c r="AR34" s="11"/>
      <c r="AS34" s="220"/>
      <c r="AT34" s="184"/>
      <c r="AU34" s="11"/>
      <c r="AV34" s="11"/>
      <c r="AW34" s="11"/>
      <c r="AX34" s="220"/>
      <c r="AY34" s="184"/>
      <c r="AZ34" s="11"/>
      <c r="BA34" s="11"/>
      <c r="BB34" s="11"/>
      <c r="BC34" s="220"/>
      <c r="BD34" s="184"/>
      <c r="BE34" s="11"/>
      <c r="BF34" s="11"/>
      <c r="BG34" s="11"/>
      <c r="BH34" s="220"/>
      <c r="BI34" s="184"/>
      <c r="BJ34" s="11"/>
      <c r="BK34" s="11"/>
      <c r="BL34" s="11"/>
      <c r="BM34" s="220"/>
      <c r="BN34" s="184"/>
      <c r="BO34" s="11"/>
      <c r="BP34" s="11"/>
    </row>
    <row r="35" ht="15.75" customHeight="1">
      <c r="A35" s="228" t="str">
        <f>IFERROR(__xludf.DUMMYFUNCTION("TEXTJOIN(CHAR(10),TRUE,FILTER(ARRAYFORMULA(IF(Y$14:Y72&lt;&gt;"""", X$14:X72 &amp;"" : ""&amp; Y$14:Y72 &amp;"" cm"","""")), X$14:X72 &lt;&gt;""""))"),"バスト(長袖) : -2 cm
ウエスト : -3 cm
首まわり : -1 cm
ヒップ仕上がり寸 : -3 cm
裄丈 (長袖) : -3 cm")</f>
        <v>バスト(長袖) : -2 cm
ウエスト : -3 cm
首まわり : -1 cm
ヒップ仕上がり寸 : -3 cm
裄丈 (長袖) : -3 cm</v>
      </c>
      <c r="B35" s="160"/>
      <c r="C35" s="11"/>
      <c r="D35" s="11" t="s">
        <v>112</v>
      </c>
      <c r="E35" s="232"/>
      <c r="F35" s="231" t="str">
        <f t="array" ref="F35">IF(
  E35 = 0, 
  "", 
  IFERROR(
    INDEX(
      'アイテム別限界値DB'!$K:$K, 
      MATCH(
        1, 
        ('アイテム別限界値DB'!$B:$B = D$10) * 
        ('アイテム別限界値DB'!$F:$F = D35) * 
        ('アイテム別限界値DB'!$H:$H = E35), 
        0
      )
    ), 
    "再製作"
  )
)
</f>
        <v/>
      </c>
      <c r="G35" s="218" t="str">
        <f t="array" ref="G35">IF(
  E35 = 0, 
  "", 
  IFERROR(
    INDEX(
      'アイテム別限界値DB'!$L:$L, 
      MATCH(
        1, 
        ('アイテム別限界値DB'!$B:$B = D$10) * 
        ('アイテム別限界値DB'!$C:$C = D35) * 
        ('アイテム別限界値DB'!$F:$F = E35), 
        0
      )
    ), 
    ""
  )
)
</f>
        <v/>
      </c>
      <c r="H35" s="11"/>
      <c r="I35" s="11"/>
      <c r="J35" s="220"/>
      <c r="K35" s="184"/>
      <c r="L35" s="11"/>
      <c r="M35" s="11"/>
      <c r="N35" s="11"/>
      <c r="O35" s="220"/>
      <c r="P35" s="184"/>
      <c r="Q35" s="11"/>
      <c r="R35" s="12"/>
      <c r="S35" s="11"/>
      <c r="T35" s="220"/>
      <c r="U35" s="184"/>
      <c r="V35" s="11"/>
      <c r="W35" s="11"/>
      <c r="X35" s="11"/>
      <c r="Y35" s="220"/>
      <c r="Z35" s="184"/>
      <c r="AA35" s="11"/>
      <c r="AB35" s="11"/>
      <c r="AC35" s="11"/>
      <c r="AD35" s="220"/>
      <c r="AE35" s="184"/>
      <c r="AF35" s="11"/>
      <c r="AG35" s="11"/>
      <c r="AH35" s="11"/>
      <c r="AI35" s="220"/>
      <c r="AJ35" s="184"/>
      <c r="AK35" s="11"/>
      <c r="AL35" s="11"/>
      <c r="AM35" s="11"/>
      <c r="AN35" s="220"/>
      <c r="AO35" s="184"/>
      <c r="AP35" s="11"/>
      <c r="AQ35" s="11"/>
      <c r="AR35" s="11"/>
      <c r="AS35" s="220"/>
      <c r="AT35" s="184"/>
      <c r="AU35" s="11"/>
      <c r="AV35" s="11"/>
      <c r="AW35" s="11"/>
      <c r="AX35" s="220"/>
      <c r="AY35" s="184"/>
      <c r="AZ35" s="11"/>
      <c r="BA35" s="11"/>
      <c r="BB35" s="11"/>
      <c r="BC35" s="220"/>
      <c r="BD35" s="184"/>
      <c r="BE35" s="11"/>
      <c r="BF35" s="11"/>
      <c r="BG35" s="11"/>
      <c r="BH35" s="220"/>
      <c r="BI35" s="184"/>
      <c r="BJ35" s="11"/>
      <c r="BK35" s="11"/>
      <c r="BL35" s="11"/>
      <c r="BM35" s="220"/>
      <c r="BN35" s="184"/>
      <c r="BO35" s="11"/>
      <c r="BP35" s="11"/>
    </row>
    <row r="36" ht="15.75" customHeight="1">
      <c r="A36" s="236" t="str">
        <f>if($A$34&lt;&gt;"", "《仕上がり数値》","")</f>
        <v>《仕上がり数値》</v>
      </c>
      <c r="B36" s="229"/>
      <c r="C36" s="11"/>
      <c r="D36" s="11" t="s">
        <v>113</v>
      </c>
      <c r="E36" s="230"/>
      <c r="F36" s="231" t="str">
        <f t="array" ref="F36">IF(
  E36 = 0, 
  "", 
  IFERROR(
    INDEX(
      'アイテム別限界値DB'!$K:$K, 
      MATCH(
        1, 
        ('アイテム別限界値DB'!$B:$B = D$10) * 
        ('アイテム別限界値DB'!$F:$F = D36) * 
        ('アイテム別限界値DB'!$H:$H = E36), 
        0
      )
    ), 
    "再製作"
  )
)
</f>
        <v/>
      </c>
      <c r="G36" s="218" t="str">
        <f t="array" ref="G36">IF(
  E36 = 0, 
  "", 
  IFERROR(
    INDEX(
      'アイテム別限界値DB'!$L:$L, 
      MATCH(
        1, 
        ('アイテム別限界値DB'!$B:$B = D$10) * 
        ('アイテム別限界値DB'!$C:$C = D36) * 
        ('アイテム別限界値DB'!$F:$F = E36), 
        0
      )
    ), 
    ""
  )
)
</f>
        <v/>
      </c>
      <c r="H36" s="11"/>
      <c r="I36" s="11"/>
      <c r="J36" s="220"/>
      <c r="K36" s="184"/>
      <c r="L36" s="11"/>
      <c r="M36" s="11"/>
      <c r="N36" s="11"/>
      <c r="O36" s="220"/>
      <c r="P36" s="184"/>
      <c r="Q36" s="11"/>
      <c r="R36" s="12"/>
      <c r="S36" s="11"/>
      <c r="T36" s="220"/>
      <c r="U36" s="184"/>
      <c r="V36" s="11"/>
      <c r="W36" s="11"/>
      <c r="X36" s="11"/>
      <c r="Y36" s="220"/>
      <c r="Z36" s="184"/>
      <c r="AA36" s="11"/>
      <c r="AB36" s="11"/>
      <c r="AC36" s="11"/>
      <c r="AD36" s="220"/>
      <c r="AE36" s="184"/>
      <c r="AF36" s="11"/>
      <c r="AG36" s="11"/>
      <c r="AH36" s="11"/>
      <c r="AI36" s="220"/>
      <c r="AJ36" s="184"/>
      <c r="AK36" s="11"/>
      <c r="AL36" s="11"/>
      <c r="AM36" s="11"/>
      <c r="AN36" s="220"/>
      <c r="AO36" s="184"/>
      <c r="AP36" s="11"/>
      <c r="AQ36" s="11"/>
      <c r="AR36" s="11"/>
      <c r="AS36" s="220"/>
      <c r="AT36" s="184"/>
      <c r="AU36" s="11"/>
      <c r="AV36" s="11"/>
      <c r="AW36" s="11"/>
      <c r="AX36" s="220"/>
      <c r="AY36" s="184"/>
      <c r="AZ36" s="11"/>
      <c r="BA36" s="11"/>
      <c r="BB36" s="11"/>
      <c r="BC36" s="220"/>
      <c r="BD36" s="184"/>
      <c r="BE36" s="11"/>
      <c r="BF36" s="11"/>
      <c r="BG36" s="11"/>
      <c r="BH36" s="220"/>
      <c r="BI36" s="184"/>
      <c r="BJ36" s="11"/>
      <c r="BK36" s="11"/>
      <c r="BL36" s="11"/>
      <c r="BM36" s="220"/>
      <c r="BN36" s="184"/>
      <c r="BO36" s="11"/>
      <c r="BP36" s="11"/>
    </row>
    <row r="37">
      <c r="A37" s="228" t="str">
        <f>IFERROR(__xludf.DUMMYFUNCTION("TEXTJOIN(CHAR(10),TRUE,FILTER(ARRAYFORMULA(IF(Y$14:Y72&lt;&gt;"""", X$14:X72 &amp;"" :  cm"","""")), X$14:X72 &lt;&gt;""""))"),"バスト(長袖) :  cm
ウエスト :  cm
首まわり :  cm
ヒップ仕上がり寸 :  cm
裄丈 (長袖) :  cm")</f>
        <v>バスト(長袖) :  cm
ウエスト :  cm
首まわり :  cm
ヒップ仕上がり寸 :  cm
裄丈 (長袖) :  cm</v>
      </c>
      <c r="B37" s="12"/>
      <c r="C37" s="11"/>
      <c r="D37" s="11" t="s">
        <v>114</v>
      </c>
      <c r="E37" s="232"/>
      <c r="F37" s="231" t="str">
        <f t="array" ref="F37">IF(
  E37 = 0, 
  "", 
  IFERROR(
    INDEX(
      'アイテム別限界値DB'!$K:$K, 
      MATCH(
        1, 
        ('アイテム別限界値DB'!$B:$B = D$10) * 
        ('アイテム別限界値DB'!$F:$F = D37) * 
        ('アイテム別限界値DB'!$H:$H = E37), 
        0
      )
    ), 
    "再製作"
  )
)
</f>
        <v/>
      </c>
      <c r="G37" s="218" t="str">
        <f t="array" ref="G37">IF(
  E37 = 0, 
  "", 
  IFERROR(
    INDEX(
      'アイテム別限界値DB'!$L:$L, 
      MATCH(
        1, 
        ('アイテム別限界値DB'!$B:$B = D$10) * 
        ('アイテム別限界値DB'!$C:$C = D37) * 
        ('アイテム別限界値DB'!$F:$F = E37), 
        0
      )
    ), 
    ""
  )
)
</f>
        <v/>
      </c>
      <c r="H37" s="11"/>
      <c r="I37" s="11"/>
      <c r="J37" s="220"/>
      <c r="K37" s="184"/>
      <c r="L37" s="11"/>
      <c r="M37" s="11"/>
      <c r="N37" s="11"/>
      <c r="O37" s="220"/>
      <c r="P37" s="184"/>
      <c r="Q37" s="11"/>
      <c r="R37" s="12"/>
      <c r="S37" s="11"/>
      <c r="T37" s="220"/>
      <c r="U37" s="184"/>
      <c r="V37" s="11"/>
      <c r="W37" s="11"/>
      <c r="X37" s="11"/>
      <c r="Y37" s="220"/>
      <c r="Z37" s="184"/>
      <c r="AA37" s="11"/>
      <c r="AB37" s="11"/>
      <c r="AC37" s="11"/>
      <c r="AD37" s="220"/>
      <c r="AE37" s="184"/>
      <c r="AF37" s="11"/>
      <c r="AG37" s="11"/>
      <c r="AH37" s="11"/>
      <c r="AI37" s="220"/>
      <c r="AJ37" s="184"/>
      <c r="AK37" s="11"/>
      <c r="AL37" s="11"/>
      <c r="AM37" s="11"/>
      <c r="AN37" s="220"/>
      <c r="AO37" s="184"/>
      <c r="AP37" s="11"/>
      <c r="AQ37" s="11"/>
      <c r="AR37" s="11"/>
      <c r="AS37" s="220"/>
      <c r="AT37" s="184"/>
      <c r="AU37" s="11"/>
      <c r="AV37" s="11"/>
      <c r="AW37" s="11"/>
      <c r="AX37" s="220"/>
      <c r="AY37" s="184"/>
      <c r="AZ37" s="11"/>
      <c r="BA37" s="11"/>
      <c r="BB37" s="11"/>
      <c r="BC37" s="220"/>
      <c r="BD37" s="184"/>
      <c r="BE37" s="11"/>
      <c r="BF37" s="11"/>
      <c r="BG37" s="11"/>
      <c r="BH37" s="220"/>
      <c r="BI37" s="184"/>
      <c r="BJ37" s="11"/>
      <c r="BK37" s="11"/>
      <c r="BL37" s="11"/>
      <c r="BM37" s="220"/>
      <c r="BN37" s="184"/>
      <c r="BO37" s="11"/>
      <c r="BP37" s="11"/>
    </row>
    <row r="38">
      <c r="A38" s="243" t="s">
        <v>115</v>
      </c>
      <c r="B38" s="160"/>
      <c r="C38" s="11"/>
      <c r="D38" s="11" t="s">
        <v>116</v>
      </c>
      <c r="E38" s="232"/>
      <c r="F38" s="231" t="str">
        <f t="array" ref="F38">IF(
  E38 = 0, 
  "", 
  IFERROR(
    INDEX(
      'アイテム別限界値DB'!$K:$K, 
      MATCH(
        1, 
        ('アイテム別限界値DB'!$B:$B = D$10) * 
        ('アイテム別限界値DB'!$F:$F = D38) * 
        ('アイテム別限界値DB'!$H:$H = E38), 
        0
      )
    ), 
    "再製作"
  )
)
</f>
        <v/>
      </c>
      <c r="G38" s="218" t="str">
        <f t="array" ref="G38">IF(
  E38 = 0, 
  "", 
  IFERROR(
    INDEX(
      'アイテム別限界値DB'!$L:$L, 
      MATCH(
        1, 
        ('アイテム別限界値DB'!$B:$B = D$10) * 
        ('アイテム別限界値DB'!$C:$C = D38) * 
        ('アイテム別限界値DB'!$F:$F = E38), 
        0
      )
    ), 
    ""
  )
)
</f>
        <v/>
      </c>
      <c r="H38" s="11"/>
      <c r="I38" s="11"/>
      <c r="J38" s="220"/>
      <c r="K38" s="184"/>
      <c r="L38" s="11"/>
      <c r="M38" s="11"/>
      <c r="N38" s="11"/>
      <c r="O38" s="220"/>
      <c r="P38" s="184"/>
      <c r="Q38" s="11"/>
      <c r="R38" s="12"/>
      <c r="S38" s="11"/>
      <c r="T38" s="220"/>
      <c r="U38" s="184"/>
      <c r="V38" s="11"/>
      <c r="W38" s="11"/>
      <c r="X38" s="11"/>
      <c r="Y38" s="220"/>
      <c r="Z38" s="184"/>
      <c r="AA38" s="11"/>
      <c r="AB38" s="11"/>
      <c r="AC38" s="11"/>
      <c r="AD38" s="220"/>
      <c r="AE38" s="184"/>
      <c r="AF38" s="11"/>
      <c r="AG38" s="11"/>
      <c r="AH38" s="11"/>
      <c r="AI38" s="220"/>
      <c r="AJ38" s="184"/>
      <c r="AK38" s="11"/>
      <c r="AL38" s="11"/>
      <c r="AM38" s="11"/>
      <c r="AN38" s="220"/>
      <c r="AO38" s="184"/>
      <c r="AP38" s="11"/>
      <c r="AQ38" s="11"/>
      <c r="AR38" s="11"/>
      <c r="AS38" s="220"/>
      <c r="AT38" s="184"/>
      <c r="AU38" s="11"/>
      <c r="AV38" s="11"/>
      <c r="AW38" s="11"/>
      <c r="AX38" s="220"/>
      <c r="AY38" s="184"/>
      <c r="AZ38" s="11"/>
      <c r="BA38" s="11"/>
      <c r="BB38" s="11"/>
      <c r="BC38" s="220"/>
      <c r="BD38" s="184"/>
      <c r="BE38" s="11"/>
      <c r="BF38" s="11"/>
      <c r="BG38" s="11"/>
      <c r="BH38" s="220"/>
      <c r="BI38" s="184"/>
      <c r="BJ38" s="11"/>
      <c r="BK38" s="11"/>
      <c r="BL38" s="11"/>
      <c r="BM38" s="220"/>
      <c r="BN38" s="184"/>
      <c r="BO38" s="11"/>
      <c r="BP38" s="11"/>
    </row>
    <row r="39">
      <c r="A39" s="228" t="str">
        <f>IF( $AC$11 = "再製作", "◼︎ ポロシャツ（対応着地：再製作）" &amp; char(10) &amp; "《修正数値》" , IF($AC$11 &lt;&gt; "", "◼︎ ポロシャツ（対応着地：お直し）" &amp; char(10) &amp; "《修正数値》" , ""))</f>
        <v/>
      </c>
      <c r="B39" s="229"/>
      <c r="C39" s="11"/>
      <c r="D39" s="11" t="s">
        <v>117</v>
      </c>
      <c r="E39" s="232"/>
      <c r="F39" s="231" t="str">
        <f t="array" ref="F39">IF(
  E39 = 0, 
  "", 
  IFERROR(
    INDEX(
      'アイテム別限界値DB'!$I:$I, 
      MATCH(
        1, 
        ('アイテム別限界値DB'!$B:$B = D$10) * 
        ('アイテム別限界値DB'!$C:$C = D39) * 
        ('アイテム別限界値DB'!$F:$F = E39), 
        0
      )
    ), 
    "再製作"
  )
)
</f>
        <v/>
      </c>
      <c r="G39" s="218" t="str">
        <f t="array" ref="G39">IF(
  E39 = 0, 
  "", 
  IFERROR(
    INDEX(
      'アイテム別限界値DB'!$L:$L, 
      MATCH(
        1, 
        ('アイテム別限界値DB'!$B:$B = D$10) * 
        ('アイテム別限界値DB'!$C:$C = D39) * 
        ('アイテム別限界値DB'!$F:$F = E39), 
        0
      )
    ), 
    ""
  )
)
</f>
        <v/>
      </c>
      <c r="H39" s="11"/>
      <c r="I39" s="11"/>
      <c r="J39" s="220"/>
      <c r="K39" s="184"/>
      <c r="L39" s="11"/>
      <c r="M39" s="11"/>
      <c r="N39" s="11"/>
      <c r="O39" s="220"/>
      <c r="P39" s="184"/>
      <c r="Q39" s="11"/>
      <c r="R39" s="12"/>
      <c r="S39" s="11"/>
      <c r="T39" s="220"/>
      <c r="U39" s="184"/>
      <c r="V39" s="11"/>
      <c r="W39" s="11"/>
      <c r="X39" s="11"/>
      <c r="Y39" s="220"/>
      <c r="Z39" s="184"/>
      <c r="AA39" s="11"/>
      <c r="AB39" s="11"/>
      <c r="AC39" s="11"/>
      <c r="AD39" s="220"/>
      <c r="AE39" s="184"/>
      <c r="AF39" s="11"/>
      <c r="AG39" s="11"/>
      <c r="AH39" s="11"/>
      <c r="AI39" s="220"/>
      <c r="AJ39" s="184"/>
      <c r="AK39" s="11"/>
      <c r="AL39" s="11"/>
      <c r="AM39" s="11"/>
      <c r="AN39" s="220"/>
      <c r="AO39" s="184"/>
      <c r="AP39" s="11"/>
      <c r="AQ39" s="11"/>
      <c r="AR39" s="11"/>
      <c r="AS39" s="220"/>
      <c r="AT39" s="184"/>
      <c r="AU39" s="11"/>
      <c r="AV39" s="11"/>
      <c r="AW39" s="11"/>
      <c r="AX39" s="220"/>
      <c r="AY39" s="184"/>
      <c r="AZ39" s="11"/>
      <c r="BA39" s="11"/>
      <c r="BB39" s="11"/>
      <c r="BC39" s="220"/>
      <c r="BD39" s="184"/>
      <c r="BE39" s="11"/>
      <c r="BF39" s="11"/>
      <c r="BG39" s="11"/>
      <c r="BH39" s="220"/>
      <c r="BI39" s="184"/>
      <c r="BJ39" s="11"/>
      <c r="BK39" s="11"/>
      <c r="BL39" s="11"/>
      <c r="BM39" s="220"/>
      <c r="BN39" s="184"/>
      <c r="BO39" s="11"/>
      <c r="BP39" s="11"/>
    </row>
    <row r="40">
      <c r="A40" s="228" t="str">
        <f>IFERROR(__xludf.DUMMYFUNCTION("TEXTJOIN(CHAR(10),TRUE,FILTER(ARRAYFORMULA(IF(AD$14:AD72&lt;&gt;"""",AC$14:AC72&amp;"" : ""&amp; AD$14:AD72 &amp;"" cm"","""")), AC$14:AC72 &lt;&gt;""""))"),"")</f>
        <v/>
      </c>
      <c r="B40" s="12"/>
      <c r="C40" s="11"/>
      <c r="D40" s="11" t="s">
        <v>118</v>
      </c>
      <c r="E40" s="232"/>
      <c r="F40" s="231" t="str">
        <f t="array" ref="F40">IF(
  E40 = 0, 
  "", 
  IFERROR(
    INDEX(
      'アイテム別限界値DB'!$I:$I, 
      MATCH(
        1, 
        ('アイテム別限界値DB'!$B:$B = D$10) * 
        ('アイテム別限界値DB'!$C:$C = D40) * 
        ('アイテム別限界値DB'!$F:$F = E40), 
        0
      )
    ), 
    "再製作"
  )
)
</f>
        <v/>
      </c>
      <c r="G40" s="121"/>
      <c r="H40" s="11"/>
      <c r="I40" s="11"/>
      <c r="J40" s="220"/>
      <c r="K40" s="184"/>
      <c r="L40" s="11"/>
      <c r="M40" s="11"/>
      <c r="N40" s="11"/>
      <c r="O40" s="220"/>
      <c r="P40" s="184"/>
      <c r="Q40" s="11"/>
      <c r="R40" s="12"/>
      <c r="S40" s="11"/>
      <c r="T40" s="220"/>
      <c r="U40" s="184"/>
      <c r="V40" s="11"/>
      <c r="W40" s="11"/>
      <c r="X40" s="11"/>
      <c r="Y40" s="220"/>
      <c r="Z40" s="184"/>
      <c r="AA40" s="11"/>
      <c r="AB40" s="11"/>
      <c r="AC40" s="11"/>
      <c r="AD40" s="220"/>
      <c r="AE40" s="184"/>
      <c r="AF40" s="11"/>
      <c r="AG40" s="11"/>
      <c r="AH40" s="11"/>
      <c r="AI40" s="220"/>
      <c r="AJ40" s="184"/>
      <c r="AK40" s="11"/>
      <c r="AL40" s="11"/>
      <c r="AM40" s="11"/>
      <c r="AN40" s="220"/>
      <c r="AO40" s="184"/>
      <c r="AP40" s="11"/>
      <c r="AQ40" s="11"/>
      <c r="AR40" s="11"/>
      <c r="AS40" s="220"/>
      <c r="AT40" s="184"/>
      <c r="AU40" s="11"/>
      <c r="AV40" s="11"/>
      <c r="AW40" s="11"/>
      <c r="AX40" s="220"/>
      <c r="AY40" s="184"/>
      <c r="AZ40" s="11"/>
      <c r="BA40" s="11"/>
      <c r="BB40" s="11"/>
      <c r="BC40" s="220"/>
      <c r="BD40" s="184"/>
      <c r="BE40" s="11"/>
      <c r="BF40" s="11"/>
      <c r="BG40" s="11"/>
      <c r="BH40" s="220"/>
      <c r="BI40" s="184"/>
      <c r="BJ40" s="11"/>
      <c r="BK40" s="11"/>
      <c r="BL40" s="11"/>
      <c r="BM40" s="220"/>
      <c r="BN40" s="184"/>
      <c r="BO40" s="11"/>
      <c r="BP40" s="11"/>
    </row>
    <row r="41">
      <c r="A41" s="244" t="str">
        <f>if($A$39&lt;&gt;"", "《仕上がり数値》","")</f>
        <v/>
      </c>
      <c r="B41" s="160"/>
      <c r="C41" s="11"/>
      <c r="D41" s="11" t="s">
        <v>119</v>
      </c>
      <c r="E41" s="230"/>
      <c r="F41" s="231" t="str">
        <f t="array" ref="F41">IF(
  E41 = 0, 
  "", 
  IFERROR(
    INDEX(
      'アイテム別限界値DB'!$I:$I, 
      MATCH(
        1, 
        ('アイテム別限界値DB'!$B:$B = D$10) * 
        ('アイテム別限界値DB'!$C:$C = D41) * 
        ('アイテム別限界値DB'!$F:$F = E41), 
        0
      )
    ), 
    "再製作"
  )
)
</f>
        <v/>
      </c>
      <c r="G41" s="195"/>
      <c r="H41" s="11"/>
      <c r="I41" s="11"/>
      <c r="J41" s="220"/>
      <c r="K41" s="184"/>
      <c r="L41" s="11"/>
      <c r="M41" s="11"/>
      <c r="N41" s="11"/>
      <c r="O41" s="220"/>
      <c r="P41" s="184"/>
      <c r="Q41" s="11"/>
      <c r="R41" s="12"/>
      <c r="S41" s="11"/>
      <c r="T41" s="220"/>
      <c r="U41" s="184"/>
      <c r="V41" s="11"/>
      <c r="W41" s="11"/>
      <c r="X41" s="11"/>
      <c r="Y41" s="220"/>
      <c r="Z41" s="184"/>
      <c r="AA41" s="11"/>
      <c r="AB41" s="11"/>
      <c r="AC41" s="11"/>
      <c r="AD41" s="220"/>
      <c r="AE41" s="184"/>
      <c r="AF41" s="11"/>
      <c r="AG41" s="11"/>
      <c r="AH41" s="11"/>
      <c r="AI41" s="220"/>
      <c r="AJ41" s="184"/>
      <c r="AK41" s="11"/>
      <c r="AL41" s="11"/>
      <c r="AM41" s="11"/>
      <c r="AN41" s="220"/>
      <c r="AO41" s="184"/>
      <c r="AP41" s="11"/>
      <c r="AQ41" s="11"/>
      <c r="AR41" s="11"/>
      <c r="AS41" s="220"/>
      <c r="AT41" s="184"/>
      <c r="AU41" s="11"/>
      <c r="AV41" s="11"/>
      <c r="AW41" s="11"/>
      <c r="AX41" s="220"/>
      <c r="AY41" s="184"/>
      <c r="AZ41" s="11"/>
      <c r="BA41" s="11"/>
      <c r="BB41" s="11"/>
      <c r="BC41" s="220"/>
      <c r="BD41" s="184"/>
      <c r="BE41" s="11"/>
      <c r="BF41" s="11"/>
      <c r="BG41" s="11"/>
      <c r="BH41" s="220"/>
      <c r="BI41" s="184"/>
      <c r="BJ41" s="11"/>
      <c r="BK41" s="11"/>
      <c r="BL41" s="11"/>
      <c r="BM41" s="220"/>
      <c r="BN41" s="184"/>
      <c r="BO41" s="11"/>
      <c r="BP41" s="11"/>
    </row>
    <row r="42">
      <c r="A42" s="228" t="str">
        <f>IFERROR(__xludf.DUMMYFUNCTION("TEXTJOIN(CHAR(10),TRUE,FILTER(ARRAYFORMULA(IF(AD$14:AD72&lt;&gt;"""",AC$14:AC72&amp;"" :  cm"","""")), AC$14:AC72 &lt;&gt;""""))"),"")</f>
        <v/>
      </c>
      <c r="B42" s="229"/>
      <c r="C42" s="11"/>
      <c r="D42" s="11" t="s">
        <v>120</v>
      </c>
      <c r="E42" s="232"/>
      <c r="F42" s="231" t="str">
        <f t="array" ref="F42">IF(
  E42 = 0, 
  "", 
  IFERROR(
    INDEX(
      'アイテム別限界値DB'!$I:$I, 
      MATCH(
        1, 
        ('アイテム別限界値DB'!$B:$B = D$10) * 
        ('アイテム別限界値DB'!$C:$C = D42) * 
        ('アイテム別限界値DB'!$F:$F = E42), 
        0
      )
    ), 
    "再製作"
  )
)
</f>
        <v/>
      </c>
      <c r="G42" s="195"/>
      <c r="H42" s="11"/>
      <c r="I42" s="11"/>
      <c r="J42" s="220"/>
      <c r="K42" s="184"/>
      <c r="L42" s="11"/>
      <c r="M42" s="11"/>
      <c r="N42" s="11"/>
      <c r="O42" s="220"/>
      <c r="P42" s="184"/>
      <c r="Q42" s="11"/>
      <c r="R42" s="12"/>
      <c r="S42" s="11"/>
      <c r="T42" s="220"/>
      <c r="U42" s="184"/>
      <c r="V42" s="11"/>
      <c r="W42" s="11"/>
      <c r="X42" s="11"/>
      <c r="Y42" s="220"/>
      <c r="Z42" s="184"/>
      <c r="AA42" s="11"/>
      <c r="AB42" s="11"/>
      <c r="AC42" s="11"/>
      <c r="AD42" s="220"/>
      <c r="AE42" s="184"/>
      <c r="AF42" s="11"/>
      <c r="AG42" s="11"/>
      <c r="AH42" s="11"/>
      <c r="AI42" s="220"/>
      <c r="AJ42" s="184"/>
      <c r="AK42" s="11"/>
      <c r="AL42" s="11"/>
      <c r="AM42" s="11"/>
      <c r="AN42" s="220"/>
      <c r="AO42" s="184"/>
      <c r="AP42" s="11"/>
      <c r="AQ42" s="11"/>
      <c r="AR42" s="11"/>
      <c r="AS42" s="220"/>
      <c r="AT42" s="184"/>
      <c r="AU42" s="11"/>
      <c r="AV42" s="11"/>
      <c r="AW42" s="11"/>
      <c r="AX42" s="220"/>
      <c r="AY42" s="184"/>
      <c r="AZ42" s="11"/>
      <c r="BA42" s="11"/>
      <c r="BB42" s="11"/>
      <c r="BC42" s="220"/>
      <c r="BD42" s="184"/>
      <c r="BE42" s="11"/>
      <c r="BF42" s="11"/>
      <c r="BG42" s="11"/>
      <c r="BH42" s="220"/>
      <c r="BI42" s="184"/>
      <c r="BJ42" s="11"/>
      <c r="BK42" s="11"/>
      <c r="BL42" s="11"/>
      <c r="BM42" s="220"/>
      <c r="BN42" s="184"/>
      <c r="BO42" s="11"/>
      <c r="BP42" s="11"/>
    </row>
    <row r="43">
      <c r="A43" s="222" t="s">
        <v>121</v>
      </c>
      <c r="B43" s="185"/>
      <c r="C43" s="11"/>
      <c r="D43" s="11"/>
      <c r="E43" s="220"/>
      <c r="F43" s="220"/>
      <c r="G43" s="220"/>
      <c r="H43" s="11"/>
      <c r="I43" s="11"/>
      <c r="J43" s="220"/>
      <c r="K43" s="184"/>
      <c r="L43" s="184"/>
      <c r="M43" s="11"/>
      <c r="N43" s="11"/>
      <c r="O43" s="195"/>
      <c r="P43" s="11"/>
      <c r="Q43" s="11"/>
      <c r="R43" s="12"/>
      <c r="S43" s="11"/>
      <c r="T43" s="220"/>
      <c r="U43" s="184"/>
      <c r="V43" s="184"/>
      <c r="W43" s="11"/>
      <c r="X43" s="11"/>
      <c r="Y43" s="220"/>
      <c r="Z43" s="184"/>
      <c r="AA43" s="184"/>
      <c r="AB43" s="11"/>
      <c r="AC43" s="11"/>
      <c r="AD43" s="220"/>
      <c r="AE43" s="184"/>
      <c r="AF43" s="184"/>
      <c r="AG43" s="11"/>
      <c r="AH43" s="11"/>
      <c r="AI43" s="220"/>
      <c r="AJ43" s="184"/>
      <c r="AK43" s="184"/>
      <c r="AL43" s="11"/>
      <c r="AM43" s="11"/>
      <c r="AN43" s="220"/>
      <c r="AO43" s="184"/>
      <c r="AP43" s="184"/>
      <c r="AQ43" s="11"/>
      <c r="AR43" s="11"/>
      <c r="AS43" s="220"/>
      <c r="AT43" s="184"/>
      <c r="AU43" s="184"/>
      <c r="AV43" s="11"/>
      <c r="AW43" s="11"/>
      <c r="AX43" s="220"/>
      <c r="AY43" s="184"/>
      <c r="AZ43" s="184"/>
      <c r="BA43" s="11"/>
      <c r="BB43" s="11"/>
      <c r="BC43" s="220"/>
      <c r="BD43" s="184"/>
      <c r="BE43" s="184"/>
      <c r="BF43" s="11"/>
      <c r="BG43" s="11"/>
      <c r="BH43" s="220"/>
      <c r="BI43" s="184"/>
      <c r="BJ43" s="184"/>
      <c r="BK43" s="184"/>
      <c r="BL43" s="184"/>
      <c r="BM43" s="184"/>
      <c r="BN43" s="184"/>
      <c r="BO43" s="184"/>
      <c r="BP43" s="184"/>
    </row>
    <row r="44">
      <c r="A44" s="245" t="str">
        <f>IF( $AH$11 = "再製作", "◼︎ アルスターコート（対応着地：再製作）" &amp; char(10) &amp; "《修正数値》", IF($AH$11 &lt;&gt; "", "◼︎ アルスターコート（対応着地：お直し）" &amp; char(10) &amp; "《修正数値》", ""))</f>
        <v/>
      </c>
      <c r="B44" s="187"/>
      <c r="C44" s="11"/>
      <c r="D44" s="11"/>
      <c r="E44" s="220"/>
      <c r="F44" s="220"/>
      <c r="G44" s="220"/>
      <c r="H44" s="11"/>
      <c r="I44" s="11"/>
      <c r="J44" s="220"/>
      <c r="K44" s="184"/>
      <c r="L44" s="184"/>
      <c r="M44" s="11"/>
      <c r="N44" s="11"/>
      <c r="O44" s="195"/>
      <c r="P44" s="11"/>
      <c r="Q44" s="11"/>
      <c r="R44" s="12"/>
      <c r="S44" s="11"/>
      <c r="T44" s="220"/>
      <c r="U44" s="184"/>
      <c r="V44" s="184"/>
      <c r="W44" s="11"/>
      <c r="X44" s="11"/>
      <c r="Y44" s="220"/>
      <c r="Z44" s="184"/>
      <c r="AA44" s="184"/>
      <c r="AB44" s="11"/>
      <c r="AC44" s="11"/>
      <c r="AD44" s="220"/>
      <c r="AE44" s="184"/>
      <c r="AF44" s="184"/>
      <c r="AG44" s="11"/>
      <c r="AH44" s="11"/>
      <c r="AI44" s="220"/>
      <c r="AJ44" s="184"/>
      <c r="AK44" s="184"/>
      <c r="AL44" s="11"/>
      <c r="AM44" s="11"/>
      <c r="AN44" s="220"/>
      <c r="AO44" s="184"/>
      <c r="AP44" s="184"/>
      <c r="AQ44" s="11"/>
      <c r="AR44" s="11"/>
      <c r="AS44" s="220"/>
      <c r="AT44" s="184"/>
      <c r="AU44" s="184"/>
      <c r="AV44" s="11"/>
      <c r="AW44" s="11"/>
      <c r="AX44" s="220"/>
      <c r="AY44" s="184"/>
      <c r="AZ44" s="184"/>
      <c r="BA44" s="11"/>
      <c r="BB44" s="11"/>
      <c r="BC44" s="220"/>
      <c r="BD44" s="184"/>
      <c r="BE44" s="184"/>
      <c r="BF44" s="11"/>
      <c r="BG44" s="11"/>
      <c r="BH44" s="220"/>
      <c r="BI44" s="184"/>
      <c r="BJ44" s="184"/>
      <c r="BK44" s="184"/>
      <c r="BL44" s="184"/>
      <c r="BM44" s="184"/>
      <c r="BN44" s="184"/>
      <c r="BO44" s="184"/>
      <c r="BP44" s="184"/>
    </row>
    <row r="45">
      <c r="A45" s="228" t="str">
        <f>IFERROR(__xludf.DUMMYFUNCTION("TEXTJOIN(CHAR(10),TRUE,FILTER(ARRAYFORMULA(IF($AI$14:$AI72&lt;&gt;"""",AH$14:AH72&amp;"" : ""&amp; AI$14:AI72 &amp;"" cm"","""")), AH$14:AH72 &lt;&gt;""""))"),"")</f>
        <v/>
      </c>
      <c r="B45" s="246"/>
      <c r="C45" s="11"/>
      <c r="D45" s="11"/>
      <c r="E45" s="220"/>
      <c r="F45" s="220"/>
      <c r="G45" s="220"/>
      <c r="H45" s="11"/>
      <c r="I45" s="11"/>
      <c r="J45" s="220"/>
      <c r="K45" s="184"/>
      <c r="L45" s="184"/>
      <c r="M45" s="11"/>
      <c r="N45" s="11"/>
      <c r="O45" s="195"/>
      <c r="P45" s="11"/>
      <c r="Q45" s="11"/>
      <c r="R45" s="12"/>
      <c r="S45" s="11"/>
      <c r="T45" s="220"/>
      <c r="U45" s="184"/>
      <c r="V45" s="184"/>
      <c r="W45" s="11"/>
      <c r="X45" s="11"/>
      <c r="Y45" s="220"/>
      <c r="Z45" s="184"/>
      <c r="AA45" s="184"/>
      <c r="AB45" s="11"/>
      <c r="AC45" s="11"/>
      <c r="AD45" s="220"/>
      <c r="AE45" s="184"/>
      <c r="AF45" s="184"/>
      <c r="AG45" s="11"/>
      <c r="AH45" s="11"/>
      <c r="AI45" s="220"/>
      <c r="AJ45" s="184"/>
      <c r="AK45" s="184"/>
      <c r="AL45" s="11"/>
      <c r="AM45" s="11"/>
      <c r="AN45" s="220"/>
      <c r="AO45" s="184"/>
      <c r="AP45" s="184"/>
      <c r="AQ45" s="11"/>
      <c r="AR45" s="11"/>
      <c r="AS45" s="220"/>
      <c r="AT45" s="184"/>
      <c r="AU45" s="184"/>
      <c r="AV45" s="11"/>
      <c r="AW45" s="11"/>
      <c r="AX45" s="220"/>
      <c r="AY45" s="184"/>
      <c r="AZ45" s="184"/>
      <c r="BA45" s="11"/>
      <c r="BB45" s="11"/>
      <c r="BC45" s="220"/>
      <c r="BD45" s="184"/>
      <c r="BE45" s="184"/>
      <c r="BF45" s="11"/>
      <c r="BG45" s="11"/>
      <c r="BH45" s="220"/>
      <c r="BI45" s="184"/>
      <c r="BJ45" s="184"/>
      <c r="BK45" s="184"/>
      <c r="BL45" s="184"/>
      <c r="BM45" s="184"/>
      <c r="BN45" s="184"/>
      <c r="BO45" s="184"/>
      <c r="BP45" s="184"/>
    </row>
    <row r="46">
      <c r="A46" s="242" t="str">
        <f>if($A$44&lt;&gt;"", "《仕上がり数値》","")</f>
        <v/>
      </c>
      <c r="B46" s="240"/>
      <c r="C46" s="11"/>
      <c r="D46" s="11"/>
      <c r="E46" s="220"/>
      <c r="F46" s="220"/>
      <c r="G46" s="220"/>
      <c r="H46" s="11"/>
      <c r="I46" s="11"/>
      <c r="J46" s="220"/>
      <c r="K46" s="184"/>
      <c r="L46" s="184"/>
      <c r="M46" s="11"/>
      <c r="N46" s="11"/>
      <c r="O46" s="195"/>
      <c r="P46" s="11"/>
      <c r="Q46" s="11"/>
      <c r="R46" s="12"/>
      <c r="S46" s="11"/>
      <c r="T46" s="220"/>
      <c r="U46" s="184"/>
      <c r="V46" s="184"/>
      <c r="W46" s="11"/>
      <c r="X46" s="11"/>
      <c r="Y46" s="220"/>
      <c r="Z46" s="184"/>
      <c r="AA46" s="184"/>
      <c r="AB46" s="11"/>
      <c r="AC46" s="11"/>
      <c r="AD46" s="220"/>
      <c r="AE46" s="184"/>
      <c r="AF46" s="184"/>
      <c r="AG46" s="11"/>
      <c r="AH46" s="11"/>
      <c r="AI46" s="220"/>
      <c r="AJ46" s="184"/>
      <c r="AK46" s="184"/>
      <c r="AL46" s="11"/>
      <c r="AM46" s="11"/>
      <c r="AN46" s="220"/>
      <c r="AO46" s="184"/>
      <c r="AP46" s="184"/>
      <c r="AQ46" s="11"/>
      <c r="AR46" s="11"/>
      <c r="AS46" s="220"/>
      <c r="AT46" s="184"/>
      <c r="AU46" s="184"/>
      <c r="AV46" s="11"/>
      <c r="AW46" s="11"/>
      <c r="AX46" s="220"/>
      <c r="AY46" s="184"/>
      <c r="AZ46" s="184"/>
      <c r="BA46" s="11"/>
      <c r="BB46" s="11"/>
      <c r="BC46" s="220"/>
      <c r="BD46" s="184"/>
      <c r="BE46" s="184"/>
      <c r="BF46" s="11"/>
      <c r="BG46" s="11"/>
      <c r="BH46" s="220"/>
      <c r="BI46" s="184"/>
      <c r="BJ46" s="184"/>
      <c r="BK46" s="184"/>
      <c r="BL46" s="184"/>
      <c r="BM46" s="184"/>
      <c r="BN46" s="184"/>
      <c r="BO46" s="184"/>
      <c r="BP46" s="184"/>
    </row>
    <row r="47">
      <c r="A47" s="228" t="str">
        <f>IFERROR(__xludf.DUMMYFUNCTION("TEXTJOIN(CHAR(10),TRUE,FILTER(ARRAYFORMULA(IF($AI$14:$AI72&lt;&gt;"""",AH$14:AH72&amp;"" :  cm"","""")), AH$14:AH72 &lt;&gt;""""))"),"")</f>
        <v/>
      </c>
      <c r="B47" s="240"/>
      <c r="C47" s="11"/>
      <c r="D47" s="11"/>
      <c r="E47" s="220"/>
      <c r="F47" s="220"/>
      <c r="G47" s="220"/>
      <c r="H47" s="11"/>
      <c r="I47" s="11"/>
      <c r="J47" s="220"/>
      <c r="K47" s="184"/>
      <c r="L47" s="184"/>
      <c r="M47" s="11"/>
      <c r="N47" s="11"/>
      <c r="O47" s="195"/>
      <c r="P47" s="11"/>
      <c r="Q47" s="11"/>
      <c r="R47" s="12"/>
      <c r="S47" s="11"/>
      <c r="T47" s="220"/>
      <c r="U47" s="184"/>
      <c r="V47" s="184"/>
      <c r="W47" s="11"/>
      <c r="X47" s="11"/>
      <c r="Y47" s="220"/>
      <c r="Z47" s="184"/>
      <c r="AA47" s="184"/>
      <c r="AB47" s="11"/>
      <c r="AC47" s="11"/>
      <c r="AD47" s="220"/>
      <c r="AE47" s="184"/>
      <c r="AF47" s="184"/>
      <c r="AG47" s="11"/>
      <c r="AH47" s="11"/>
      <c r="AI47" s="220"/>
      <c r="AJ47" s="184"/>
      <c r="AK47" s="184"/>
      <c r="AL47" s="11"/>
      <c r="AM47" s="11"/>
      <c r="AN47" s="220"/>
      <c r="AO47" s="184"/>
      <c r="AP47" s="184"/>
      <c r="AQ47" s="11"/>
      <c r="AR47" s="11"/>
      <c r="AS47" s="220"/>
      <c r="AT47" s="184"/>
      <c r="AU47" s="184"/>
      <c r="AV47" s="11"/>
      <c r="AW47" s="11"/>
      <c r="AX47" s="220"/>
      <c r="AY47" s="184"/>
      <c r="AZ47" s="184"/>
      <c r="BA47" s="11"/>
      <c r="BB47" s="11"/>
      <c r="BC47" s="220"/>
      <c r="BD47" s="184"/>
      <c r="BE47" s="184"/>
      <c r="BF47" s="11"/>
      <c r="BG47" s="11"/>
      <c r="BH47" s="220"/>
      <c r="BI47" s="184"/>
      <c r="BJ47" s="184"/>
      <c r="BK47" s="184"/>
      <c r="BL47" s="184"/>
      <c r="BM47" s="184"/>
      <c r="BN47" s="184"/>
      <c r="BO47" s="184"/>
      <c r="BP47" s="184"/>
    </row>
    <row r="48">
      <c r="A48" s="237" t="s">
        <v>122</v>
      </c>
      <c r="B48" s="240"/>
      <c r="C48" s="11"/>
      <c r="D48" s="11"/>
      <c r="E48" s="220"/>
      <c r="F48" s="220"/>
      <c r="G48" s="220"/>
      <c r="H48" s="11"/>
      <c r="I48" s="11"/>
      <c r="J48" s="220"/>
      <c r="K48" s="184"/>
      <c r="L48" s="184"/>
      <c r="M48" s="11"/>
      <c r="N48" s="11"/>
      <c r="O48" s="195"/>
      <c r="P48" s="11"/>
      <c r="Q48" s="11"/>
      <c r="R48" s="12"/>
      <c r="S48" s="11"/>
      <c r="T48" s="220"/>
      <c r="U48" s="184"/>
      <c r="V48" s="184"/>
      <c r="W48" s="11"/>
      <c r="X48" s="11"/>
      <c r="Y48" s="220"/>
      <c r="Z48" s="184"/>
      <c r="AA48" s="184"/>
      <c r="AB48" s="11"/>
      <c r="AC48" s="11"/>
      <c r="AD48" s="220"/>
      <c r="AE48" s="184"/>
      <c r="AF48" s="184"/>
      <c r="AG48" s="11"/>
      <c r="AH48" s="11"/>
      <c r="AI48" s="220"/>
      <c r="AJ48" s="184"/>
      <c r="AK48" s="184"/>
      <c r="AL48" s="11"/>
      <c r="AM48" s="11"/>
      <c r="AN48" s="220"/>
      <c r="AO48" s="184"/>
      <c r="AP48" s="184"/>
      <c r="AQ48" s="11"/>
      <c r="AR48" s="11"/>
      <c r="AS48" s="220"/>
      <c r="AT48" s="184"/>
      <c r="AU48" s="184"/>
      <c r="AV48" s="11"/>
      <c r="AW48" s="11"/>
      <c r="AX48" s="220"/>
      <c r="AY48" s="184"/>
      <c r="AZ48" s="184"/>
      <c r="BA48" s="11"/>
      <c r="BB48" s="11"/>
      <c r="BC48" s="220"/>
      <c r="BD48" s="184"/>
      <c r="BE48" s="184"/>
      <c r="BF48" s="11"/>
      <c r="BG48" s="11"/>
      <c r="BH48" s="220"/>
      <c r="BI48" s="184"/>
      <c r="BJ48" s="184"/>
      <c r="BK48" s="184"/>
      <c r="BL48" s="184"/>
      <c r="BM48" s="184"/>
      <c r="BN48" s="184"/>
      <c r="BO48" s="184"/>
      <c r="BP48" s="184"/>
    </row>
    <row r="49">
      <c r="A49" s="245" t="str">
        <f>IF( $AM$11 = "再製作", "◼︎ ショートステンカラーコート（対応着地：再製作）" &amp; char(10) &amp; "《修正数値》", IF($AM$11 &lt;&gt; "", "◼︎ ショートステンカラーコート（対応着地：お直し）"  &amp; char(10) &amp; "《修正数値》", ""))</f>
        <v/>
      </c>
      <c r="B49" s="240"/>
      <c r="C49" s="11"/>
      <c r="D49" s="11"/>
      <c r="E49" s="220"/>
      <c r="F49" s="220"/>
      <c r="G49" s="220"/>
      <c r="H49" s="11"/>
      <c r="I49" s="11"/>
      <c r="J49" s="220"/>
      <c r="K49" s="184"/>
      <c r="L49" s="184"/>
      <c r="M49" s="11"/>
      <c r="N49" s="11"/>
      <c r="O49" s="195"/>
      <c r="P49" s="11"/>
      <c r="Q49" s="11"/>
      <c r="R49" s="12"/>
      <c r="S49" s="11"/>
      <c r="T49" s="220"/>
      <c r="U49" s="184"/>
      <c r="V49" s="184"/>
      <c r="W49" s="11"/>
      <c r="X49" s="11"/>
      <c r="Y49" s="220"/>
      <c r="Z49" s="184"/>
      <c r="AA49" s="184"/>
      <c r="AB49" s="11"/>
      <c r="AC49" s="11"/>
      <c r="AD49" s="220"/>
      <c r="AE49" s="184"/>
      <c r="AF49" s="184"/>
      <c r="AG49" s="11"/>
      <c r="AH49" s="11"/>
      <c r="AI49" s="220"/>
      <c r="AJ49" s="184"/>
      <c r="AK49" s="184"/>
      <c r="AL49" s="11"/>
      <c r="AM49" s="11"/>
      <c r="AN49" s="220"/>
      <c r="AO49" s="184"/>
      <c r="AP49" s="184"/>
      <c r="AQ49" s="11"/>
      <c r="AR49" s="11"/>
      <c r="AS49" s="220"/>
      <c r="AT49" s="184"/>
      <c r="AU49" s="184"/>
      <c r="AV49" s="11"/>
      <c r="AW49" s="11"/>
      <c r="AX49" s="220"/>
      <c r="AY49" s="184"/>
      <c r="AZ49" s="184"/>
      <c r="BA49" s="11"/>
      <c r="BB49" s="11"/>
      <c r="BC49" s="220"/>
      <c r="BD49" s="184"/>
      <c r="BE49" s="184"/>
      <c r="BF49" s="11"/>
      <c r="BG49" s="11"/>
      <c r="BH49" s="220"/>
      <c r="BI49" s="184"/>
      <c r="BJ49" s="184"/>
      <c r="BK49" s="184"/>
      <c r="BL49" s="184"/>
      <c r="BM49" s="184"/>
      <c r="BN49" s="184"/>
      <c r="BO49" s="184"/>
      <c r="BP49" s="184"/>
    </row>
    <row r="50">
      <c r="A50" s="228" t="str">
        <f>IFERROR(__xludf.DUMMYFUNCTION("TEXTJOIN(CHAR(10),TRUE,FILTER(ARRAYFORMULA(IF(AN$14:AN72&lt;&gt;"""",AM$14:AM72&amp;"" : ""&amp; AN$14:AN72 &amp;"" cm"" &amp; ""（仕上がり寸：cm）"","""")), AM$14:AM72 &lt;&gt;""""))"),"")</f>
        <v/>
      </c>
      <c r="B50" s="240"/>
      <c r="C50" s="11"/>
      <c r="D50" s="11"/>
      <c r="E50" s="220"/>
      <c r="F50" s="220"/>
      <c r="G50" s="220"/>
      <c r="H50" s="11"/>
      <c r="I50" s="11"/>
      <c r="J50" s="220"/>
      <c r="K50" s="184"/>
      <c r="L50" s="184"/>
      <c r="M50" s="11"/>
      <c r="N50" s="11"/>
      <c r="O50" s="195"/>
      <c r="P50" s="11"/>
      <c r="Q50" s="11"/>
      <c r="R50" s="12"/>
      <c r="S50" s="11"/>
      <c r="T50" s="220"/>
      <c r="U50" s="184"/>
      <c r="V50" s="184"/>
      <c r="W50" s="11"/>
      <c r="X50" s="11"/>
      <c r="Y50" s="220"/>
      <c r="Z50" s="184"/>
      <c r="AA50" s="184"/>
      <c r="AB50" s="11"/>
      <c r="AC50" s="11"/>
      <c r="AD50" s="220"/>
      <c r="AE50" s="184"/>
      <c r="AF50" s="184"/>
      <c r="AG50" s="11"/>
      <c r="AH50" s="11"/>
      <c r="AI50" s="220"/>
      <c r="AJ50" s="184"/>
      <c r="AK50" s="184"/>
      <c r="AL50" s="11"/>
      <c r="AM50" s="11"/>
      <c r="AN50" s="220"/>
      <c r="AO50" s="184"/>
      <c r="AP50" s="184"/>
      <c r="AQ50" s="11"/>
      <c r="AR50" s="11"/>
      <c r="AS50" s="220"/>
      <c r="AT50" s="184"/>
      <c r="AU50" s="184"/>
      <c r="AV50" s="11"/>
      <c r="AW50" s="11"/>
      <c r="AX50" s="220"/>
      <c r="AY50" s="184"/>
      <c r="AZ50" s="184"/>
      <c r="BA50" s="11"/>
      <c r="BB50" s="11"/>
      <c r="BC50" s="220"/>
      <c r="BD50" s="184"/>
      <c r="BE50" s="184"/>
      <c r="BF50" s="11"/>
      <c r="BG50" s="11"/>
      <c r="BH50" s="220"/>
      <c r="BI50" s="184"/>
      <c r="BJ50" s="184"/>
      <c r="BK50" s="184"/>
      <c r="BL50" s="184"/>
      <c r="BM50" s="184"/>
      <c r="BN50" s="184"/>
      <c r="BO50" s="184"/>
      <c r="BP50" s="184"/>
    </row>
    <row r="51">
      <c r="A51" s="244" t="str">
        <f>if($A$49&lt;&gt;"", "《仕上がり数値》","")</f>
        <v/>
      </c>
      <c r="B51" s="240"/>
      <c r="C51" s="11"/>
      <c r="D51" s="11"/>
      <c r="E51" s="220"/>
      <c r="F51" s="220"/>
      <c r="G51" s="220"/>
      <c r="H51" s="11"/>
      <c r="I51" s="11"/>
      <c r="J51" s="220"/>
      <c r="K51" s="184"/>
      <c r="L51" s="184"/>
      <c r="M51" s="11"/>
      <c r="N51" s="11"/>
      <c r="O51" s="195"/>
      <c r="P51" s="11"/>
      <c r="Q51" s="11"/>
      <c r="R51" s="12"/>
      <c r="S51" s="11"/>
      <c r="T51" s="220"/>
      <c r="U51" s="184"/>
      <c r="V51" s="184"/>
      <c r="W51" s="11"/>
      <c r="X51" s="11"/>
      <c r="Y51" s="220"/>
      <c r="Z51" s="184"/>
      <c r="AA51" s="184"/>
      <c r="AB51" s="11"/>
      <c r="AC51" s="11"/>
      <c r="AD51" s="220"/>
      <c r="AE51" s="184"/>
      <c r="AF51" s="184"/>
      <c r="AG51" s="11"/>
      <c r="AH51" s="11"/>
      <c r="AI51" s="220"/>
      <c r="AJ51" s="184"/>
      <c r="AK51" s="184"/>
      <c r="AL51" s="11"/>
      <c r="AM51" s="11"/>
      <c r="AN51" s="220"/>
      <c r="AO51" s="184"/>
      <c r="AP51" s="184"/>
      <c r="AQ51" s="11"/>
      <c r="AR51" s="11"/>
      <c r="AS51" s="220"/>
      <c r="AT51" s="184"/>
      <c r="AU51" s="184"/>
      <c r="AV51" s="11"/>
      <c r="AW51" s="11"/>
      <c r="AX51" s="220"/>
      <c r="AY51" s="184"/>
      <c r="AZ51" s="184"/>
      <c r="BA51" s="11"/>
      <c r="BB51" s="11"/>
      <c r="BC51" s="220"/>
      <c r="BD51" s="184"/>
      <c r="BE51" s="184"/>
      <c r="BF51" s="11"/>
      <c r="BG51" s="11"/>
      <c r="BH51" s="220"/>
      <c r="BI51" s="184"/>
      <c r="BJ51" s="184"/>
      <c r="BK51" s="184"/>
      <c r="BL51" s="184"/>
      <c r="BM51" s="184"/>
      <c r="BN51" s="184"/>
      <c r="BO51" s="184"/>
      <c r="BP51" s="184"/>
    </row>
    <row r="52">
      <c r="A52" s="228" t="str">
        <f>IFERROR(__xludf.DUMMYFUNCTION("TEXTJOIN(CHAR(10),TRUE,FILTER(ARRAYFORMULA(IF(AN$14:AN72&lt;&gt;"""",AM$14:AM72&amp;"" : ""&amp; AN$14:AN72 &amp;"" cm"" &amp; ""（仕上がり寸：cm）"","""")), AM$14:AM72 &lt;&gt;""""))"),"")</f>
        <v/>
      </c>
      <c r="B52" s="240"/>
      <c r="C52" s="11"/>
      <c r="D52" s="11"/>
      <c r="E52" s="220"/>
      <c r="F52" s="220"/>
      <c r="G52" s="220"/>
      <c r="H52" s="11"/>
      <c r="I52" s="11"/>
      <c r="J52" s="220"/>
      <c r="K52" s="184"/>
      <c r="L52" s="184"/>
      <c r="M52" s="11"/>
      <c r="N52" s="11"/>
      <c r="O52" s="195"/>
      <c r="P52" s="11"/>
      <c r="Q52" s="11"/>
      <c r="R52" s="12"/>
      <c r="S52" s="11"/>
      <c r="T52" s="220"/>
      <c r="U52" s="184"/>
      <c r="V52" s="184"/>
      <c r="W52" s="11"/>
      <c r="X52" s="11"/>
      <c r="Y52" s="220"/>
      <c r="Z52" s="184"/>
      <c r="AA52" s="184"/>
      <c r="AB52" s="11"/>
      <c r="AC52" s="11"/>
      <c r="AD52" s="220"/>
      <c r="AE52" s="184"/>
      <c r="AF52" s="184"/>
      <c r="AG52" s="11"/>
      <c r="AH52" s="11"/>
      <c r="AI52" s="220"/>
      <c r="AJ52" s="184"/>
      <c r="AK52" s="184"/>
      <c r="AL52" s="11"/>
      <c r="AM52" s="11"/>
      <c r="AN52" s="220"/>
      <c r="AO52" s="184"/>
      <c r="AP52" s="184"/>
      <c r="AQ52" s="11"/>
      <c r="AR52" s="11"/>
      <c r="AS52" s="220"/>
      <c r="AT52" s="184"/>
      <c r="AU52" s="184"/>
      <c r="AV52" s="11"/>
      <c r="AW52" s="11"/>
      <c r="AX52" s="220"/>
      <c r="AY52" s="184"/>
      <c r="AZ52" s="184"/>
      <c r="BA52" s="11"/>
      <c r="BB52" s="11"/>
      <c r="BC52" s="220"/>
      <c r="BD52" s="184"/>
      <c r="BE52" s="184"/>
      <c r="BF52" s="11"/>
      <c r="BG52" s="11"/>
      <c r="BH52" s="220"/>
      <c r="BI52" s="184"/>
      <c r="BJ52" s="184"/>
      <c r="BK52" s="184"/>
      <c r="BL52" s="184"/>
      <c r="BM52" s="184"/>
      <c r="BN52" s="184"/>
      <c r="BO52" s="184"/>
      <c r="BP52" s="184"/>
    </row>
    <row r="53">
      <c r="A53" s="243" t="s">
        <v>123</v>
      </c>
      <c r="B53" s="240"/>
      <c r="C53" s="11"/>
      <c r="D53" s="11"/>
      <c r="E53" s="220"/>
      <c r="F53" s="220"/>
      <c r="G53" s="220"/>
      <c r="H53" s="11"/>
      <c r="I53" s="11"/>
      <c r="J53" s="220"/>
      <c r="K53" s="184"/>
      <c r="L53" s="184"/>
      <c r="M53" s="11"/>
      <c r="N53" s="11"/>
      <c r="O53" s="195"/>
      <c r="P53" s="11"/>
      <c r="Q53" s="11"/>
      <c r="R53" s="12"/>
      <c r="S53" s="11"/>
      <c r="T53" s="220"/>
      <c r="U53" s="184"/>
      <c r="V53" s="184"/>
      <c r="W53" s="11"/>
      <c r="X53" s="11"/>
      <c r="Y53" s="220"/>
      <c r="Z53" s="184"/>
      <c r="AA53" s="184"/>
      <c r="AB53" s="11"/>
      <c r="AC53" s="11"/>
      <c r="AD53" s="220"/>
      <c r="AE53" s="184"/>
      <c r="AF53" s="184"/>
      <c r="AG53" s="11"/>
      <c r="AH53" s="11"/>
      <c r="AI53" s="220"/>
      <c r="AJ53" s="184"/>
      <c r="AK53" s="184"/>
      <c r="AL53" s="11"/>
      <c r="AM53" s="11"/>
      <c r="AN53" s="220"/>
      <c r="AO53" s="184"/>
      <c r="AP53" s="184"/>
      <c r="AQ53" s="11"/>
      <c r="AR53" s="11"/>
      <c r="AS53" s="220"/>
      <c r="AT53" s="184"/>
      <c r="AU53" s="184"/>
      <c r="AV53" s="11"/>
      <c r="AW53" s="11"/>
      <c r="AX53" s="220"/>
      <c r="AY53" s="184"/>
      <c r="AZ53" s="184"/>
      <c r="BA53" s="11"/>
      <c r="BB53" s="11"/>
      <c r="BC53" s="220"/>
      <c r="BD53" s="184"/>
      <c r="BE53" s="184"/>
      <c r="BF53" s="11"/>
      <c r="BG53" s="11"/>
      <c r="BH53" s="220"/>
      <c r="BI53" s="184"/>
      <c r="BJ53" s="184"/>
      <c r="BK53" s="184"/>
      <c r="BL53" s="184"/>
      <c r="BM53" s="184"/>
      <c r="BN53" s="184"/>
      <c r="BO53" s="184"/>
      <c r="BP53" s="184"/>
    </row>
    <row r="54">
      <c r="A54" s="245" t="str">
        <f>IF( $AR$11 = "再製作", "◼︎ ステンカラーコート（対応着地：再製作）" &amp;char(10)&amp; "《修正数値》", IF($AR$11 &lt;&gt; "", "◼︎ ステンカラーコート（対応着地：お直し）" &amp;char(10)&amp; "《修正数値》", ""))</f>
        <v/>
      </c>
      <c r="B54" s="240"/>
      <c r="C54" s="11"/>
      <c r="D54" s="11"/>
      <c r="E54" s="220"/>
      <c r="F54" s="220"/>
      <c r="G54" s="220"/>
      <c r="H54" s="11"/>
      <c r="I54" s="11"/>
      <c r="J54" s="220"/>
      <c r="K54" s="184"/>
      <c r="L54" s="184"/>
      <c r="M54" s="11"/>
      <c r="N54" s="11"/>
      <c r="O54" s="195"/>
      <c r="P54" s="11"/>
      <c r="Q54" s="11"/>
      <c r="R54" s="12"/>
      <c r="S54" s="11"/>
      <c r="T54" s="220"/>
      <c r="U54" s="184"/>
      <c r="V54" s="184"/>
      <c r="W54" s="11"/>
      <c r="X54" s="11"/>
      <c r="Y54" s="220"/>
      <c r="Z54" s="184"/>
      <c r="AA54" s="184"/>
      <c r="AB54" s="11"/>
      <c r="AC54" s="11"/>
      <c r="AD54" s="220"/>
      <c r="AE54" s="184"/>
      <c r="AF54" s="184"/>
      <c r="AG54" s="11"/>
      <c r="AH54" s="11"/>
      <c r="AI54" s="220"/>
      <c r="AJ54" s="184"/>
      <c r="AK54" s="184"/>
      <c r="AL54" s="11"/>
      <c r="AM54" s="11"/>
      <c r="AN54" s="220"/>
      <c r="AO54" s="184"/>
      <c r="AP54" s="184"/>
      <c r="AQ54" s="11"/>
      <c r="AR54" s="11"/>
      <c r="AS54" s="220"/>
      <c r="AT54" s="184"/>
      <c r="AU54" s="184"/>
      <c r="AV54" s="11"/>
      <c r="AW54" s="11"/>
      <c r="AX54" s="220"/>
      <c r="AY54" s="184"/>
      <c r="AZ54" s="184"/>
      <c r="BA54" s="11"/>
      <c r="BB54" s="11"/>
      <c r="BC54" s="220"/>
      <c r="BD54" s="184"/>
      <c r="BE54" s="184"/>
      <c r="BF54" s="11"/>
      <c r="BG54" s="11"/>
      <c r="BH54" s="220"/>
      <c r="BI54" s="184"/>
      <c r="BJ54" s="184"/>
      <c r="BK54" s="184"/>
      <c r="BL54" s="184"/>
      <c r="BM54" s="184"/>
      <c r="BN54" s="184"/>
      <c r="BO54" s="184"/>
      <c r="BP54" s="184"/>
    </row>
    <row r="55">
      <c r="A55" s="228" t="str">
        <f>IFERROR(__xludf.DUMMYFUNCTION("TEXTJOIN(CHAR(10),TRUE,FILTER(ARRAYFORMULA(IF(AS$14:AS72&lt;&gt;"""",AR$14:AR72&amp;"" : ""&amp; AS$14:AS72 &amp;"" cm"","""")), AR$14:AR72 &lt;&gt;""""))"),"")</f>
        <v/>
      </c>
      <c r="B55" s="240"/>
      <c r="C55" s="11"/>
      <c r="D55" s="11"/>
      <c r="E55" s="220"/>
      <c r="F55" s="220"/>
      <c r="G55" s="220"/>
      <c r="H55" s="11"/>
      <c r="I55" s="11"/>
      <c r="J55" s="220"/>
      <c r="K55" s="184"/>
      <c r="L55" s="184"/>
      <c r="M55" s="11"/>
      <c r="N55" s="11"/>
      <c r="O55" s="195"/>
      <c r="P55" s="11"/>
      <c r="Q55" s="11"/>
      <c r="R55" s="12"/>
      <c r="S55" s="11"/>
      <c r="T55" s="220"/>
      <c r="U55" s="184"/>
      <c r="V55" s="184"/>
      <c r="W55" s="11"/>
      <c r="X55" s="11"/>
      <c r="Y55" s="220"/>
      <c r="Z55" s="184"/>
      <c r="AA55" s="184"/>
      <c r="AB55" s="11"/>
      <c r="AC55" s="11"/>
      <c r="AD55" s="220"/>
      <c r="AE55" s="184"/>
      <c r="AF55" s="184"/>
      <c r="AG55" s="11"/>
      <c r="AH55" s="11"/>
      <c r="AI55" s="220"/>
      <c r="AJ55" s="184"/>
      <c r="AK55" s="184"/>
      <c r="AL55" s="11"/>
      <c r="AM55" s="11"/>
      <c r="AN55" s="220"/>
      <c r="AO55" s="184"/>
      <c r="AP55" s="184"/>
      <c r="AQ55" s="11"/>
      <c r="AR55" s="11"/>
      <c r="AS55" s="220"/>
      <c r="AT55" s="184"/>
      <c r="AU55" s="184"/>
      <c r="AV55" s="11"/>
      <c r="AW55" s="11"/>
      <c r="AX55" s="220"/>
      <c r="AY55" s="184"/>
      <c r="AZ55" s="184"/>
      <c r="BA55" s="11"/>
      <c r="BB55" s="11"/>
      <c r="BC55" s="220"/>
      <c r="BD55" s="184"/>
      <c r="BE55" s="184"/>
      <c r="BF55" s="11"/>
      <c r="BG55" s="11"/>
      <c r="BH55" s="220"/>
      <c r="BI55" s="184"/>
      <c r="BJ55" s="184"/>
      <c r="BK55" s="184"/>
      <c r="BL55" s="184"/>
      <c r="BM55" s="184"/>
      <c r="BN55" s="184"/>
      <c r="BO55" s="184"/>
      <c r="BP55" s="184"/>
    </row>
    <row r="56">
      <c r="A56" s="244" t="str">
        <f>if($A$54&lt;&gt;"", "《仕上がり数値》","")</f>
        <v/>
      </c>
      <c r="B56" s="240"/>
      <c r="C56" s="11"/>
      <c r="D56" s="11"/>
      <c r="E56" s="220"/>
      <c r="F56" s="220"/>
      <c r="G56" s="220"/>
      <c r="H56" s="11"/>
      <c r="I56" s="11"/>
      <c r="J56" s="220"/>
      <c r="K56" s="184"/>
      <c r="L56" s="184"/>
      <c r="M56" s="11"/>
      <c r="N56" s="11"/>
      <c r="O56" s="195"/>
      <c r="P56" s="11"/>
      <c r="Q56" s="11"/>
      <c r="R56" s="12"/>
      <c r="S56" s="11"/>
      <c r="T56" s="220"/>
      <c r="U56" s="184"/>
      <c r="V56" s="184"/>
      <c r="W56" s="11"/>
      <c r="X56" s="11"/>
      <c r="Y56" s="220"/>
      <c r="Z56" s="184"/>
      <c r="AA56" s="184"/>
      <c r="AB56" s="11"/>
      <c r="AC56" s="11"/>
      <c r="AD56" s="220"/>
      <c r="AE56" s="184"/>
      <c r="AF56" s="184"/>
      <c r="AG56" s="11"/>
      <c r="AH56" s="11"/>
      <c r="AI56" s="220"/>
      <c r="AJ56" s="184"/>
      <c r="AK56" s="184"/>
      <c r="AL56" s="11"/>
      <c r="AM56" s="11"/>
      <c r="AN56" s="220"/>
      <c r="AO56" s="184"/>
      <c r="AP56" s="184"/>
      <c r="AQ56" s="11"/>
      <c r="AR56" s="11"/>
      <c r="AS56" s="220"/>
      <c r="AT56" s="184"/>
      <c r="AU56" s="184"/>
      <c r="AV56" s="11"/>
      <c r="AW56" s="11"/>
      <c r="AX56" s="220"/>
      <c r="AY56" s="184"/>
      <c r="AZ56" s="184"/>
      <c r="BA56" s="11"/>
      <c r="BB56" s="11"/>
      <c r="BC56" s="220"/>
      <c r="BD56" s="184"/>
      <c r="BE56" s="184"/>
      <c r="BF56" s="11"/>
      <c r="BG56" s="11"/>
      <c r="BH56" s="220"/>
      <c r="BI56" s="184"/>
      <c r="BJ56" s="184"/>
      <c r="BK56" s="184"/>
      <c r="BL56" s="184"/>
      <c r="BM56" s="184"/>
      <c r="BN56" s="184"/>
      <c r="BO56" s="184"/>
      <c r="BP56" s="184"/>
    </row>
    <row r="57">
      <c r="A57" s="228" t="str">
        <f>IFERROR(__xludf.DUMMYFUNCTION("TEXTJOIN(CHAR(10),TRUE,FILTER(ARRAYFORMULA(IF(AS$14:AS72&lt;&gt;"""",AR$14:AR72&amp;"" :  cm"","""")), AR$14:AR72 &lt;&gt;""""))"),"")</f>
        <v/>
      </c>
      <c r="B57" s="240"/>
      <c r="C57" s="11"/>
      <c r="D57" s="11"/>
      <c r="E57" s="220"/>
      <c r="F57" s="220"/>
      <c r="G57" s="220"/>
      <c r="H57" s="11"/>
      <c r="I57" s="11"/>
      <c r="J57" s="220"/>
      <c r="K57" s="184"/>
      <c r="L57" s="184"/>
      <c r="M57" s="11"/>
      <c r="N57" s="11"/>
      <c r="O57" s="195"/>
      <c r="P57" s="11"/>
      <c r="Q57" s="11"/>
      <c r="R57" s="12"/>
      <c r="S57" s="11"/>
      <c r="T57" s="220"/>
      <c r="U57" s="184"/>
      <c r="V57" s="184"/>
      <c r="W57" s="11"/>
      <c r="X57" s="11"/>
      <c r="Y57" s="220"/>
      <c r="Z57" s="184"/>
      <c r="AA57" s="184"/>
      <c r="AB57" s="11"/>
      <c r="AC57" s="11"/>
      <c r="AD57" s="220"/>
      <c r="AE57" s="184"/>
      <c r="AF57" s="184"/>
      <c r="AG57" s="11"/>
      <c r="AH57" s="11"/>
      <c r="AI57" s="220"/>
      <c r="AJ57" s="184"/>
      <c r="AK57" s="184"/>
      <c r="AL57" s="11"/>
      <c r="AM57" s="11"/>
      <c r="AN57" s="220"/>
      <c r="AO57" s="184"/>
      <c r="AP57" s="184"/>
      <c r="AQ57" s="11"/>
      <c r="AR57" s="11"/>
      <c r="AS57" s="220"/>
      <c r="AT57" s="184"/>
      <c r="AU57" s="184"/>
      <c r="AV57" s="11"/>
      <c r="AW57" s="11"/>
      <c r="AX57" s="220"/>
      <c r="AY57" s="184"/>
      <c r="AZ57" s="184"/>
      <c r="BA57" s="11"/>
      <c r="BB57" s="11"/>
      <c r="BC57" s="220"/>
      <c r="BD57" s="184"/>
      <c r="BE57" s="184"/>
      <c r="BF57" s="11"/>
      <c r="BG57" s="11"/>
      <c r="BH57" s="220"/>
      <c r="BI57" s="184"/>
      <c r="BJ57" s="184"/>
      <c r="BK57" s="184"/>
      <c r="BL57" s="184"/>
      <c r="BM57" s="184"/>
      <c r="BN57" s="184"/>
      <c r="BO57" s="184"/>
      <c r="BP57" s="184"/>
    </row>
    <row r="58">
      <c r="A58" s="243" t="s">
        <v>124</v>
      </c>
      <c r="B58" s="240"/>
      <c r="C58" s="11"/>
      <c r="D58" s="11"/>
      <c r="E58" s="220"/>
      <c r="F58" s="220"/>
      <c r="G58" s="220"/>
      <c r="H58" s="11"/>
      <c r="I58" s="11"/>
      <c r="J58" s="220"/>
      <c r="K58" s="184"/>
      <c r="L58" s="184"/>
      <c r="M58" s="11"/>
      <c r="N58" s="11"/>
      <c r="O58" s="195"/>
      <c r="P58" s="11"/>
      <c r="Q58" s="11"/>
      <c r="R58" s="12"/>
      <c r="S58" s="11"/>
      <c r="T58" s="220"/>
      <c r="U58" s="184"/>
      <c r="V58" s="184"/>
      <c r="W58" s="11"/>
      <c r="X58" s="11"/>
      <c r="Y58" s="220"/>
      <c r="Z58" s="184"/>
      <c r="AA58" s="184"/>
      <c r="AB58" s="11"/>
      <c r="AC58" s="11"/>
      <c r="AD58" s="220"/>
      <c r="AE58" s="184"/>
      <c r="AF58" s="184"/>
      <c r="AG58" s="11"/>
      <c r="AH58" s="11"/>
      <c r="AI58" s="220"/>
      <c r="AJ58" s="184"/>
      <c r="AK58" s="184"/>
      <c r="AL58" s="11"/>
      <c r="AM58" s="11"/>
      <c r="AN58" s="220"/>
      <c r="AO58" s="184"/>
      <c r="AP58" s="184"/>
      <c r="AQ58" s="11"/>
      <c r="AR58" s="11"/>
      <c r="AS58" s="220"/>
      <c r="AT58" s="184"/>
      <c r="AU58" s="184"/>
      <c r="AV58" s="11"/>
      <c r="AW58" s="11"/>
      <c r="AX58" s="220"/>
      <c r="AY58" s="184"/>
      <c r="AZ58" s="184"/>
      <c r="BA58" s="11"/>
      <c r="BB58" s="11"/>
      <c r="BC58" s="220"/>
      <c r="BD58" s="184"/>
      <c r="BE58" s="184"/>
      <c r="BF58" s="11"/>
      <c r="BG58" s="11"/>
      <c r="BH58" s="220"/>
      <c r="BI58" s="184"/>
      <c r="BJ58" s="184"/>
      <c r="BK58" s="184"/>
      <c r="BL58" s="184"/>
      <c r="BM58" s="184"/>
      <c r="BN58" s="184"/>
      <c r="BO58" s="184"/>
      <c r="BP58" s="184"/>
    </row>
    <row r="59">
      <c r="A59" s="245" t="str">
        <f>IF( $AW$11 = "再製作", "◼︎ チェスターコート（対応着地：再製作）" &amp;char(10)&amp;"《修正数値》", IF($AW$11 &lt;&gt; "", "◼︎ チェスターコート（対応着地：お直し）" &amp;char(10)&amp;"《修正数値》", ""))</f>
        <v/>
      </c>
      <c r="B59" s="240"/>
      <c r="C59" s="11"/>
      <c r="D59" s="11"/>
      <c r="E59" s="220"/>
      <c r="F59" s="220"/>
      <c r="G59" s="220"/>
      <c r="H59" s="11"/>
      <c r="I59" s="11"/>
      <c r="J59" s="220"/>
      <c r="K59" s="184"/>
      <c r="L59" s="184"/>
      <c r="M59" s="11"/>
      <c r="N59" s="11"/>
      <c r="O59" s="195"/>
      <c r="P59" s="11"/>
      <c r="Q59" s="11"/>
      <c r="R59" s="12"/>
      <c r="S59" s="11"/>
      <c r="T59" s="220"/>
      <c r="U59" s="184"/>
      <c r="V59" s="184"/>
      <c r="W59" s="11"/>
      <c r="X59" s="11"/>
      <c r="Y59" s="220"/>
      <c r="Z59" s="184"/>
      <c r="AA59" s="184"/>
      <c r="AB59" s="11"/>
      <c r="AC59" s="11"/>
      <c r="AD59" s="220"/>
      <c r="AE59" s="184"/>
      <c r="AF59" s="184"/>
      <c r="AG59" s="11"/>
      <c r="AH59" s="11"/>
      <c r="AI59" s="220"/>
      <c r="AJ59" s="184"/>
      <c r="AK59" s="184"/>
      <c r="AL59" s="11"/>
      <c r="AM59" s="11"/>
      <c r="AN59" s="220"/>
      <c r="AO59" s="184"/>
      <c r="AP59" s="184"/>
      <c r="AQ59" s="11"/>
      <c r="AR59" s="11"/>
      <c r="AS59" s="220"/>
      <c r="AT59" s="184"/>
      <c r="AU59" s="184"/>
      <c r="AV59" s="11"/>
      <c r="AW59" s="11"/>
      <c r="AX59" s="220"/>
      <c r="AY59" s="184"/>
      <c r="AZ59" s="184"/>
      <c r="BA59" s="11"/>
      <c r="BB59" s="11"/>
      <c r="BC59" s="220"/>
      <c r="BD59" s="184"/>
      <c r="BE59" s="184"/>
      <c r="BF59" s="11"/>
      <c r="BG59" s="11"/>
      <c r="BH59" s="220"/>
      <c r="BI59" s="184"/>
      <c r="BJ59" s="184"/>
      <c r="BK59" s="184"/>
      <c r="BL59" s="184"/>
      <c r="BM59" s="184"/>
      <c r="BN59" s="184"/>
      <c r="BO59" s="184"/>
      <c r="BP59" s="184"/>
    </row>
    <row r="60">
      <c r="A60" s="228" t="str">
        <f>IFERROR(__xludf.DUMMYFUNCTION("TEXTJOIN(CHAR(10),TRUE,FILTER(ARRAYFORMULA(IF(AX$14:AX72&lt;&gt;"""",AW$14:AW72&amp;"" : ""&amp; AX$14:AX72 &amp;"" cm"","""")), AC$14:AC72 &lt;&gt;""""))"),"")</f>
        <v/>
      </c>
      <c r="B60" s="240"/>
      <c r="C60" s="11"/>
      <c r="D60" s="11"/>
      <c r="E60" s="220"/>
      <c r="F60" s="220"/>
      <c r="G60" s="220"/>
      <c r="H60" s="11"/>
      <c r="I60" s="11"/>
      <c r="J60" s="220"/>
      <c r="K60" s="184"/>
      <c r="L60" s="184"/>
      <c r="M60" s="11"/>
      <c r="N60" s="11"/>
      <c r="O60" s="195"/>
      <c r="P60" s="11"/>
      <c r="Q60" s="11"/>
      <c r="R60" s="12"/>
      <c r="S60" s="11"/>
      <c r="T60" s="220"/>
      <c r="U60" s="184"/>
      <c r="V60" s="184"/>
      <c r="W60" s="11"/>
      <c r="X60" s="11"/>
      <c r="Y60" s="220"/>
      <c r="Z60" s="184"/>
      <c r="AA60" s="184"/>
      <c r="AB60" s="11"/>
      <c r="AC60" s="11"/>
      <c r="AD60" s="220"/>
      <c r="AE60" s="184"/>
      <c r="AF60" s="184"/>
      <c r="AG60" s="11"/>
      <c r="AH60" s="11"/>
      <c r="AI60" s="220"/>
      <c r="AJ60" s="184"/>
      <c r="AK60" s="184"/>
      <c r="AL60" s="11"/>
      <c r="AM60" s="11"/>
      <c r="AN60" s="220"/>
      <c r="AO60" s="184"/>
      <c r="AP60" s="184"/>
      <c r="AQ60" s="11"/>
      <c r="AR60" s="11"/>
      <c r="AS60" s="220"/>
      <c r="AT60" s="184"/>
      <c r="AU60" s="184"/>
      <c r="AV60" s="11"/>
      <c r="AW60" s="11"/>
      <c r="AX60" s="220"/>
      <c r="AY60" s="184"/>
      <c r="AZ60" s="184"/>
      <c r="BA60" s="11"/>
      <c r="BB60" s="11"/>
      <c r="BC60" s="220"/>
      <c r="BD60" s="184"/>
      <c r="BE60" s="184"/>
      <c r="BF60" s="11"/>
      <c r="BG60" s="11"/>
      <c r="BH60" s="220"/>
      <c r="BI60" s="184"/>
      <c r="BJ60" s="184"/>
      <c r="BK60" s="184"/>
      <c r="BL60" s="184"/>
      <c r="BM60" s="184"/>
      <c r="BN60" s="184"/>
      <c r="BO60" s="184"/>
      <c r="BP60" s="184"/>
    </row>
    <row r="61">
      <c r="A61" s="244" t="str">
        <f>if($A$59&lt;&gt;"", "《仕上がり数値》","")</f>
        <v/>
      </c>
      <c r="B61" s="240"/>
      <c r="C61" s="11"/>
      <c r="D61" s="11"/>
      <c r="E61" s="220"/>
      <c r="F61" s="220"/>
      <c r="G61" s="220"/>
      <c r="H61" s="11"/>
      <c r="I61" s="11"/>
      <c r="J61" s="220"/>
      <c r="K61" s="184"/>
      <c r="L61" s="184"/>
      <c r="M61" s="11"/>
      <c r="N61" s="11"/>
      <c r="O61" s="195"/>
      <c r="P61" s="11"/>
      <c r="Q61" s="11"/>
      <c r="R61" s="12"/>
      <c r="S61" s="11"/>
      <c r="T61" s="220"/>
      <c r="U61" s="184"/>
      <c r="V61" s="184"/>
      <c r="W61" s="11"/>
      <c r="X61" s="11"/>
      <c r="Y61" s="220"/>
      <c r="Z61" s="184"/>
      <c r="AA61" s="184"/>
      <c r="AB61" s="11"/>
      <c r="AC61" s="11"/>
      <c r="AD61" s="220"/>
      <c r="AE61" s="184"/>
      <c r="AF61" s="184"/>
      <c r="AG61" s="11"/>
      <c r="AH61" s="11"/>
      <c r="AI61" s="220"/>
      <c r="AJ61" s="184"/>
      <c r="AK61" s="184"/>
      <c r="AL61" s="11"/>
      <c r="AM61" s="11"/>
      <c r="AN61" s="220"/>
      <c r="AO61" s="184"/>
      <c r="AP61" s="184"/>
      <c r="AQ61" s="11"/>
      <c r="AR61" s="11"/>
      <c r="AS61" s="220"/>
      <c r="AT61" s="184"/>
      <c r="AU61" s="184"/>
      <c r="AV61" s="11"/>
      <c r="AW61" s="11"/>
      <c r="AX61" s="220"/>
      <c r="AY61" s="184"/>
      <c r="AZ61" s="184"/>
      <c r="BA61" s="11"/>
      <c r="BB61" s="11"/>
      <c r="BC61" s="220"/>
      <c r="BD61" s="184"/>
      <c r="BE61" s="184"/>
      <c r="BF61" s="11"/>
      <c r="BG61" s="11"/>
      <c r="BH61" s="220"/>
      <c r="BI61" s="184"/>
      <c r="BJ61" s="184"/>
      <c r="BK61" s="184"/>
      <c r="BL61" s="184"/>
      <c r="BM61" s="184"/>
      <c r="BN61" s="184"/>
      <c r="BO61" s="184"/>
      <c r="BP61" s="184"/>
    </row>
    <row r="62">
      <c r="A62" s="228" t="str">
        <f>IFERROR(__xludf.DUMMYFUNCTION("TEXTJOIN(CHAR(10),TRUE,FILTER(ARRAYFORMULA(IF(AX$14:AX72&lt;&gt;"""",AW$14:AW72&amp;"" :  cm"","""")), AC$14:AC72 &lt;&gt;""""))"),"")</f>
        <v/>
      </c>
      <c r="B62" s="240"/>
      <c r="C62" s="11"/>
      <c r="D62" s="11"/>
      <c r="E62" s="220"/>
      <c r="F62" s="220"/>
      <c r="G62" s="220"/>
      <c r="H62" s="11"/>
      <c r="I62" s="11"/>
      <c r="J62" s="220"/>
      <c r="K62" s="184"/>
      <c r="L62" s="184"/>
      <c r="M62" s="11"/>
      <c r="N62" s="11"/>
      <c r="O62" s="195"/>
      <c r="P62" s="11"/>
      <c r="Q62" s="11"/>
      <c r="R62" s="12"/>
      <c r="S62" s="11"/>
      <c r="T62" s="220"/>
      <c r="U62" s="184"/>
      <c r="V62" s="184"/>
      <c r="W62" s="11"/>
      <c r="X62" s="11"/>
      <c r="Y62" s="220"/>
      <c r="Z62" s="184"/>
      <c r="AA62" s="184"/>
      <c r="AB62" s="11"/>
      <c r="AC62" s="11"/>
      <c r="AD62" s="220"/>
      <c r="AE62" s="184"/>
      <c r="AF62" s="184"/>
      <c r="AG62" s="11"/>
      <c r="AH62" s="11"/>
      <c r="AI62" s="220"/>
      <c r="AJ62" s="184"/>
      <c r="AK62" s="184"/>
      <c r="AL62" s="11"/>
      <c r="AM62" s="11"/>
      <c r="AN62" s="220"/>
      <c r="AO62" s="184"/>
      <c r="AP62" s="184"/>
      <c r="AQ62" s="11"/>
      <c r="AR62" s="11"/>
      <c r="AS62" s="220"/>
      <c r="AT62" s="184"/>
      <c r="AU62" s="184"/>
      <c r="AV62" s="11"/>
      <c r="AW62" s="11"/>
      <c r="AX62" s="220"/>
      <c r="AY62" s="184"/>
      <c r="AZ62" s="184"/>
      <c r="BA62" s="11"/>
      <c r="BB62" s="11"/>
      <c r="BC62" s="220"/>
      <c r="BD62" s="184"/>
      <c r="BE62" s="184"/>
      <c r="BF62" s="11"/>
      <c r="BG62" s="11"/>
      <c r="BH62" s="220"/>
      <c r="BI62" s="184"/>
      <c r="BJ62" s="184"/>
      <c r="BK62" s="184"/>
      <c r="BL62" s="184"/>
      <c r="BM62" s="184"/>
      <c r="BN62" s="184"/>
      <c r="BO62" s="184"/>
      <c r="BP62" s="184"/>
    </row>
    <row r="63">
      <c r="A63" s="243" t="s">
        <v>125</v>
      </c>
      <c r="B63" s="240"/>
      <c r="C63" s="11"/>
      <c r="D63" s="11"/>
      <c r="E63" s="220"/>
      <c r="F63" s="220"/>
      <c r="G63" s="220"/>
      <c r="H63" s="11"/>
      <c r="I63" s="11"/>
      <c r="J63" s="220"/>
      <c r="K63" s="184"/>
      <c r="L63" s="184"/>
      <c r="M63" s="11"/>
      <c r="N63" s="11"/>
      <c r="O63" s="195"/>
      <c r="P63" s="11"/>
      <c r="Q63" s="11"/>
      <c r="R63" s="12"/>
      <c r="S63" s="11"/>
      <c r="T63" s="220"/>
      <c r="U63" s="184"/>
      <c r="V63" s="184"/>
      <c r="W63" s="11"/>
      <c r="X63" s="11"/>
      <c r="Y63" s="220"/>
      <c r="Z63" s="184"/>
      <c r="AA63" s="184"/>
      <c r="AB63" s="11"/>
      <c r="AC63" s="11"/>
      <c r="AD63" s="220"/>
      <c r="AE63" s="184"/>
      <c r="AF63" s="184"/>
      <c r="AG63" s="11"/>
      <c r="AH63" s="11"/>
      <c r="AI63" s="220"/>
      <c r="AJ63" s="184"/>
      <c r="AK63" s="184"/>
      <c r="AL63" s="11"/>
      <c r="AM63" s="11"/>
      <c r="AN63" s="220"/>
      <c r="AO63" s="184"/>
      <c r="AP63" s="184"/>
      <c r="AQ63" s="11"/>
      <c r="AR63" s="11"/>
      <c r="AS63" s="220"/>
      <c r="AT63" s="184"/>
      <c r="AU63" s="184"/>
      <c r="AV63" s="11"/>
      <c r="AW63" s="11"/>
      <c r="AX63" s="220"/>
      <c r="AY63" s="184"/>
      <c r="AZ63" s="184"/>
      <c r="BA63" s="11"/>
      <c r="BB63" s="11"/>
      <c r="BC63" s="220"/>
      <c r="BD63" s="184"/>
      <c r="BE63" s="184"/>
      <c r="BF63" s="11"/>
      <c r="BG63" s="11"/>
      <c r="BH63" s="220"/>
      <c r="BI63" s="184"/>
      <c r="BJ63" s="184"/>
      <c r="BK63" s="184"/>
      <c r="BL63" s="184"/>
      <c r="BM63" s="184"/>
      <c r="BN63" s="184"/>
      <c r="BO63" s="184"/>
      <c r="BP63" s="184"/>
    </row>
    <row r="64">
      <c r="A64" s="245" t="str">
        <f>IF( $BB$11 = "再製作", "◼︎ トレンチコート（対応着地：再製作）" &amp;char(10)&amp; "《修正数値》", IF($BB$11 &lt;&gt; "", "◼︎ トレンチコート（対応着地：お直し）" &amp;char(10)&amp; "《修正数値》", ""))</f>
        <v/>
      </c>
      <c r="B64" s="240"/>
      <c r="C64" s="11"/>
      <c r="D64" s="11"/>
      <c r="E64" s="220"/>
      <c r="F64" s="220"/>
      <c r="G64" s="220"/>
      <c r="H64" s="11"/>
      <c r="I64" s="11"/>
      <c r="J64" s="220"/>
      <c r="K64" s="184"/>
      <c r="L64" s="184"/>
      <c r="M64" s="11"/>
      <c r="N64" s="11"/>
      <c r="O64" s="195"/>
      <c r="P64" s="11"/>
      <c r="Q64" s="11"/>
      <c r="R64" s="12"/>
      <c r="S64" s="11"/>
      <c r="T64" s="220"/>
      <c r="U64" s="184"/>
      <c r="V64" s="184"/>
      <c r="W64" s="11"/>
      <c r="X64" s="11"/>
      <c r="Y64" s="220"/>
      <c r="Z64" s="184"/>
      <c r="AA64" s="184"/>
      <c r="AB64" s="11"/>
      <c r="AC64" s="11"/>
      <c r="AD64" s="220"/>
      <c r="AE64" s="184"/>
      <c r="AF64" s="184"/>
      <c r="AG64" s="11"/>
      <c r="AH64" s="11"/>
      <c r="AI64" s="220"/>
      <c r="AJ64" s="184"/>
      <c r="AK64" s="184"/>
      <c r="AL64" s="11"/>
      <c r="AM64" s="11"/>
      <c r="AN64" s="220"/>
      <c r="AO64" s="184"/>
      <c r="AP64" s="184"/>
      <c r="AQ64" s="11"/>
      <c r="AR64" s="11"/>
      <c r="AS64" s="220"/>
      <c r="AT64" s="184"/>
      <c r="AU64" s="184"/>
      <c r="AV64" s="11"/>
      <c r="AW64" s="11"/>
      <c r="AX64" s="220"/>
      <c r="AY64" s="184"/>
      <c r="AZ64" s="184"/>
      <c r="BA64" s="11"/>
      <c r="BB64" s="11"/>
      <c r="BC64" s="220"/>
      <c r="BD64" s="184"/>
      <c r="BE64" s="184"/>
      <c r="BF64" s="11"/>
      <c r="BG64" s="11"/>
      <c r="BH64" s="220"/>
      <c r="BI64" s="184"/>
      <c r="BJ64" s="184"/>
      <c r="BK64" s="184"/>
      <c r="BL64" s="184"/>
      <c r="BM64" s="184"/>
      <c r="BN64" s="184"/>
      <c r="BO64" s="184"/>
      <c r="BP64" s="184"/>
    </row>
    <row r="65">
      <c r="A65" s="228" t="str">
        <f>IFERROR(__xludf.DUMMYFUNCTION("TEXTJOIN(CHAR(10),TRUE,FILTER(ARRAYFORMULA(IF(BC$14:BC72&lt;&gt;"""",BB$14:BB72&amp;"" : ""&amp; BC$14:BC72 &amp;"" cm"","""")), BB$14:BB72 &lt;&gt;""""))"),"")</f>
        <v/>
      </c>
      <c r="B65" s="240"/>
      <c r="C65" s="11"/>
      <c r="D65" s="11"/>
      <c r="E65" s="220"/>
      <c r="F65" s="220"/>
      <c r="G65" s="220"/>
      <c r="H65" s="11"/>
      <c r="I65" s="11"/>
      <c r="J65" s="220"/>
      <c r="K65" s="184"/>
      <c r="L65" s="184"/>
      <c r="M65" s="11"/>
      <c r="N65" s="11"/>
      <c r="O65" s="195"/>
      <c r="P65" s="11"/>
      <c r="Q65" s="11"/>
      <c r="R65" s="12"/>
      <c r="S65" s="11"/>
      <c r="T65" s="220"/>
      <c r="U65" s="184"/>
      <c r="V65" s="184"/>
      <c r="W65" s="11"/>
      <c r="X65" s="11"/>
      <c r="Y65" s="220"/>
      <c r="Z65" s="184"/>
      <c r="AA65" s="184"/>
      <c r="AB65" s="11"/>
      <c r="AC65" s="11"/>
      <c r="AD65" s="220"/>
      <c r="AE65" s="184"/>
      <c r="AF65" s="184"/>
      <c r="AG65" s="11"/>
      <c r="AH65" s="11"/>
      <c r="AI65" s="220"/>
      <c r="AJ65" s="184"/>
      <c r="AK65" s="184"/>
      <c r="AL65" s="11"/>
      <c r="AM65" s="11"/>
      <c r="AN65" s="220"/>
      <c r="AO65" s="184"/>
      <c r="AP65" s="184"/>
      <c r="AQ65" s="11"/>
      <c r="AR65" s="11"/>
      <c r="AS65" s="220"/>
      <c r="AT65" s="184"/>
      <c r="AU65" s="184"/>
      <c r="AV65" s="11"/>
      <c r="AW65" s="11"/>
      <c r="AX65" s="220"/>
      <c r="AY65" s="184"/>
      <c r="AZ65" s="184"/>
      <c r="BA65" s="11"/>
      <c r="BB65" s="11"/>
      <c r="BC65" s="220"/>
      <c r="BD65" s="184"/>
      <c r="BE65" s="184"/>
      <c r="BF65" s="11"/>
      <c r="BG65" s="11"/>
      <c r="BH65" s="220"/>
      <c r="BI65" s="184"/>
      <c r="BJ65" s="184"/>
      <c r="BK65" s="184"/>
      <c r="BL65" s="184"/>
      <c r="BM65" s="184"/>
      <c r="BN65" s="184"/>
      <c r="BO65" s="184"/>
      <c r="BP65" s="184"/>
    </row>
    <row r="66">
      <c r="A66" s="244" t="str">
        <f>if($A$64&lt;&gt;"", "《仕上がり数値》","")</f>
        <v/>
      </c>
      <c r="B66" s="240"/>
      <c r="C66" s="11"/>
      <c r="D66" s="11"/>
      <c r="E66" s="220"/>
      <c r="F66" s="220"/>
      <c r="G66" s="220"/>
      <c r="H66" s="11"/>
      <c r="I66" s="11"/>
      <c r="J66" s="220"/>
      <c r="K66" s="184"/>
      <c r="L66" s="184"/>
      <c r="M66" s="11"/>
      <c r="N66" s="11"/>
      <c r="O66" s="195"/>
      <c r="P66" s="11"/>
      <c r="Q66" s="11"/>
      <c r="R66" s="12"/>
      <c r="S66" s="11"/>
      <c r="T66" s="220"/>
      <c r="U66" s="184"/>
      <c r="V66" s="184"/>
      <c r="W66" s="11"/>
      <c r="X66" s="11"/>
      <c r="Y66" s="220"/>
      <c r="Z66" s="184"/>
      <c r="AA66" s="184"/>
      <c r="AB66" s="11"/>
      <c r="AC66" s="11"/>
      <c r="AD66" s="220"/>
      <c r="AE66" s="184"/>
      <c r="AF66" s="184"/>
      <c r="AG66" s="11"/>
      <c r="AH66" s="11"/>
      <c r="AI66" s="220"/>
      <c r="AJ66" s="184"/>
      <c r="AK66" s="184"/>
      <c r="AL66" s="11"/>
      <c r="AM66" s="11"/>
      <c r="AN66" s="220"/>
      <c r="AO66" s="184"/>
      <c r="AP66" s="184"/>
      <c r="AQ66" s="11"/>
      <c r="AR66" s="11"/>
      <c r="AS66" s="220"/>
      <c r="AT66" s="184"/>
      <c r="AU66" s="184"/>
      <c r="AV66" s="11"/>
      <c r="AW66" s="11"/>
      <c r="AX66" s="220"/>
      <c r="AY66" s="184"/>
      <c r="AZ66" s="184"/>
      <c r="BA66" s="11"/>
      <c r="BB66" s="11"/>
      <c r="BC66" s="220"/>
      <c r="BD66" s="184"/>
      <c r="BE66" s="184"/>
      <c r="BF66" s="11"/>
      <c r="BG66" s="11"/>
      <c r="BH66" s="220"/>
      <c r="BI66" s="184"/>
      <c r="BJ66" s="184"/>
      <c r="BK66" s="184"/>
      <c r="BL66" s="184"/>
      <c r="BM66" s="184"/>
      <c r="BN66" s="184"/>
      <c r="BO66" s="184"/>
      <c r="BP66" s="184"/>
    </row>
    <row r="67">
      <c r="A67" s="228" t="str">
        <f>IFERROR(__xludf.DUMMYFUNCTION("TEXTJOIN(CHAR(10),TRUE,FILTER(ARRAYFORMULA(IF(BC$14:BC72&lt;&gt;"""",BB$14:BB72&amp;"" :  cm"","""")), BB$14:BB72 &lt;&gt;""""))"),"")</f>
        <v/>
      </c>
      <c r="B67" s="240"/>
      <c r="C67" s="11"/>
      <c r="D67" s="11"/>
      <c r="E67" s="220"/>
      <c r="F67" s="220"/>
      <c r="G67" s="220"/>
      <c r="H67" s="11"/>
      <c r="I67" s="11"/>
      <c r="J67" s="220"/>
      <c r="K67" s="184"/>
      <c r="L67" s="184"/>
      <c r="M67" s="11"/>
      <c r="N67" s="11"/>
      <c r="O67" s="195"/>
      <c r="P67" s="11"/>
      <c r="Q67" s="11"/>
      <c r="R67" s="12"/>
      <c r="S67" s="11"/>
      <c r="T67" s="220"/>
      <c r="U67" s="184"/>
      <c r="V67" s="184"/>
      <c r="W67" s="11"/>
      <c r="X67" s="11"/>
      <c r="Y67" s="220"/>
      <c r="Z67" s="184"/>
      <c r="AA67" s="184"/>
      <c r="AB67" s="11"/>
      <c r="AC67" s="11"/>
      <c r="AD67" s="220"/>
      <c r="AE67" s="184"/>
      <c r="AF67" s="184"/>
      <c r="AG67" s="11"/>
      <c r="AH67" s="11"/>
      <c r="AI67" s="220"/>
      <c r="AJ67" s="184"/>
      <c r="AK67" s="184"/>
      <c r="AL67" s="11"/>
      <c r="AM67" s="11"/>
      <c r="AN67" s="220"/>
      <c r="AO67" s="184"/>
      <c r="AP67" s="184"/>
      <c r="AQ67" s="11"/>
      <c r="AR67" s="11"/>
      <c r="AS67" s="220"/>
      <c r="AT67" s="184"/>
      <c r="AU67" s="184"/>
      <c r="AV67" s="11"/>
      <c r="AW67" s="11"/>
      <c r="AX67" s="220"/>
      <c r="AY67" s="184"/>
      <c r="AZ67" s="184"/>
      <c r="BA67" s="11"/>
      <c r="BB67" s="11"/>
      <c r="BC67" s="220"/>
      <c r="BD67" s="184"/>
      <c r="BE67" s="184"/>
      <c r="BF67" s="11"/>
      <c r="BG67" s="11"/>
      <c r="BH67" s="220"/>
      <c r="BI67" s="184"/>
      <c r="BJ67" s="184"/>
      <c r="BK67" s="184"/>
      <c r="BL67" s="184"/>
      <c r="BM67" s="184"/>
      <c r="BN67" s="184"/>
      <c r="BO67" s="184"/>
      <c r="BP67" s="184"/>
    </row>
    <row r="68">
      <c r="A68" s="243" t="s">
        <v>126</v>
      </c>
      <c r="B68" s="240"/>
      <c r="C68" s="11"/>
      <c r="D68" s="11"/>
      <c r="E68" s="220"/>
      <c r="F68" s="220"/>
      <c r="G68" s="220"/>
      <c r="H68" s="11"/>
      <c r="I68" s="11"/>
      <c r="J68" s="220"/>
      <c r="K68" s="184"/>
      <c r="L68" s="184"/>
      <c r="M68" s="11"/>
      <c r="N68" s="11"/>
      <c r="O68" s="195"/>
      <c r="P68" s="11"/>
      <c r="Q68" s="11"/>
      <c r="R68" s="12"/>
      <c r="S68" s="11"/>
      <c r="T68" s="220"/>
      <c r="U68" s="184"/>
      <c r="V68" s="184"/>
      <c r="W68" s="11"/>
      <c r="X68" s="11"/>
      <c r="Y68" s="220"/>
      <c r="Z68" s="184"/>
      <c r="AA68" s="184"/>
      <c r="AB68" s="11"/>
      <c r="AC68" s="11"/>
      <c r="AD68" s="220"/>
      <c r="AE68" s="184"/>
      <c r="AF68" s="184"/>
      <c r="AG68" s="11"/>
      <c r="AH68" s="11"/>
      <c r="AI68" s="220"/>
      <c r="AJ68" s="184"/>
      <c r="AK68" s="184"/>
      <c r="AL68" s="11"/>
      <c r="AM68" s="11"/>
      <c r="AN68" s="220"/>
      <c r="AO68" s="184"/>
      <c r="AP68" s="184"/>
      <c r="AQ68" s="11"/>
      <c r="AR68" s="11"/>
      <c r="AS68" s="220"/>
      <c r="AT68" s="184"/>
      <c r="AU68" s="184"/>
      <c r="AV68" s="11"/>
      <c r="AW68" s="11"/>
      <c r="AX68" s="220"/>
      <c r="AY68" s="184"/>
      <c r="AZ68" s="184"/>
      <c r="BA68" s="11"/>
      <c r="BB68" s="11"/>
      <c r="BC68" s="220"/>
      <c r="BD68" s="184"/>
      <c r="BE68" s="184"/>
      <c r="BF68" s="11"/>
      <c r="BG68" s="11"/>
      <c r="BH68" s="220"/>
      <c r="BI68" s="184"/>
      <c r="BJ68" s="184"/>
      <c r="BK68" s="184"/>
      <c r="BL68" s="184"/>
      <c r="BM68" s="184"/>
      <c r="BN68" s="184"/>
      <c r="BO68" s="184"/>
      <c r="BP68" s="184"/>
    </row>
    <row r="69">
      <c r="A69" s="245" t="str">
        <f>IF( $BG$11 = "再製作", "◼︎ フーデッドコート（対応着地：再製作）"&amp;char(10)&amp;"《修正数値》", IF($BG$11 &lt;&gt; "", "◼︎ フーデッドコート（対応着地：お直し）"&amp;char(10)&amp;"《修正数値》", ""))</f>
        <v/>
      </c>
      <c r="B69" s="240"/>
      <c r="C69" s="11"/>
      <c r="D69" s="11"/>
      <c r="E69" s="220"/>
      <c r="F69" s="220"/>
      <c r="G69" s="220"/>
      <c r="H69" s="11"/>
      <c r="I69" s="11"/>
      <c r="J69" s="220"/>
      <c r="K69" s="184"/>
      <c r="L69" s="184"/>
      <c r="M69" s="11"/>
      <c r="N69" s="11"/>
      <c r="O69" s="195"/>
      <c r="P69" s="11"/>
      <c r="Q69" s="11"/>
      <c r="R69" s="12"/>
      <c r="S69" s="11"/>
      <c r="T69" s="220"/>
      <c r="U69" s="184"/>
      <c r="V69" s="184"/>
      <c r="W69" s="11"/>
      <c r="X69" s="11"/>
      <c r="Y69" s="220"/>
      <c r="Z69" s="184"/>
      <c r="AA69" s="184"/>
      <c r="AB69" s="11"/>
      <c r="AC69" s="11"/>
      <c r="AD69" s="220"/>
      <c r="AE69" s="184"/>
      <c r="AF69" s="184"/>
      <c r="AG69" s="11"/>
      <c r="AH69" s="11"/>
      <c r="AI69" s="220"/>
      <c r="AJ69" s="184"/>
      <c r="AK69" s="184"/>
      <c r="AL69" s="11"/>
      <c r="AM69" s="11"/>
      <c r="AN69" s="220"/>
      <c r="AO69" s="184"/>
      <c r="AP69" s="184"/>
      <c r="AQ69" s="11"/>
      <c r="AR69" s="11"/>
      <c r="AS69" s="220"/>
      <c r="AT69" s="184"/>
      <c r="AU69" s="184"/>
      <c r="AV69" s="11"/>
      <c r="AW69" s="11"/>
      <c r="AX69" s="220"/>
      <c r="AY69" s="184"/>
      <c r="AZ69" s="184"/>
      <c r="BA69" s="11"/>
      <c r="BB69" s="11"/>
      <c r="BC69" s="220"/>
      <c r="BD69" s="184"/>
      <c r="BE69" s="184"/>
      <c r="BF69" s="11"/>
      <c r="BG69" s="11"/>
      <c r="BH69" s="220"/>
      <c r="BI69" s="184"/>
      <c r="BJ69" s="184"/>
      <c r="BK69" s="184"/>
      <c r="BL69" s="184"/>
      <c r="BM69" s="184"/>
      <c r="BN69" s="184"/>
      <c r="BO69" s="184"/>
      <c r="BP69" s="184"/>
    </row>
    <row r="70">
      <c r="A70" s="228" t="str">
        <f>IFERROR(__xludf.DUMMYFUNCTION("TEXTJOIN(CHAR(10),TRUE,FILTER(ARRAYFORMULA(IF(BH$14:BH72&lt;&gt;"""",BG$14:BG72&amp;"" : ""&amp; BH$14:BH72 &amp;"" cm"","""")), BG$14:BG72 &lt;&gt;""""))"),"")</f>
        <v/>
      </c>
      <c r="B70" s="240"/>
      <c r="C70" s="11"/>
      <c r="D70" s="11"/>
      <c r="E70" s="220"/>
      <c r="F70" s="220"/>
      <c r="G70" s="220"/>
      <c r="H70" s="11"/>
      <c r="I70" s="11"/>
      <c r="J70" s="220"/>
      <c r="K70" s="184"/>
      <c r="L70" s="184"/>
      <c r="M70" s="11"/>
      <c r="N70" s="11"/>
      <c r="O70" s="195"/>
      <c r="P70" s="11"/>
      <c r="Q70" s="11"/>
      <c r="R70" s="12"/>
      <c r="S70" s="11"/>
      <c r="T70" s="220"/>
      <c r="U70" s="184"/>
      <c r="V70" s="184"/>
      <c r="W70" s="11"/>
      <c r="X70" s="11"/>
      <c r="Y70" s="220"/>
      <c r="Z70" s="184"/>
      <c r="AA70" s="184"/>
      <c r="AB70" s="11"/>
      <c r="AC70" s="11"/>
      <c r="AD70" s="220"/>
      <c r="AE70" s="184"/>
      <c r="AF70" s="184"/>
      <c r="AG70" s="11"/>
      <c r="AH70" s="11"/>
      <c r="AI70" s="220"/>
      <c r="AJ70" s="184"/>
      <c r="AK70" s="184"/>
      <c r="AL70" s="11"/>
      <c r="AM70" s="11"/>
      <c r="AN70" s="220"/>
      <c r="AO70" s="184"/>
      <c r="AP70" s="184"/>
      <c r="AQ70" s="11"/>
      <c r="AR70" s="11"/>
      <c r="AS70" s="220"/>
      <c r="AT70" s="184"/>
      <c r="AU70" s="184"/>
      <c r="AV70" s="11"/>
      <c r="AW70" s="11"/>
      <c r="AX70" s="220"/>
      <c r="AY70" s="184"/>
      <c r="AZ70" s="184"/>
      <c r="BA70" s="11"/>
      <c r="BB70" s="11"/>
      <c r="BC70" s="220"/>
      <c r="BD70" s="184"/>
      <c r="BE70" s="184"/>
      <c r="BF70" s="11"/>
      <c r="BG70" s="11"/>
      <c r="BH70" s="220"/>
      <c r="BI70" s="184"/>
      <c r="BJ70" s="184"/>
      <c r="BK70" s="184"/>
      <c r="BL70" s="184"/>
      <c r="BM70" s="184"/>
      <c r="BN70" s="184"/>
      <c r="BO70" s="184"/>
      <c r="BP70" s="184"/>
    </row>
    <row r="71">
      <c r="A71" s="244" t="str">
        <f>if($A$69&lt;&gt;"", "《仕上がり数値》","")</f>
        <v/>
      </c>
      <c r="B71" s="240"/>
      <c r="C71" s="11"/>
      <c r="D71" s="11"/>
      <c r="E71" s="220"/>
      <c r="F71" s="220"/>
      <c r="G71" s="220"/>
      <c r="H71" s="11"/>
      <c r="I71" s="11"/>
      <c r="J71" s="220"/>
      <c r="K71" s="184"/>
      <c r="L71" s="184"/>
      <c r="M71" s="11"/>
      <c r="N71" s="11"/>
      <c r="O71" s="195"/>
      <c r="P71" s="11"/>
      <c r="Q71" s="11"/>
      <c r="R71" s="12"/>
      <c r="S71" s="11"/>
      <c r="T71" s="220"/>
      <c r="U71" s="184"/>
      <c r="V71" s="184"/>
      <c r="W71" s="11"/>
      <c r="X71" s="11"/>
      <c r="Y71" s="220"/>
      <c r="Z71" s="184"/>
      <c r="AA71" s="184"/>
      <c r="AB71" s="11"/>
      <c r="AC71" s="11"/>
      <c r="AD71" s="220"/>
      <c r="AE71" s="184"/>
      <c r="AF71" s="184"/>
      <c r="AG71" s="11"/>
      <c r="AH71" s="11"/>
      <c r="AI71" s="220"/>
      <c r="AJ71" s="184"/>
      <c r="AK71" s="184"/>
      <c r="AL71" s="11"/>
      <c r="AM71" s="11"/>
      <c r="AN71" s="220"/>
      <c r="AO71" s="184"/>
      <c r="AP71" s="184"/>
      <c r="AQ71" s="11"/>
      <c r="AR71" s="11"/>
      <c r="AS71" s="220"/>
      <c r="AT71" s="184"/>
      <c r="AU71" s="184"/>
      <c r="AV71" s="11"/>
      <c r="AW71" s="11"/>
      <c r="AX71" s="220"/>
      <c r="AY71" s="184"/>
      <c r="AZ71" s="184"/>
      <c r="BA71" s="11"/>
      <c r="BB71" s="11"/>
      <c r="BC71" s="220"/>
      <c r="BD71" s="184"/>
      <c r="BE71" s="184"/>
      <c r="BF71" s="11"/>
      <c r="BG71" s="11"/>
      <c r="BH71" s="220"/>
      <c r="BI71" s="184"/>
      <c r="BJ71" s="184"/>
      <c r="BK71" s="184"/>
      <c r="BL71" s="184"/>
      <c r="BM71" s="184"/>
      <c r="BN71" s="184"/>
      <c r="BO71" s="184"/>
      <c r="BP71" s="184"/>
    </row>
    <row r="72">
      <c r="A72" s="228" t="str">
        <f>IFERROR(__xludf.DUMMYFUNCTION("TEXTJOIN(CHAR(10),TRUE,FILTER(ARRAYFORMULA(IF(BH$14:BH72&lt;&gt;"""",BG$14:BG72&amp;"" :  cm"","""")), BG$14:BG72 &lt;&gt;""""))"),"")</f>
        <v/>
      </c>
      <c r="B72" s="240"/>
      <c r="C72" s="11"/>
      <c r="D72" s="11"/>
      <c r="E72" s="220"/>
      <c r="F72" s="220"/>
      <c r="G72" s="220"/>
      <c r="H72" s="11"/>
      <c r="I72" s="11"/>
      <c r="J72" s="220"/>
      <c r="K72" s="184"/>
      <c r="L72" s="184"/>
      <c r="M72" s="11"/>
      <c r="N72" s="11"/>
      <c r="O72" s="195"/>
      <c r="P72" s="11"/>
      <c r="Q72" s="11"/>
      <c r="R72" s="12"/>
      <c r="S72" s="11"/>
      <c r="T72" s="220"/>
      <c r="U72" s="184"/>
      <c r="V72" s="184"/>
      <c r="W72" s="11"/>
      <c r="X72" s="11"/>
      <c r="Y72" s="220"/>
      <c r="Z72" s="184"/>
      <c r="AA72" s="184"/>
      <c r="AB72" s="11"/>
      <c r="AC72" s="11"/>
      <c r="AD72" s="220"/>
      <c r="AE72" s="184"/>
      <c r="AF72" s="184"/>
      <c r="AG72" s="11"/>
      <c r="AH72" s="11"/>
      <c r="AI72" s="220"/>
      <c r="AJ72" s="184"/>
      <c r="AK72" s="184"/>
      <c r="AL72" s="11"/>
      <c r="AM72" s="11"/>
      <c r="AN72" s="220"/>
      <c r="AO72" s="184"/>
      <c r="AP72" s="184"/>
      <c r="AQ72" s="11"/>
      <c r="AR72" s="11"/>
      <c r="AS72" s="220"/>
      <c r="AT72" s="184"/>
      <c r="AU72" s="184"/>
      <c r="AV72" s="11"/>
      <c r="AW72" s="11"/>
      <c r="AX72" s="220"/>
      <c r="AY72" s="184"/>
      <c r="AZ72" s="184"/>
      <c r="BA72" s="11"/>
      <c r="BB72" s="11"/>
      <c r="BC72" s="220"/>
      <c r="BD72" s="184"/>
      <c r="BE72" s="184"/>
      <c r="BF72" s="11"/>
      <c r="BG72" s="11"/>
      <c r="BH72" s="220"/>
      <c r="BI72" s="184"/>
      <c r="BJ72" s="184"/>
      <c r="BK72" s="184"/>
      <c r="BL72" s="184"/>
      <c r="BM72" s="184"/>
      <c r="BN72" s="184"/>
      <c r="BO72" s="184"/>
      <c r="BP72" s="184"/>
    </row>
  </sheetData>
  <mergeCells count="1">
    <mergeCell ref="D5:G5"/>
  </mergeCells>
  <hyperlinks>
    <hyperlink r:id="rId1" location="gid=1551873484" ref="K5"/>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hidden="1" min="1" max="2" width="20.88"/>
    <col customWidth="1" min="3" max="3" width="3.88"/>
    <col customWidth="1" min="4" max="4" width="25.13"/>
    <col customWidth="1" min="5" max="6" width="12.63"/>
    <col customWidth="1" hidden="1" min="7" max="7" width="12.63"/>
    <col customWidth="1" min="8" max="8" width="6.38"/>
    <col customWidth="1" min="9" max="9" width="25.13"/>
    <col customWidth="1" min="10" max="11" width="12.63"/>
    <col customWidth="1" hidden="1" min="12" max="12" width="12.63"/>
    <col customWidth="1" min="13" max="13" width="6.38"/>
    <col customWidth="1" min="14" max="14" width="25.13"/>
    <col customWidth="1" min="15" max="16" width="12.63"/>
    <col customWidth="1" hidden="1" min="17" max="17" width="12.63"/>
    <col customWidth="1" min="18" max="18" width="6.25"/>
    <col customWidth="1" min="19" max="19" width="25.13"/>
    <col customWidth="1" min="20" max="21" width="12.63"/>
    <col customWidth="1" hidden="1" min="22" max="22" width="12.63"/>
    <col customWidth="1" min="23" max="23" width="6.38"/>
    <col customWidth="1" min="24" max="24" width="25.13"/>
    <col customWidth="1" min="25" max="26" width="12.63"/>
    <col customWidth="1" hidden="1" min="27" max="27" width="12.63"/>
    <col customWidth="1" min="28" max="28" width="6.38"/>
    <col customWidth="1" min="29" max="29" width="25.13"/>
    <col customWidth="1" min="30" max="31" width="12.63"/>
    <col customWidth="1" hidden="1" min="32" max="32" width="12.63"/>
    <col customWidth="1" min="33" max="33" width="7.13"/>
    <col customWidth="1" min="34" max="34" width="25.13"/>
    <col customWidth="1" min="35" max="36" width="12.63"/>
    <col customWidth="1" hidden="1" min="37" max="37" width="12.63"/>
    <col customWidth="1" min="38" max="38" width="7.13"/>
    <col customWidth="1" min="39" max="39" width="25.13"/>
    <col customWidth="1" min="40" max="41" width="12.63"/>
    <col customWidth="1" hidden="1" min="42" max="42" width="12.63"/>
    <col customWidth="1" min="43" max="43" width="7.13"/>
    <col customWidth="1" min="44" max="44" width="25.13"/>
    <col customWidth="1" min="45" max="46" width="12.63"/>
    <col customWidth="1" hidden="1" min="47" max="47" width="12.63"/>
    <col customWidth="1" min="48" max="48" width="12.63"/>
    <col customWidth="1" min="49" max="49" width="25.13"/>
    <col customWidth="1" min="50" max="51" width="12.63"/>
    <col customWidth="1" hidden="1" min="52" max="52" width="12.63"/>
    <col customWidth="1" min="53" max="53" width="12.63"/>
    <col customWidth="1" min="54" max="54" width="25.13"/>
    <col customWidth="1" min="55" max="56" width="12.63"/>
    <col customWidth="1" hidden="1" min="57" max="57" width="12.63"/>
    <col customWidth="1" min="58" max="58" width="12.63"/>
    <col customWidth="1" min="59" max="59" width="25.13"/>
    <col customWidth="1" min="60" max="61" width="12.63"/>
    <col customWidth="1" hidden="1" min="62" max="62" width="12.63"/>
    <col customWidth="1" min="63" max="63" width="12.63"/>
    <col customWidth="1" min="64" max="64" width="19.25"/>
    <col customWidth="1" min="65" max="66" width="12.63"/>
    <col customWidth="1" hidden="1" min="67" max="67" width="12.63"/>
    <col customWidth="1" min="68" max="68" width="12.63"/>
  </cols>
  <sheetData>
    <row r="1">
      <c r="A1" s="176">
        <f>today()</f>
        <v>45991</v>
      </c>
      <c r="B1" s="177"/>
      <c r="C1" s="178"/>
      <c r="D1" s="179" t="s">
        <v>4</v>
      </c>
      <c r="E1" s="180"/>
      <c r="F1" s="180"/>
      <c r="G1" s="180"/>
      <c r="H1" s="181"/>
      <c r="I1" s="181"/>
      <c r="J1" s="180"/>
      <c r="K1" s="178" t="s">
        <v>127</v>
      </c>
      <c r="L1" s="180"/>
      <c r="M1" s="181"/>
      <c r="N1" s="180"/>
      <c r="O1" s="180"/>
      <c r="P1" s="180"/>
      <c r="Q1" s="180"/>
      <c r="R1" s="181"/>
      <c r="S1" s="181"/>
      <c r="T1" s="182"/>
      <c r="U1" s="182"/>
      <c r="V1" s="182"/>
      <c r="W1" s="181"/>
      <c r="X1" s="180"/>
      <c r="Y1" s="182"/>
      <c r="Z1" s="182"/>
      <c r="AA1" s="182"/>
      <c r="AB1" s="181"/>
      <c r="AC1" s="180"/>
      <c r="AD1" s="182"/>
      <c r="AE1" s="182"/>
      <c r="AF1" s="182"/>
      <c r="AG1" s="181"/>
      <c r="AH1" s="180"/>
      <c r="AI1" s="182"/>
      <c r="AJ1" s="182"/>
      <c r="AK1" s="182"/>
      <c r="AL1" s="181"/>
      <c r="AM1" s="180"/>
      <c r="AN1" s="182"/>
      <c r="AO1" s="182"/>
      <c r="AP1" s="182"/>
      <c r="AQ1" s="181"/>
      <c r="AR1" s="180"/>
      <c r="AS1" s="182"/>
      <c r="AT1" s="182"/>
      <c r="AU1" s="182"/>
      <c r="AV1" s="181"/>
      <c r="AW1" s="180"/>
      <c r="AX1" s="182"/>
      <c r="AY1" s="182"/>
      <c r="AZ1" s="182"/>
      <c r="BA1" s="181"/>
      <c r="BB1" s="180"/>
      <c r="BC1" s="182"/>
      <c r="BD1" s="182"/>
      <c r="BE1" s="182"/>
      <c r="BF1" s="181"/>
      <c r="BG1" s="180"/>
      <c r="BH1" s="182"/>
      <c r="BI1" s="182"/>
      <c r="BJ1" s="182"/>
      <c r="BK1" s="182"/>
      <c r="BL1" s="182"/>
      <c r="BM1" s="182"/>
      <c r="BN1" s="182"/>
      <c r="BO1" s="182"/>
      <c r="BP1" s="182"/>
    </row>
    <row r="2">
      <c r="A2" s="11"/>
      <c r="B2" s="183"/>
      <c r="C2" s="12"/>
      <c r="D2" s="12"/>
      <c r="E2" s="12"/>
      <c r="F2" s="12"/>
      <c r="G2" s="12"/>
      <c r="H2" s="11"/>
      <c r="I2" s="11"/>
      <c r="J2" s="12"/>
      <c r="K2" s="12"/>
      <c r="L2" s="12"/>
      <c r="M2" s="11"/>
      <c r="N2" s="12"/>
      <c r="O2" s="12"/>
      <c r="P2" s="12"/>
      <c r="Q2" s="12"/>
      <c r="R2" s="11"/>
      <c r="S2" s="11"/>
      <c r="T2" s="184"/>
      <c r="U2" s="184"/>
      <c r="V2" s="184"/>
      <c r="W2" s="11"/>
      <c r="X2" s="12"/>
      <c r="Y2" s="184"/>
      <c r="Z2" s="184"/>
      <c r="AA2" s="184"/>
      <c r="AB2" s="11"/>
      <c r="AC2" s="12"/>
      <c r="AD2" s="184"/>
      <c r="AE2" s="184"/>
      <c r="AF2" s="184"/>
      <c r="AG2" s="11"/>
      <c r="AH2" s="12"/>
      <c r="AI2" s="184"/>
      <c r="AJ2" s="184"/>
      <c r="AK2" s="184"/>
      <c r="AL2" s="11"/>
      <c r="AM2" s="12"/>
      <c r="AN2" s="184"/>
      <c r="AO2" s="184"/>
      <c r="AP2" s="184"/>
      <c r="AQ2" s="11"/>
      <c r="AR2" s="12"/>
      <c r="AS2" s="184"/>
      <c r="AT2" s="184"/>
      <c r="AU2" s="184"/>
      <c r="AV2" s="11"/>
      <c r="AW2" s="12"/>
      <c r="AX2" s="184"/>
      <c r="AY2" s="184"/>
      <c r="AZ2" s="184"/>
      <c r="BA2" s="11"/>
      <c r="BB2" s="12"/>
      <c r="BC2" s="184"/>
      <c r="BD2" s="184"/>
      <c r="BE2" s="184"/>
      <c r="BF2" s="11"/>
      <c r="BG2" s="12"/>
      <c r="BH2" s="184"/>
      <c r="BI2" s="184"/>
      <c r="BJ2" s="184"/>
      <c r="BK2" s="184"/>
      <c r="BL2" s="184"/>
      <c r="BM2" s="184"/>
      <c r="BN2" s="184"/>
      <c r="BO2" s="184"/>
      <c r="BP2" s="184"/>
    </row>
    <row r="3">
      <c r="A3" s="12"/>
      <c r="B3" s="185"/>
      <c r="C3" s="12"/>
      <c r="D3" s="12" t="str">
        <f t="array" ref="D3:D5">index(A3:A5,0)</f>
        <v/>
      </c>
      <c r="E3" s="12"/>
      <c r="F3" s="12"/>
      <c r="G3" s="12"/>
      <c r="H3" s="11"/>
      <c r="I3" s="11"/>
      <c r="J3" s="12"/>
      <c r="K3" s="12"/>
      <c r="L3" s="12"/>
      <c r="M3" s="11"/>
      <c r="N3" s="12"/>
      <c r="O3" s="12"/>
      <c r="P3" s="12"/>
      <c r="Q3" s="12"/>
      <c r="R3" s="11"/>
      <c r="S3" s="11"/>
      <c r="T3" s="184"/>
      <c r="U3" s="184"/>
      <c r="V3" s="184"/>
      <c r="W3" s="11"/>
      <c r="X3" s="12"/>
      <c r="Y3" s="184"/>
      <c r="Z3" s="184"/>
      <c r="AA3" s="184"/>
      <c r="AB3" s="11"/>
      <c r="AC3" s="12"/>
      <c r="AD3" s="184"/>
      <c r="AE3" s="184"/>
      <c r="AF3" s="184"/>
      <c r="AG3" s="11"/>
      <c r="AH3" s="12"/>
      <c r="AI3" s="184"/>
      <c r="AJ3" s="184"/>
      <c r="AK3" s="184"/>
      <c r="AL3" s="11"/>
      <c r="AM3" s="12"/>
      <c r="AN3" s="184"/>
      <c r="AO3" s="184"/>
      <c r="AP3" s="184"/>
      <c r="AQ3" s="11"/>
      <c r="AR3" s="12"/>
      <c r="AS3" s="184"/>
      <c r="AT3" s="184"/>
      <c r="AU3" s="184"/>
      <c r="AV3" s="11"/>
      <c r="AW3" s="12"/>
      <c r="AX3" s="184"/>
      <c r="AY3" s="184"/>
      <c r="AZ3" s="184"/>
      <c r="BA3" s="11"/>
      <c r="BB3" s="12"/>
      <c r="BC3" s="184"/>
      <c r="BD3" s="184"/>
      <c r="BE3" s="184"/>
      <c r="BF3" s="11"/>
      <c r="BG3" s="12"/>
      <c r="BH3" s="184"/>
      <c r="BI3" s="184"/>
      <c r="BJ3" s="184"/>
      <c r="BK3" s="184"/>
      <c r="BL3" s="184"/>
      <c r="BM3" s="184"/>
      <c r="BN3" s="184"/>
      <c r="BO3" s="184"/>
      <c r="BP3" s="184"/>
    </row>
    <row r="4">
      <c r="A4" s="186" t="s">
        <v>28</v>
      </c>
      <c r="B4" s="185"/>
      <c r="C4" s="12"/>
      <c r="D4" s="12" t="s">
        <v>28</v>
      </c>
      <c r="E4" s="12"/>
      <c r="F4" s="12"/>
      <c r="G4" s="12"/>
      <c r="H4" s="11"/>
      <c r="I4" s="11"/>
      <c r="J4" s="12"/>
      <c r="K4" s="12"/>
      <c r="L4" s="12"/>
      <c r="M4" s="11"/>
      <c r="N4" s="12"/>
      <c r="O4" s="12"/>
      <c r="P4" s="12"/>
      <c r="Q4" s="12"/>
      <c r="R4" s="11"/>
      <c r="S4" s="11"/>
      <c r="T4" s="184"/>
      <c r="U4" s="184"/>
      <c r="V4" s="184"/>
      <c r="W4" s="11"/>
      <c r="X4" s="12"/>
      <c r="Y4" s="184"/>
      <c r="Z4" s="184"/>
      <c r="AA4" s="184"/>
      <c r="AB4" s="11"/>
      <c r="AC4" s="12"/>
      <c r="AD4" s="184"/>
      <c r="AE4" s="184"/>
      <c r="AF4" s="184"/>
      <c r="AG4" s="11"/>
      <c r="AH4" s="12"/>
      <c r="AI4" s="184"/>
      <c r="AJ4" s="184"/>
      <c r="AK4" s="184"/>
      <c r="AL4" s="11"/>
      <c r="AM4" s="12"/>
      <c r="AN4" s="184"/>
      <c r="AO4" s="184"/>
      <c r="AP4" s="184"/>
      <c r="AQ4" s="11"/>
      <c r="AR4" s="12"/>
      <c r="AS4" s="184"/>
      <c r="AT4" s="184"/>
      <c r="AU4" s="184"/>
      <c r="AV4" s="11"/>
      <c r="AW4" s="12"/>
      <c r="AX4" s="184"/>
      <c r="AY4" s="184"/>
      <c r="AZ4" s="184"/>
      <c r="BA4" s="11"/>
      <c r="BB4" s="12"/>
      <c r="BC4" s="184"/>
      <c r="BD4" s="184"/>
      <c r="BE4" s="184"/>
      <c r="BF4" s="11"/>
      <c r="BG4" s="12"/>
      <c r="BH4" s="184"/>
      <c r="BI4" s="184"/>
      <c r="BJ4" s="184"/>
      <c r="BK4" s="184"/>
      <c r="BL4" s="184"/>
      <c r="BM4" s="184"/>
      <c r="BN4" s="184"/>
      <c r="BO4" s="184"/>
      <c r="BP4" s="184"/>
    </row>
    <row r="5" ht="225.0" customHeight="1">
      <c r="A5" s="187" t="str">
        <f>$A$7 &amp; $A$8 &amp; CHAR(10) &amp; $A$10 &amp; CHAR(10) &amp; CHAR(10) &amp; $A$11</f>
        <v>FABRIC TOKYO 新宿 2025-11-30 お直し適用サイズ
◼︎ パンツ（対応着地：お直し）
《修正数値》
パンツウエスト : 2 cm
《仕上がり数値》
パンツウエスト : cm
◼︎ ベスト（対応着地：お直し）
《修正数値》
バスト : -2 cm
ウエスト : -2 cm
着丈 : -1 cm
《仕上がり数値》
バスト : cm
ウエスト : cm
着丈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v>
      </c>
      <c r="B5" s="188" t="str">
        <f>"【お直し来店済み】" &amp; CHAR(10) &amp; 
 "来店⽇時：" &amp; text($A$1," yyyy/mm/dd")&amp; CHAR(10) &amp;
 "来店店舗：" &amp; $D$1 &amp; CHAR(10) &amp; CHAR(10) &amp;
 "お直し着地：" &amp; CHAR(10) &amp; $A$10</f>
        <v>【お直し来店済み】
来店⽇時： 2025/11/30
来店店舗：新宿
お直し着地：
◼︎ パンツ（対応着地：お直し）
《修正数値》
パンツウエスト : 2 cm
《仕上がり数値》
パンツウエスト : cm
◼︎ ベスト（対応着地：お直し）
《修正数値》
バスト : -2 cm
ウエスト : -2 cm
着丈 : -1 cm
《仕上がり数値》
バスト : cm
ウエスト : cm
着丈 : cm</v>
      </c>
      <c r="C5" s="12"/>
      <c r="D5" s="189" t="s">
        <v>131</v>
      </c>
      <c r="H5" s="11"/>
      <c r="I5" s="190" t="str">
        <f>"【お直し来店済み】" &amp; CHAR(10) &amp; 
 "来店⽇時：" &amp; text($A$1," yyyy/mm/dd")&amp; CHAR(10) &amp;
 "来店店舗：" &amp; $D$1 &amp; CHAR(10) &amp; CHAR(10) &amp;
 "お直し着地：" &amp; CHAR(10) &amp; $A$10</f>
        <v>【お直し来店済み】
来店⽇時： 2025/11/30
来店店舗：新宿
お直し着地：
◼︎ パンツ（対応着地：お直し）
《修正数値》
パンツウエスト : 2 cm
《仕上がり数値》
パンツウエスト : cm
◼︎ ベスト（対応着地：お直し）
《修正数値》
バスト : -2 cm
ウエスト : -2 cm
着丈 : -1 cm
《仕上がり数値》
バスト : cm
ウエスト : cm
着丈 : cm</v>
      </c>
      <c r="J5" s="12"/>
      <c r="K5" s="191" t="s">
        <v>30</v>
      </c>
      <c r="L5" s="12"/>
      <c r="M5" s="11"/>
      <c r="N5" s="12"/>
      <c r="O5" s="12"/>
      <c r="P5" s="12"/>
      <c r="Q5" s="12"/>
      <c r="R5" s="11"/>
      <c r="S5" s="11"/>
      <c r="T5" s="184"/>
      <c r="U5" s="184"/>
      <c r="V5" s="184"/>
      <c r="W5" s="11"/>
      <c r="X5" s="12"/>
      <c r="Y5" s="184"/>
      <c r="Z5" s="184"/>
      <c r="AA5" s="184"/>
      <c r="AB5" s="11"/>
      <c r="AC5" s="12"/>
      <c r="AD5" s="184"/>
      <c r="AE5" s="184"/>
      <c r="AF5" s="184"/>
      <c r="AG5" s="11"/>
      <c r="AH5" s="12"/>
      <c r="AI5" s="184"/>
      <c r="AJ5" s="184"/>
      <c r="AK5" s="184"/>
      <c r="AL5" s="11"/>
      <c r="AM5" s="12"/>
      <c r="AN5" s="184"/>
      <c r="AO5" s="184"/>
      <c r="AP5" s="184"/>
      <c r="AQ5" s="11"/>
      <c r="AR5" s="12"/>
      <c r="AS5" s="184"/>
      <c r="AT5" s="184"/>
      <c r="AU5" s="184"/>
      <c r="AV5" s="11"/>
      <c r="AW5" s="12"/>
      <c r="AX5" s="184"/>
      <c r="AY5" s="184"/>
      <c r="AZ5" s="184"/>
      <c r="BA5" s="11"/>
      <c r="BB5" s="12"/>
      <c r="BC5" s="184"/>
      <c r="BD5" s="184"/>
      <c r="BE5" s="184"/>
      <c r="BF5" s="11"/>
      <c r="BG5" s="12"/>
      <c r="BH5" s="184"/>
      <c r="BI5" s="184"/>
      <c r="BJ5" s="184"/>
      <c r="BK5" s="184"/>
      <c r="BL5" s="184"/>
      <c r="BM5" s="184"/>
      <c r="BN5" s="184"/>
      <c r="BO5" s="184"/>
      <c r="BP5" s="184"/>
    </row>
    <row r="6">
      <c r="A6" s="12"/>
      <c r="B6" s="186"/>
      <c r="C6" s="12"/>
      <c r="D6" s="12"/>
      <c r="E6" s="12"/>
      <c r="F6" s="12"/>
      <c r="G6" s="12"/>
      <c r="H6" s="11"/>
      <c r="I6" s="11"/>
      <c r="J6" s="12"/>
      <c r="K6" s="12"/>
      <c r="L6" s="12"/>
      <c r="M6" s="11"/>
      <c r="N6" s="12"/>
      <c r="O6" s="12"/>
      <c r="P6" s="12"/>
      <c r="Q6" s="12"/>
      <c r="R6" s="11"/>
      <c r="S6" s="11"/>
      <c r="T6" s="184"/>
      <c r="U6" s="184"/>
      <c r="V6" s="184"/>
      <c r="W6" s="11"/>
      <c r="X6" s="12"/>
      <c r="Y6" s="184"/>
      <c r="Z6" s="184"/>
      <c r="AA6" s="184"/>
      <c r="AB6" s="11"/>
      <c r="AC6" s="12"/>
      <c r="AD6" s="184"/>
      <c r="AE6" s="184"/>
      <c r="AF6" s="184"/>
      <c r="AG6" s="11"/>
      <c r="AH6" s="12"/>
      <c r="AI6" s="184"/>
      <c r="AJ6" s="184"/>
      <c r="AK6" s="184"/>
      <c r="AL6" s="11"/>
      <c r="AM6" s="12"/>
      <c r="AN6" s="184"/>
      <c r="AO6" s="184"/>
      <c r="AP6" s="184"/>
      <c r="AQ6" s="11"/>
      <c r="AR6" s="12"/>
      <c r="AS6" s="184"/>
      <c r="AT6" s="184"/>
      <c r="AU6" s="184"/>
      <c r="AV6" s="11"/>
      <c r="AW6" s="12"/>
      <c r="AX6" s="184"/>
      <c r="AY6" s="184"/>
      <c r="AZ6" s="184"/>
      <c r="BA6" s="11"/>
      <c r="BB6" s="12"/>
      <c r="BC6" s="184"/>
      <c r="BD6" s="184"/>
      <c r="BE6" s="184"/>
      <c r="BF6" s="11"/>
      <c r="BG6" s="12"/>
      <c r="BH6" s="184"/>
      <c r="BI6" s="184"/>
      <c r="BJ6" s="184"/>
      <c r="BK6" s="184"/>
      <c r="BL6" s="184"/>
      <c r="BM6" s="184"/>
      <c r="BN6" s="184"/>
      <c r="BO6" s="184"/>
      <c r="BP6" s="184"/>
    </row>
    <row r="7" ht="28.5" customHeight="1">
      <c r="A7" s="192" t="str">
        <f>IF((SUM(LEN(I11), LEN(N11), LEN(S11), LEN(X11), LEN(AC11), LEN(AH11), LEN(AM11), LEN(AR11), LEN(AW11), LEN(BB11), LEN(BG11)))&gt;0, "FABRIC TOKYO "&amp; $D$1 &amp; " " &amp; TEXT($A$1, "yyyy-m-d") &amp; " お直し適用サイズ" &amp; CHAR(10), "")</f>
        <v>FABRIC TOKYO 新宿 2025-11-30 お直し適用サイズ
</v>
      </c>
      <c r="B7" s="193"/>
      <c r="C7" s="12"/>
      <c r="D7" s="194" t="s">
        <v>31</v>
      </c>
      <c r="E7" s="12"/>
      <c r="F7" s="12"/>
      <c r="G7" s="12"/>
      <c r="H7" s="11"/>
      <c r="I7" s="11"/>
      <c r="J7" s="12"/>
      <c r="K7" s="12"/>
      <c r="L7" s="12"/>
      <c r="M7" s="11"/>
      <c r="N7" s="12"/>
      <c r="O7" s="12"/>
      <c r="P7" s="12"/>
      <c r="Q7" s="12"/>
      <c r="R7" s="11"/>
      <c r="S7" s="11"/>
      <c r="T7" s="184"/>
      <c r="U7" s="184"/>
      <c r="V7" s="184"/>
      <c r="W7" s="11"/>
      <c r="X7" s="12"/>
      <c r="Y7" s="184"/>
      <c r="Z7" s="184"/>
      <c r="AA7" s="184"/>
      <c r="AB7" s="11"/>
      <c r="AC7" s="12"/>
      <c r="AD7" s="184"/>
      <c r="AE7" s="184"/>
      <c r="AF7" s="184"/>
      <c r="AG7" s="11"/>
      <c r="AH7" s="12"/>
      <c r="AI7" s="184"/>
      <c r="AJ7" s="184"/>
      <c r="AK7" s="184"/>
      <c r="AL7" s="11"/>
      <c r="AM7" s="12"/>
      <c r="AN7" s="184"/>
      <c r="AO7" s="184"/>
      <c r="AP7" s="184"/>
      <c r="AQ7" s="11"/>
      <c r="AR7" s="12"/>
      <c r="AS7" s="184"/>
      <c r="AT7" s="184"/>
      <c r="AU7" s="184"/>
      <c r="AV7" s="11"/>
      <c r="AW7" s="12"/>
      <c r="AX7" s="184"/>
      <c r="AY7" s="184"/>
      <c r="AZ7" s="184"/>
      <c r="BA7" s="11"/>
      <c r="BB7" s="12"/>
      <c r="BC7" s="184"/>
      <c r="BD7" s="184"/>
      <c r="BE7" s="184"/>
      <c r="BF7" s="11"/>
      <c r="BG7" s="12"/>
      <c r="BH7" s="184"/>
      <c r="BI7" s="184"/>
      <c r="BJ7" s="184"/>
      <c r="BK7" s="184"/>
      <c r="BL7" s="184"/>
      <c r="BM7" s="184"/>
      <c r="BN7" s="184"/>
      <c r="BO7" s="184"/>
      <c r="BP7" s="184"/>
    </row>
    <row r="8">
      <c r="A8" s="192" t="str">
        <f>ifs($D$11&lt;&gt;"", 
"FABRIC TOKYO "&amp; $D$1&amp; "" &amp; text($A$1," yyyy-m-d"&amp;" お直し適用サイズ ＊スーツサイズ")
&amp; CHAR(10) &amp;
"FABRIC TOKYO "&amp; $D$1&amp; "" &amp; text($A$1," yyyy-m-d"&amp;" お直し適用サイズ ＊ビジネスカジュアルサイズ" &amp; CHAR(10))
,
$D$11="", "")</f>
        <v/>
      </c>
      <c r="B8" s="193"/>
      <c r="C8" s="195"/>
      <c r="D8" s="196">
        <f>IF(OR($D$11="再製作", $I$11="再製作", $N$11="再製作"), "再製作", 
  IF(AND(COUNTIF($E$11:$O$11, "&gt;=" &amp;  TODAY()), COUNTIF($E$11:$O11, "&lt;&gt;")), MAX($D$11, $I$11, $N$11), ""))</f>
        <v>46008</v>
      </c>
      <c r="E8" s="197" t="s">
        <v>32</v>
      </c>
      <c r="F8" s="12"/>
      <c r="G8" s="12"/>
      <c r="H8" s="12"/>
      <c r="I8" s="12"/>
      <c r="J8" s="195"/>
      <c r="K8" s="195"/>
      <c r="L8" s="195"/>
      <c r="M8" s="11"/>
      <c r="N8" s="198" t="s">
        <v>33</v>
      </c>
      <c r="O8" s="12"/>
      <c r="P8" s="12"/>
      <c r="Q8" s="12"/>
      <c r="R8" s="11"/>
      <c r="S8" s="11"/>
      <c r="T8" s="184"/>
      <c r="U8" s="184"/>
      <c r="V8" s="184"/>
      <c r="W8" s="11"/>
      <c r="X8" s="12"/>
      <c r="Y8" s="184"/>
      <c r="Z8" s="184"/>
      <c r="AA8" s="184"/>
      <c r="AB8" s="11"/>
      <c r="AC8" s="12"/>
      <c r="AD8" s="184"/>
      <c r="AE8" s="184"/>
      <c r="AF8" s="184"/>
      <c r="AG8" s="11"/>
      <c r="AH8" s="12"/>
      <c r="AI8" s="184"/>
      <c r="AJ8" s="184"/>
      <c r="AK8" s="184"/>
      <c r="AL8" s="11"/>
      <c r="AM8" s="12"/>
      <c r="AN8" s="184"/>
      <c r="AO8" s="184"/>
      <c r="AP8" s="184"/>
      <c r="AQ8" s="11"/>
      <c r="AR8" s="12"/>
      <c r="AS8" s="184"/>
      <c r="AT8" s="184"/>
      <c r="AU8" s="184"/>
      <c r="AV8" s="11"/>
      <c r="AW8" s="12"/>
      <c r="AX8" s="184"/>
      <c r="AY8" s="184"/>
      <c r="AZ8" s="184"/>
      <c r="BA8" s="11"/>
      <c r="BB8" s="12"/>
      <c r="BC8" s="184"/>
      <c r="BD8" s="184"/>
      <c r="BE8" s="184"/>
      <c r="BF8" s="11"/>
      <c r="BG8" s="12"/>
      <c r="BH8" s="184"/>
      <c r="BI8" s="184"/>
      <c r="BJ8" s="184"/>
      <c r="BK8" s="184"/>
      <c r="BL8" s="184"/>
      <c r="BM8" s="184"/>
      <c r="BN8" s="184"/>
      <c r="BO8" s="184"/>
      <c r="BP8" s="184"/>
    </row>
    <row r="9">
      <c r="A9" s="12"/>
      <c r="B9" s="186"/>
      <c r="C9" s="12"/>
      <c r="D9" s="12"/>
      <c r="E9" s="11"/>
      <c r="F9" s="11"/>
      <c r="G9" s="11"/>
      <c r="H9" s="11"/>
      <c r="I9" s="11"/>
      <c r="J9" s="11"/>
      <c r="K9" s="11"/>
      <c r="L9" s="11"/>
      <c r="M9" s="11"/>
      <c r="N9" s="11"/>
      <c r="O9" s="11"/>
      <c r="P9" s="11"/>
      <c r="Q9" s="11"/>
      <c r="R9" s="11"/>
      <c r="S9" s="12"/>
      <c r="T9" s="184"/>
      <c r="U9" s="184"/>
      <c r="V9" s="184"/>
      <c r="W9" s="11"/>
      <c r="X9" s="12"/>
      <c r="Y9" s="184"/>
      <c r="Z9" s="184"/>
      <c r="AA9" s="184"/>
      <c r="AB9" s="11"/>
      <c r="AC9" s="12"/>
      <c r="AD9" s="184"/>
      <c r="AE9" s="184"/>
      <c r="AF9" s="184"/>
      <c r="AG9" s="11"/>
      <c r="AH9" s="12"/>
      <c r="AI9" s="184"/>
      <c r="AJ9" s="184"/>
      <c r="AK9" s="184"/>
      <c r="AL9" s="11"/>
      <c r="AM9" s="12"/>
      <c r="AN9" s="184"/>
      <c r="AO9" s="184"/>
      <c r="AP9" s="184"/>
      <c r="AQ9" s="11"/>
      <c r="AR9" s="12"/>
      <c r="AS9" s="184"/>
      <c r="AT9" s="184"/>
      <c r="AU9" s="184"/>
      <c r="AV9" s="11"/>
      <c r="AW9" s="12"/>
      <c r="AX9" s="184"/>
      <c r="AY9" s="184"/>
      <c r="AZ9" s="184"/>
      <c r="BA9" s="11"/>
      <c r="BB9" s="12"/>
      <c r="BC9" s="184"/>
      <c r="BD9" s="184"/>
      <c r="BE9" s="184"/>
      <c r="BF9" s="11"/>
      <c r="BG9" s="12"/>
      <c r="BH9" s="184"/>
      <c r="BI9" s="184"/>
      <c r="BJ9" s="184"/>
      <c r="BK9" s="184"/>
      <c r="BL9" s="184"/>
      <c r="BM9" s="184"/>
      <c r="BN9" s="184"/>
      <c r="BO9" s="184"/>
      <c r="BP9" s="184"/>
    </row>
    <row r="10" ht="15.75" customHeight="1">
      <c r="A10" s="199" t="str">
        <f t="array" ref="A10">TRIM(
 IF($A$14&lt;&gt;"",TEXTJOIN(CHAR(10),TRUE,IF($A$14:$A$17&lt;&gt;"",$A$14:$A$17,"")) &amp; CHAR(10) &amp; CHAR(10),"") &amp;
 IF($A$19&lt;&gt;"",TEXTJOIN(CHAR(10),TRUE,IF($A$19:$A$22&lt;&gt;"",$A$19:$A$22,"")) &amp; CHAR(10) &amp; CHAR(10),"") &amp;
 IF($A$24&lt;&gt;"",TEXTJOIN(CHAR(10),TRUE,IF($A$24:$A$27&lt;&gt;"",$A$24:$A$27,"")) &amp; CHAR(10) &amp; CHAR(10),"") &amp;
 IF($A$29&lt;&gt;"",TEXTJOIN(CHAR(10),TRUE,IF($A$29:$A$32&lt;&gt;"",$A$29:$A$32,"")) &amp; CHAR(10) &amp; CHAR(10),"") &amp;
 IF($A$34&lt;&gt;"",TEXTJOIN(CHAR(10),TRUE,IF($A$34:$A$37&lt;&gt;"",$A$34:$A$37,"")) &amp; CHAR(10) &amp; CHAR(10),"") &amp;
 IF($A$39&lt;&gt;"",TEXTJOIN(CHAR(10),TRUE,IF($A$39:$A$42&lt;&gt;"",$A$39:$A$42,"")) &amp; CHAR(10) &amp; CHAR(10),"") &amp;
 IF($A$44&lt;&gt;"",TEXTJOIN(CHAR(10),TRUE,IF($A$44:$A$47&lt;&gt;"",$A$44:$A$47,"")) &amp; CHAR(10) &amp; CHAR(10),"") &amp;
 IF($A$49&lt;&gt;"",TEXTJOIN(CHAR(10),TRUE,IF($A$49:$A$52&lt;&gt;"",$A$49:$A$52,"")) &amp; CHAR(10) &amp; CHAR(10),"") &amp;
 IF($A$54&lt;&gt;"",TEXTJOIN(CHAR(10),TRUE,IF($A$54:$A$57&lt;&gt;"",$A$54:$A$57,"")) &amp; CHAR(10) &amp; CHAR(10),"") &amp;
 IF($A$59&lt;&gt;"",TEXTJOIN(CHAR(10),TRUE,IF($A$59:$A$62&lt;&gt;"",$A$59:$A$62,"")) &amp; CHAR(10) &amp; CHAR(10),"") &amp;
 IF($A$64&lt;&gt;"",TEXTJOIN(CHAR(10),TRUE,IF($A$64:$A$67&lt;&gt;"",$A$64:$A$67,"")) &amp; CHAR(10) &amp; CHAR(10),"") &amp;
 IF($A$69&lt;&gt;"",TEXTJOIN(CHAR(10),TRUE,IF($A$69:$A$72&lt;&gt;"",$A$69:$A$72,"")) &amp; CHAR(10) &amp; CHAR(10),"") 
)
</f>
        <v>◼︎ パンツ（対応着地：お直し）
《修正数値》
パンツウエスト : 2 cm
《仕上がり数値》
パンツウエスト : cm
◼︎ ベスト（対応着地：お直し）
《修正数値》
バスト : -2 cm
ウエスト : -2 cm
着丈 : -1 cm
《仕上がり数値》
バスト : cm
ウエスト : cm
着丈 : cm</v>
      </c>
      <c r="B10" s="12"/>
      <c r="C10" s="12"/>
      <c r="D10" s="200" t="s">
        <v>34</v>
      </c>
      <c r="E10" s="201"/>
      <c r="F10" s="201"/>
      <c r="G10" s="202" t="s">
        <v>35</v>
      </c>
      <c r="H10" s="11"/>
      <c r="I10" s="200" t="s">
        <v>36</v>
      </c>
      <c r="J10" s="203"/>
      <c r="K10" s="201"/>
      <c r="L10" s="202" t="s">
        <v>35</v>
      </c>
      <c r="M10" s="11"/>
      <c r="N10" s="204" t="s">
        <v>37</v>
      </c>
      <c r="O10" s="203"/>
      <c r="P10" s="201"/>
      <c r="Q10" s="202" t="s">
        <v>35</v>
      </c>
      <c r="R10" s="11"/>
      <c r="S10" s="200" t="s">
        <v>38</v>
      </c>
      <c r="T10" s="203"/>
      <c r="U10" s="201"/>
      <c r="V10" s="202" t="s">
        <v>35</v>
      </c>
      <c r="W10" s="11"/>
      <c r="X10" s="200" t="s">
        <v>39</v>
      </c>
      <c r="Y10" s="203"/>
      <c r="Z10" s="201"/>
      <c r="AA10" s="202" t="s">
        <v>35</v>
      </c>
      <c r="AB10" s="11"/>
      <c r="AC10" s="200" t="s">
        <v>40</v>
      </c>
      <c r="AD10" s="203"/>
      <c r="AE10" s="201"/>
      <c r="AF10" s="202" t="s">
        <v>35</v>
      </c>
      <c r="AG10" s="11"/>
      <c r="AH10" s="200" t="s">
        <v>41</v>
      </c>
      <c r="AI10" s="203"/>
      <c r="AJ10" s="201"/>
      <c r="AK10" s="202" t="s">
        <v>35</v>
      </c>
      <c r="AL10" s="11"/>
      <c r="AM10" s="200" t="s">
        <v>42</v>
      </c>
      <c r="AN10" s="203"/>
      <c r="AO10" s="201"/>
      <c r="AP10" s="202" t="s">
        <v>35</v>
      </c>
      <c r="AQ10" s="11"/>
      <c r="AR10" s="200" t="s">
        <v>43</v>
      </c>
      <c r="AS10" s="203"/>
      <c r="AT10" s="201"/>
      <c r="AU10" s="202" t="s">
        <v>35</v>
      </c>
      <c r="AV10" s="12"/>
      <c r="AW10" s="200" t="s">
        <v>44</v>
      </c>
      <c r="AX10" s="203"/>
      <c r="AY10" s="201"/>
      <c r="AZ10" s="202" t="s">
        <v>35</v>
      </c>
      <c r="BA10" s="12"/>
      <c r="BB10" s="200" t="s">
        <v>45</v>
      </c>
      <c r="BC10" s="203"/>
      <c r="BD10" s="201"/>
      <c r="BE10" s="202" t="s">
        <v>35</v>
      </c>
      <c r="BF10" s="12"/>
      <c r="BG10" s="200" t="s">
        <v>46</v>
      </c>
      <c r="BH10" s="203"/>
      <c r="BI10" s="201"/>
      <c r="BJ10" s="202" t="s">
        <v>35</v>
      </c>
      <c r="BK10" s="12"/>
      <c r="BL10" s="200" t="s">
        <v>47</v>
      </c>
      <c r="BM10" s="201"/>
      <c r="BN10" s="201"/>
      <c r="BO10" s="202" t="s">
        <v>35</v>
      </c>
      <c r="BP10" s="12"/>
    </row>
    <row r="11" ht="37.5" customHeight="1">
      <c r="A11" s="205" t="s">
        <v>48</v>
      </c>
      <c r="B11" s="206"/>
      <c r="C11" s="207"/>
      <c r="D11" s="196" t="str">
        <f t="array" ref="D11">IFS( COUNTA(F$13:F27) = 0, "", COUNTIF(F$13:F27, "再製作") &gt; 0, "再製作", COUNTIF(F$13:F27, "&gt;0") = 1, INDEX(F$13:F27, MATCH(TRUE, ISNUMBER(F$13:F27), 0)), COUNTIF(F$13:F27, "&gt;0") = 2, 'アイテム別限界値DB'!$S$4, COUNTIF(F$13:F27, "&gt;0") &gt;= 3, 'アイテム別限界値DB'!$S$6, TRUE, "" ) </f>
        <v/>
      </c>
      <c r="E11" s="208" t="s">
        <v>49</v>
      </c>
      <c r="F11" s="202" t="s">
        <v>50</v>
      </c>
      <c r="G11" s="209">
        <f>sum(G12:G72)</f>
        <v>0</v>
      </c>
      <c r="H11" s="206"/>
      <c r="I11" s="196">
        <f t="array" ref="I11">IFS( COUNTA(K$13:K27) = 0, "", COUNTIF(K$13:K27, "再製作") &gt; 0, "再製作", COUNTIF(K$13:K27, "&gt;0") = 1, INDEX(K$13:K27, MATCH(TRUE, ISNUMBER(K$13:K27), 0)), COUNTIF(K$13:K27, "&gt;0") = 2, 'アイテム別限界値DB'!$S$8, COUNTIF(K$13:K27, "&gt;0") &gt;= 3, 'アイテム別限界値DB'!$S$10, TRUE, "" ) </f>
        <v>45996</v>
      </c>
      <c r="J11" s="210" t="s">
        <v>49</v>
      </c>
      <c r="K11" s="202" t="s">
        <v>50</v>
      </c>
      <c r="L11" s="209">
        <f>sum(L12:L72)</f>
        <v>0</v>
      </c>
      <c r="M11" s="206"/>
      <c r="N11" s="196">
        <f t="array" ref="N11">IFS( COUNTA(P$13:P27) = 0, "", COUNTIF(P$13:P27, "再製作") &gt; 0, "再製作", COUNTIF(P$13:P27, "&gt;0") = 1, INDEX(P$13:P27, MATCH(TRUE, ISNUMBER(P$13:P27), 0)), COUNTIF(P$13:P27, "&gt;0") = 2, 'アイテム別限界値DB'!$S$4, COUNTIF(P$13:P27, "&gt;0") &gt;= 3, 'アイテム別限界値DB'!$S$6, TRUE, "" ) </f>
        <v>46008</v>
      </c>
      <c r="O11" s="210" t="s">
        <v>49</v>
      </c>
      <c r="P11" s="202" t="s">
        <v>50</v>
      </c>
      <c r="Q11" s="209">
        <f>sum(Q12:Q72)</f>
        <v>0</v>
      </c>
      <c r="R11" s="211"/>
      <c r="S11" s="196" t="str">
        <f t="array" ref="S11">IFS( COUNTA(U$13:U27) = 0, "", COUNTIF(U$13:U27, "再製作") &gt; 0, "再製作", COUNTIF(U$13:U27, "&gt;0") = 1, INDEX(U$13:U27, MATCH(TRUE, ISNUMBER(U$13:U27), 0)), COUNTIF(U$13:U27, "&gt;0") = 2, 'アイテム別限界値DB'!$S$8, COUNTIF(U$13:U27, "&gt;0") &gt;= 3, 'アイテム別限界値DB'!$S$10, TRUE, "" ) </f>
        <v/>
      </c>
      <c r="T11" s="210" t="s">
        <v>49</v>
      </c>
      <c r="U11" s="202" t="s">
        <v>50</v>
      </c>
      <c r="V11" s="209">
        <f>sum(V12:V72)</f>
        <v>0</v>
      </c>
      <c r="W11" s="212"/>
      <c r="X11" s="196" t="str">
        <f t="array" ref="X11">IFS( COUNTA(Z$13:Z27) = 0, "", COUNTIF(Z$13:Z27, "再製作") &gt; 0, "再製作", COUNTIF(Z$13:Z27, "&gt;0") = 1, INDEX(Z$13:Z27, MATCH(TRUE, ISNUMBER(Z$13:Z27), 0)), COUNTIF(Z$13:Z27, "&gt;0") = 2, 'アイテム別限界値DB'!$S$4, COUNTIF(Z$13:Z27, "&gt;0") &gt;= 3, 'アイテム別限界値DB'!$S$6, TRUE, "" ) </f>
        <v/>
      </c>
      <c r="Y11" s="210" t="s">
        <v>49</v>
      </c>
      <c r="Z11" s="202" t="s">
        <v>50</v>
      </c>
      <c r="AA11" s="209">
        <f>sum(AA12:AA72)</f>
        <v>0</v>
      </c>
      <c r="AB11" s="211"/>
      <c r="AC11" s="196" t="str">
        <f t="array" ref="AC11">IFS( COUNTA(AE$13:AE27) = 0, "", COUNTIF(AE$13:AE27, "再製作") &gt; 0, "再製作", COUNTIF(AE$13:AE27, "&gt;0") = 1, INDEX(AE$13:AE27, MATCH(TRUE, ISNUMBER(AE$13:AE27), 0)), COUNTIF(AE$13:AE27, "&gt;0") = 2, 'アイテム別限界値DB'!$S$4, COUNTIF(AE$13:AE27, "&gt;0") &gt;= 3, 'アイテム別限界値DB'!$S$6, TRUE, "" ) </f>
        <v/>
      </c>
      <c r="AD11" s="210" t="s">
        <v>49</v>
      </c>
      <c r="AE11" s="202" t="s">
        <v>50</v>
      </c>
      <c r="AF11" s="209">
        <f>sum(AF12:AF72)</f>
        <v>0</v>
      </c>
      <c r="AG11" s="211"/>
      <c r="AH11" s="196" t="str">
        <f t="array" ref="AH11">IFS( COUNTA(AJ$13:AJ27) = 0, "", COUNTIF(AJ$13:AJ27, "再製作") &gt; 0, "再製作", COUNTIF(AJ$13:AJ27, "&gt;0") = 1, INDEX(AJ$13:AJ27, MATCH(TRUE, ISNUMBER(AJ$13:AJ27), 0)), COUNTIF(AJ$13:AJ27, "&gt;0") = 2, 'アイテム別限界値DB'!$S$4, COUNTIF(AJ$13:AJ27, "&gt;0") &gt;= 3, 'アイテム別限界値DB'!$S$6, TRUE, "" ) </f>
        <v/>
      </c>
      <c r="AI11" s="210" t="s">
        <v>49</v>
      </c>
      <c r="AJ11" s="202" t="s">
        <v>50</v>
      </c>
      <c r="AK11" s="209">
        <f>sum(AK12:AK72)</f>
        <v>0</v>
      </c>
      <c r="AL11" s="211"/>
      <c r="AM11" s="196" t="str">
        <f t="array" ref="AM11">IFS( COUNTA(AO$13:AO27) = 0, "", COUNTIF(AO$13:AO27, "再製作") &gt; 0, "再製作", COUNTIF(AO$13:AO27, "&gt;0") = 1, INDEX(AO$13:AO27, MATCH(TRUE, ISNUMBER(AO$13:AO27), 0)), COUNTIF(AO$13:AO27, "&gt;0") = 2, 'アイテム別限界値DB'!$S$4, COUNTIF(AO$13:AO27, "&gt;0") &gt;= 3, 'アイテム別限界値DB'!$S$6, TRUE, "" ) </f>
        <v/>
      </c>
      <c r="AN11" s="210" t="s">
        <v>49</v>
      </c>
      <c r="AO11" s="202" t="s">
        <v>50</v>
      </c>
      <c r="AP11" s="209">
        <f>sum(AP12:AP72)</f>
        <v>0</v>
      </c>
      <c r="AQ11" s="211"/>
      <c r="AR11" s="196" t="str">
        <f t="array" ref="AR11">IFS( COUNTA(AT$13:AT27) = 0, "", COUNTIF(AT$13:AT27, "再製作") &gt; 0, "再製作", COUNTIF(AT$13:AT27, "&gt;0") = 1, INDEX(AT$13:AT27, MATCH(TRUE, ISNUMBER(AT$13:AT27), 0)), COUNTIF(AT$13:AT27, "&gt;0") = 2, 'アイテム別限界値DB'!$S$4, COUNTIF(AT$13:AT27, "&gt;0") &gt;= 3, 'アイテム別限界値DB'!$S$6, TRUE, "" ) </f>
        <v/>
      </c>
      <c r="AS11" s="210" t="s">
        <v>49</v>
      </c>
      <c r="AT11" s="202" t="s">
        <v>50</v>
      </c>
      <c r="AU11" s="209">
        <f>sum(AU12:AU72)</f>
        <v>0</v>
      </c>
      <c r="AV11" s="213"/>
      <c r="AW11" s="196" t="str">
        <f t="array" ref="AW11">IFS( COUNTA(AY$13:AY27) = 0, "", COUNTIF(AY$13:AY27, "再製作") &gt; 0, "再製作", COUNTIF(AY$13:AY27, "&gt;0") = 1, INDEX(AY$13:AY27, MATCH(TRUE, ISNUMBER(AY$13:AY27), 0)), COUNTIF(AY$13:AY27, "&gt;0") = 2, 'アイテム別限界値DB'!$S$4, COUNTIF(AY$13:AY27, "&gt;0") &gt;= 3, 'アイテム別限界値DB'!$S$6, TRUE, "" ) </f>
        <v/>
      </c>
      <c r="AX11" s="210" t="s">
        <v>49</v>
      </c>
      <c r="AY11" s="202" t="s">
        <v>50</v>
      </c>
      <c r="AZ11" s="209">
        <f>sum(AZ12:AZ72)</f>
        <v>0</v>
      </c>
      <c r="BA11" s="213"/>
      <c r="BB11" s="196" t="str">
        <f t="array" ref="BB11">IFS( COUNTA(BD$13:BD27) = 0, "", COUNTIF(BD$13:BD27, "再製作") &gt; 0, "再製作", COUNTIF(BD$13:BD27, "&gt;0") = 1, INDEX(BD$13:BD27, MATCH(TRUE, ISNUMBER(BD$13:BD27), 0)), COUNTIF(BD$13:BD27, "&gt;0") = 2, 'アイテム別限界値DB'!$S$4, COUNTIF(BD$13:BD27, "&gt;0") &gt;= 3, 'アイテム別限界値DB'!$S$6, TRUE, "" ) </f>
        <v/>
      </c>
      <c r="BC11" s="210" t="s">
        <v>49</v>
      </c>
      <c r="BD11" s="202" t="s">
        <v>50</v>
      </c>
      <c r="BE11" s="209">
        <f>sum(BE12:BE72)</f>
        <v>0</v>
      </c>
      <c r="BF11" s="213"/>
      <c r="BG11" s="196" t="str">
        <f t="array" ref="BG11">IFS( COUNTA(BI$13:BI27) = 0, "", COUNTIF(BI$13:BI27, "再製作") &gt; 0, "再製作", COUNTIF(BI$13:BI27, "&gt;0") = 1, INDEX(BI$13:BI27, MATCH(TRUE, ISNUMBER(BI$13:BI27), 0)), COUNTIF(BI$13:BI27, "&gt;0") = 2, 'アイテム別限界値DB'!$S$4, COUNTIF(BI$13:BI27, "&gt;0") &gt;= 3, 'アイテム別限界値DB'!$S$6, TRUE, "" ) </f>
        <v/>
      </c>
      <c r="BH11" s="210" t="s">
        <v>49</v>
      </c>
      <c r="BI11" s="202" t="s">
        <v>50</v>
      </c>
      <c r="BJ11" s="209">
        <f>sum(BJ12:BJ72)</f>
        <v>0</v>
      </c>
      <c r="BK11" s="213"/>
      <c r="BL11" s="196">
        <f t="array" ref="BL11">IFS( COUNTA(BN$13:BN27) = 0, "", COUNTIF(BN$13:BN27, "再製作") &gt; 0, "再製作", COUNTIF(BN$13:BN27, "&gt;0") = 1, INDEX(BN$13:BN27, MATCH(TRUE, ISNUMBER(BN$13:BN27), 0)), COUNTIF(BN$13:BN27, "&gt;0") = 2, 'アイテム別限界値DB'!$S$4, COUNTIF(BN$13:BN27, "&gt;0") &gt;= 3, 'アイテム別限界値DB'!$S$6, TRUE, "" ) </f>
        <v>46003</v>
      </c>
      <c r="BM11" s="214" t="s">
        <v>49</v>
      </c>
      <c r="BN11" s="215" t="s">
        <v>50</v>
      </c>
      <c r="BO11" s="209">
        <f>sum(BO12:BO72)</f>
        <v>0</v>
      </c>
      <c r="BP11" s="213"/>
    </row>
    <row r="12" ht="15.75" hidden="1" customHeight="1">
      <c r="A12" s="11"/>
      <c r="B12" s="11"/>
      <c r="C12" s="11"/>
      <c r="D12" s="216" t="s">
        <v>51</v>
      </c>
      <c r="E12" s="217" t="str">
        <f>IF(D11="再製作", "再製作", IF(D11&lt;&gt;"", "お直し", ""))
</f>
        <v/>
      </c>
      <c r="F12" s="195"/>
      <c r="G12" s="218" t="str">
        <f t="array" ref="G12">IF(
  E12 = "再製作", 
  "", 
 if(E12="", "",
  IFERROR(
    INDEX(
      'アイテム別限界値DB'!$L:$L, 
      MATCH(
        1, 
        ('アイテム別限界値DB'!$B:$B = D$10) * 
        ('アイテム別限界値DB'!$C:$C = D12), 
        0
      )
    ), 
    "再製作"
  )
))
</f>
        <v/>
      </c>
      <c r="H12" s="12"/>
      <c r="I12" s="216" t="s">
        <v>51</v>
      </c>
      <c r="J12" s="217" t="str">
        <f>IF(I11="再製作", "再製作", IF(I11&lt;&gt;"", "お直し", ""))
</f>
        <v>お直し</v>
      </c>
      <c r="K12" s="195"/>
      <c r="L12" s="218" t="str">
        <f t="array" ref="L12">IF(
  J12 = "再製作", 
  "", 
 if(J12="", "",
  IFERROR(
    INDEX(
      'アイテム別限界値DB'!$L:$L, 
      MATCH(
        1, 
        ('アイテム別限界値DB'!$B:$B = I$10) * 
        ('アイテム別限界値DB'!$C:$C = I12), 
        0
      )
    ), 
    "再製作"
  )
))
</f>
        <v/>
      </c>
      <c r="M12" s="121"/>
      <c r="N12" s="216" t="s">
        <v>51</v>
      </c>
      <c r="O12" s="217" t="str">
        <f>IF(N11="再製作", "再製作", IF(N11&lt;&gt;"", "お直し", ""))
</f>
        <v>お直し</v>
      </c>
      <c r="P12" s="195"/>
      <c r="Q12" s="218" t="str">
        <f t="array" ref="Q12">IF(
  O12 = "再製作", 
  "", 
 if(O12="", "",
  IFERROR(
    INDEX(
      'アイテム別限界値DB'!$L:$L, 
      MATCH(
        1, 
        ('アイテム別限界値DB'!$B:$B = N$10) * 
        ('アイテム別限界値DB'!$C:$C = N12), 
        0
      )
    ), 
    "再製作"
  )
))
</f>
        <v/>
      </c>
      <c r="R12" s="11"/>
      <c r="S12" s="216" t="s">
        <v>51</v>
      </c>
      <c r="T12" s="219" t="str">
        <f>IF(S11="再製作", "再製作", IF(S11&lt;&gt;"", "お直し", ""))
</f>
        <v/>
      </c>
      <c r="U12" s="220"/>
      <c r="V12" s="218" t="str">
        <f t="array" ref="V12">IF(
  T12 = "再製作", 
  "", 
 if(T12="", "",
  IFERROR(
    INDEX(
      'アイテム別限界値DB'!$L:$L, 
      MATCH(
        1, 
        ('アイテム別限界値DB'!$B:$B = S$10) * 
        ('アイテム別限界値DB'!$C:$C = S12), 
        0
      )
    ), 
    "再製作"
  )
))
</f>
        <v/>
      </c>
      <c r="W12" s="12"/>
      <c r="X12" s="216" t="s">
        <v>51</v>
      </c>
      <c r="Y12" s="219" t="str">
        <f>IF(X11="再製作", "再製作", IF(X11&lt;&gt;"", "お直し", ""))
</f>
        <v/>
      </c>
      <c r="Z12" s="220"/>
      <c r="AA12" s="218" t="str">
        <f t="array" ref="AA12">IF(
  Y12 = "再製作", 
  "", 
 if(Y12="", "",
  IFERROR(
    INDEX(
      'アイテム別限界値DB'!$L:$L, 
      MATCH(
        1, 
        ('アイテム別限界値DB'!$B:$B = X$10) * 
        ('アイテム別限界値DB'!$C:$C = X12), 
        0
      )
    ), 
    "再製作"
  )
))
</f>
        <v/>
      </c>
      <c r="AB12" s="11"/>
      <c r="AC12" s="216" t="s">
        <v>51</v>
      </c>
      <c r="AD12" s="219" t="str">
        <f>IF(AC11="再製作", "再製作", IF(AC11&lt;&gt;"", "お直し", ""))
</f>
        <v/>
      </c>
      <c r="AE12" s="220"/>
      <c r="AF12" s="218" t="str">
        <f t="array" ref="AF12">IF(
  AD12 = "再製作", 
  "", 
 if(AD12="", "",
  IFERROR(
    INDEX(
      'アイテム別限界値DB'!$L:$L, 
      MATCH(
        1, 
        ('アイテム別限界値DB'!$B:$B = AC$10) * 
        ('アイテム別限界値DB'!$C:$C = AC12), 
        0
      )
    ), 
    "再製作"
  )
))
</f>
        <v/>
      </c>
      <c r="AG12" s="11"/>
      <c r="AH12" s="216" t="s">
        <v>51</v>
      </c>
      <c r="AI12" s="219" t="str">
        <f>IF(AH11="再製作", "再製作", IF(AH11&lt;&gt;"", "お直し", ""))
</f>
        <v/>
      </c>
      <c r="AJ12" s="220"/>
      <c r="AK12" s="218" t="str">
        <f t="array" ref="AK12">IF(
  AI12 = "再製作", 
  "", 
 if(AI12="", "",
  IFERROR(
    INDEX(
      'アイテム別限界値DB'!$L:$L, 
      MATCH(
        1, 
        ('アイテム別限界値DB'!$B:$B = AH$10) * 
        ('アイテム別限界値DB'!$C:$C = AH12), 
        0
      )
    ), 
    "再製作"
  )
))
</f>
        <v/>
      </c>
      <c r="AL12" s="11"/>
      <c r="AM12" s="216" t="s">
        <v>51</v>
      </c>
      <c r="AN12" s="219" t="str">
        <f>IF(AM11="再製作", "再製作", IF(AM11&lt;&gt;"", "お直し", ""))
</f>
        <v/>
      </c>
      <c r="AO12" s="220"/>
      <c r="AP12" s="218" t="str">
        <f t="array" ref="AP12">IF(
  AN12 = "再製作", 
  "", 
 if(AN12="", "",
  IFERROR(
    INDEX(
      'アイテム別限界値DB'!$L:$L, 
      MATCH(
        1, 
        ('アイテム別限界値DB'!$B:$B = AM$10) * 
        ('アイテム別限界値DB'!$C:$C = AM12), 
        0
      )
    ), 
    "再製作"
  )
))
</f>
        <v/>
      </c>
      <c r="AQ12" s="11"/>
      <c r="AR12" s="216" t="s">
        <v>51</v>
      </c>
      <c r="AS12" s="219" t="str">
        <f>IF(AR11="再製作", "再製作", IF(AR11&lt;&gt;"", "お直し", ""))
</f>
        <v/>
      </c>
      <c r="AT12" s="220"/>
      <c r="AU12" s="218" t="str">
        <f t="array" ref="AU12">IF(
  AS12 = "再製作", 
  "", 
 if(AS12="", "",
  IFERROR(
    INDEX(
      'アイテム別限界値DB'!$L:$L, 
      MATCH(
        1, 
        ('アイテム別限界値DB'!$B:$B = AR$10) * 
        ('アイテム別限界値DB'!$C:$C = AR12), 
        0
      )
    ), 
    "再製作"
  )
))
</f>
        <v/>
      </c>
      <c r="AV12" s="121"/>
      <c r="AW12" s="216" t="s">
        <v>51</v>
      </c>
      <c r="AX12" s="219" t="str">
        <f>IF(AW11="再製作", "再製作", IF(AW11&lt;&gt;"", "お直し", ""))
</f>
        <v/>
      </c>
      <c r="AY12" s="220"/>
      <c r="AZ12" s="218" t="str">
        <f t="array" ref="AZ12">IF(
  AX12 = "再製作", 
  "", 
 if(AX12="", "",
  IFERROR(
    INDEX(
      'アイテム別限界値DB'!$L:$L, 
      MATCH(
        1, 
        ('アイテム別限界値DB'!$B:$B = AW$10) * 
        ('アイテム別限界値DB'!$C:$C = AW12), 
        0
      )
    ), 
    "再製作"
  )
))
</f>
        <v/>
      </c>
      <c r="BA12" s="121"/>
      <c r="BB12" s="216" t="s">
        <v>51</v>
      </c>
      <c r="BC12" s="217" t="str">
        <f>IF(BB11="再製作", "再製作", IF(BB11&lt;&gt;"", "お直し", ""))
</f>
        <v/>
      </c>
      <c r="BD12" s="195"/>
      <c r="BE12" s="218" t="str">
        <f t="array" ref="BE12">IF(
  BC12 = "再製作", 
  "", 
 if(BC12="", "",
  IFERROR(
    INDEX(
      'アイテム別限界値DB'!$L:$L, 
      MATCH(
        1, 
        ('アイテム別限界値DB'!$B:$B = BB$10) * 
        ('アイテム別限界値DB'!$C:$C = BB12), 
        0
      )
    ), 
    "再製作"
  )
))
</f>
        <v/>
      </c>
      <c r="BF12" s="121"/>
      <c r="BG12" s="216" t="s">
        <v>51</v>
      </c>
      <c r="BH12" s="217" t="str">
        <f>IF(BG11="再製作", "再製作", IF(BG11&lt;&gt;"", "お直し", ""))
</f>
        <v/>
      </c>
      <c r="BI12" s="195"/>
      <c r="BJ12" s="218" t="str">
        <f t="array" ref="BJ12">IF(
  BH12 = "再製作", 
  "", 
 if(BH12="", "",
  IFERROR(
    INDEX(
      'アイテム別限界値DB'!$L:$L, 
      MATCH(
        1, 
        ('アイテム別限界値DB'!$B:$B = BG$10) * 
        ('アイテム別限界値DB'!$C:$C = BG12), 
        0
      )
    ), 
    "再製作"
  )
))
</f>
        <v/>
      </c>
      <c r="BK12" s="121"/>
      <c r="BL12" s="221" t="s">
        <v>51</v>
      </c>
      <c r="BM12" s="219" t="str">
        <f>IF(BL11="再製作", "再製作", IF(BL11&lt;&gt;"", "お直し", ""))
</f>
        <v>お直し</v>
      </c>
      <c r="BN12" s="195"/>
      <c r="BO12" s="218" t="str">
        <f t="array" ref="BO12">IF(
  BM12 = "再製作", 
  "", 
 if(BM12="", "",
  IFERROR(
    INDEX(
      'アイテム別限界値DB'!$L:$L, 
      MATCH(
        1, 
        ('アイテム別限界値DB'!$B:$B = BL$10) * 
        ('アイテム別限界値DB'!$C:$C = BL12), 
        0
      )
    ), 
    "再製作"
  )
))
</f>
        <v/>
      </c>
      <c r="BP12" s="195"/>
    </row>
    <row r="13" ht="18.75" hidden="1" customHeight="1">
      <c r="A13" s="222" t="s">
        <v>52</v>
      </c>
      <c r="B13" s="12"/>
      <c r="C13" s="12"/>
      <c r="D13" s="223" t="b">
        <f t="array" ref="D13:D42">UNIQUE(IF( ('アイテム別限界値DB'!$B:$B = D$10) * ('アイテム別限界値DB'!$A:$A = "サイズ"),  IF('アイテム別限界値DB'!$B:$B = D$10, 'アイテム別限界値DB'!$F:$F, "") ))</f>
        <v>0</v>
      </c>
      <c r="E13" s="224"/>
      <c r="F13" s="12"/>
      <c r="G13" s="121"/>
      <c r="H13" s="12"/>
      <c r="I13" s="223" t="b">
        <f t="array" ref="I13:I27">UNIQUE(IF( ('アイテム別限界値DB'!$B:$B = I$10) * ('アイテム別限界値DB'!$A:$A = "サイズ"),  IF('アイテム別限界値DB'!$B:$B = I$10, 'アイテム別限界値DB'!$F:$F, "") ))</f>
        <v>0</v>
      </c>
      <c r="J13" s="224"/>
      <c r="K13" s="12"/>
      <c r="L13" s="121"/>
      <c r="M13" s="12"/>
      <c r="N13" s="223" t="b">
        <f t="array" ref="N13:N21">UNIQUE(IF( ('アイテム別限界値DB'!$B:$B = N$10) * ('アイテム別限界値DB'!$A:$A = "サイズ"),  IF('アイテム別限界値DB'!$B:$B = N$10, 'アイテム別限界値DB'!$C:$C, "") ))</f>
        <v>0</v>
      </c>
      <c r="O13" s="224"/>
      <c r="P13" s="12"/>
      <c r="Q13" s="121"/>
      <c r="R13" s="11"/>
      <c r="S13" s="223" t="b">
        <f t="array" ref="S13:S28">UNIQUE(IF( ('アイテム別限界値DB'!$B:$B = S$10) * ('アイテム別限界値DB'!$A:$A = "サイズ"),  IF('アイテム別限界値DB'!$B:$B = S$10, 'アイテム別限界値DB'!$F:$F, "") ))</f>
        <v>0</v>
      </c>
      <c r="T13" s="225"/>
      <c r="U13" s="226"/>
      <c r="V13" s="121"/>
      <c r="W13" s="12"/>
      <c r="X13" s="223" t="b">
        <f t="array" ref="X13:X31">UNIQUE(IF( ('アイテム別限界値DB'!$B:$B = X$10) * ('アイテム別限界値DB'!$A:$A = "サイズ"),  IF('アイテム別限界値DB'!$B:$B = X$10, 'アイテム別限界値DB'!$C:$C, "") ))</f>
        <v>0</v>
      </c>
      <c r="Y13" s="225"/>
      <c r="Z13" s="226"/>
      <c r="AA13" s="121"/>
      <c r="AB13" s="11"/>
      <c r="AC13" s="223" t="b">
        <f t="array" ref="AC13:AC29">UNIQUE(IF( ('アイテム別限界値DB'!$B:$B = AC$10) * ('アイテム別限界値DB'!$A:$A = "サイズ"),  IF('アイテム別限界値DB'!$B:$B = AC$10, 'アイテム別限界値DB'!$F:$F, "") ))</f>
        <v>0</v>
      </c>
      <c r="AD13" s="225"/>
      <c r="AE13" s="226"/>
      <c r="AF13" s="121"/>
      <c r="AG13" s="11"/>
      <c r="AH13" s="223" t="b">
        <f t="array" ref="AH13:AH20">UNIQUE(IF( ('アイテム別限界値DB'!$B:$B = AH$10) * ('アイテム別限界値DB'!$A:$A = "サイズ"),  IF('アイテム別限界値DB'!$B:$B = AH$10, 'アイテム別限界値DB'!$F:$F, "") ))</f>
        <v>0</v>
      </c>
      <c r="AI13" s="225"/>
      <c r="AJ13" s="226"/>
      <c r="AK13" s="121"/>
      <c r="AL13" s="11"/>
      <c r="AM13" s="223" t="b">
        <f t="array" ref="AM13:AM20">UNIQUE(IF( ('アイテム別限界値DB'!$B:$B = AM$10) * ('アイテム別限界値DB'!$A:$A = "サイズ"),  IF('アイテム別限界値DB'!$B:$B = AM$10, 'アイテム別限界値DB'!$F:$F, "") ))</f>
        <v>0</v>
      </c>
      <c r="AN13" s="225"/>
      <c r="AO13" s="226"/>
      <c r="AP13" s="121"/>
      <c r="AQ13" s="11"/>
      <c r="AR13" s="223" t="b">
        <f t="array" ref="AR13:AR20">UNIQUE(IF( ('アイテム別限界値DB'!$B:$B = AR$10) * ('アイテム別限界値DB'!$A:$A = "サイズ"),  IF('アイテム別限界値DB'!$B:$B = AR$10, 'アイテム別限界値DB'!$F:$F, "") ))</f>
        <v>0</v>
      </c>
      <c r="AS13" s="225"/>
      <c r="AT13" s="226"/>
      <c r="AU13" s="121"/>
      <c r="AV13" s="121"/>
      <c r="AW13" s="223" t="b">
        <f t="array" ref="AW13:AW20">UNIQUE(IF( ('アイテム別限界値DB'!$B:$B = AW$10) * ('アイテム別限界値DB'!$A:$A = "サイズ"),  IF('アイテム別限界値DB'!$B:$B = AW$10, 'アイテム別限界値DB'!$F:$F, "") ))</f>
        <v>0</v>
      </c>
      <c r="AX13" s="225"/>
      <c r="AY13" s="226"/>
      <c r="AZ13" s="121"/>
      <c r="BA13" s="121"/>
      <c r="BB13" s="223" t="b">
        <f t="array" ref="BB13:BB20">UNIQUE(IF( ('アイテム別限界値DB'!$B:$B = BB$10) * ('アイテム別限界値DB'!$A:$A = "サイズ"),  IF('アイテム別限界値DB'!$B:$B = BB$10, 'アイテム別限界値DB'!$F:$F, "") ))</f>
        <v>0</v>
      </c>
      <c r="BC13" s="224"/>
      <c r="BD13" s="12"/>
      <c r="BE13" s="121"/>
      <c r="BF13" s="121"/>
      <c r="BG13" s="223" t="b">
        <f t="array" ref="BG13:BG20">UNIQUE(IF( ('アイテム別限界値DB'!$B:$B = BG$10) * ('アイテム別限界値DB'!$A:$A = "サイズ"),  IF('アイテム別限界値DB'!$B:$B = BG$10, 'アイテム別限界値DB'!$F:$F, "") ))</f>
        <v>0</v>
      </c>
      <c r="BH13" s="224"/>
      <c r="BI13" s="12"/>
      <c r="BJ13" s="121"/>
      <c r="BK13" s="121"/>
      <c r="BL13" s="227" t="b">
        <f t="array" ref="BL13:BL23">UNIQUE(IF( ('アイテム別限界値DB'!$B:$B = BL$10) * ('アイテム別限界値DB'!$A:$A = "サイズ"),  IF('アイテム別限界値DB'!$B:$B = BL$10, 'アイテム別限界値DB'!$F:$F, "") ))</f>
        <v>0</v>
      </c>
      <c r="BM13" s="224"/>
      <c r="BN13" s="121"/>
      <c r="BO13" s="121"/>
      <c r="BP13" s="121"/>
    </row>
    <row r="14" ht="18.75" customHeight="1">
      <c r="A14" s="228" t="str">
        <f>IF($D$11 = "再製作", "◼︎ ジャケット（対応着地：再製作）" &amp; char(10) &amp; "《修正数値》", IF( $D$11 &lt;&gt;"", "◼︎ ジャケット（対応着地：お直し）" &amp; char(10) &amp; "《修正数値》", ""))</f>
        <v/>
      </c>
      <c r="B14" s="229"/>
      <c r="C14" s="224"/>
      <c r="D14" s="224" t="s">
        <v>51</v>
      </c>
      <c r="E14" s="232"/>
      <c r="F14" s="231" t="str">
        <f t="array" ref="F14">IF(
  E14 = 0, 
  "", 
  IFERROR(
    INDEX(
      'アイテム別限界値DB'!$K:$K, 
      MATCH(
        1, 
        ('アイテム別限界値DB'!$B:$B = D$10) * 
        ('アイテム別限界値DB'!$F:$F = D14) * 
        ('アイテム別限界値DB'!$H:$H = E14), 
        0
      )
    ), 
    "再製作"
  )
)
</f>
        <v/>
      </c>
      <c r="G14" s="218" t="str">
        <f t="array" ref="G14">IF(
  E14 = 0, 
  "", 
  IFERROR(
    INDEX(
      'アイテム別限界値DB'!$L:$L, 
      MATCH(
        1, 
        ('アイテム別限界値DB'!$B:$B = D$10) * 
        ('アイテム別限界値DB'!$C:$C = D14) * 
        ('アイテム別限界値DB'!$F:$F = E14), 
        0
      )
    ), 
    ""
  )
)
</f>
        <v/>
      </c>
      <c r="H14" s="195"/>
      <c r="I14" s="224" t="s">
        <v>51</v>
      </c>
      <c r="J14" s="232"/>
      <c r="K14" s="231" t="str">
        <f t="array" ref="K14">IF(
  J14 = 0, 
  "", 
  IFERROR(
    INDEX(
      'アイテム別限界値DB'!$K:$K, 
      MATCH(
        1, 
        ('アイテム別限界値DB'!$B:$B = I$10) * 
        ('アイテム別限界値DB'!$F:$F = I14) * 
        ('アイテム別限界値DB'!$H:$H = J14), 
        0
      )
    ), 
    "再製作"
  )
)
</f>
        <v/>
      </c>
      <c r="L14" s="218" t="str">
        <f t="array" ref="L14">IF(
  J14 = 0, 
  "", 
  IFERROR(
    INDEX(
      'アイテム別限界値DB'!$L:$L, 
      MATCH(
        1, 
        ('アイテム別限界値DB'!$B:$B = I$10) * 
        ('アイテム別限界値DB'!$C:$C = I14) * 
        ('アイテム別限界値DB'!$F:$F = J14), 
        0
      )
    ), 
    ""
  )
)
</f>
        <v/>
      </c>
      <c r="M14" s="12"/>
      <c r="N14" s="224" t="s">
        <v>51</v>
      </c>
      <c r="O14" s="232"/>
      <c r="P14" s="231" t="str">
        <f t="array" ref="P14">IF(
  O14 = 0, 
  "", 
  IFERROR(
    INDEX(
      'アイテム別限界値DB'!$K:$K, 
      MATCH(
        1, 
        ('アイテム別限界値DB'!$B:$B = N$10) * 
        ('アイテム別限界値DB'!$F:$F = N14) * 
        ('アイテム別限界値DB'!$H:$H = O14), 
        0
      )
    ), 
    "再製作"
  )
)
</f>
        <v/>
      </c>
      <c r="Q14" s="218" t="str">
        <f t="array" ref="Q14">IF(
  O14 = 0, 
  "", 
  IFERROR(
    INDEX(
      'アイテム別限界値DB'!$L:$L, 
      MATCH(
        1, 
        ('アイテム別限界値DB'!$B:$B = N$10) * 
        ('アイテム別限界値DB'!$C:$C = N14) * 
        ('アイテム別限界値DB'!$F:$F = O14), 
        0
      )
    ), 
    ""
  )
)
</f>
        <v/>
      </c>
      <c r="R14" s="12"/>
      <c r="S14" s="224" t="s">
        <v>51</v>
      </c>
      <c r="T14" s="232"/>
      <c r="U14" s="231" t="str">
        <f t="array" ref="U14">IF(
  T14 = 0, 
  "", 
  IFERROR(
    INDEX(
      'アイテム別限界値DB'!$K:$K, 
      MATCH(
        1, 
        ('アイテム別限界値DB'!$B:$B = S$10) * 
        ('アイテム別限界値DB'!$F:$F = S14) * 
        ('アイテム別限界値DB'!$H:$H = T14), 
        0
      )
    ), 
    "再製作"
  )
)
</f>
        <v/>
      </c>
      <c r="V14" s="218" t="str">
        <f t="array" ref="V14">IF(
  T14 = 0, 
  "", 
  IFERROR(
    INDEX(
      'アイテム別限界値DB'!$L:$L, 
      MATCH(
        1, 
        ('アイテム別限界値DB'!$B:$B = S$10) * 
        ('アイテム別限界値DB'!$C:$C = S14) * 
        ('アイテム別限界値DB'!$F:$F = T14), 
        0
      )
    ), 
    ""
  )
)
</f>
        <v/>
      </c>
      <c r="W14" s="12"/>
      <c r="X14" s="224" t="s">
        <v>51</v>
      </c>
      <c r="Y14" s="232"/>
      <c r="Z14" s="231" t="str">
        <f t="array" ref="Z14">IF(
  Y14 = 0, 
  "", 
  IFERROR(
    INDEX(
      'アイテム別限界値DB'!$K:$K, 
      MATCH(
        1, 
        ('アイテム別限界値DB'!$B:$B = X$10) * 
        ('アイテム別限界値DB'!$F:$F = X14) * 
        ('アイテム別限界値DB'!$H:$H = Y14), 
        0
      )
    ), 
    "再製作"
  )
)
</f>
        <v/>
      </c>
      <c r="AA14" s="218" t="str">
        <f t="array" ref="AA14">IF(
  Y14 = 0, 
  "", 
  IFERROR(
    INDEX(
      'アイテム別限界値DB'!$L:$L, 
      MATCH(
        1, 
        ('アイテム別限界値DB'!$B:$B = X$10) * 
        ('アイテム別限界値DB'!$C:$C = X14) * 
        ('アイテム別限界値DB'!$F:$F = Y14), 
        0
      )
    ), 
    ""
  )
)
</f>
        <v/>
      </c>
      <c r="AB14" s="11"/>
      <c r="AC14" s="224" t="s">
        <v>51</v>
      </c>
      <c r="AD14" s="232"/>
      <c r="AE14" s="231" t="str">
        <f t="array" ref="AE14">IF(
  AD14 = 0, 
  "", 
  IFERROR(
    INDEX(
      'アイテム別限界値DB'!$K:$K, 
      MATCH(
        1, 
        ('アイテム別限界値DB'!$B:$B = AC$10) * 
        ('アイテム別限界値DB'!$F:$F = AC14) * 
        ('アイテム別限界値DB'!$H:$H = AD14), 
        0
      )
    ), 
    "再製作"
  )
)
</f>
        <v/>
      </c>
      <c r="AF14" s="218" t="str">
        <f t="array" ref="AF14">IF(
  AD14 = 0, 
  "", 
  IFERROR(
    INDEX(
      'アイテム別限界値DB'!$L:$L, 
      MATCH(
        1, 
        ('アイテム別限界値DB'!$B:$B = AC$10) * 
        ('アイテム別限界値DB'!$C:$C = AC14) * 
        ('アイテム別限界値DB'!$F:$F = AD14), 
        0
      )
    ), 
    ""
  )
)
</f>
        <v/>
      </c>
      <c r="AG14" s="11"/>
      <c r="AH14" s="224" t="s">
        <v>51</v>
      </c>
      <c r="AI14" s="232"/>
      <c r="AJ14" s="231" t="str">
        <f t="array" ref="AJ14">IF(
  AI14 = 0, 
  "", 
  IFERROR(
    INDEX(
      'アイテム別限界値DB'!$K:$K, 
      MATCH(
        1, 
        ('アイテム別限界値DB'!$B:$B = AH$10) * 
        ('アイテム別限界値DB'!$F:$F = AH14) * 
        ('アイテム別限界値DB'!$H:$H = AI14), 
        0
      )
    ), 
    "再製作"
  )
)
</f>
        <v/>
      </c>
      <c r="AK14" s="218" t="str">
        <f t="array" ref="AK14">IF(
  AI14 = 0, 
  "", 
  IFERROR(
    INDEX(
      'アイテム別限界値DB'!$L:$L, 
      MATCH(
        1, 
        ('アイテム別限界値DB'!$B:$B = AH$10) * 
        ('アイテム別限界値DB'!$C:$C = AH14) * 
        ('アイテム別限界値DB'!$F:$F = AI14), 
        0
      )
    ), 
    ""
  )
)
</f>
        <v/>
      </c>
      <c r="AL14" s="11"/>
      <c r="AM14" s="224" t="s">
        <v>51</v>
      </c>
      <c r="AN14" s="232"/>
      <c r="AO14" s="231" t="str">
        <f t="array" ref="AO14">IF(
  AN14 = 0, 
  "", 
  IFERROR(
    INDEX(
      'アイテム別限界値DB'!$K:$K, 
      MATCH(
        1, 
        ('アイテム別限界値DB'!$B:$B = AM$10) * 
        ('アイテム別限界値DB'!$F:$F = AM14) * 
        ('アイテム別限界値DB'!$H:$H = AN14), 
        0
      )
    ), 
    "再製作"
  )
)
</f>
        <v/>
      </c>
      <c r="AP14" s="218" t="str">
        <f t="array" ref="AP14">IF(
  AN14 = 0, 
  "", 
  IFERROR(
    INDEX(
      'アイテム別限界値DB'!$L:$L, 
      MATCH(
        1, 
        ('アイテム別限界値DB'!$B:$B = AM$10) * 
        ('アイテム別限界値DB'!$C:$C = AM14) * 
        ('アイテム別限界値DB'!$F:$F = AN14), 
        0
      )
    ), 
    ""
  )
)
</f>
        <v/>
      </c>
      <c r="AQ14" s="11"/>
      <c r="AR14" s="224" t="s">
        <v>51</v>
      </c>
      <c r="AS14" s="232"/>
      <c r="AT14" s="231" t="str">
        <f t="array" ref="AT14">IF(
  AS14 = 0, 
  "", 
  IFERROR(
    INDEX(
      'アイテム別限界値DB'!$K:$K, 
      MATCH(
        1, 
        ('アイテム別限界値DB'!$B:$B = AR$10) * 
        ('アイテム別限界値DB'!$F:$F = AR14) * 
        ('アイテム別限界値DB'!$H:$H = AS14), 
        0
      )
    ), 
    "再製作"
  )
)
</f>
        <v/>
      </c>
      <c r="AU14" s="218" t="str">
        <f t="array" ref="AU14">IF(
  AS14 = 0, 
  "", 
  IFERROR(
    INDEX(
      'アイテム別限界値DB'!$L:$L, 
      MATCH(
        1, 
        ('アイテム別限界値DB'!$B:$B = AR$10) * 
        ('アイテム別限界値DB'!$C:$C = AR14) * 
        ('アイテム別限界値DB'!$F:$F = AS14), 
        0
      )
    ), 
    ""
  )
)
</f>
        <v/>
      </c>
      <c r="AV14" s="121"/>
      <c r="AW14" s="224" t="s">
        <v>51</v>
      </c>
      <c r="AX14" s="232"/>
      <c r="AY14" s="231" t="str">
        <f t="array" ref="AY14">IF(
  AX14 = 0, 
  "", 
  IFERROR(
    INDEX(
      'アイテム別限界値DB'!$K:$K, 
      MATCH(
        1, 
        ('アイテム別限界値DB'!$B:$B = AW$10) * 
        ('アイテム別限界値DB'!$F:$F = AW14) * 
        ('アイテム別限界値DB'!$H:$H = AX14), 
        0
      )
    ), 
    "再製作"
  )
)
</f>
        <v/>
      </c>
      <c r="AZ14" s="218" t="str">
        <f t="array" ref="AZ14">IF(
  AX14 = 0, 
  "", 
  IFERROR(
    INDEX(
      'アイテム別限界値DB'!$L:$L, 
      MATCH(
        1, 
        ('アイテム別限界値DB'!$B:$B = AW$10) * 
        ('アイテム別限界値DB'!$C:$C = AW14) * 
        ('アイテム別限界値DB'!$F:$F = AX14), 
        0
      )
    ), 
    ""
  )
)
</f>
        <v/>
      </c>
      <c r="BA14" s="121"/>
      <c r="BB14" s="224" t="s">
        <v>51</v>
      </c>
      <c r="BC14" s="232"/>
      <c r="BD14" s="231" t="str">
        <f t="array" ref="BD14">IF(
  BC14 = 0, 
  "", 
  IFERROR(
    INDEX(
      'アイテム別限界値DB'!$K:$K, 
      MATCH(
        1, 
        ('アイテム別限界値DB'!$B:$B = BB$10) * 
        ('アイテム別限界値DB'!$F:$F = BB14) * 
        ('アイテム別限界値DB'!$H:$H = BC14), 
        0
      )
    ), 
    "再製作"
  )
)
</f>
        <v/>
      </c>
      <c r="BE14" s="218" t="str">
        <f t="array" ref="BE14">IF(
  BC14 = 0, 
  "", 
  IFERROR(
    INDEX(
      'アイテム別限界値DB'!$L:$L, 
      MATCH(
        1, 
        ('アイテム別限界値DB'!$B:$B = BB$10) * 
        ('アイテム別限界値DB'!$C:$C = BB14) * 
        ('アイテム別限界値DB'!$F:$F = BC14), 
        0
      )
    ), 
    ""
  )
)
</f>
        <v/>
      </c>
      <c r="BF14" s="121"/>
      <c r="BG14" s="224" t="s">
        <v>51</v>
      </c>
      <c r="BH14" s="233"/>
      <c r="BI14" s="234" t="str">
        <f t="array" ref="BI14">IF(
  BH14 = 0, 
  "", 
  IFERROR(
    INDEX(
      'アイテム別限界値DB'!$K:$K, 
      MATCH(
        1, 
        ('アイテム別限界値DB'!$B:$B = BG$10) * 
        ('アイテム別限界値DB'!$F:$F = BG14) * 
        ('アイテム別限界値DB'!$H:$H = BH14), 
        0
      )
    ), 
    "再製作"
  )
)
</f>
        <v/>
      </c>
      <c r="BJ14" s="218" t="str">
        <f t="array" ref="BJ14">IF(
  BH14 = 0, 
  "", 
  IFERROR(
    INDEX(
      'アイテム別限界値DB'!$L:$L, 
      MATCH(
        1, 
        ('アイテム別限界値DB'!$B:$B = BG$10) * 
        ('アイテム別限界値DB'!$C:$C = BG14) * 
        ('アイテム別限界値DB'!$F:$F = BH14), 
        0
      )
    ), 
    ""
  )
)
</f>
        <v/>
      </c>
      <c r="BK14" s="121"/>
      <c r="BL14" s="224" t="s">
        <v>51</v>
      </c>
      <c r="BM14" s="232"/>
      <c r="BN14" s="231" t="str">
        <f t="array" ref="BN14">IF(
  BM14 = 0, 
  "", 
  IFERROR(
    INDEX(
      'アイテム別限界値DB'!$K:$K, 
      MATCH(
        1, 
        ('アイテム別限界値DB'!$B:$B = BL$10) * 
        ('アイテム別限界値DB'!$F:$F = BL14) * 
        ('アイテム別限界値DB'!$H:$H = BM14), 
        0
      )
    ), 
    "再製作"
  )
)
</f>
        <v/>
      </c>
      <c r="BO14" s="218" t="str">
        <f t="array" ref="BO14">IF(
  BM14 = 0, 
  "", 
  IFERROR(
    INDEX(
      'アイテム別限界値DB'!$L:$L, 
      MATCH(
        1, 
        ('アイテム別限界値DB'!$B:$B = BL$10) * 
        ('アイテム別限界値DB'!$C:$C = BL14) * 
        ('アイテム別限界値DB'!$F:$F = BM14), 
        0
      )
    ), 
    ""
  )
)
</f>
        <v/>
      </c>
      <c r="BP14" s="195"/>
    </row>
    <row r="15" ht="18.75" customHeight="1">
      <c r="A15" s="228" t="str">
        <f>IFERROR(__xludf.DUMMYFUNCTION("TEXTJOIN(CHAR(10),TRUE,FILTER(ARRAYFORMULA(IF(E$14:E72&lt;&gt;"""",D$14:D72&amp;"" : ""&amp; E$14:E72 &amp;"" cm"","""")), D$14:D72 &lt;&gt;""""))"),"")</f>
        <v/>
      </c>
      <c r="B15" s="235"/>
      <c r="C15" s="224"/>
      <c r="D15" s="224" t="s">
        <v>53</v>
      </c>
      <c r="E15" s="230"/>
      <c r="F15" s="231" t="str">
        <f t="array" ref="F15">IF(
  E15 = 0, 
  "", 
  IFERROR(
    INDEX(
      'アイテム別限界値DB'!$K:$K, 
      MATCH(
        1, 
        ('アイテム別限界値DB'!$B:$B = D$10) * 
        ('アイテム別限界値DB'!$F:$F = D15) * 
        ('アイテム別限界値DB'!$H:$H = E15), 
        0
      )
    ), 
    "再製作"
  )
)
</f>
        <v/>
      </c>
      <c r="G15" s="218" t="str">
        <f t="array" ref="G15">IF(
  E15 = 0, 
  "", 
  IFERROR(
    INDEX(
      'アイテム別限界値DB'!$L:$L, 
      MATCH(
        1, 
        ('アイテム別限界値DB'!$B:$B = D$10) * 
        ('アイテム別限界値DB'!$C:$C = D15) * 
        ('アイテム別限界値DB'!$F:$F = E15), 
        0
      )
    ), 
    ""
  )
)
</f>
        <v/>
      </c>
      <c r="H15" s="12"/>
      <c r="I15" s="224" t="s">
        <v>54</v>
      </c>
      <c r="J15" s="230" t="s">
        <v>132</v>
      </c>
      <c r="K15" s="231">
        <f t="array" ref="K15">IF(
  J15 = 0, 
  "", 
  IFERROR(
    INDEX(
      'アイテム別限界値DB'!$K:$K, 
      MATCH(
        1, 
        ('アイテム別限界値DB'!$B:$B = I$10) * 
        ('アイテム別限界値DB'!$F:$F = I15) * 
        ('アイテム別限界値DB'!$H:$H = J15), 
        0
      )
    ), 
    "再製作"
  )
)
</f>
        <v>45996</v>
      </c>
      <c r="L15" s="218" t="str">
        <f t="array" ref="L15">IF(
  J15 = 0, 
  "", 
  IFERROR(
    INDEX(
      'アイテム別限界値DB'!$L:$L, 
      MATCH(
        1, 
        ('アイテム別限界値DB'!$B:$B = I$10) * 
        ('アイテム別限界値DB'!$C:$C = I15) * 
        ('アイテム別限界値DB'!$F:$F = J15), 
        0
      )
    ), 
    ""
  )
)
</f>
        <v/>
      </c>
      <c r="M15" s="12"/>
      <c r="N15" s="224" t="s">
        <v>55</v>
      </c>
      <c r="O15" s="230" t="s">
        <v>129</v>
      </c>
      <c r="P15" s="231">
        <f t="array" ref="P15">IF(
  O15 = 0, 
  "", 
  IFERROR(
    INDEX(
      'アイテム別限界値DB'!$K:$K, 
      MATCH(
        1, 
        ('アイテム別限界値DB'!$B:$B = N$10) * 
        ('アイテム別限界値DB'!$F:$F = N15) * 
        ('アイテム別限界値DB'!$H:$H = O15), 
        0
      )
    ), 
    "再製作"
  )
)
</f>
        <v>46000</v>
      </c>
      <c r="Q15" s="218" t="str">
        <f t="array" ref="Q15">IF(
  O15 = 0, 
  "", 
  IFERROR(
    INDEX(
      'アイテム別限界値DB'!$L:$L, 
      MATCH(
        1, 
        ('アイテム別限界値DB'!$B:$B = N$10) * 
        ('アイテム別限界値DB'!$C:$C = N15) * 
        ('アイテム別限界値DB'!$F:$F = O15), 
        0
      )
    ), 
    ""
  )
)
</f>
        <v/>
      </c>
      <c r="R15" s="12"/>
      <c r="S15" s="224" t="s">
        <v>54</v>
      </c>
      <c r="T15" s="230"/>
      <c r="U15" s="231" t="str">
        <f t="array" ref="U15">IF(
  T15 = 0, 
  "", 
  IFERROR(
    INDEX(
      'アイテム別限界値DB'!$K:$K, 
      MATCH(
        1, 
        ('アイテム別限界値DB'!$B:$B = S$10) * 
        ('アイテム別限界値DB'!$F:$F = S15) * 
        ('アイテム別限界値DB'!$H:$H = T15), 
        0
      )
    ), 
    "再製作"
  )
)
</f>
        <v/>
      </c>
      <c r="V15" s="218" t="str">
        <f t="array" ref="V15">IF(
  T15 = 0, 
  "", 
  IFERROR(
    INDEX(
      'アイテム別限界値DB'!$L:$L, 
      MATCH(
        1, 
        ('アイテム別限界値DB'!$B:$B = S$10) * 
        ('アイテム別限界値DB'!$C:$C = S15) * 
        ('アイテム別限界値DB'!$F:$F = T15), 
        0
      )
    ), 
    ""
  )
)
</f>
        <v/>
      </c>
      <c r="W15" s="12"/>
      <c r="X15" s="224" t="s">
        <v>53</v>
      </c>
      <c r="Y15" s="230"/>
      <c r="Z15" s="231" t="str">
        <f t="array" ref="Z15">IF(
  Y15 = 0, 
  "", 
  IFERROR(
    INDEX(
      'アイテム別限界値DB'!$K:$K, 
      MATCH(
        1, 
        ('アイテム別限界値DB'!$B:$B = X$10) * 
        ('アイテム別限界値DB'!$F:$F = X15) * 
        ('アイテム別限界値DB'!$H:$H = Y15), 
        0
      )
    ), 
    "再製作"
  )
)
</f>
        <v/>
      </c>
      <c r="AA15" s="218" t="str">
        <f t="array" ref="AA15">IF(
  Y15 = 0, 
  "", 
  IFERROR(
    INDEX(
      'アイテム別限界値DB'!$L:$L, 
      MATCH(
        1, 
        ('アイテム別限界値DB'!$B:$B = X$10) * 
        ('アイテム別限界値DB'!$C:$C = X15) * 
        ('アイテム別限界値DB'!$F:$F = Y15), 
        0
      )
    ), 
    ""
  )
)
</f>
        <v/>
      </c>
      <c r="AB15" s="11"/>
      <c r="AC15" s="224" t="s">
        <v>53</v>
      </c>
      <c r="AD15" s="232"/>
      <c r="AE15" s="231" t="str">
        <f t="array" ref="AE15">IF(
  AD15 = 0, 
  "", 
  IFERROR(
    INDEX(
      'アイテム別限界値DB'!$K:$K, 
      MATCH(
        1, 
        ('アイテム別限界値DB'!$B:$B = AC$10) * 
        ('アイテム別限界値DB'!$F:$F = AC15) * 
        ('アイテム別限界値DB'!$H:$H = AD15), 
        0
      )
    ), 
    "再製作"
  )
)
</f>
        <v/>
      </c>
      <c r="AF15" s="218" t="str">
        <f t="array" ref="AF15">IF(
  AD15 = 0, 
  "", 
  IFERROR(
    INDEX(
      'アイテム別限界値DB'!$L:$L, 
      MATCH(
        1, 
        ('アイテム別限界値DB'!$B:$B = AC$10) * 
        ('アイテム別限界値DB'!$C:$C = AC15) * 
        ('アイテム別限界値DB'!$F:$F = AD15), 
        0
      )
    ), 
    ""
  )
)
</f>
        <v/>
      </c>
      <c r="AG15" s="11"/>
      <c r="AH15" s="224" t="s">
        <v>53</v>
      </c>
      <c r="AI15" s="232"/>
      <c r="AJ15" s="231" t="str">
        <f t="array" ref="AJ15">IF(
  AI15 = 0, 
  "", 
  IFERROR(
    INDEX(
      'アイテム別限界値DB'!$K:$K, 
      MATCH(
        1, 
        ('アイテム別限界値DB'!$B:$B = AH$10) * 
        ('アイテム別限界値DB'!$F:$F = AH15) * 
        ('アイテム別限界値DB'!$H:$H = AI15), 
        0
      )
    ), 
    "再製作"
  )
)
</f>
        <v/>
      </c>
      <c r="AK15" s="218" t="str">
        <f t="array" ref="AK15">IF(
  AI15 = 0, 
  "", 
  IFERROR(
    INDEX(
      'アイテム別限界値DB'!$L:$L, 
      MATCH(
        1, 
        ('アイテム別限界値DB'!$B:$B = AH$10) * 
        ('アイテム別限界値DB'!$C:$C = AH15) * 
        ('アイテム別限界値DB'!$F:$F = AI15), 
        0
      )
    ), 
    ""
  )
)
</f>
        <v/>
      </c>
      <c r="AL15" s="11"/>
      <c r="AM15" s="224" t="s">
        <v>53</v>
      </c>
      <c r="AN15" s="232"/>
      <c r="AO15" s="231" t="str">
        <f t="array" ref="AO15">IF(
  AN15 = 0, 
  "", 
  IFERROR(
    INDEX(
      'アイテム別限界値DB'!$K:$K, 
      MATCH(
        1, 
        ('アイテム別限界値DB'!$B:$B = AM$10) * 
        ('アイテム別限界値DB'!$F:$F = AM15) * 
        ('アイテム別限界値DB'!$H:$H = AN15), 
        0
      )
    ), 
    "再製作"
  )
)
</f>
        <v/>
      </c>
      <c r="AP15" s="218" t="str">
        <f t="array" ref="AP15">IF(
  AN15 = 0, 
  "", 
  IFERROR(
    INDEX(
      'アイテム別限界値DB'!$L:$L, 
      MATCH(
        1, 
        ('アイテム別限界値DB'!$B:$B = AM$10) * 
        ('アイテム別限界値DB'!$C:$C = AM15) * 
        ('アイテム別限界値DB'!$F:$F = AN15), 
        0
      )
    ), 
    ""
  )
)
</f>
        <v/>
      </c>
      <c r="AQ15" s="11"/>
      <c r="AR15" s="224" t="s">
        <v>53</v>
      </c>
      <c r="AS15" s="232"/>
      <c r="AT15" s="231" t="str">
        <f t="array" ref="AT15">IF(
  AS15 = 0, 
  "", 
  IFERROR(
    INDEX(
      'アイテム別限界値DB'!$K:$K, 
      MATCH(
        1, 
        ('アイテム別限界値DB'!$B:$B = AR$10) * 
        ('アイテム別限界値DB'!$F:$F = AR15) * 
        ('アイテム別限界値DB'!$H:$H = AS15), 
        0
      )
    ), 
    "再製作"
  )
)
</f>
        <v/>
      </c>
      <c r="AU15" s="218" t="str">
        <f t="array" ref="AU15">IF(
  AS15 = 0, 
  "", 
  IFERROR(
    INDEX(
      'アイテム別限界値DB'!$L:$L, 
      MATCH(
        1, 
        ('アイテム別限界値DB'!$B:$B = AR$10) * 
        ('アイテム別限界値DB'!$C:$C = AR15) * 
        ('アイテム別限界値DB'!$F:$F = AS15), 
        0
      )
    ), 
    ""
  )
)
</f>
        <v/>
      </c>
      <c r="AV15" s="121"/>
      <c r="AW15" s="224" t="s">
        <v>53</v>
      </c>
      <c r="AX15" s="232"/>
      <c r="AY15" s="231" t="str">
        <f t="array" ref="AY15">IF(
  AX15 = 0, 
  "", 
  IFERROR(
    INDEX(
      'アイテム別限界値DB'!$K:$K, 
      MATCH(
        1, 
        ('アイテム別限界値DB'!$B:$B = AW$10) * 
        ('アイテム別限界値DB'!$F:$F = AW15) * 
        ('アイテム別限界値DB'!$H:$H = AX15), 
        0
      )
    ), 
    "再製作"
  )
)
</f>
        <v/>
      </c>
      <c r="AZ15" s="218" t="str">
        <f t="array" ref="AZ15">IF(
  AX15 = 0, 
  "", 
  IFERROR(
    INDEX(
      'アイテム別限界値DB'!$L:$L, 
      MATCH(
        1, 
        ('アイテム別限界値DB'!$B:$B = AW$10) * 
        ('アイテム別限界値DB'!$C:$C = AW15) * 
        ('アイテム別限界値DB'!$F:$F = AX15), 
        0
      )
    ), 
    ""
  )
)
</f>
        <v/>
      </c>
      <c r="BA15" s="121"/>
      <c r="BB15" s="224" t="s">
        <v>53</v>
      </c>
      <c r="BC15" s="232"/>
      <c r="BD15" s="231" t="str">
        <f t="array" ref="BD15">IF(
  BC15 = 0, 
  "", 
  IFERROR(
    INDEX(
      'アイテム別限界値DB'!$K:$K, 
      MATCH(
        1, 
        ('アイテム別限界値DB'!$B:$B = BB$10) * 
        ('アイテム別限界値DB'!$F:$F = BB15) * 
        ('アイテム別限界値DB'!$H:$H = BC15), 
        0
      )
    ), 
    "再製作"
  )
)
</f>
        <v/>
      </c>
      <c r="BE15" s="218" t="str">
        <f t="array" ref="BE15">IF(
  BC15 = 0, 
  "", 
  IFERROR(
    INDEX(
      'アイテム別限界値DB'!$L:$L, 
      MATCH(
        1, 
        ('アイテム別限界値DB'!$B:$B = BB$10) * 
        ('アイテム別限界値DB'!$C:$C = BB15) * 
        ('アイテム別限界値DB'!$F:$F = BC15), 
        0
      )
    ), 
    ""
  )
)
</f>
        <v/>
      </c>
      <c r="BF15" s="121"/>
      <c r="BG15" s="224" t="s">
        <v>53</v>
      </c>
      <c r="BH15" s="232"/>
      <c r="BI15" s="231" t="str">
        <f t="array" ref="BI15">IF(
  BH15 = 0, 
  "", 
  IFERROR(
    INDEX(
      'アイテム別限界値DB'!$K:$K, 
      MATCH(
        1, 
        ('アイテム別限界値DB'!$B:$B = BG$10) * 
        ('アイテム別限界値DB'!$F:$F = BG15) * 
        ('アイテム別限界値DB'!$H:$H = BH15), 
        0
      )
    ), 
    "再製作"
  )
)
</f>
        <v/>
      </c>
      <c r="BJ15" s="218" t="str">
        <f t="array" ref="BJ15">IF(
  BH15 = 0, 
  "", 
  IFERROR(
    INDEX(
      'アイテム別限界値DB'!$L:$L, 
      MATCH(
        1, 
        ('アイテム別限界値DB'!$B:$B = BG$10) * 
        ('アイテム別限界値DB'!$C:$C = BG15) * 
        ('アイテム別限界値DB'!$F:$F = BH15), 
        0
      )
    ), 
    ""
  )
)
</f>
        <v/>
      </c>
      <c r="BK15" s="121"/>
      <c r="BL15" s="224" t="s">
        <v>53</v>
      </c>
      <c r="BM15" s="232"/>
      <c r="BN15" s="231" t="str">
        <f t="array" ref="BN15">IF(
  BM15 = 0, 
  "", 
  IFERROR(
    INDEX(
      'アイテム別限界値DB'!$K:$K, 
      MATCH(
        1, 
        ('アイテム別限界値DB'!$B:$B = BL$10) * 
        ('アイテム別限界値DB'!$F:$F = BL15) * 
        ('アイテム別限界値DB'!$H:$H = BM15), 
        0
      )
    ), 
    "再製作"
  )
)
</f>
        <v/>
      </c>
      <c r="BO15" s="218" t="str">
        <f t="array" ref="BO15">IF(
  BM15 = 0, 
  "", 
  IFERROR(
    INDEX(
      'アイテム別限界値DB'!$L:$L, 
      MATCH(
        1, 
        ('アイテム別限界値DB'!$B:$B = BL$10) * 
        ('アイテム別限界値DB'!$C:$C = BL15) * 
        ('アイテム別限界値DB'!$F:$F = BM15), 
        0
      )
    ), 
    ""
  )
)
</f>
        <v/>
      </c>
      <c r="BP15" s="195"/>
    </row>
    <row r="16" ht="18.75" customHeight="1">
      <c r="A16" s="236" t="str">
        <f>if($A$14&lt;&gt;"", "《仕上がり数値》","")</f>
        <v/>
      </c>
      <c r="B16" s="224"/>
      <c r="C16" s="224"/>
      <c r="D16" s="224" t="s">
        <v>55</v>
      </c>
      <c r="E16" s="230"/>
      <c r="F16" s="231" t="str">
        <f t="array" ref="F16">IF(
  E16 = 0, 
  "", 
  IFERROR(
    INDEX(
      'アイテム別限界値DB'!$K:$K, 
      MATCH(
        1, 
        ('アイテム別限界値DB'!$B:$B = D$10) * 
        ('アイテム別限界値DB'!$F:$F = D16) * 
        ('アイテム別限界値DB'!$H:$H = E16), 
        0
      )
    ), 
    "再製作"
  )
)
</f>
        <v/>
      </c>
      <c r="G16" s="218" t="str">
        <f t="array" ref="G16">IF(
  E16 = 0, 
  "", 
  IFERROR(
    INDEX(
      'アイテム別限界値DB'!$L:$L, 
      MATCH(
        1, 
        ('アイテム別限界値DB'!$B:$B = D$10) * 
        ('アイテム別限界値DB'!$C:$C = D16) * 
        ('アイテム別限界値DB'!$F:$F = E16), 
        0
      )
    ), 
    ""
  )
)
</f>
        <v/>
      </c>
      <c r="H16" s="12"/>
      <c r="I16" s="224" t="s">
        <v>56</v>
      </c>
      <c r="J16" s="230"/>
      <c r="K16" s="231" t="str">
        <f t="array" ref="K16">IF(
  J16 = 0, 
  "", 
  IFERROR(
    INDEX(
      'アイテム別限界値DB'!$K:$K, 
      MATCH(
        1, 
        ('アイテム別限界値DB'!$B:$B = I$10) * 
        ('アイテム別限界値DB'!$F:$F = I16) * 
        ('アイテム別限界値DB'!$H:$H = J16), 
        0
      )
    ), 
    "再製作"
  )
)
</f>
        <v/>
      </c>
      <c r="L16" s="218" t="str">
        <f t="array" ref="L16">IF(
  J16 = 0, 
  "", 
  IFERROR(
    INDEX(
      'アイテム別限界値DB'!$L:$L, 
      MATCH(
        1, 
        ('アイテム別限界値DB'!$B:$B = I$10) * 
        ('アイテム別限界値DB'!$C:$C = I16) * 
        ('アイテム別限界値DB'!$F:$F = J16), 
        0
      )
    ), 
    ""
  )
)
</f>
        <v/>
      </c>
      <c r="M16" s="12"/>
      <c r="N16" s="224" t="s">
        <v>57</v>
      </c>
      <c r="O16" s="230" t="s">
        <v>129</v>
      </c>
      <c r="P16" s="231">
        <f t="array" ref="P16">IF(
  O16 = 0, 
  "", 
  IFERROR(
    INDEX(
      'アイテム別限界値DB'!$K:$K, 
      MATCH(
        1, 
        ('アイテム別限界値DB'!$B:$B = N$10) * 
        ('アイテム別限界値DB'!$F:$F = N16) * 
        ('アイテム別限界値DB'!$H:$H = O16), 
        0
      )
    ), 
    "再製作"
  )
)
</f>
        <v>46000</v>
      </c>
      <c r="Q16" s="218" t="str">
        <f t="array" ref="Q16">IF(
  O16 = 0, 
  "", 
  IFERROR(
    INDEX(
      'アイテム別限界値DB'!$L:$L, 
      MATCH(
        1, 
        ('アイテム別限界値DB'!$B:$B = N$10) * 
        ('アイテム別限界値DB'!$C:$C = N16) * 
        ('アイテム別限界値DB'!$F:$F = O16), 
        0
      )
    ), 
    ""
  )
)
</f>
        <v/>
      </c>
      <c r="R16" s="12"/>
      <c r="S16" s="224" t="s">
        <v>56</v>
      </c>
      <c r="T16" s="230"/>
      <c r="U16" s="231" t="str">
        <f t="array" ref="U16">IF(
  T16 = 0, 
  "", 
  IFERROR(
    INDEX(
      'アイテム別限界値DB'!$K:$K, 
      MATCH(
        1, 
        ('アイテム別限界値DB'!$B:$B = S$10) * 
        ('アイテム別限界値DB'!$F:$F = S16) * 
        ('アイテム別限界値DB'!$H:$H = T16), 
        0
      )
    ), 
    "再製作"
  )
)
</f>
        <v/>
      </c>
      <c r="V16" s="218" t="str">
        <f t="array" ref="V16">IF(
  T16 = 0, 
  "", 
  IFERROR(
    INDEX(
      'アイテム別限界値DB'!$L:$L, 
      MATCH(
        1, 
        ('アイテム別限界値DB'!$B:$B = S$10) * 
        ('アイテム別限界値DB'!$C:$C = S16) * 
        ('アイテム別限界値DB'!$F:$F = T16), 
        0
      )
    ), 
    ""
  )
)
</f>
        <v/>
      </c>
      <c r="W16" s="12"/>
      <c r="X16" s="224" t="s">
        <v>58</v>
      </c>
      <c r="Y16" s="230"/>
      <c r="Z16" s="231" t="str">
        <f t="array" ref="Z16">IF(
  Y16 = 0, 
  "", 
  IFERROR(
    INDEX(
      'アイテム別限界値DB'!$K:$K, 
      MATCH(
        1, 
        ('アイテム別限界値DB'!$B:$B = X$10) * 
        ('アイテム別限界値DB'!$F:$F = X16) * 
        ('アイテム別限界値DB'!$H:$H = Y16), 
        0
      )
    ), 
    "再製作"
  )
)
</f>
        <v/>
      </c>
      <c r="AA16" s="218" t="str">
        <f t="array" ref="AA16">IF(
  Y16 = 0, 
  "", 
  IFERROR(
    INDEX(
      'アイテム別限界値DB'!$L:$L, 
      MATCH(
        1, 
        ('アイテム別限界値DB'!$B:$B = X$10) * 
        ('アイテム別限界値DB'!$C:$C = X16) * 
        ('アイテム別限界値DB'!$F:$F = Y16), 
        0
      )
    ), 
    ""
  )
)
</f>
        <v/>
      </c>
      <c r="AB16" s="11"/>
      <c r="AC16" s="224" t="s">
        <v>55</v>
      </c>
      <c r="AD16" s="230"/>
      <c r="AE16" s="231" t="str">
        <f t="array" ref="AE16">IF(
  AD16 = 0, 
  "", 
  IFERROR(
    INDEX(
      'アイテム別限界値DB'!$K:$K, 
      MATCH(
        1, 
        ('アイテム別限界値DB'!$B:$B = AC$10) * 
        ('アイテム別限界値DB'!$F:$F = AC16) * 
        ('アイテム別限界値DB'!$H:$H = AD16), 
        0
      )
    ), 
    "再製作"
  )
)
</f>
        <v/>
      </c>
      <c r="AF16" s="218" t="str">
        <f t="array" ref="AF16">IF(
  AD16 = 0, 
  "", 
  IFERROR(
    INDEX(
      'アイテム別限界値DB'!$L:$L, 
      MATCH(
        1, 
        ('アイテム別限界値DB'!$B:$B = AC$10) * 
        ('アイテム別限界値DB'!$C:$C = AC16) * 
        ('アイテム別限界値DB'!$F:$F = AD16), 
        0
      )
    ), 
    ""
  )
)
</f>
        <v/>
      </c>
      <c r="AG16" s="11"/>
      <c r="AH16" s="224" t="s">
        <v>55</v>
      </c>
      <c r="AI16" s="232"/>
      <c r="AJ16" s="231" t="str">
        <f t="array" ref="AJ16">IF(
  AI16 = 0, 
  "", 
  IFERROR(
    INDEX(
      'アイテム別限界値DB'!$K:$K, 
      MATCH(
        1, 
        ('アイテム別限界値DB'!$B:$B = AH$10) * 
        ('アイテム別限界値DB'!$F:$F = AH16) * 
        ('アイテム別限界値DB'!$H:$H = AI16), 
        0
      )
    ), 
    "再製作"
  )
)
</f>
        <v/>
      </c>
      <c r="AK16" s="218" t="str">
        <f t="array" ref="AK16">IF(
  AI16 = 0, 
  "", 
  IFERROR(
    INDEX(
      'アイテム別限界値DB'!$L:$L, 
      MATCH(
        1, 
        ('アイテム別限界値DB'!$B:$B = AH$10) * 
        ('アイテム別限界値DB'!$C:$C = AH16) * 
        ('アイテム別限界値DB'!$F:$F = AI16), 
        0
      )
    ), 
    ""
  )
)
</f>
        <v/>
      </c>
      <c r="AL16" s="11"/>
      <c r="AM16" s="224" t="s">
        <v>55</v>
      </c>
      <c r="AN16" s="232"/>
      <c r="AO16" s="231" t="str">
        <f t="array" ref="AO16">IF(
  AN16 = 0, 
  "", 
  IFERROR(
    INDEX(
      'アイテム別限界値DB'!$K:$K, 
      MATCH(
        1, 
        ('アイテム別限界値DB'!$B:$B = AM$10) * 
        ('アイテム別限界値DB'!$F:$F = AM16) * 
        ('アイテム別限界値DB'!$H:$H = AN16), 
        0
      )
    ), 
    "再製作"
  )
)
</f>
        <v/>
      </c>
      <c r="AP16" s="218" t="str">
        <f t="array" ref="AP16">IF(
  AN16 = 0, 
  "", 
  IFERROR(
    INDEX(
      'アイテム別限界値DB'!$L:$L, 
      MATCH(
        1, 
        ('アイテム別限界値DB'!$B:$B = AM$10) * 
        ('アイテム別限界値DB'!$C:$C = AM16) * 
        ('アイテム別限界値DB'!$F:$F = AN16), 
        0
      )
    ), 
    ""
  )
)
</f>
        <v/>
      </c>
      <c r="AQ16" s="11"/>
      <c r="AR16" s="224" t="s">
        <v>55</v>
      </c>
      <c r="AS16" s="232"/>
      <c r="AT16" s="231" t="str">
        <f t="array" ref="AT16">IF(
  AS16 = 0, 
  "", 
  IFERROR(
    INDEX(
      'アイテム別限界値DB'!$K:$K, 
      MATCH(
        1, 
        ('アイテム別限界値DB'!$B:$B = AR$10) * 
        ('アイテム別限界値DB'!$F:$F = AR16) * 
        ('アイテム別限界値DB'!$H:$H = AS16), 
        0
      )
    ), 
    "再製作"
  )
)
</f>
        <v/>
      </c>
      <c r="AU16" s="218" t="str">
        <f t="array" ref="AU16">IF(
  AS16 = 0, 
  "", 
  IFERROR(
    INDEX(
      'アイテム別限界値DB'!$L:$L, 
      MATCH(
        1, 
        ('アイテム別限界値DB'!$B:$B = AR$10) * 
        ('アイテム別限界値DB'!$C:$C = AR16) * 
        ('アイテム別限界値DB'!$F:$F = AS16), 
        0
      )
    ), 
    ""
  )
)
</f>
        <v/>
      </c>
      <c r="AV16" s="121"/>
      <c r="AW16" s="224" t="s">
        <v>55</v>
      </c>
      <c r="AX16" s="232"/>
      <c r="AY16" s="231" t="str">
        <f t="array" ref="AY16">IF(
  AX16 = 0, 
  "", 
  IFERROR(
    INDEX(
      'アイテム別限界値DB'!$K:$K, 
      MATCH(
        1, 
        ('アイテム別限界値DB'!$B:$B = AW$10) * 
        ('アイテム別限界値DB'!$F:$F = AW16) * 
        ('アイテム別限界値DB'!$H:$H = AX16), 
        0
      )
    ), 
    "再製作"
  )
)
</f>
        <v/>
      </c>
      <c r="AZ16" s="218" t="str">
        <f t="array" ref="AZ16">IF(
  AX16 = 0, 
  "", 
  IFERROR(
    INDEX(
      'アイテム別限界値DB'!$L:$L, 
      MATCH(
        1, 
        ('アイテム別限界値DB'!$B:$B = AW$10) * 
        ('アイテム別限界値DB'!$C:$C = AW16) * 
        ('アイテム別限界値DB'!$F:$F = AX16), 
        0
      )
    ), 
    ""
  )
)
</f>
        <v/>
      </c>
      <c r="BA16" s="121"/>
      <c r="BB16" s="224" t="s">
        <v>55</v>
      </c>
      <c r="BC16" s="232"/>
      <c r="BD16" s="231" t="str">
        <f t="array" ref="BD16">IF(
  BC16 = 0, 
  "", 
  IFERROR(
    INDEX(
      'アイテム別限界値DB'!$K:$K, 
      MATCH(
        1, 
        ('アイテム別限界値DB'!$B:$B = BB$10) * 
        ('アイテム別限界値DB'!$F:$F = BB16) * 
        ('アイテム別限界値DB'!$H:$H = BC16), 
        0
      )
    ), 
    "再製作"
  )
)
</f>
        <v/>
      </c>
      <c r="BE16" s="218" t="str">
        <f t="array" ref="BE16">IF(
  BC16 = 0, 
  "", 
  IFERROR(
    INDEX(
      'アイテム別限界値DB'!$L:$L, 
      MATCH(
        1, 
        ('アイテム別限界値DB'!$B:$B = BB$10) * 
        ('アイテム別限界値DB'!$C:$C = BB16) * 
        ('アイテム別限界値DB'!$F:$F = BC16), 
        0
      )
    ), 
    ""
  )
)
</f>
        <v/>
      </c>
      <c r="BF16" s="121"/>
      <c r="BG16" s="224" t="s">
        <v>55</v>
      </c>
      <c r="BH16" s="232"/>
      <c r="BI16" s="231" t="str">
        <f t="array" ref="BI16">IF(
  BH16 = 0, 
  "", 
  IFERROR(
    INDEX(
      'アイテム別限界値DB'!$K:$K, 
      MATCH(
        1, 
        ('アイテム別限界値DB'!$B:$B = BG$10) * 
        ('アイテム別限界値DB'!$F:$F = BG16) * 
        ('アイテム別限界値DB'!$H:$H = BH16), 
        0
      )
    ), 
    "再製作"
  )
)
</f>
        <v/>
      </c>
      <c r="BJ16" s="218" t="str">
        <f t="array" ref="BJ16">IF(
  BH16 = 0, 
  "", 
  IFERROR(
    INDEX(
      'アイテム別限界値DB'!$L:$L, 
      MATCH(
        1, 
        ('アイテム別限界値DB'!$B:$B = BG$10) * 
        ('アイテム別限界値DB'!$C:$C = BG16) * 
        ('アイテム別限界値DB'!$F:$F = BH16), 
        0
      )
    ), 
    ""
  )
)
</f>
        <v/>
      </c>
      <c r="BK16" s="121"/>
      <c r="BL16" s="224" t="s">
        <v>55</v>
      </c>
      <c r="BM16" s="232" t="s">
        <v>59</v>
      </c>
      <c r="BN16" s="231">
        <f t="array" ref="BN16">IF(
  BM16 = 0, 
  "", 
  IFERROR(
    INDEX(
      'アイテム別限界値DB'!$K:$K, 
      MATCH(
        1, 
        ('アイテム別限界値DB'!$B:$B = BL$10) * 
        ('アイテム別限界値DB'!$F:$F = BL16) * 
        ('アイテム別限界値DB'!$H:$H = BM16), 
        0
      )
    ), 
    "再製作"
  )
)
</f>
        <v>46000</v>
      </c>
      <c r="BO16" s="218" t="str">
        <f t="array" ref="BO16">IF(
  BM16 = 0, 
  "", 
  IFERROR(
    INDEX(
      'アイテム別限界値DB'!$L:$L, 
      MATCH(
        1, 
        ('アイテム別限界値DB'!$B:$B = BL$10) * 
        ('アイテム別限界値DB'!$C:$C = BL16) * 
        ('アイテム別限界値DB'!$F:$F = BM16), 
        0
      )
    ), 
    ""
  )
)
</f>
        <v/>
      </c>
      <c r="BP16" s="195"/>
    </row>
    <row r="17" ht="18.75" customHeight="1">
      <c r="A17" s="228" t="str">
        <f>IFERROR(__xludf.DUMMYFUNCTION("TEXTJOIN(CHAR(10),TRUE,FILTER(ARRAYFORMULA(IF(E$14:E72&lt;&gt;"""",D$14:D72&amp;"" :  cm"","""")), D$14:D72 &lt;&gt;""""))"),"")</f>
        <v/>
      </c>
      <c r="B17" s="229"/>
      <c r="C17" s="224"/>
      <c r="D17" s="224" t="s">
        <v>60</v>
      </c>
      <c r="E17" s="230"/>
      <c r="F17" s="231" t="str">
        <f t="array" ref="F17">IF(
  E17 = 0, 
  "", 
  IFERROR(
    INDEX(
      'アイテム別限界値DB'!$K:$K, 
      MATCH(
        1, 
        ('アイテム別限界値DB'!$B:$B = D$10) * 
        ('アイテム別限界値DB'!$F:$F = D17) * 
        ('アイテム別限界値DB'!$H:$H = E17), 
        0
      )
    ), 
    "再製作"
  )
)
</f>
        <v/>
      </c>
      <c r="G17" s="218" t="str">
        <f t="array" ref="G17">IF(
  E17 = 0, 
  "", 
  IFERROR(
    INDEX(
      'アイテム別限界値DB'!$L:$L, 
      MATCH(
        1, 
        ('アイテム別限界値DB'!$B:$B = D$10) * 
        ('アイテム別限界値DB'!$C:$C = D17) * 
        ('アイテム別限界値DB'!$F:$F = E17), 
        0
      )
    ), 
    ""
  )
)
</f>
        <v/>
      </c>
      <c r="H17" s="12"/>
      <c r="I17" s="224" t="s">
        <v>61</v>
      </c>
      <c r="J17" s="230"/>
      <c r="K17" s="231" t="str">
        <f t="array" ref="K17">IF(
  J17 = 0, 
  "", 
  IFERROR(
    INDEX(
      'アイテム別限界値DB'!$K:$K, 
      MATCH(
        1, 
        ('アイテム別限界値DB'!$B:$B = I$10) * 
        ('アイテム別限界値DB'!$F:$F = I17) * 
        ('アイテム別限界値DB'!$H:$H = J17), 
        0
      )
    ), 
    "再製作"
  )
)
</f>
        <v/>
      </c>
      <c r="L17" s="218" t="str">
        <f t="array" ref="L17">IF(
  J17 = 0, 
  "", 
  IFERROR(
    INDEX(
      'アイテム別限界値DB'!$L:$L, 
      MATCH(
        1, 
        ('アイテム別限界値DB'!$B:$B = I$10) * 
        ('アイテム別限界値DB'!$C:$C = I17) * 
        ('アイテム別限界値DB'!$F:$F = J17), 
        0
      )
    ), 
    ""
  )
)
</f>
        <v/>
      </c>
      <c r="M17" s="12"/>
      <c r="N17" s="224" t="s">
        <v>62</v>
      </c>
      <c r="O17" s="230" t="s">
        <v>59</v>
      </c>
      <c r="P17" s="231">
        <f t="array" ref="P17">IF(
  O17 = 0, 
  "", 
  IFERROR(
    INDEX(
      'アイテム別限界値DB'!$K:$K, 
      MATCH(
        1, 
        ('アイテム別限界値DB'!$B:$B = N$10) * 
        ('アイテム別限界値DB'!$F:$F = N17) * 
        ('アイテム別限界値DB'!$H:$H = O17), 
        0
      )
    ), 
    "再製作"
  )
)
</f>
        <v>46000</v>
      </c>
      <c r="Q17" s="218" t="str">
        <f t="array" ref="Q17">IF(
  O17 = 0, 
  "", 
  IFERROR(
    INDEX(
      'アイテム別限界値DB'!$L:$L, 
      MATCH(
        1, 
        ('アイテム別限界値DB'!$B:$B = N$10) * 
        ('アイテム別限界値DB'!$C:$C = N17) * 
        ('アイテム別限界値DB'!$F:$F = O17), 
        0
      )
    ), 
    ""
  )
)
</f>
        <v/>
      </c>
      <c r="R17" s="11"/>
      <c r="S17" s="224" t="s">
        <v>61</v>
      </c>
      <c r="T17" s="232"/>
      <c r="U17" s="231" t="str">
        <f t="array" ref="U17">IF(
  T17 = 0, 
  "", 
  IFERROR(
    INDEX(
      'アイテム別限界値DB'!$K:$K, 
      MATCH(
        1, 
        ('アイテム別限界値DB'!$B:$B = S$10) * 
        ('アイテム別限界値DB'!$F:$F = S17) * 
        ('アイテム別限界値DB'!$H:$H = T17), 
        0
      )
    ), 
    "再製作"
  )
)
</f>
        <v/>
      </c>
      <c r="V17" s="218" t="str">
        <f t="array" ref="V17">IF(
  T17 = 0, 
  "", 
  IFERROR(
    INDEX(
      'アイテム別限界値DB'!$L:$L, 
      MATCH(
        1, 
        ('アイテム別限界値DB'!$B:$B = S$10) * 
        ('アイテム別限界値DB'!$C:$C = S17) * 
        ('アイテム別限界値DB'!$F:$F = T17), 
        0
      )
    ), 
    ""
  )
)
</f>
        <v/>
      </c>
      <c r="W17" s="12"/>
      <c r="X17" s="224" t="s">
        <v>63</v>
      </c>
      <c r="Y17" s="232"/>
      <c r="Z17" s="231" t="str">
        <f t="array" ref="Z17">IF(
  Y17 = 0, 
  "", 
  IFERROR(
    INDEX(
      'アイテム別限界値DB'!$K:$K, 
      MATCH(
        1, 
        ('アイテム別限界値DB'!$B:$B = X$10) * 
        ('アイテム別限界値DB'!$F:$F = X17) * 
        ('アイテム別限界値DB'!$H:$H = Y17), 
        0
      )
    ), 
    "再製作"
  )
)
</f>
        <v/>
      </c>
      <c r="AA17" s="218" t="str">
        <f t="array" ref="AA17">IF(
  Y17 = 0, 
  "", 
  IFERROR(
    INDEX(
      'アイテム別限界値DB'!$L:$L, 
      MATCH(
        1, 
        ('アイテム別限界値DB'!$B:$B = X$10) * 
        ('アイテム別限界値DB'!$C:$C = X17) * 
        ('アイテム別限界値DB'!$F:$F = Y17), 
        0
      )
    ), 
    ""
  )
)
</f>
        <v/>
      </c>
      <c r="AB17" s="11"/>
      <c r="AC17" s="224" t="s">
        <v>57</v>
      </c>
      <c r="AD17" s="232"/>
      <c r="AE17" s="231" t="str">
        <f t="array" ref="AE17">IF(
  AD17 = 0, 
  "", 
  IFERROR(
    INDEX(
      'アイテム別限界値DB'!$K:$K, 
      MATCH(
        1, 
        ('アイテム別限界値DB'!$B:$B = AC$10) * 
        ('アイテム別限界値DB'!$F:$F = AC17) * 
        ('アイテム別限界値DB'!$H:$H = AD17), 
        0
      )
    ), 
    "再製作"
  )
)
</f>
        <v/>
      </c>
      <c r="AF17" s="218" t="str">
        <f t="array" ref="AF17">IF(
  AD17 = 0, 
  "", 
  IFERROR(
    INDEX(
      'アイテム別限界値DB'!$L:$L, 
      MATCH(
        1, 
        ('アイテム別限界値DB'!$B:$B = AC$10) * 
        ('アイテム別限界値DB'!$C:$C = AC17) * 
        ('アイテム別限界値DB'!$F:$F = AD17), 
        0
      )
    ), 
    ""
  )
)
</f>
        <v/>
      </c>
      <c r="AG17" s="11"/>
      <c r="AH17" s="224" t="s">
        <v>57</v>
      </c>
      <c r="AI17" s="232"/>
      <c r="AJ17" s="231" t="str">
        <f t="array" ref="AJ17">IF(
  AI17 = 0, 
  "", 
  IFERROR(
    INDEX(
      'アイテム別限界値DB'!$K:$K, 
      MATCH(
        1, 
        ('アイテム別限界値DB'!$B:$B = AH$10) * 
        ('アイテム別限界値DB'!$F:$F = AH17) * 
        ('アイテム別限界値DB'!$H:$H = AI17), 
        0
      )
    ), 
    "再製作"
  )
)
</f>
        <v/>
      </c>
      <c r="AK17" s="218" t="str">
        <f t="array" ref="AK17">IF(
  AI17 = 0, 
  "", 
  IFERROR(
    INDEX(
      'アイテム別限界値DB'!$L:$L, 
      MATCH(
        1, 
        ('アイテム別限界値DB'!$B:$B = AH$10) * 
        ('アイテム別限界値DB'!$C:$C = AH17) * 
        ('アイテム別限界値DB'!$F:$F = AI17), 
        0
      )
    ), 
    ""
  )
)
</f>
        <v/>
      </c>
      <c r="AL17" s="11"/>
      <c r="AM17" s="224" t="s">
        <v>57</v>
      </c>
      <c r="AN17" s="232"/>
      <c r="AO17" s="231" t="str">
        <f t="array" ref="AO17">IF(
  AN17 = 0, 
  "", 
  IFERROR(
    INDEX(
      'アイテム別限界値DB'!$K:$K, 
      MATCH(
        1, 
        ('アイテム別限界値DB'!$B:$B = AM$10) * 
        ('アイテム別限界値DB'!$F:$F = AM17) * 
        ('アイテム別限界値DB'!$H:$H = AN17), 
        0
      )
    ), 
    "再製作"
  )
)
</f>
        <v/>
      </c>
      <c r="AP17" s="218" t="str">
        <f t="array" ref="AP17">IF(
  AN17 = 0, 
  "", 
  IFERROR(
    INDEX(
      'アイテム別限界値DB'!$L:$L, 
      MATCH(
        1, 
        ('アイテム別限界値DB'!$B:$B = AM$10) * 
        ('アイテム別限界値DB'!$C:$C = AM17) * 
        ('アイテム別限界値DB'!$F:$F = AN17), 
        0
      )
    ), 
    ""
  )
)
</f>
        <v/>
      </c>
      <c r="AQ17" s="11"/>
      <c r="AR17" s="224" t="s">
        <v>57</v>
      </c>
      <c r="AS17" s="232"/>
      <c r="AT17" s="231" t="str">
        <f t="array" ref="AT17">IF(
  AS17 = 0, 
  "", 
  IFERROR(
    INDEX(
      'アイテム別限界値DB'!$K:$K, 
      MATCH(
        1, 
        ('アイテム別限界値DB'!$B:$B = AR$10) * 
        ('アイテム別限界値DB'!$F:$F = AR17) * 
        ('アイテム別限界値DB'!$H:$H = AS17), 
        0
      )
    ), 
    "再製作"
  )
)
</f>
        <v/>
      </c>
      <c r="AU17" s="218" t="str">
        <f t="array" ref="AU17">IF(
  AS17 = 0, 
  "", 
  IFERROR(
    INDEX(
      'アイテム別限界値DB'!$L:$L, 
      MATCH(
        1, 
        ('アイテム別限界値DB'!$B:$B = AR$10) * 
        ('アイテム別限界値DB'!$C:$C = AR17) * 
        ('アイテム別限界値DB'!$F:$F = AS17), 
        0
      )
    ), 
    ""
  )
)
</f>
        <v/>
      </c>
      <c r="AV17" s="121"/>
      <c r="AW17" s="224" t="s">
        <v>57</v>
      </c>
      <c r="AX17" s="232"/>
      <c r="AY17" s="231" t="str">
        <f t="array" ref="AY17">IF(
  AX17 = 0, 
  "", 
  IFERROR(
    INDEX(
      'アイテム別限界値DB'!$K:$K, 
      MATCH(
        1, 
        ('アイテム別限界値DB'!$B:$B = AW$10) * 
        ('アイテム別限界値DB'!$F:$F = AW17) * 
        ('アイテム別限界値DB'!$H:$H = AX17), 
        0
      )
    ), 
    "再製作"
  )
)
</f>
        <v/>
      </c>
      <c r="AZ17" s="218" t="str">
        <f t="array" ref="AZ17">IF(
  AX17 = 0, 
  "", 
  IFERROR(
    INDEX(
      'アイテム別限界値DB'!$L:$L, 
      MATCH(
        1, 
        ('アイテム別限界値DB'!$B:$B = AW$10) * 
        ('アイテム別限界値DB'!$C:$C = AW17) * 
        ('アイテム別限界値DB'!$F:$F = AX17), 
        0
      )
    ), 
    ""
  )
)
</f>
        <v/>
      </c>
      <c r="BA17" s="121"/>
      <c r="BB17" s="224" t="s">
        <v>57</v>
      </c>
      <c r="BC17" s="232"/>
      <c r="BD17" s="231" t="str">
        <f t="array" ref="BD17">IF(
  BC17 = 0, 
  "", 
  IFERROR(
    INDEX(
      'アイテム別限界値DB'!$K:$K, 
      MATCH(
        1, 
        ('アイテム別限界値DB'!$B:$B = BB$10) * 
        ('アイテム別限界値DB'!$F:$F = BB17) * 
        ('アイテム別限界値DB'!$H:$H = BC17), 
        0
      )
    ), 
    "再製作"
  )
)
</f>
        <v/>
      </c>
      <c r="BE17" s="218" t="str">
        <f t="array" ref="BE17">IF(
  BC17 = 0, 
  "", 
  IFERROR(
    INDEX(
      'アイテム別限界値DB'!$L:$L, 
      MATCH(
        1, 
        ('アイテム別限界値DB'!$B:$B = BB$10) * 
        ('アイテム別限界値DB'!$C:$C = BB17) * 
        ('アイテム別限界値DB'!$F:$F = BC17), 
        0
      )
    ), 
    ""
  )
)
</f>
        <v/>
      </c>
      <c r="BF17" s="121"/>
      <c r="BG17" s="224" t="s">
        <v>57</v>
      </c>
      <c r="BH17" s="232"/>
      <c r="BI17" s="231" t="str">
        <f t="array" ref="BI17">IF(
  BH17 = 0, 
  "", 
  IFERROR(
    INDEX(
      'アイテム別限界値DB'!$K:$K, 
      MATCH(
        1, 
        ('アイテム別限界値DB'!$B:$B = BG$10) * 
        ('アイテム別限界値DB'!$F:$F = BG17) * 
        ('アイテム別限界値DB'!$H:$H = BH17), 
        0
      )
    ), 
    "再製作"
  )
)
</f>
        <v/>
      </c>
      <c r="BJ17" s="218" t="str">
        <f t="array" ref="BJ17">IF(
  BH17 = 0, 
  "", 
  IFERROR(
    INDEX(
      'アイテム別限界値DB'!$L:$L, 
      MATCH(
        1, 
        ('アイテム別限界値DB'!$B:$B = BG$10) * 
        ('アイテム別限界値DB'!$C:$C = BG17) * 
        ('アイテム別限界値DB'!$F:$F = BH17), 
        0
      )
    ), 
    ""
  )
)
</f>
        <v/>
      </c>
      <c r="BK17" s="121"/>
      <c r="BL17" s="224" t="s">
        <v>57</v>
      </c>
      <c r="BM17" s="232" t="s">
        <v>59</v>
      </c>
      <c r="BN17" s="231">
        <f t="array" ref="BN17">IF(
  BM17 = 0, 
  "", 
  IFERROR(
    INDEX(
      'アイテム別限界値DB'!$K:$K, 
      MATCH(
        1, 
        ('アイテム別限界値DB'!$B:$B = BL$10) * 
        ('アイテム別限界値DB'!$F:$F = BL17) * 
        ('アイテム別限界値DB'!$H:$H = BM17), 
        0
      )
    ), 
    "再製作"
  )
)
</f>
        <v>46000</v>
      </c>
      <c r="BO17" s="218" t="str">
        <f t="array" ref="BO17">IF(
  BM17 = 0, 
  "", 
  IFERROR(
    INDEX(
      'アイテム別限界値DB'!$L:$L, 
      MATCH(
        1, 
        ('アイテム別限界値DB'!$B:$B = BL$10) * 
        ('アイテム別限界値DB'!$C:$C = BL17) * 
        ('アイテム別限界値DB'!$F:$F = BM17), 
        0
      )
    ), 
    ""
  )
)
</f>
        <v/>
      </c>
      <c r="BP17" s="195"/>
    </row>
    <row r="18" ht="18.75" customHeight="1">
      <c r="A18" s="237" t="s">
        <v>64</v>
      </c>
      <c r="B18" s="235"/>
      <c r="C18" s="224"/>
      <c r="D18" s="224" t="s">
        <v>65</v>
      </c>
      <c r="E18" s="230"/>
      <c r="F18" s="231" t="str">
        <f t="array" ref="F18">IF(
  E18 = 0, 
  "", 
  IFERROR(
    INDEX(
      'アイテム別限界値DB'!$K:$K, 
      MATCH(
        1, 
        ('アイテム別限界値DB'!$B:$B = D$10) * 
        ('アイテム別限界値DB'!$F:$F = D18) * 
        ('アイテム別限界値DB'!$H:$H = E18), 
        0
      )
    ), 
    "再製作"
  )
)
</f>
        <v/>
      </c>
      <c r="G18" s="218" t="str">
        <f t="array" ref="G18">IF(
  E18 = 0, 
  "", 
  IFERROR(
    INDEX(
      'アイテム別限界値DB'!$L:$L, 
      MATCH(
        1, 
        ('アイテム別限界値DB'!$B:$B = D$10) * 
        ('アイテム別限界値DB'!$C:$C = D18) * 
        ('アイテム別限界値DB'!$F:$F = E18), 
        0
      )
    ), 
    ""
  )
)
</f>
        <v/>
      </c>
      <c r="H18" s="12"/>
      <c r="I18" s="224" t="s">
        <v>66</v>
      </c>
      <c r="J18" s="230"/>
      <c r="K18" s="231" t="str">
        <f t="array" ref="K18">IF(
  J18 = 0, 
  "", 
  IFERROR(
    INDEX(
      'アイテム別限界値DB'!$K:$K, 
      MATCH(
        1, 
        ('アイテム別限界値DB'!$B:$B = I$10) * 
        ('アイテム別限界値DB'!$F:$F = I18) * 
        ('アイテム別限界値DB'!$H:$H = J18), 
        0
      )
    ), 
    "再製作"
  )
)
</f>
        <v/>
      </c>
      <c r="L18" s="218" t="str">
        <f t="array" ref="L18">IF(
  J18 = 0, 
  "", 
  IFERROR(
    INDEX(
      'アイテム別限界値DB'!$L:$L, 
      MATCH(
        1, 
        ('アイテム別限界値DB'!$B:$B = I$10) * 
        ('アイテム別限界値DB'!$C:$C = I18) * 
        ('アイテム別限界値DB'!$F:$F = J18), 
        0
      )
    ), 
    ""
  )
)
</f>
        <v/>
      </c>
      <c r="M18" s="12"/>
      <c r="N18" s="224" t="s">
        <v>67</v>
      </c>
      <c r="O18" s="232"/>
      <c r="P18" s="231" t="str">
        <f t="array" ref="P18">IF(
  O18 = 0, 
  "", 
  IFERROR(
    INDEX(
      'アイテム別限界値DB'!$K:$K, 
      MATCH(
        1, 
        ('アイテム別限界値DB'!$B:$B = N$10) * 
        ('アイテム別限界値DB'!$F:$F = N18) * 
        ('アイテム別限界値DB'!$H:$H = O18), 
        0
      )
    ), 
    "再製作"
  )
)
</f>
        <v/>
      </c>
      <c r="Q18" s="218" t="str">
        <f t="array" ref="Q18">IF(
  O18 = 0, 
  "", 
  IFERROR(
    INDEX(
      'アイテム別限界値DB'!$L:$L, 
      MATCH(
        1, 
        ('アイテム別限界値DB'!$B:$B = N$10) * 
        ('アイテム別限界値DB'!$C:$C = N18) * 
        ('アイテム別限界値DB'!$F:$F = O18), 
        0
      )
    ), 
    ""
  )
)
</f>
        <v/>
      </c>
      <c r="R18" s="11"/>
      <c r="S18" s="224" t="s">
        <v>68</v>
      </c>
      <c r="T18" s="230"/>
      <c r="U18" s="231" t="str">
        <f t="array" ref="U18">IF(
  T18 = 0, 
  "", 
  IFERROR(
    INDEX(
      'アイテム別限界値DB'!$K:$K, 
      MATCH(
        1, 
        ('アイテム別限界値DB'!$B:$B = S$10) * 
        ('アイテム別限界値DB'!$F:$F = S18) * 
        ('アイテム別限界値DB'!$H:$H = T18), 
        0
      )
    ), 
    "再製作"
  )
)
</f>
        <v/>
      </c>
      <c r="V18" s="218" t="str">
        <f t="array" ref="V18">IF(
  T18 = 0, 
  "", 
  IFERROR(
    INDEX(
      'アイテム別限界値DB'!$L:$L, 
      MATCH(
        1, 
        ('アイテム別限界値DB'!$B:$B = S$10) * 
        ('アイテム別限界値DB'!$C:$C = S18) * 
        ('アイテム別限界値DB'!$F:$F = T18), 
        0
      )
    ), 
    ""
  )
)
</f>
        <v/>
      </c>
      <c r="W18" s="11"/>
      <c r="X18" s="224" t="s">
        <v>57</v>
      </c>
      <c r="Y18" s="230"/>
      <c r="Z18" s="231" t="str">
        <f t="array" ref="Z18">IF(
  Y18 = 0, 
  "", 
  IFERROR(
    INDEX(
      'アイテム別限界値DB'!$K:$K, 
      MATCH(
        1, 
        ('アイテム別限界値DB'!$B:$B = X$10) * 
        ('アイテム別限界値DB'!$F:$F = X18) * 
        ('アイテム別限界値DB'!$H:$H = Y18), 
        0
      )
    ), 
    "再製作"
  )
)
</f>
        <v/>
      </c>
      <c r="AA18" s="218" t="str">
        <f t="array" ref="AA18">IF(
  Y18 = 0, 
  "", 
  IFERROR(
    INDEX(
      'アイテム別限界値DB'!$L:$L, 
      MATCH(
        1, 
        ('アイテム別限界値DB'!$B:$B = X$10) * 
        ('アイテム別限界値DB'!$C:$C = X18) * 
        ('アイテム別限界値DB'!$F:$F = Y18), 
        0
      )
    ), 
    ""
  )
)
</f>
        <v/>
      </c>
      <c r="AB18" s="11"/>
      <c r="AC18" s="224" t="s">
        <v>69</v>
      </c>
      <c r="AD18" s="230"/>
      <c r="AE18" s="231" t="str">
        <f t="array" ref="AE18">IF(
  AD18 = 0, 
  "", 
  IFERROR(
    INDEX(
      'アイテム別限界値DB'!$K:$K, 
      MATCH(
        1, 
        ('アイテム別限界値DB'!$B:$B = AC$10) * 
        ('アイテム別限界値DB'!$F:$F = AC18) * 
        ('アイテム別限界値DB'!$H:$H = AD18), 
        0
      )
    ), 
    "再製作"
  )
)
</f>
        <v/>
      </c>
      <c r="AF18" s="218" t="str">
        <f t="array" ref="AF18">IF(
  AD18 = 0, 
  "", 
  IFERROR(
    INDEX(
      'アイテム別限界値DB'!$L:$L, 
      MATCH(
        1, 
        ('アイテム別限界値DB'!$B:$B = AC$10) * 
        ('アイテム別限界値DB'!$C:$C = AC18) * 
        ('アイテム別限界値DB'!$F:$F = AD18), 
        0
      )
    ), 
    ""
  )
)
</f>
        <v/>
      </c>
      <c r="AG18" s="11"/>
      <c r="AH18" s="224" t="s">
        <v>70</v>
      </c>
      <c r="AI18" s="232"/>
      <c r="AJ18" s="231" t="str">
        <f t="array" ref="AJ18">IF(
  AI18 = 0, 
  "", 
  IFERROR(
    INDEX(
      'アイテム別限界値DB'!$K:$K, 
      MATCH(
        1, 
        ('アイテム別限界値DB'!$B:$B = AH$10) * 
        ('アイテム別限界値DB'!$F:$F = AH18) * 
        ('アイテム別限界値DB'!$H:$H = AI18), 
        0
      )
    ), 
    "再製作"
  )
)
</f>
        <v/>
      </c>
      <c r="AK18" s="218" t="str">
        <f t="array" ref="AK18">IF(
  AI18 = 0, 
  "", 
  IFERROR(
    INDEX(
      'アイテム別限界値DB'!$L:$L, 
      MATCH(
        1, 
        ('アイテム別限界値DB'!$B:$B = AH$10) * 
        ('アイテム別限界値DB'!$C:$C = AH18) * 
        ('アイテム別限界値DB'!$F:$F = AI18), 
        0
      )
    ), 
    ""
  )
)
</f>
        <v/>
      </c>
      <c r="AL18" s="11"/>
      <c r="AM18" s="224" t="s">
        <v>71</v>
      </c>
      <c r="AN18" s="232"/>
      <c r="AO18" s="231" t="str">
        <f t="array" ref="AO18">IF(
  AN18 = 0, 
  "", 
  IFERROR(
    INDEX(
      'アイテム別限界値DB'!$K:$K, 
      MATCH(
        1, 
        ('アイテム別限界値DB'!$B:$B = AM$10) * 
        ('アイテム別限界値DB'!$F:$F = AM18) * 
        ('アイテム別限界値DB'!$H:$H = AN18), 
        0
      )
    ), 
    "再製作"
  )
)
</f>
        <v/>
      </c>
      <c r="AP18" s="218" t="str">
        <f t="array" ref="AP18">IF(
  AN18 = 0, 
  "", 
  IFERROR(
    INDEX(
      'アイテム別限界値DB'!$L:$L, 
      MATCH(
        1, 
        ('アイテム別限界値DB'!$B:$B = AM$10) * 
        ('アイテム別限界値DB'!$C:$C = AM18) * 
        ('アイテム別限界値DB'!$F:$F = AN18), 
        0
      )
    ), 
    ""
  )
)
</f>
        <v/>
      </c>
      <c r="AQ18" s="11"/>
      <c r="AR18" s="224" t="s">
        <v>71</v>
      </c>
      <c r="AS18" s="232"/>
      <c r="AT18" s="231" t="str">
        <f t="array" ref="AT18">IF(
  AS18 = 0, 
  "", 
  IFERROR(
    INDEX(
      'アイテム別限界値DB'!$K:$K, 
      MATCH(
        1, 
        ('アイテム別限界値DB'!$B:$B = AR$10) * 
        ('アイテム別限界値DB'!$F:$F = AR18) * 
        ('アイテム別限界値DB'!$H:$H = AS18), 
        0
      )
    ), 
    "再製作"
  )
)
</f>
        <v/>
      </c>
      <c r="AU18" s="218" t="str">
        <f t="array" ref="AU18">IF(
  AS18 = 0, 
  "", 
  IFERROR(
    INDEX(
      'アイテム別限界値DB'!$L:$L, 
      MATCH(
        1, 
        ('アイテム別限界値DB'!$B:$B = AR$10) * 
        ('アイテム別限界値DB'!$C:$C = AR18) * 
        ('アイテム別限界値DB'!$F:$F = AS18), 
        0
      )
    ), 
    ""
  )
)
</f>
        <v/>
      </c>
      <c r="AV18" s="121"/>
      <c r="AW18" s="224" t="s">
        <v>71</v>
      </c>
      <c r="AX18" s="232"/>
      <c r="AY18" s="231" t="str">
        <f t="array" ref="AY18">IF(
  AX18 = 0, 
  "", 
  IFERROR(
    INDEX(
      'アイテム別限界値DB'!$K:$K, 
      MATCH(
        1, 
        ('アイテム別限界値DB'!$B:$B = AW$10) * 
        ('アイテム別限界値DB'!$F:$F = AW18) * 
        ('アイテム別限界値DB'!$H:$H = AX18), 
        0
      )
    ), 
    "再製作"
  )
)
</f>
        <v/>
      </c>
      <c r="AZ18" s="218" t="str">
        <f t="array" ref="AZ18">IF(
  AX18 = 0, 
  "", 
  IFERROR(
    INDEX(
      'アイテム別限界値DB'!$L:$L, 
      MATCH(
        1, 
        ('アイテム別限界値DB'!$B:$B = AW$10) * 
        ('アイテム別限界値DB'!$C:$C = AW18) * 
        ('アイテム別限界値DB'!$F:$F = AX18), 
        0
      )
    ), 
    ""
  )
)
</f>
        <v/>
      </c>
      <c r="BA18" s="121"/>
      <c r="BB18" s="224" t="s">
        <v>71</v>
      </c>
      <c r="BC18" s="232"/>
      <c r="BD18" s="231" t="str">
        <f t="array" ref="BD18">IF(
  BC18 = 0, 
  "", 
  IFERROR(
    INDEX(
      'アイテム別限界値DB'!$K:$K, 
      MATCH(
        1, 
        ('アイテム別限界値DB'!$B:$B = BB$10) * 
        ('アイテム別限界値DB'!$F:$F = BB18) * 
        ('アイテム別限界値DB'!$H:$H = BC18), 
        0
      )
    ), 
    "再製作"
  )
)
</f>
        <v/>
      </c>
      <c r="BE18" s="218" t="str">
        <f t="array" ref="BE18">IF(
  BC18 = 0, 
  "", 
  IFERROR(
    INDEX(
      'アイテム別限界値DB'!$L:$L, 
      MATCH(
        1, 
        ('アイテム別限界値DB'!$B:$B = BB$10) * 
        ('アイテム別限界値DB'!$C:$C = BB18) * 
        ('アイテム別限界値DB'!$F:$F = BC18), 
        0
      )
    ), 
    ""
  )
)
</f>
        <v/>
      </c>
      <c r="BF18" s="121"/>
      <c r="BG18" s="224" t="s">
        <v>71</v>
      </c>
      <c r="BH18" s="232"/>
      <c r="BI18" s="231" t="str">
        <f t="array" ref="BI18">IF(
  BH18 = 0, 
  "", 
  IFERROR(
    INDEX(
      'アイテム別限界値DB'!$K:$K, 
      MATCH(
        1, 
        ('アイテム別限界値DB'!$B:$B = BG$10) * 
        ('アイテム別限界値DB'!$F:$F = BG18) * 
        ('アイテム別限界値DB'!$H:$H = BH18), 
        0
      )
    ), 
    "再製作"
  )
)
</f>
        <v/>
      </c>
      <c r="BJ18" s="218" t="str">
        <f t="array" ref="BJ18">IF(
  BH18 = 0, 
  "", 
  IFERROR(
    INDEX(
      'アイテム別限界値DB'!$L:$L, 
      MATCH(
        1, 
        ('アイテム別限界値DB'!$B:$B = BG$10) * 
        ('アイテム別限界値DB'!$C:$C = BG18) * 
        ('アイテム別限界値DB'!$F:$F = BH18), 
        0
      )
    ), 
    ""
  )
)
</f>
        <v/>
      </c>
      <c r="BK18" s="121"/>
      <c r="BL18" s="224" t="s">
        <v>69</v>
      </c>
      <c r="BM18" s="232"/>
      <c r="BN18" s="231" t="str">
        <f t="array" ref="BN18">IF(
  BM18 = 0, 
  "", 
  IFERROR(
    INDEX(
      'アイテム別限界値DB'!$K:$K, 
      MATCH(
        1, 
        ('アイテム別限界値DB'!$B:$B = BL$10) * 
        ('アイテム別限界値DB'!$F:$F = BL18) * 
        ('アイテム別限界値DB'!$H:$H = BM18), 
        0
      )
    ), 
    "再製作"
  )
)
</f>
        <v/>
      </c>
      <c r="BO18" s="218" t="str">
        <f t="array" ref="BO18">IF(
  BM18 = 0, 
  "", 
  IFERROR(
    INDEX(
      'アイテム別限界値DB'!$L:$L, 
      MATCH(
        1, 
        ('アイテム別限界値DB'!$B:$B = BL$10) * 
        ('アイテム別限界値DB'!$C:$C = BL18) * 
        ('アイテム別限界値DB'!$F:$F = BM18), 
        0
      )
    ), 
    ""
  )
)
</f>
        <v/>
      </c>
      <c r="BP18" s="195"/>
    </row>
    <row r="19" ht="18.75" customHeight="1">
      <c r="A19" s="228" t="str">
        <f>IF($I$11 ="再製作", "◼︎ パンツ（対応着地：再製作）"　&amp; char(10) &amp; "《修正数値》", IF($I$11 &lt;&gt; "", "◼︎ パンツ（対応着地：お直し）"　&amp; char(10) &amp; "《修正数値》", ""))</f>
        <v>◼︎ パンツ（対応着地：お直し）
《修正数値》</v>
      </c>
      <c r="B19" s="224"/>
      <c r="C19" s="224"/>
      <c r="D19" s="238" t="s">
        <v>72</v>
      </c>
      <c r="E19" s="230"/>
      <c r="F19" s="231" t="str">
        <f t="array" ref="F19">IF(
  E19 = 0, 
  "", 
  IFERROR(
    INDEX(
      'アイテム別限界値DB'!$K:$K, 
      MATCH(
        1, 
        ('アイテム別限界値DB'!$B:$B = D$10) * 
        ('アイテム別限界値DB'!$F:$F = D19) * 
        ('アイテム別限界値DB'!$H:$H = E19), 
        0
      )
    ), 
    "再製作"
  )
)
</f>
        <v/>
      </c>
      <c r="G19" s="218" t="str">
        <f t="array" ref="G19">IF(
  E19 = 0, 
  "", 
  IFERROR(
    INDEX(
      'アイテム別限界値DB'!$L:$L, 
      MATCH(
        1, 
        ('アイテム別限界値DB'!$B:$B = D$10) * 
        ('アイテム別限界値DB'!$C:$C = D19) * 
        ('アイテム別限界値DB'!$F:$F = E19), 
        0
      )
    ), 
    ""
  )
)
</f>
        <v/>
      </c>
      <c r="H19" s="12"/>
      <c r="I19" s="238" t="s">
        <v>73</v>
      </c>
      <c r="J19" s="232"/>
      <c r="K19" s="231" t="str">
        <f t="array" ref="K19">IF(
  J19 = 0, 
  "", 
  IFERROR(
    INDEX(
      'アイテム別限界値DB'!$K:$K, 
      MATCH(
        1, 
        ('アイテム別限界値DB'!$B:$B = I$10) * 
        ('アイテム別限界値DB'!$F:$F = I19) * 
        ('アイテム別限界値DB'!$H:$H = J19), 
        0
      )
    ), 
    "再製作"
  )
)
</f>
        <v/>
      </c>
      <c r="L19" s="218" t="str">
        <f t="array" ref="L19">IF(
  J19 = 0, 
  "", 
  IFERROR(
    INDEX(
      'アイテム別限界値DB'!$L:$L, 
      MATCH(
        1, 
        ('アイテム別限界値DB'!$B:$B = I$10) * 
        ('アイテム別限界値DB'!$C:$C = I19) * 
        ('アイテム別限界値DB'!$F:$F = J19), 
        0
      )
    ), 
    ""
  )
)
</f>
        <v/>
      </c>
      <c r="M19" s="12"/>
      <c r="N19" s="238" t="s">
        <v>74</v>
      </c>
      <c r="O19" s="232"/>
      <c r="P19" s="231" t="str">
        <f t="array" ref="P19">IF(
  O19 = 0, 
  "", 
  IFERROR(
    INDEX(
      'アイテム別限界値DB'!$K:$K, 
      MATCH(
        1, 
        ('アイテム別限界値DB'!$B:$B = N$10) * 
        ('アイテム別限界値DB'!$F:$F = N19) * 
        ('アイテム別限界値DB'!$H:$H = O19), 
        0
      )
    ), 
    "再製作"
  )
)
</f>
        <v/>
      </c>
      <c r="Q19" s="218" t="str">
        <f t="array" ref="Q19">IF(
  O19 = 0, 
  "", 
  IFERROR(
    INDEX(
      'アイテム別限界値DB'!$L:$L, 
      MATCH(
        1, 
        ('アイテム別限界値DB'!$B:$B = N$10) * 
        ('アイテム別限界値DB'!$C:$C = N19) * 
        ('アイテム別限界値DB'!$F:$F = O19), 
        0
      )
    ), 
    ""
  )
)
</f>
        <v/>
      </c>
      <c r="R19" s="11"/>
      <c r="S19" s="238" t="s">
        <v>75</v>
      </c>
      <c r="T19" s="232"/>
      <c r="U19" s="231" t="str">
        <f t="array" ref="U19">IF(
  T19 = 0, 
  "", 
  IFERROR(
    INDEX(
      'アイテム別限界値DB'!$K:$K, 
      MATCH(
        1, 
        ('アイテム別限界値DB'!$B:$B = S$10) * 
        ('アイテム別限界値DB'!$F:$F = S19) * 
        ('アイテム別限界値DB'!$H:$H = T19), 
        0
      )
    ), 
    "再製作"
  )
)
</f>
        <v/>
      </c>
      <c r="V19" s="218" t="str">
        <f t="array" ref="V19">IF(
  T19 = 0, 
  "", 
  IFERROR(
    INDEX(
      'アイテム別限界値DB'!$L:$L, 
      MATCH(
        1, 
        ('アイテム別限界値DB'!$B:$B = S$10) * 
        ('アイテム別限界値DB'!$C:$C = S19) * 
        ('アイテム別限界値DB'!$F:$F = T19), 
        0
      )
    ), 
    ""
  )
)
</f>
        <v/>
      </c>
      <c r="W19" s="11"/>
      <c r="X19" s="238" t="s">
        <v>69</v>
      </c>
      <c r="Y19" s="232"/>
      <c r="Z19" s="231" t="str">
        <f t="array" ref="Z19">IF(
  Y19 = 0, 
  "", 
  IFERROR(
    INDEX(
      'アイテム別限界値DB'!$K:$K, 
      MATCH(
        1, 
        ('アイテム別限界値DB'!$B:$B = X$10) * 
        ('アイテム別限界値DB'!$F:$F = X19) * 
        ('アイテム別限界値DB'!$H:$H = Y19), 
        0
      )
    ), 
    "再製作"
  )
)
</f>
        <v/>
      </c>
      <c r="AA19" s="218" t="str">
        <f t="array" ref="AA19">IF(
  Y19 = 0, 
  "", 
  IFERROR(
    INDEX(
      'アイテム別限界値DB'!$L:$L, 
      MATCH(
        1, 
        ('アイテム別限界値DB'!$B:$B = X$10) * 
        ('アイテム別限界値DB'!$C:$C = X19) * 
        ('アイテム別限界値DB'!$F:$F = Y19), 
        0
      )
    ), 
    ""
  )
)
</f>
        <v/>
      </c>
      <c r="AB19" s="11"/>
      <c r="AC19" s="238" t="s">
        <v>76</v>
      </c>
      <c r="AD19" s="232"/>
      <c r="AE19" s="231" t="str">
        <f t="array" ref="AE19">IF(
  AD19 = 0, 
  "", 
  IFERROR(
    INDEX(
      'アイテム別限界値DB'!$K:$K, 
      MATCH(
        1, 
        ('アイテム別限界値DB'!$B:$B = AC$10) * 
        ('アイテム別限界値DB'!$F:$F = AC19) * 
        ('アイテム別限界値DB'!$H:$H = AD19), 
        0
      )
    ), 
    "再製作"
  )
)
</f>
        <v/>
      </c>
      <c r="AF19" s="218" t="str">
        <f t="array" ref="AF19">IF(
  AD19 = 0, 
  "", 
  IFERROR(
    INDEX(
      'アイテム別限界値DB'!$L:$L, 
      MATCH(
        1, 
        ('アイテム別限界値DB'!$B:$B = AC$10) * 
        ('アイテム別限界値DB'!$C:$C = AC19) * 
        ('アイテム別限界値DB'!$F:$F = AD19), 
        0
      )
    ), 
    ""
  )
)
</f>
        <v/>
      </c>
      <c r="AG19" s="11"/>
      <c r="AH19" s="238" t="s">
        <v>71</v>
      </c>
      <c r="AI19" s="232"/>
      <c r="AJ19" s="231" t="str">
        <f t="array" ref="AJ19">IF(
  AI19 = 0, 
  "", 
  IFERROR(
    INDEX(
      'アイテム別限界値DB'!$K:$K, 
      MATCH(
        1, 
        ('アイテム別限界値DB'!$B:$B = AH$10) * 
        ('アイテム別限界値DB'!$F:$F = AH19) * 
        ('アイテム別限界値DB'!$H:$H = AI19), 
        0
      )
    ), 
    "再製作"
  )
)
</f>
        <v/>
      </c>
      <c r="AK19" s="218" t="str">
        <f t="array" ref="AK19">IF(
  AI19 = 0, 
  "", 
  IFERROR(
    INDEX(
      'アイテム別限界値DB'!$L:$L, 
      MATCH(
        1, 
        ('アイテム別限界値DB'!$B:$B = AH$10) * 
        ('アイテム別限界値DB'!$C:$C = AH19) * 
        ('アイテム別限界値DB'!$F:$F = AI19), 
        0
      )
    ), 
    ""
  )
)
</f>
        <v/>
      </c>
      <c r="AL19" s="11"/>
      <c r="AM19" s="238" t="s">
        <v>62</v>
      </c>
      <c r="AN19" s="232"/>
      <c r="AO19" s="231" t="str">
        <f t="array" ref="AO19">IF(
  AN19 = 0, 
  "", 
  IFERROR(
    INDEX(
      'アイテム別限界値DB'!$K:$K, 
      MATCH(
        1, 
        ('アイテム別限界値DB'!$B:$B = AM$10) * 
        ('アイテム別限界値DB'!$F:$F = AM19) * 
        ('アイテム別限界値DB'!$H:$H = AN19), 
        0
      )
    ), 
    "再製作"
  )
)
</f>
        <v/>
      </c>
      <c r="AP19" s="218" t="str">
        <f t="array" ref="AP19">IF(
  AN19 = 0, 
  "", 
  IFERROR(
    INDEX(
      'アイテム別限界値DB'!$L:$L, 
      MATCH(
        1, 
        ('アイテム別限界値DB'!$B:$B = AM$10) * 
        ('アイテム別限界値DB'!$C:$C = AM19) * 
        ('アイテム別限界値DB'!$F:$F = AN19), 
        0
      )
    ), 
    ""
  )
)
</f>
        <v/>
      </c>
      <c r="AQ19" s="11"/>
      <c r="AR19" s="238" t="s">
        <v>62</v>
      </c>
      <c r="AS19" s="232"/>
      <c r="AT19" s="231" t="str">
        <f t="array" ref="AT19">IF(
  AS19 = 0, 
  "", 
  IFERROR(
    INDEX(
      'アイテム別限界値DB'!$K:$K, 
      MATCH(
        1, 
        ('アイテム別限界値DB'!$B:$B = AR$10) * 
        ('アイテム別限界値DB'!$F:$F = AR19) * 
        ('アイテム別限界値DB'!$H:$H = AS19), 
        0
      )
    ), 
    "再製作"
  )
)
</f>
        <v/>
      </c>
      <c r="AU19" s="218" t="str">
        <f t="array" ref="AU19">IF(
  AS19 = 0, 
  "", 
  IFERROR(
    INDEX(
      'アイテム別限界値DB'!$L:$L, 
      MATCH(
        1, 
        ('アイテム別限界値DB'!$B:$B = AR$10) * 
        ('アイテム別限界値DB'!$C:$C = AR19) * 
        ('アイテム別限界値DB'!$F:$F = AS19), 
        0
      )
    ), 
    ""
  )
)
</f>
        <v/>
      </c>
      <c r="AV19" s="121"/>
      <c r="AW19" s="224" t="s">
        <v>62</v>
      </c>
      <c r="AX19" s="232"/>
      <c r="AY19" s="231" t="str">
        <f t="array" ref="AY19">IF(
  AX19 = 0, 
  "", 
  IFERROR(
    INDEX(
      'アイテム別限界値DB'!$K:$K, 
      MATCH(
        1, 
        ('アイテム別限界値DB'!$B:$B = AW$10) * 
        ('アイテム別限界値DB'!$F:$F = AW19) * 
        ('アイテム別限界値DB'!$H:$H = AX19), 
        0
      )
    ), 
    "再製作"
  )
)
</f>
        <v/>
      </c>
      <c r="AZ19" s="218" t="str">
        <f t="array" ref="AZ19">IF(
  AX19 = 0, 
  "", 
  IFERROR(
    INDEX(
      'アイテム別限界値DB'!$L:$L, 
      MATCH(
        1, 
        ('アイテム別限界値DB'!$B:$B = AW$10) * 
        ('アイテム別限界値DB'!$C:$C = AW19) * 
        ('アイテム別限界値DB'!$F:$F = AX19), 
        0
      )
    ), 
    ""
  )
)
</f>
        <v/>
      </c>
      <c r="BA19" s="121"/>
      <c r="BB19" s="224" t="s">
        <v>62</v>
      </c>
      <c r="BC19" s="232"/>
      <c r="BD19" s="231" t="str">
        <f t="array" ref="BD19">IF(
  BC19 = 0, 
  "", 
  IFERROR(
    INDEX(
      'アイテム別限界値DB'!$K:$K, 
      MATCH(
        1, 
        ('アイテム別限界値DB'!$B:$B = BB$10) * 
        ('アイテム別限界値DB'!$F:$F = BB19) * 
        ('アイテム別限界値DB'!$H:$H = BC19), 
        0
      )
    ), 
    "再製作"
  )
)
</f>
        <v/>
      </c>
      <c r="BE19" s="218" t="str">
        <f t="array" ref="BE19">IF(
  BC19 = 0, 
  "", 
  IFERROR(
    INDEX(
      'アイテム別限界値DB'!$L:$L, 
      MATCH(
        1, 
        ('アイテム別限界値DB'!$B:$B = BB$10) * 
        ('アイテム別限界値DB'!$C:$C = BB19) * 
        ('アイテム別限界値DB'!$F:$F = BC19), 
        0
      )
    ), 
    ""
  )
)
</f>
        <v/>
      </c>
      <c r="BF19" s="121"/>
      <c r="BG19" s="224" t="s">
        <v>62</v>
      </c>
      <c r="BH19" s="232"/>
      <c r="BI19" s="231" t="str">
        <f t="array" ref="BI19">IF(
  BH19 = 0, 
  "", 
  IFERROR(
    INDEX(
      'アイテム別限界値DB'!$K:$K, 
      MATCH(
        1, 
        ('アイテム別限界値DB'!$B:$B = BG$10) * 
        ('アイテム別限界値DB'!$F:$F = BG19) * 
        ('アイテム別限界値DB'!$H:$H = BH19), 
        0
      )
    ), 
    "再製作"
  )
)
</f>
        <v/>
      </c>
      <c r="BJ19" s="218" t="str">
        <f t="array" ref="BJ19">IF(
  BH19 = 0, 
  "", 
  IFERROR(
    INDEX(
      'アイテム別限界値DB'!$L:$L, 
      MATCH(
        1, 
        ('アイテム別限界値DB'!$B:$B = BG$10) * 
        ('アイテム別限界値DB'!$C:$C = BG19) * 
        ('アイテム別限界値DB'!$F:$F = BH19), 
        0
      )
    ), 
    ""
  )
)
</f>
        <v/>
      </c>
      <c r="BK19" s="121"/>
      <c r="BL19" s="224" t="s">
        <v>76</v>
      </c>
      <c r="BM19" s="232"/>
      <c r="BN19" s="231" t="str">
        <f t="array" ref="BN19">IF(
  BM19 = 0, 
  "", 
  IFERROR(
    INDEX(
      'アイテム別限界値DB'!$K:$K, 
      MATCH(
        1, 
        ('アイテム別限界値DB'!$B:$B = BL$10) * 
        ('アイテム別限界値DB'!$F:$F = BL19) * 
        ('アイテム別限界値DB'!$H:$H = BM19), 
        0
      )
    ), 
    "再製作"
  )
)
</f>
        <v/>
      </c>
      <c r="BO19" s="218" t="str">
        <f t="array" ref="BO19">IF(
  BM19 = 0, 
  "", 
  IFERROR(
    INDEX(
      'アイテム別限界値DB'!$L:$L, 
      MATCH(
        1, 
        ('アイテム別限界値DB'!$B:$B = BL$10) * 
        ('アイテム別限界値DB'!$C:$C = BL19) * 
        ('アイテム別限界値DB'!$F:$F = BM19), 
        0
      )
    ), 
    ""
  )
)
</f>
        <v/>
      </c>
      <c r="BP19" s="195"/>
    </row>
    <row r="20" ht="18.75" customHeight="1">
      <c r="A20" s="228" t="str">
        <f>IFERROR(__xludf.DUMMYFUNCTION("TEXTJOIN(CHAR(10),TRUE,FILTER(ARRAYFORMULA(IF(J$14:J72&lt;&gt;"""", I$14:I72 &amp;"" : ""&amp; J$14:J72 &amp;"" cm"","""")), I$14:I72 &lt;&gt;""""))"),"パンツウエスト : 2 cm")</f>
        <v>パンツウエスト : 2 cm</v>
      </c>
      <c r="B20" s="229"/>
      <c r="C20" s="224"/>
      <c r="D20" s="238" t="s">
        <v>77</v>
      </c>
      <c r="E20" s="230"/>
      <c r="F20" s="231" t="str">
        <f t="array" ref="F20">IF(
  E20 = 0, 
  "", 
  IFERROR(
    INDEX(
      'アイテム別限界値DB'!$K:$K, 
      MATCH(
        1, 
        ('アイテム別限界値DB'!$B:$B = D$10) * 
        ('アイテム別限界値DB'!$F:$F = D20) * 
        ('アイテム別限界値DB'!$H:$H = E20), 
        0
      )
    ), 
    "再製作"
  )
)
</f>
        <v/>
      </c>
      <c r="G20" s="218" t="str">
        <f t="array" ref="G20">IF(
  E20 = 0, 
  "", 
  IFERROR(
    INDEX(
      'アイテム別限界値DB'!$L:$L, 
      MATCH(
        1, 
        ('アイテム別限界値DB'!$B:$B = D$10) * 
        ('アイテム別限界値DB'!$C:$C = D20) * 
        ('アイテム別限界値DB'!$F:$F = E20), 
        0
      )
    ), 
    ""
  )
)
</f>
        <v/>
      </c>
      <c r="H20" s="12"/>
      <c r="I20" s="238" t="s">
        <v>78</v>
      </c>
      <c r="J20" s="230"/>
      <c r="K20" s="231" t="str">
        <f t="array" ref="K20">IF(
  J20 = 0, 
  "", 
  IFERROR(
    INDEX(
      'アイテム別限界値DB'!$K:$K, 
      MATCH(
        1, 
        ('アイテム別限界値DB'!$B:$B = I$10) * 
        ('アイテム別限界値DB'!$F:$F = I20) * 
        ('アイテム別限界値DB'!$H:$H = J20), 
        0
      )
    ), 
    "再製作"
  )
)
</f>
        <v/>
      </c>
      <c r="L20" s="218" t="str">
        <f t="array" ref="L20">IF(
  J20 = 0, 
  "", 
  IFERROR(
    INDEX(
      'アイテム別限界値DB'!$L:$L, 
      MATCH(
        1, 
        ('アイテム別限界値DB'!$B:$B = I$10) * 
        ('アイテム別限界値DB'!$C:$C = I20) * 
        ('アイテム別限界値DB'!$F:$F = J20), 
        0
      )
    ), 
    ""
  )
)
</f>
        <v/>
      </c>
      <c r="M20" s="12"/>
      <c r="N20" s="238" t="s">
        <v>79</v>
      </c>
      <c r="O20" s="232"/>
      <c r="P20" s="231" t="str">
        <f t="array" ref="P20">IF(
  O20 = 0, 
  "", 
  IFERROR(
    INDEX(
      'アイテム別限界値DB'!$K:$K, 
      MATCH(
        1, 
        ('アイテム別限界値DB'!$B:$B = N$10) * 
        ('アイテム別限界値DB'!$F:$F = N20) * 
        ('アイテム別限界値DB'!$H:$H = O20), 
        0
      )
    ), 
    "再製作"
  )
)
</f>
        <v/>
      </c>
      <c r="Q20" s="218" t="str">
        <f t="array" ref="Q20">IF(
  O20 = 0, 
  "", 
  IFERROR(
    INDEX(
      'アイテム別限界値DB'!$L:$L, 
      MATCH(
        1, 
        ('アイテム別限界値DB'!$B:$B = N$10) * 
        ('アイテム別限界値DB'!$C:$C = N20) * 
        ('アイテム別限界値DB'!$F:$F = O20), 
        0
      )
    ), 
    ""
  )
)
</f>
        <v/>
      </c>
      <c r="R20" s="11"/>
      <c r="S20" s="238" t="s">
        <v>78</v>
      </c>
      <c r="T20" s="232"/>
      <c r="U20" s="231" t="str">
        <f t="array" ref="U20">IF(
  T20 = 0, 
  "", 
  IFERROR(
    INDEX(
      'アイテム別限界値DB'!$K:$K, 
      MATCH(
        1, 
        ('アイテム別限界値DB'!$B:$B = S$10) * 
        ('アイテム別限界値DB'!$F:$F = S20) * 
        ('アイテム別限界値DB'!$H:$H = T20), 
        0
      )
    ), 
    "再製作"
  )
)
</f>
        <v/>
      </c>
      <c r="V20" s="218" t="str">
        <f t="array" ref="V20">IF(
  T20 = 0, 
  "", 
  IFERROR(
    INDEX(
      'アイテム別限界値DB'!$L:$L, 
      MATCH(
        1, 
        ('アイテム別限界値DB'!$B:$B = S$10) * 
        ('アイテム別限界値DB'!$C:$C = S20) * 
        ('アイテム別限界値DB'!$F:$F = T20), 
        0
      )
    ), 
    ""
  )
)
</f>
        <v/>
      </c>
      <c r="W20" s="11"/>
      <c r="X20" s="238" t="s">
        <v>76</v>
      </c>
      <c r="Y20" s="230"/>
      <c r="Z20" s="231" t="str">
        <f t="array" ref="Z20">IF(
  Y20 = 0, 
  "", 
  IFERROR(
    INDEX(
      'アイテム別限界値DB'!$K:$K, 
      MATCH(
        1, 
        ('アイテム別限界値DB'!$B:$B = X$10) * 
        ('アイテム別限界値DB'!$F:$F = X20) * 
        ('アイテム別限界値DB'!$H:$H = Y20), 
        0
      )
    ), 
    "再製作"
  )
)
</f>
        <v/>
      </c>
      <c r="AA20" s="218" t="str">
        <f t="array" ref="AA20">IF(
  Y20 = 0, 
  "", 
  IFERROR(
    INDEX(
      'アイテム別限界値DB'!$L:$L, 
      MATCH(
        1, 
        ('アイテム別限界値DB'!$B:$B = X$10) * 
        ('アイテム別限界値DB'!$C:$C = X20) * 
        ('アイテム別限界値DB'!$F:$F = Y20), 
        0
      )
    ), 
    ""
  )
)
</f>
        <v/>
      </c>
      <c r="AB20" s="11"/>
      <c r="AC20" s="238" t="s">
        <v>80</v>
      </c>
      <c r="AD20" s="232"/>
      <c r="AE20" s="231" t="str">
        <f t="array" ref="AE20">IF(
  AD20 = 0, 
  "", 
  IFERROR(
    INDEX(
      'アイテム別限界値DB'!$K:$K, 
      MATCH(
        1, 
        ('アイテム別限界値DB'!$B:$B = AC$10) * 
        ('アイテム別限界値DB'!$F:$F = AC20) * 
        ('アイテム別限界値DB'!$H:$H = AD20), 
        0
      )
    ), 
    "再製作"
  )
)
</f>
        <v/>
      </c>
      <c r="AF20" s="218" t="str">
        <f t="array" ref="AF20">IF(
  AD20 = 0, 
  "", 
  IFERROR(
    INDEX(
      'アイテム別限界値DB'!$L:$L, 
      MATCH(
        1, 
        ('アイテム別限界値DB'!$B:$B = AC$10) * 
        ('アイテム別限界値DB'!$C:$C = AC20) * 
        ('アイテム別限界値DB'!$F:$F = AD20), 
        0
      )
    ), 
    ""
  )
)
</f>
        <v/>
      </c>
      <c r="AG20" s="11"/>
      <c r="AH20" s="224" t="s">
        <v>62</v>
      </c>
      <c r="AI20" s="232"/>
      <c r="AJ20" s="231" t="str">
        <f t="array" ref="AJ20">IF(
  AI20 = 0, 
  "", 
  IFERROR(
    INDEX(
      'アイテム別限界値DB'!$K:$K, 
      MATCH(
        1, 
        ('アイテム別限界値DB'!$B:$B = AH$10) * 
        ('アイテム別限界値DB'!$F:$F = AH20) * 
        ('アイテム別限界値DB'!$H:$H = AI20), 
        0
      )
    ), 
    "再製作"
  )
)
</f>
        <v/>
      </c>
      <c r="AK20" s="218" t="str">
        <f t="array" ref="AK20">IF(
  AI20 = 0, 
  "", 
  IFERROR(
    INDEX(
      'アイテム別限界値DB'!$L:$L, 
      MATCH(
        1, 
        ('アイテム別限界値DB'!$B:$B = AH$10) * 
        ('アイテム別限界値DB'!$C:$C = AH20) * 
        ('アイテム別限界値DB'!$F:$F = AI20), 
        0
      )
    ), 
    ""
  )
)
</f>
        <v/>
      </c>
      <c r="AL20" s="11"/>
      <c r="AM20" s="224" t="s">
        <v>70</v>
      </c>
      <c r="AN20" s="232"/>
      <c r="AO20" s="231" t="str">
        <f t="array" ref="AO20">IF(
  AN20 = 0, 
  "", 
  IFERROR(
    INDEX(
      'アイテム別限界値DB'!$K:$K, 
      MATCH(
        1, 
        ('アイテム別限界値DB'!$B:$B = AM$10) * 
        ('アイテム別限界値DB'!$F:$F = AM20) * 
        ('アイテム別限界値DB'!$H:$H = AN20), 
        0
      )
    ), 
    "再製作"
  )
)
</f>
        <v/>
      </c>
      <c r="AP20" s="218" t="str">
        <f t="array" ref="AP20">IF(
  AN20 = 0, 
  "", 
  IFERROR(
    INDEX(
      'アイテム別限界値DB'!$L:$L, 
      MATCH(
        1, 
        ('アイテム別限界値DB'!$B:$B = AM$10) * 
        ('アイテム別限界値DB'!$C:$C = AM20) * 
        ('アイテム別限界値DB'!$F:$F = AN20), 
        0
      )
    ), 
    ""
  )
)
</f>
        <v/>
      </c>
      <c r="AQ20" s="11"/>
      <c r="AR20" s="224" t="s">
        <v>70</v>
      </c>
      <c r="AS20" s="232"/>
      <c r="AT20" s="231" t="str">
        <f t="array" ref="AT20">IF(
  AS20 = 0, 
  "", 
  IFERROR(
    INDEX(
      'アイテム別限界値DB'!$K:$K, 
      MATCH(
        1, 
        ('アイテム別限界値DB'!$B:$B = AR$10) * 
        ('アイテム別限界値DB'!$F:$F = AR20) * 
        ('アイテム別限界値DB'!$H:$H = AS20), 
        0
      )
    ), 
    "再製作"
  )
)
</f>
        <v/>
      </c>
      <c r="AU20" s="218" t="str">
        <f t="array" ref="AU20">IF(
  AS20 = 0, 
  "", 
  IFERROR(
    INDEX(
      'アイテム別限界値DB'!$L:$L, 
      MATCH(
        1, 
        ('アイテム別限界値DB'!$B:$B = AR$10) * 
        ('アイテム別限界値DB'!$C:$C = AR20) * 
        ('アイテム別限界値DB'!$F:$F = AS20), 
        0
      )
    ), 
    ""
  )
)
</f>
        <v/>
      </c>
      <c r="AV20" s="121"/>
      <c r="AW20" s="224" t="s">
        <v>70</v>
      </c>
      <c r="AX20" s="232"/>
      <c r="AY20" s="231" t="str">
        <f t="array" ref="AY20">IF(
  AX20 = 0, 
  "", 
  IFERROR(
    INDEX(
      'アイテム別限界値DB'!$K:$K, 
      MATCH(
        1, 
        ('アイテム別限界値DB'!$B:$B = AW$10) * 
        ('アイテム別限界値DB'!$F:$F = AW20) * 
        ('アイテム別限界値DB'!$H:$H = AX20), 
        0
      )
    ), 
    "再製作"
  )
)
</f>
        <v/>
      </c>
      <c r="AZ20" s="218" t="str">
        <f t="array" ref="AZ20">IF(
  AX20 = 0, 
  "", 
  IFERROR(
    INDEX(
      'アイテム別限界値DB'!$L:$L, 
      MATCH(
        1, 
        ('アイテム別限界値DB'!$B:$B = AW$10) * 
        ('アイテム別限界値DB'!$C:$C = AW20) * 
        ('アイテム別限界値DB'!$F:$F = AX20), 
        0
      )
    ), 
    ""
  )
)
</f>
        <v/>
      </c>
      <c r="BA20" s="121"/>
      <c r="BB20" s="224" t="s">
        <v>70</v>
      </c>
      <c r="BC20" s="232"/>
      <c r="BD20" s="231" t="str">
        <f t="array" ref="BD20">IF(
  BC20 = 0, 
  "", 
  IFERROR(
    INDEX(
      'アイテム別限界値DB'!$K:$K, 
      MATCH(
        1, 
        ('アイテム別限界値DB'!$B:$B = BB$10) * 
        ('アイテム別限界値DB'!$F:$F = BB20) * 
        ('アイテム別限界値DB'!$H:$H = BC20), 
        0
      )
    ), 
    "再製作"
  )
)
</f>
        <v/>
      </c>
      <c r="BE20" s="218" t="str">
        <f t="array" ref="BE20">IF(
  BC20 = 0, 
  "", 
  IFERROR(
    INDEX(
      'アイテム別限界値DB'!$L:$L, 
      MATCH(
        1, 
        ('アイテム別限界値DB'!$B:$B = BB$10) * 
        ('アイテム別限界値DB'!$C:$C = BB20) * 
        ('アイテム別限界値DB'!$F:$F = BC20), 
        0
      )
    ), 
    ""
  )
)
</f>
        <v/>
      </c>
      <c r="BF20" s="121"/>
      <c r="BG20" s="224" t="s">
        <v>70</v>
      </c>
      <c r="BH20" s="232"/>
      <c r="BI20" s="231" t="str">
        <f t="array" ref="BI20">IF(
  BH20 = 0, 
  "", 
  IFERROR(
    INDEX(
      'アイテム別限界値DB'!$K:$K, 
      MATCH(
        1, 
        ('アイテム別限界値DB'!$B:$B = BG$10) * 
        ('アイテム別限界値DB'!$F:$F = BG20) * 
        ('アイテム別限界値DB'!$H:$H = BH20), 
        0
      )
    ), 
    "再製作"
  )
)
</f>
        <v/>
      </c>
      <c r="BJ20" s="218" t="str">
        <f t="array" ref="BJ20">IF(
  BH20 = 0, 
  "", 
  IFERROR(
    INDEX(
      'アイテム別限界値DB'!$L:$L, 
      MATCH(
        1, 
        ('アイテム別限界値DB'!$B:$B = BG$10) * 
        ('アイテム別限界値DB'!$C:$C = BG20) * 
        ('アイテム別限界値DB'!$F:$F = BH20), 
        0
      )
    ), 
    ""
  )
)
</f>
        <v/>
      </c>
      <c r="BK20" s="121"/>
      <c r="BL20" s="224" t="s">
        <v>80</v>
      </c>
      <c r="BM20" s="232"/>
      <c r="BN20" s="231" t="str">
        <f t="array" ref="BN20">IF(
  BM20 = 0, 
  "", 
  IFERROR(
    INDEX(
      'アイテム別限界値DB'!$K:$K, 
      MATCH(
        1, 
        ('アイテム別限界値DB'!$B:$B = BL$10) * 
        ('アイテム別限界値DB'!$F:$F = BL20) * 
        ('アイテム別限界値DB'!$H:$H = BM20), 
        0
      )
    ), 
    "再製作"
  )
)
</f>
        <v/>
      </c>
      <c r="BO20" s="218" t="str">
        <f t="array" ref="BO20">IF(
  BM20 = 0, 
  "", 
  IFERROR(
    INDEX(
      'アイテム別限界値DB'!$L:$L, 
      MATCH(
        1, 
        ('アイテム別限界値DB'!$B:$B = BL$10) * 
        ('アイテム別限界値DB'!$C:$C = BL20) * 
        ('アイテム別限界値DB'!$F:$F = BM20), 
        0
      )
    ), 
    ""
  )
)
</f>
        <v/>
      </c>
      <c r="BP20" s="195"/>
    </row>
    <row r="21" ht="18.75" customHeight="1">
      <c r="A21" s="236" t="str">
        <f>if($A$19&lt;&gt;"", "《仕上がり数値》","")</f>
        <v>《仕上がり数値》</v>
      </c>
      <c r="B21" s="229"/>
      <c r="C21" s="224"/>
      <c r="D21" s="238" t="s">
        <v>81</v>
      </c>
      <c r="E21" s="232"/>
      <c r="F21" s="231" t="str">
        <f t="array" ref="F21">IF(
  E21 = 0, 
  "", 
  IFERROR(
    INDEX(
      'アイテム別限界値DB'!$K:$K, 
      MATCH(
        1, 
        ('アイテム別限界値DB'!$B:$B = D$10) * 
        ('アイテム別限界値DB'!$F:$F = D21) * 
        ('アイテム別限界値DB'!$H:$H = E21), 
        0
      )
    ), 
    "再製作"
  )
)
</f>
        <v/>
      </c>
      <c r="G21" s="218" t="str">
        <f t="array" ref="G21">IF(
  E21 = 0, 
  "", 
  IFERROR(
    INDEX(
      'アイテム別限界値DB'!$L:$L, 
      MATCH(
        1, 
        ('アイテム別限界値DB'!$B:$B = D$10) * 
        ('アイテム別限界値DB'!$C:$C = D21) * 
        ('アイテム別限界値DB'!$F:$F = E21), 
        0
      )
    ), 
    ""
  )
)
</f>
        <v/>
      </c>
      <c r="H21" s="12"/>
      <c r="I21" s="238" t="s">
        <v>82</v>
      </c>
      <c r="J21" s="230"/>
      <c r="K21" s="231" t="str">
        <f t="array" ref="K21">IF(
  J21 = 0, 
  "", 
  IFERROR(
    INDEX(
      'アイテム別限界値DB'!$K:$K, 
      MATCH(
        1, 
        ('アイテム別限界値DB'!$B:$B = I$10) * 
        ('アイテム別限界値DB'!$F:$F = I21) * 
        ('アイテム別限界値DB'!$H:$H = J21), 
        0
      )
    ), 
    "再製作"
  )
)
</f>
        <v/>
      </c>
      <c r="L21" s="218" t="str">
        <f t="array" ref="L21">IF(
  J21 = 0, 
  "", 
  IFERROR(
    INDEX(
      'アイテム別限界値DB'!$L:$L, 
      MATCH(
        1, 
        ('アイテム別限界値DB'!$B:$B = I$10) * 
        ('アイテム別限界値DB'!$C:$C = I21) * 
        ('アイテム別限界値DB'!$F:$F = J21), 
        0
      )
    ), 
    ""
  )
)
</f>
        <v/>
      </c>
      <c r="M21" s="12"/>
      <c r="N21" s="224" t="s">
        <v>83</v>
      </c>
      <c r="O21" s="232"/>
      <c r="P21" s="231" t="str">
        <f t="array" ref="P21">IF(
  O21 = 0, 
  "", 
  IFERROR(
    INDEX(
      'アイテム別限界値DB'!$K:$K, 
      MATCH(
        1, 
        ('アイテム別限界値DB'!$B:$B = N$10) * 
        ('アイテム別限界値DB'!$F:$F = N21) * 
        ('アイテム別限界値DB'!$H:$H = O21), 
        0
      )
    ), 
    "再製作"
  )
)
</f>
        <v/>
      </c>
      <c r="Q21" s="121" t="str">
        <f t="array" ref="Q21">IF(
  O21 = 0, 
  "", 
  IFERROR(
    INDEX(
      'アイテム別限界値DB'!$L:$L, 
      MATCH(
        1, 
        ('アイテム別限界値DB'!$B:$B = N$10) * 
        ('アイテム別限界値DB'!$C:$C = N21) * 
        ('アイテム別限界値DB'!$F:$F = O21), 
        0
      )
    ), 
    ""
  )
)
</f>
        <v/>
      </c>
      <c r="R21" s="11"/>
      <c r="S21" s="238" t="s">
        <v>82</v>
      </c>
      <c r="T21" s="232"/>
      <c r="U21" s="231" t="str">
        <f t="array" ref="U21">IF(
  T21 = 0, 
  "", 
  IFERROR(
    INDEX(
      'アイテム別限界値DB'!$K:$K, 
      MATCH(
        1, 
        ('アイテム別限界値DB'!$B:$B = S$10) * 
        ('アイテム別限界値DB'!$F:$F = S21) * 
        ('アイテム別限界値DB'!$H:$H = T21), 
        0
      )
    ), 
    "再製作"
  )
)
</f>
        <v/>
      </c>
      <c r="V21" s="218" t="str">
        <f t="array" ref="V21">IF(
  T21 = 0, 
  "", 
  IFERROR(
    INDEX(
      'アイテム別限界値DB'!$L:$L, 
      MATCH(
        1, 
        ('アイテム別限界値DB'!$B:$B = S$10) * 
        ('アイテム別限界値DB'!$C:$C = S21) * 
        ('アイテム別限界値DB'!$F:$F = T21), 
        0
      )
    ), 
    ""
  )
)
</f>
        <v/>
      </c>
      <c r="W21" s="11"/>
      <c r="X21" s="238" t="s">
        <v>84</v>
      </c>
      <c r="Y21" s="230"/>
      <c r="Z21" s="231" t="str">
        <f t="array" ref="Z21">IF(
  Y21 = 0, 
  "", 
  IFERROR(
    INDEX(
      'アイテム別限界値DB'!$K:$K, 
      MATCH(
        1, 
        ('アイテム別限界値DB'!$B:$B = X$10) * 
        ('アイテム別限界値DB'!$F:$F = X21) * 
        ('アイテム別限界値DB'!$H:$H = Y21), 
        0
      )
    ), 
    "再製作"
  )
)
</f>
        <v/>
      </c>
      <c r="AA21" s="218" t="str">
        <f t="array" ref="AA21">IF(
  Y21 = 0, 
  "", 
  IFERROR(
    INDEX(
      'アイテム別限界値DB'!$L:$L, 
      MATCH(
        1, 
        ('アイテム別限界値DB'!$B:$B = X$10) * 
        ('アイテム別限界値DB'!$C:$C = X21) * 
        ('アイテム別限界値DB'!$F:$F = Y21), 
        0
      )
    ), 
    ""
  )
)
</f>
        <v/>
      </c>
      <c r="AB21" s="11"/>
      <c r="AC21" s="238" t="s">
        <v>85</v>
      </c>
      <c r="AD21" s="232"/>
      <c r="AE21" s="231" t="str">
        <f t="array" ref="AE21">IF(
  AD21 = 0, 
  "", 
  IFERROR(
    INDEX(
      'アイテム別限界値DB'!$K:$K, 
      MATCH(
        1, 
        ('アイテム別限界値DB'!$B:$B = AC$10) * 
        ('アイテム別限界値DB'!$F:$F = AC21) * 
        ('アイテム別限界値DB'!$H:$H = AD21), 
        0
      )
    ), 
    "再製作"
  )
)
</f>
        <v/>
      </c>
      <c r="AF21" s="218" t="str">
        <f t="array" ref="AF21">IF(
  AD21 = 0, 
  "", 
  IFERROR(
    INDEX(
      'アイテム別限界値DB'!$L:$L, 
      MATCH(
        1, 
        ('アイテム別限界値DB'!$B:$B = AC$10) * 
        ('アイテム別限界値DB'!$C:$C = AC21) * 
        ('アイテム別限界値DB'!$F:$F = AD21), 
        0
      )
    ), 
    ""
  )
)
</f>
        <v/>
      </c>
      <c r="AG21" s="11"/>
      <c r="AH21" s="224"/>
      <c r="AI21" s="225"/>
      <c r="AJ21" s="220" t="str">
        <f t="array" ref="AJ21">IF(
  AI21 = 0, 
  "", 
  IFERROR(
    INDEX(
      'アイテム別限界値DB'!$I:$I, 
      MATCH(
        1, 
        ('アイテム別限界値DB'!$B:$B = AH$10) * 
        ('アイテム別限界値DB'!$C:$C = AH21) * 
        ('アイテム別限界値DB'!$F:$F = AI21), 
        0
      )
    ), 
    "再製作"
  )
)
</f>
        <v/>
      </c>
      <c r="AK21" s="121" t="str">
        <f t="array" ref="AK21">IF(
  AI21 = 0, 
  "", 
  IFERROR(
    INDEX(
      'アイテム別限界値DB'!$L:$L, 
      MATCH(
        1, 
        ('アイテム別限界値DB'!$B:$B = AH$10) * 
        ('アイテム別限界値DB'!$C:$C = AH21) * 
        ('アイテム別限界値DB'!$F:$F = AI21), 
        0
      )
    ), 
    ""
  )
)
</f>
        <v/>
      </c>
      <c r="AL21" s="11"/>
      <c r="AM21" s="224"/>
      <c r="AN21" s="225"/>
      <c r="AO21" s="220" t="str">
        <f t="array" ref="AO21">IF(
  AN21 = 0, 
  "", 
  IFERROR(
    INDEX(
      'アイテム別限界値DB'!$I:$I, 
      MATCH(
        1, 
        ('アイテム別限界値DB'!$B:$B = AM$10) * 
        ('アイテム別限界値DB'!$C:$C = AM21) * 
        ('アイテム別限界値DB'!$F:$F = AN21), 
        0
      )
    ), 
    "再製作"
  )
)
</f>
        <v/>
      </c>
      <c r="AP21" s="121" t="str">
        <f t="array" ref="AP21">IF(
  AN21 = 0, 
  "", 
  IFERROR(
    INDEX(
      'アイテム別限界値DB'!$L:$L, 
      MATCH(
        1, 
        ('アイテム別限界値DB'!$B:$B = AM$10) * 
        ('アイテム別限界値DB'!$C:$C = AM21) * 
        ('アイテム別限界値DB'!$F:$F = AN21), 
        0
      )
    ), 
    ""
  )
)
</f>
        <v/>
      </c>
      <c r="AQ21" s="11"/>
      <c r="AR21" s="224"/>
      <c r="AS21" s="225"/>
      <c r="AT21" s="220" t="str">
        <f t="array" ref="AT21">IF(
  AS21 = 0, 
  "", 
  IFERROR(
    INDEX(
      'アイテム別限界値DB'!$I:$I, 
      MATCH(
        1, 
        ('アイテム別限界値DB'!$B:$B = AR$10) * 
        ('アイテム別限界値DB'!$C:$C = AR21) * 
        ('アイテム別限界値DB'!$F:$F = AS21), 
        0
      )
    ), 
    "再製作"
  )
)
</f>
        <v/>
      </c>
      <c r="AU21" s="121" t="str">
        <f t="array" ref="AU21">IF(
  AS21 = 0, 
  "", 
  IFERROR(
    INDEX(
      'アイテム別限界値DB'!$L:$L, 
      MATCH(
        1, 
        ('アイテム別限界値DB'!$B:$B = AR$10) * 
        ('アイテム別限界値DB'!$C:$C = AR21) * 
        ('アイテム別限界値DB'!$F:$F = AS21), 
        0
      )
    ), 
    ""
  )
)
</f>
        <v/>
      </c>
      <c r="AV21" s="121"/>
      <c r="AW21" s="224"/>
      <c r="AX21" s="225"/>
      <c r="AY21" s="220" t="str">
        <f t="array" ref="AY21">IF(
  AX21 = 0, 
  "", 
  IFERROR(
    INDEX(
      'アイテム別限界値DB'!$I:$I, 
      MATCH(
        1, 
        ('アイテム別限界値DB'!$B:$B = AW$10) * 
        ('アイテム別限界値DB'!$C:$C = AW21) * 
        ('アイテム別限界値DB'!$F:$F = AX21), 
        0
      )
    ), 
    "再製作"
  )
)
</f>
        <v/>
      </c>
      <c r="AZ21" s="121" t="str">
        <f t="array" ref="AZ21">IF(
  AX21 = 0, 
  "", 
  IFERROR(
    INDEX(
      'アイテム別限界値DB'!$L:$L, 
      MATCH(
        1, 
        ('アイテム別限界値DB'!$B:$B = AW$10) * 
        ('アイテム別限界値DB'!$C:$C = AW21) * 
        ('アイテム別限界値DB'!$F:$F = AX21), 
        0
      )
    ), 
    ""
  )
)
</f>
        <v/>
      </c>
      <c r="BA21" s="121"/>
      <c r="BB21" s="224"/>
      <c r="BC21" s="225"/>
      <c r="BD21" s="220" t="str">
        <f t="array" ref="BD21">IF(
  BC21 = 0, 
  "", 
  IFERROR(
    INDEX(
      'アイテム別限界値DB'!$I:$I, 
      MATCH(
        1, 
        ('アイテム別限界値DB'!$B:$B = BB$10) * 
        ('アイテム別限界値DB'!$C:$C = BB21) * 
        ('アイテム別限界値DB'!$F:$F = BC21), 
        0
      )
    ), 
    "再製作"
  )
)
</f>
        <v/>
      </c>
      <c r="BE21" s="121" t="str">
        <f t="array" ref="BE21">IF(
  BC21 = 0, 
  "", 
  IFERROR(
    INDEX(
      'アイテム別限界値DB'!$L:$L, 
      MATCH(
        1, 
        ('アイテム別限界値DB'!$B:$B = BB$10) * 
        ('アイテム別限界値DB'!$C:$C = BB21) * 
        ('アイテム別限界値DB'!$F:$F = BC21), 
        0
      )
    ), 
    ""
  )
)
</f>
        <v/>
      </c>
      <c r="BF21" s="121"/>
      <c r="BG21" s="224"/>
      <c r="BH21" s="225"/>
      <c r="BI21" s="220" t="str">
        <f t="array" ref="BI21">IF(
  BH21 = 0, 
  "", 
  IFERROR(
    INDEX(
      'アイテム別限界値DB'!$I:$I, 
      MATCH(
        1, 
        ('アイテム別限界値DB'!$B:$B = BG$10) * 
        ('アイテム別限界値DB'!$C:$C = BG21) * 
        ('アイテム別限界値DB'!$F:$F = BH21), 
        0
      )
    ), 
    "再製作"
  )
)
</f>
        <v/>
      </c>
      <c r="BJ21" s="121" t="str">
        <f t="array" ref="BJ21">IF(
  BH21 = 0, 
  "", 
  IFERROR(
    INDEX(
      'アイテム別限界値DB'!$L:$L, 
      MATCH(
        1, 
        ('アイテム別限界値DB'!$B:$B = BG$10) * 
        ('アイテム別限界値DB'!$C:$C = BG21) * 
        ('アイテム別限界値DB'!$F:$F = BH21), 
        0
      )
    ), 
    ""
  )
)
</f>
        <v/>
      </c>
      <c r="BK21" s="121"/>
      <c r="BL21" s="224" t="s">
        <v>85</v>
      </c>
      <c r="BM21" s="232"/>
      <c r="BN21" s="231" t="str">
        <f t="array" ref="BN21">IF(
  BM21 = 0, 
  "", 
  IFERROR(
    INDEX(
      'アイテム別限界値DB'!$K:$K, 
      MATCH(
        1, 
        ('アイテム別限界値DB'!$B:$B = BL$10) * 
        ('アイテム別限界値DB'!$F:$F = BL21) * 
        ('アイテム別限界値DB'!$H:$H = BM21), 
        0
      )
    ), 
    "再製作"
  )
)
</f>
        <v/>
      </c>
      <c r="BO21" s="218" t="str">
        <f t="array" ref="BO21">IF(
  BM21 = 0, 
  "", 
  IFERROR(
    INDEX(
      'アイテム別限界値DB'!$L:$L, 
      MATCH(
        1, 
        ('アイテム別限界値DB'!$B:$B = BL$10) * 
        ('アイテム別限界値DB'!$C:$C = BL21) * 
        ('アイテム別限界値DB'!$F:$F = BM21), 
        0
      )
    ), 
    ""
  )
)
</f>
        <v/>
      </c>
      <c r="BP21" s="195"/>
    </row>
    <row r="22" ht="18.75" customHeight="1">
      <c r="A22" s="228" t="str">
        <f>IFERROR(__xludf.DUMMYFUNCTION("TEXTJOIN(CHAR(10),TRUE,FILTER(ARRAYFORMULA(IF(J$14:J72&lt;&gt;"""", I$14:I72 &amp;"" :  cm"","""")), I$14:I72 &lt;&gt;""""))"),"パンツウエスト :  cm")</f>
        <v>パンツウエスト :  cm</v>
      </c>
      <c r="B22" s="224"/>
      <c r="C22" s="224"/>
      <c r="D22" s="238" t="s">
        <v>86</v>
      </c>
      <c r="E22" s="230"/>
      <c r="F22" s="231" t="str">
        <f t="array" ref="F22">IF(
  E22 = 0, 
  "", 
  IFERROR(
    INDEX(
      'アイテム別限界値DB'!$K:$K, 
      MATCH(
        1, 
        ('アイテム別限界値DB'!$B:$B = D$10) * 
        ('アイテム別限界値DB'!$F:$F = D22) * 
        ('アイテム別限界値DB'!$H:$H = E22), 
        0
      )
    ), 
    "再製作"
  )
)
</f>
        <v/>
      </c>
      <c r="G22" s="218" t="str">
        <f t="array" ref="G22">IF(
  E22 = 0, 
  "", 
  IFERROR(
    INDEX(
      'アイテム別限界値DB'!$L:$L, 
      MATCH(
        1, 
        ('アイテム別限界値DB'!$B:$B = D$10) * 
        ('アイテム別限界値DB'!$C:$C = D22) * 
        ('アイテム別限界値DB'!$F:$F = E22), 
        0
      )
    ), 
    ""
  )
)
</f>
        <v/>
      </c>
      <c r="H22" s="12"/>
      <c r="I22" s="238" t="s">
        <v>87</v>
      </c>
      <c r="J22" s="230"/>
      <c r="K22" s="231" t="str">
        <f t="array" ref="K22">IF(
  J22 = 0, 
  "", 
  IFERROR(
    INDEX(
      'アイテム別限界値DB'!$K:$K, 
      MATCH(
        1, 
        ('アイテム別限界値DB'!$B:$B = I$10) * 
        ('アイテム別限界値DB'!$F:$F = I22) * 
        ('アイテム別限界値DB'!$H:$H = J22), 
        0
      )
    ), 
    "再製作"
  )
)
</f>
        <v/>
      </c>
      <c r="L22" s="218" t="str">
        <f t="array" ref="L22">IF(
  J22 = 0, 
  "", 
  IFERROR(
    INDEX(
      'アイテム別限界値DB'!$L:$L, 
      MATCH(
        1, 
        ('アイテム別限界値DB'!$B:$B = I$10) * 
        ('アイテム別限界値DB'!$C:$C = I22) * 
        ('アイテム別限界値DB'!$F:$F = J22), 
        0
      )
    ), 
    ""
  )
)
</f>
        <v/>
      </c>
      <c r="M22" s="11"/>
      <c r="N22" s="224"/>
      <c r="O22" s="220"/>
      <c r="P22" s="220" t="str">
        <f t="array" ref="P22">IF(
  O22 = 0, 
  "", 
  IFERROR(
    INDEX(
      'アイテム別限界値DB'!$I:$I, 
      MATCH(
        1, 
        ('アイテム別限界値DB'!$B:$B = N$10) * 
        ('アイテム別限界値DB'!$C:$C = N22) * 
        ('アイテム別限界値DB'!$F:$F = O22), 
        0
      )
    ), 
    "再製作"
  )
)
</f>
        <v/>
      </c>
      <c r="Q22" s="121" t="str">
        <f t="array" ref="Q22">IF(
  O22 = 0, 
  "", 
  IFERROR(
    INDEX(
      'アイテム別限界値DB'!$L:$L, 
      MATCH(
        1, 
        ('アイテム別限界値DB'!$B:$B = N$10) * 
        ('アイテム別限界値DB'!$C:$C = N22) * 
        ('アイテム別限界値DB'!$F:$F = O22), 
        0
      )
    ), 
    ""
  )
)
</f>
        <v/>
      </c>
      <c r="R22" s="11"/>
      <c r="S22" s="238" t="s">
        <v>87</v>
      </c>
      <c r="T22" s="232"/>
      <c r="U22" s="231" t="str">
        <f t="array" ref="U22">IF(
  T22 = 0, 
  "", 
  IFERROR(
    INDEX(
      'アイテム別限界値DB'!$K:$K, 
      MATCH(
        1, 
        ('アイテム別限界値DB'!$B:$B = S$10) * 
        ('アイテム別限界値DB'!$F:$F = S22) * 
        ('アイテム別限界値DB'!$H:$H = T22), 
        0
      )
    ), 
    "再製作"
  )
)
</f>
        <v/>
      </c>
      <c r="V22" s="218" t="str">
        <f t="array" ref="V22">IF(
  T22 = 0, 
  "", 
  IFERROR(
    INDEX(
      'アイテム別限界値DB'!$L:$L, 
      MATCH(
        1, 
        ('アイテム別限界値DB'!$B:$B = S$10) * 
        ('アイテム別限界値DB'!$C:$C = S22) * 
        ('アイテム別限界値DB'!$F:$F = T22), 
        0
      )
    ), 
    ""
  )
)
</f>
        <v/>
      </c>
      <c r="W22" s="11"/>
      <c r="X22" s="238" t="s">
        <v>88</v>
      </c>
      <c r="Y22" s="230"/>
      <c r="Z22" s="231" t="str">
        <f t="array" ref="Z22">IF(
  Y22 = 0, 
  "", 
  IFERROR(
    INDEX(
      'アイテム別限界値DB'!$K:$K, 
      MATCH(
        1, 
        ('アイテム別限界値DB'!$B:$B = X$10) * 
        ('アイテム別限界値DB'!$F:$F = X22) * 
        ('アイテム別限界値DB'!$H:$H = Y22), 
        0
      )
    ), 
    "再製作"
  )
)
</f>
        <v/>
      </c>
      <c r="AA22" s="218" t="str">
        <f t="array" ref="AA22">IF(
  Y22 = 0, 
  "", 
  IFERROR(
    INDEX(
      'アイテム別限界値DB'!$L:$L, 
      MATCH(
        1, 
        ('アイテム別限界値DB'!$B:$B = X$10) * 
        ('アイテム別限界値DB'!$C:$C = X22) * 
        ('アイテム別限界値DB'!$F:$F = Y22), 
        0
      )
    ), 
    ""
  )
)
</f>
        <v/>
      </c>
      <c r="AB22" s="11"/>
      <c r="AC22" s="238" t="s">
        <v>89</v>
      </c>
      <c r="AD22" s="232"/>
      <c r="AE22" s="231" t="str">
        <f t="array" ref="AE22">IF(
  AD22 = 0, 
  "", 
  IFERROR(
    INDEX(
      'アイテム別限界値DB'!$K:$K, 
      MATCH(
        1, 
        ('アイテム別限界値DB'!$B:$B = AC$10) * 
        ('アイテム別限界値DB'!$F:$F = AC22) * 
        ('アイテム別限界値DB'!$H:$H = AD22), 
        0
      )
    ), 
    "再製作"
  )
)
</f>
        <v/>
      </c>
      <c r="AF22" s="218" t="str">
        <f t="array" ref="AF22">IF(
  AD22 = 0, 
  "", 
  IFERROR(
    INDEX(
      'アイテム別限界値DB'!$L:$L, 
      MATCH(
        1, 
        ('アイテム別限界値DB'!$B:$B = AC$10) * 
        ('アイテム別限界値DB'!$C:$C = AC22) * 
        ('アイテム別限界値DB'!$F:$F = AD22), 
        0
      )
    ), 
    ""
  )
)
</f>
        <v/>
      </c>
      <c r="AG22" s="11"/>
      <c r="AH22" s="224"/>
      <c r="AI22" s="225"/>
      <c r="AJ22" s="220" t="str">
        <f t="array" ref="AJ22">IF(
  AI22 = 0, 
  "", 
  IFERROR(
    INDEX(
      'アイテム別限界値DB'!$I:$I, 
      MATCH(
        1, 
        ('アイテム別限界値DB'!$B:$B = AH$10) * 
        ('アイテム別限界値DB'!$C:$C = AH22) * 
        ('アイテム別限界値DB'!$F:$F = AI22), 
        0
      )
    ), 
    "再製作"
  )
)
</f>
        <v/>
      </c>
      <c r="AK22" s="121" t="str">
        <f t="array" ref="AK22">IF(
  AI22 = 0, 
  "", 
  IFERROR(
    INDEX(
      'アイテム別限界値DB'!$L:$L, 
      MATCH(
        1, 
        ('アイテム別限界値DB'!$B:$B = AH$10) * 
        ('アイテム別限界値DB'!$C:$C = AH22) * 
        ('アイテム別限界値DB'!$F:$F = AI22), 
        0
      )
    ), 
    ""
  )
)
</f>
        <v/>
      </c>
      <c r="AL22" s="11"/>
      <c r="AM22" s="224"/>
      <c r="AN22" s="225"/>
      <c r="AO22" s="220" t="str">
        <f t="array" ref="AO22">IF(
  AN22 = 0, 
  "", 
  IFERROR(
    INDEX(
      'アイテム別限界値DB'!$I:$I, 
      MATCH(
        1, 
        ('アイテム別限界値DB'!$B:$B = AM$10) * 
        ('アイテム別限界値DB'!$C:$C = AM22) * 
        ('アイテム別限界値DB'!$F:$F = AN22), 
        0
      )
    ), 
    "再製作"
  )
)
</f>
        <v/>
      </c>
      <c r="AP22" s="121" t="str">
        <f t="array" ref="AP22">IF(
  AN22 = 0, 
  "", 
  IFERROR(
    INDEX(
      'アイテム別限界値DB'!$L:$L, 
      MATCH(
        1, 
        ('アイテム別限界値DB'!$B:$B = AM$10) * 
        ('アイテム別限界値DB'!$C:$C = AM22) * 
        ('アイテム別限界値DB'!$F:$F = AN22), 
        0
      )
    ), 
    ""
  )
)
</f>
        <v/>
      </c>
      <c r="AQ22" s="11"/>
      <c r="AR22" s="224"/>
      <c r="AS22" s="225"/>
      <c r="AT22" s="220" t="str">
        <f t="array" ref="AT22">IF(
  AS22 = 0, 
  "", 
  IFERROR(
    INDEX(
      'アイテム別限界値DB'!$I:$I, 
      MATCH(
        1, 
        ('アイテム別限界値DB'!$B:$B = AR$10) * 
        ('アイテム別限界値DB'!$C:$C = AR22) * 
        ('アイテム別限界値DB'!$F:$F = AS22), 
        0
      )
    ), 
    "再製作"
  )
)
</f>
        <v/>
      </c>
      <c r="AU22" s="121" t="str">
        <f t="array" ref="AU22">IF(
  AS22 = 0, 
  "", 
  IFERROR(
    INDEX(
      'アイテム別限界値DB'!$L:$L, 
      MATCH(
        1, 
        ('アイテム別限界値DB'!$B:$B = AR$10) * 
        ('アイテム別限界値DB'!$C:$C = AR22) * 
        ('アイテム別限界値DB'!$F:$F = AS22), 
        0
      )
    ), 
    ""
  )
)
</f>
        <v/>
      </c>
      <c r="AV22" s="121"/>
      <c r="AW22" s="224"/>
      <c r="AX22" s="225"/>
      <c r="AY22" s="220" t="str">
        <f t="array" ref="AY22">IF(
  AX22 = 0, 
  "", 
  IFERROR(
    INDEX(
      'アイテム別限界値DB'!$I:$I, 
      MATCH(
        1, 
        ('アイテム別限界値DB'!$B:$B = AW$10) * 
        ('アイテム別限界値DB'!$C:$C = AW22) * 
        ('アイテム別限界値DB'!$F:$F = AX22), 
        0
      )
    ), 
    "再製作"
  )
)
</f>
        <v/>
      </c>
      <c r="AZ22" s="121" t="str">
        <f t="array" ref="AZ22">IF(
  AX22 = 0, 
  "", 
  IFERROR(
    INDEX(
      'アイテム別限界値DB'!$L:$L, 
      MATCH(
        1, 
        ('アイテム別限界値DB'!$B:$B = AW$10) * 
        ('アイテム別限界値DB'!$C:$C = AW22) * 
        ('アイテム別限界値DB'!$F:$F = AX22), 
        0
      )
    ), 
    ""
  )
)
</f>
        <v/>
      </c>
      <c r="BA22" s="121"/>
      <c r="BB22" s="224"/>
      <c r="BC22" s="225"/>
      <c r="BD22" s="220" t="str">
        <f t="array" ref="BD22">IF(
  BC22 = 0, 
  "", 
  IFERROR(
    INDEX(
      'アイテム別限界値DB'!$I:$I, 
      MATCH(
        1, 
        ('アイテム別限界値DB'!$B:$B = BB$10) * 
        ('アイテム別限界値DB'!$C:$C = BB22) * 
        ('アイテム別限界値DB'!$F:$F = BC22), 
        0
      )
    ), 
    "再製作"
  )
)
</f>
        <v/>
      </c>
      <c r="BE22" s="121" t="str">
        <f t="array" ref="BE22">IF(
  BC22 = 0, 
  "", 
  IFERROR(
    INDEX(
      'アイテム別限界値DB'!$L:$L, 
      MATCH(
        1, 
        ('アイテム別限界値DB'!$B:$B = BB$10) * 
        ('アイテム別限界値DB'!$C:$C = BB22) * 
        ('アイテム別限界値DB'!$F:$F = BC22), 
        0
      )
    ), 
    ""
  )
)
</f>
        <v/>
      </c>
      <c r="BF22" s="121"/>
      <c r="BG22" s="224"/>
      <c r="BH22" s="225"/>
      <c r="BI22" s="220" t="str">
        <f t="array" ref="BI22">IF(
  BH22 = 0, 
  "", 
  IFERROR(
    INDEX(
      'アイテム別限界値DB'!$I:$I, 
      MATCH(
        1, 
        ('アイテム別限界値DB'!$B:$B = BG$10) * 
        ('アイテム別限界値DB'!$C:$C = BG22) * 
        ('アイテム別限界値DB'!$F:$F = BH22), 
        0
      )
    ), 
    "再製作"
  )
)
</f>
        <v/>
      </c>
      <c r="BJ22" s="121" t="str">
        <f t="array" ref="BJ22">IF(
  BH22 = 0, 
  "", 
  IFERROR(
    INDEX(
      'アイテム別限界値DB'!$L:$L, 
      MATCH(
        1, 
        ('アイテム別限界値DB'!$B:$B = BG$10) * 
        ('アイテム別限界値DB'!$C:$C = BG22) * 
        ('アイテム別限界値DB'!$F:$F = BH22), 
        0
      )
    ), 
    ""
  )
)
</f>
        <v/>
      </c>
      <c r="BK22" s="121"/>
      <c r="BL22" s="224" t="s">
        <v>90</v>
      </c>
      <c r="BM22" s="232"/>
      <c r="BN22" s="231" t="str">
        <f t="array" ref="BN22">IF(
  BM22 = 0, 
  "", 
  IFERROR(
    INDEX(
      'アイテム別限界値DB'!$K:$K, 
      MATCH(
        1, 
        ('アイテム別限界値DB'!$B:$B = BL$10) * 
        ('アイテム別限界値DB'!$F:$F = BL22) * 
        ('アイテム別限界値DB'!$H:$H = BM22), 
        0
      )
    ), 
    "再製作"
  )
)
</f>
        <v/>
      </c>
      <c r="BO22" s="218" t="str">
        <f t="array" ref="BO22">IF(
  BM22 = 0, 
  "", 
  IFERROR(
    INDEX(
      'アイテム別限界値DB'!$L:$L, 
      MATCH(
        1, 
        ('アイテム別限界値DB'!$B:$B = BL$10) * 
        ('アイテム別限界値DB'!$C:$C = BL22) * 
        ('アイテム別限界値DB'!$F:$F = BM22), 
        0
      )
    ), 
    ""
  )
)
</f>
        <v/>
      </c>
      <c r="BP22" s="195"/>
    </row>
    <row r="23" ht="18.75" customHeight="1">
      <c r="A23" s="237" t="s">
        <v>91</v>
      </c>
      <c r="B23" s="229"/>
      <c r="C23" s="224"/>
      <c r="D23" s="238" t="s">
        <v>92</v>
      </c>
      <c r="E23" s="230"/>
      <c r="F23" s="231" t="str">
        <f t="array" ref="F23">IF(
  E23 = 0, 
  "", 
  IFERROR(
    INDEX(
      'アイテム別限界値DB'!$K:$K, 
      MATCH(
        1, 
        ('アイテム別限界値DB'!$B:$B = D$10) * 
        ('アイテム別限界値DB'!$F:$F = D23) * 
        ('アイテム別限界値DB'!$H:$H = E23), 
        0
      )
    ), 
    "再製作"
  )
)
</f>
        <v/>
      </c>
      <c r="G23" s="218" t="str">
        <f t="array" ref="G23">IF(
  E23 = 0, 
  "", 
  IFERROR(
    INDEX(
      'アイテム別限界値DB'!$L:$L, 
      MATCH(
        1, 
        ('アイテム別限界値DB'!$B:$B = D$10) * 
        ('アイテム別限界値DB'!$C:$C = D23) * 
        ('アイテム別限界値DB'!$F:$F = E23), 
        0
      )
    ), 
    ""
  )
)
</f>
        <v/>
      </c>
      <c r="H23" s="12"/>
      <c r="I23" s="238" t="s">
        <v>93</v>
      </c>
      <c r="J23" s="230"/>
      <c r="K23" s="231" t="str">
        <f t="array" ref="K23">IF(
  J23 = 0, 
  "", 
  IFERROR(
    INDEX(
      'アイテム別限界値DB'!$K:$K, 
      MATCH(
        1, 
        ('アイテム別限界値DB'!$B:$B = I$10) * 
        ('アイテム別限界値DB'!$F:$F = I23) * 
        ('アイテム別限界値DB'!$H:$H = J23), 
        0
      )
    ), 
    "再製作"
  )
)
</f>
        <v/>
      </c>
      <c r="L23" s="218" t="str">
        <f t="array" ref="L23">IF(
  J23 = 0, 
  "", 
  IFERROR(
    INDEX(
      'アイテム別限界値DB'!$L:$L, 
      MATCH(
        1, 
        ('アイテム別限界値DB'!$B:$B = I$10) * 
        ('アイテム別限界値DB'!$C:$C = I23) * 
        ('アイテム別限界値DB'!$F:$F = J23), 
        0
      )
    ), 
    ""
  )
)
</f>
        <v/>
      </c>
      <c r="M23" s="11"/>
      <c r="N23" s="224"/>
      <c r="O23" s="220"/>
      <c r="P23" s="220" t="str">
        <f t="array" ref="P23">IF(
  O23 = 0, 
  "", 
  IFERROR(
    INDEX(
      'アイテム別限界値DB'!$I:$I, 
      MATCH(
        1, 
        ('アイテム別限界値DB'!$B:$B = N$10) * 
        ('アイテム別限界値DB'!$C:$C = N23) * 
        ('アイテム別限界値DB'!$F:$F = O23), 
        0
      )
    ), 
    "再製作"
  )
)
</f>
        <v/>
      </c>
      <c r="Q23" s="121" t="str">
        <f t="array" ref="Q23">IF(
  O23 = 0, 
  "", 
  IFERROR(
    INDEX(
      'アイテム別限界値DB'!$L:$L, 
      MATCH(
        1, 
        ('アイテム別限界値DB'!$B:$B = N$10) * 
        ('アイテム別限界値DB'!$C:$C = N23) * 
        ('アイテム別限界値DB'!$F:$F = O23), 
        0
      )
    ), 
    ""
  )
)
</f>
        <v/>
      </c>
      <c r="R23" s="11"/>
      <c r="S23" s="238" t="s">
        <v>93</v>
      </c>
      <c r="T23" s="230"/>
      <c r="U23" s="231" t="str">
        <f t="array" ref="U23">IF(
  T23 = 0, 
  "", 
  IFERROR(
    INDEX(
      'アイテム別限界値DB'!$K:$K, 
      MATCH(
        1, 
        ('アイテム別限界値DB'!$B:$B = S$10) * 
        ('アイテム別限界値DB'!$F:$F = S23) * 
        ('アイテム別限界値DB'!$H:$H = T23), 
        0
      )
    ), 
    "再製作"
  )
)
</f>
        <v/>
      </c>
      <c r="V23" s="218" t="str">
        <f t="array" ref="V23">IF(
  T23 = 0, 
  "", 
  IFERROR(
    INDEX(
      'アイテム別限界値DB'!$L:$L, 
      MATCH(
        1, 
        ('アイテム別限界値DB'!$B:$B = S$10) * 
        ('アイテム別限界値DB'!$C:$C = S23) * 
        ('アイテム別限界値DB'!$F:$F = T23), 
        0
      )
    ), 
    ""
  )
)
</f>
        <v/>
      </c>
      <c r="W23" s="11"/>
      <c r="X23" s="238" t="s">
        <v>89</v>
      </c>
      <c r="Y23" s="232"/>
      <c r="Z23" s="231" t="str">
        <f t="array" ref="Z23">IF(
  Y23 = 0, 
  "", 
  IFERROR(
    INDEX(
      'アイテム別限界値DB'!$K:$K, 
      MATCH(
        1, 
        ('アイテム別限界値DB'!$B:$B = X$10) * 
        ('アイテム別限界値DB'!$F:$F = X23) * 
        ('アイテム別限界値DB'!$H:$H = Y23), 
        0
      )
    ), 
    "再製作"
  )
)
</f>
        <v/>
      </c>
      <c r="AA23" s="218" t="str">
        <f t="array" ref="AA23">IF(
  Y23 = 0, 
  "", 
  IFERROR(
    INDEX(
      'アイテム別限界値DB'!$L:$L, 
      MATCH(
        1, 
        ('アイテム別限界値DB'!$B:$B = X$10) * 
        ('アイテム別限界値DB'!$C:$C = X23) * 
        ('アイテム別限界値DB'!$F:$F = Y23), 
        0
      )
    ), 
    ""
  )
)
</f>
        <v/>
      </c>
      <c r="AB23" s="11"/>
      <c r="AC23" s="238" t="s">
        <v>90</v>
      </c>
      <c r="AD23" s="230"/>
      <c r="AE23" s="231" t="str">
        <f t="array" ref="AE23">IF(
  AD23 = 0, 
  "", 
  IFERROR(
    INDEX(
      'アイテム別限界値DB'!$K:$K, 
      MATCH(
        1, 
        ('アイテム別限界値DB'!$B:$B = AC$10) * 
        ('アイテム別限界値DB'!$F:$F = AC23) * 
        ('アイテム別限界値DB'!$H:$H = AD23), 
        0
      )
    ), 
    "再製作"
  )
)
</f>
        <v/>
      </c>
      <c r="AF23" s="218" t="str">
        <f t="array" ref="AF23">IF(
  AD23 = 0, 
  "", 
  IFERROR(
    INDEX(
      'アイテム別限界値DB'!$L:$L, 
      MATCH(
        1, 
        ('アイテム別限界値DB'!$B:$B = AC$10) * 
        ('アイテム別限界値DB'!$C:$C = AC23) * 
        ('アイテム別限界値DB'!$F:$F = AD23), 
        0
      )
    ), 
    ""
  )
)
</f>
        <v/>
      </c>
      <c r="AG23" s="11"/>
      <c r="AH23" s="224"/>
      <c r="AI23" s="225"/>
      <c r="AJ23" s="220" t="str">
        <f t="array" ref="AJ23">IF(
  AI23 = 0, 
  "", 
  IFERROR(
    INDEX(
      'アイテム別限界値DB'!$I:$I, 
      MATCH(
        1, 
        ('アイテム別限界値DB'!$B:$B = AH$10) * 
        ('アイテム別限界値DB'!$C:$C = AH23) * 
        ('アイテム別限界値DB'!$F:$F = AI23), 
        0
      )
    ), 
    "再製作"
  )
)
</f>
        <v/>
      </c>
      <c r="AK23" s="121" t="str">
        <f t="array" ref="AK23">IF(
  AI23 = 0, 
  "", 
  IFERROR(
    INDEX(
      'アイテム別限界値DB'!$L:$L, 
      MATCH(
        1, 
        ('アイテム別限界値DB'!$B:$B = AH$10) * 
        ('アイテム別限界値DB'!$C:$C = AH23) * 
        ('アイテム別限界値DB'!$F:$F = AI23), 
        0
      )
    ), 
    ""
  )
)
</f>
        <v/>
      </c>
      <c r="AL23" s="11"/>
      <c r="AM23" s="224"/>
      <c r="AN23" s="225"/>
      <c r="AO23" s="220" t="str">
        <f t="array" ref="AO23">IF(
  AN23 = 0, 
  "", 
  IFERROR(
    INDEX(
      'アイテム別限界値DB'!$I:$I, 
      MATCH(
        1, 
        ('アイテム別限界値DB'!$B:$B = AM$10) * 
        ('アイテム別限界値DB'!$C:$C = AM23) * 
        ('アイテム別限界値DB'!$F:$F = AN23), 
        0
      )
    ), 
    "再製作"
  )
)
</f>
        <v/>
      </c>
      <c r="AP23" s="121" t="str">
        <f t="array" ref="AP23">IF(
  AN23 = 0, 
  "", 
  IFERROR(
    INDEX(
      'アイテム別限界値DB'!$L:$L, 
      MATCH(
        1, 
        ('アイテム別限界値DB'!$B:$B = AM$10) * 
        ('アイテム別限界値DB'!$C:$C = AM23) * 
        ('アイテム別限界値DB'!$F:$F = AN23), 
        0
      )
    ), 
    ""
  )
)
</f>
        <v/>
      </c>
      <c r="AQ23" s="11"/>
      <c r="AR23" s="224"/>
      <c r="AS23" s="225"/>
      <c r="AT23" s="220" t="str">
        <f t="array" ref="AT23">IF(
  AS23 = 0, 
  "", 
  IFERROR(
    INDEX(
      'アイテム別限界値DB'!$I:$I, 
      MATCH(
        1, 
        ('アイテム別限界値DB'!$B:$B = AR$10) * 
        ('アイテム別限界値DB'!$C:$C = AR23) * 
        ('アイテム別限界値DB'!$F:$F = AS23), 
        0
      )
    ), 
    "再製作"
  )
)
</f>
        <v/>
      </c>
      <c r="AU23" s="121" t="str">
        <f t="array" ref="AU23">IF(
  AS23 = 0, 
  "", 
  IFERROR(
    INDEX(
      'アイテム別限界値DB'!$L:$L, 
      MATCH(
        1, 
        ('アイテム別限界値DB'!$B:$B = AR$10) * 
        ('アイテム別限界値DB'!$C:$C = AR23) * 
        ('アイテム別限界値DB'!$F:$F = AS23), 
        0
      )
    ), 
    ""
  )
)
</f>
        <v/>
      </c>
      <c r="AV23" s="121"/>
      <c r="AW23" s="224"/>
      <c r="AX23" s="225"/>
      <c r="AY23" s="220" t="str">
        <f t="array" ref="AY23">IF(
  AX23 = 0, 
  "", 
  IFERROR(
    INDEX(
      'アイテム別限界値DB'!$I:$I, 
      MATCH(
        1, 
        ('アイテム別限界値DB'!$B:$B = AW$10) * 
        ('アイテム別限界値DB'!$C:$C = AW23) * 
        ('アイテム別限界値DB'!$F:$F = AX23), 
        0
      )
    ), 
    "再製作"
  )
)
</f>
        <v/>
      </c>
      <c r="AZ23" s="121" t="str">
        <f t="array" ref="AZ23">IF(
  AX23 = 0, 
  "", 
  IFERROR(
    INDEX(
      'アイテム別限界値DB'!$L:$L, 
      MATCH(
        1, 
        ('アイテム別限界値DB'!$B:$B = AW$10) * 
        ('アイテム別限界値DB'!$C:$C = AW23) * 
        ('アイテム別限界値DB'!$F:$F = AX23), 
        0
      )
    ), 
    ""
  )
)
</f>
        <v/>
      </c>
      <c r="BA23" s="121"/>
      <c r="BB23" s="224"/>
      <c r="BC23" s="225"/>
      <c r="BD23" s="220" t="str">
        <f t="array" ref="BD23">IF(
  BC23 = 0, 
  "", 
  IFERROR(
    INDEX(
      'アイテム別限界値DB'!$I:$I, 
      MATCH(
        1, 
        ('アイテム別限界値DB'!$B:$B = BB$10) * 
        ('アイテム別限界値DB'!$C:$C = BB23) * 
        ('アイテム別限界値DB'!$F:$F = BC23), 
        0
      )
    ), 
    "再製作"
  )
)
</f>
        <v/>
      </c>
      <c r="BE23" s="121" t="str">
        <f t="array" ref="BE23">IF(
  BC23 = 0, 
  "", 
  IFERROR(
    INDEX(
      'アイテム別限界値DB'!$L:$L, 
      MATCH(
        1, 
        ('アイテム別限界値DB'!$B:$B = BB$10) * 
        ('アイテム別限界値DB'!$C:$C = BB23) * 
        ('アイテム別限界値DB'!$F:$F = BC23), 
        0
      )
    ), 
    ""
  )
)
</f>
        <v/>
      </c>
      <c r="BF23" s="121"/>
      <c r="BG23" s="224"/>
      <c r="BH23" s="225"/>
      <c r="BI23" s="220" t="str">
        <f t="array" ref="BI23">IF(
  BH23 = 0, 
  "", 
  IFERROR(
    INDEX(
      'アイテム別限界値DB'!$I:$I, 
      MATCH(
        1, 
        ('アイテム別限界値DB'!$B:$B = BG$10) * 
        ('アイテム別限界値DB'!$C:$C = BG23) * 
        ('アイテム別限界値DB'!$F:$F = BH23), 
        0
      )
    ), 
    "再製作"
  )
)
</f>
        <v/>
      </c>
      <c r="BJ23" s="121" t="str">
        <f t="array" ref="BJ23">IF(
  BH23 = 0, 
  "", 
  IFERROR(
    INDEX(
      'アイテム別限界値DB'!$L:$L, 
      MATCH(
        1, 
        ('アイテム別限界値DB'!$B:$B = BG$10) * 
        ('アイテム別限界値DB'!$C:$C = BG23) * 
        ('アイテム別限界値DB'!$F:$F = BH23), 
        0
      )
    ), 
    ""
  )
)
</f>
        <v/>
      </c>
      <c r="BK23" s="121"/>
      <c r="BL23" s="224" t="s">
        <v>62</v>
      </c>
      <c r="BM23" s="232"/>
      <c r="BN23" s="231" t="str">
        <f t="array" ref="BN23">IF(
  BM23 = 0, 
  "", 
  IFERROR(
    INDEX(
      'アイテム別限界値DB'!$K:$K, 
      MATCH(
        1, 
        ('アイテム別限界値DB'!$B:$B = BL$10) * 
        ('アイテム別限界値DB'!$F:$F = BL23) * 
        ('アイテム別限界値DB'!$H:$H = BM23), 
        0
      )
    ), 
    "再製作"
  )
)
</f>
        <v/>
      </c>
      <c r="BO23" s="218" t="str">
        <f t="array" ref="BO23">IF(
  BM23 = 0, 
  "", 
  IFERROR(
    INDEX(
      'アイテム別限界値DB'!$L:$L, 
      MATCH(
        1, 
        ('アイテム別限界値DB'!$B:$B = BL$10) * 
        ('アイテム別限界値DB'!$C:$C = BL23) * 
        ('アイテム別限界値DB'!$F:$F = BM23), 
        0
      )
    ), 
    ""
  )
)
</f>
        <v/>
      </c>
      <c r="BP23" s="195"/>
    </row>
    <row r="24" ht="18.75" customHeight="1">
      <c r="A24" s="228" t="str">
        <f>IF($N$11="再製作", "◼︎ ベスト（対応着地：再製作）" &amp; char(10) &amp; "《修正数値》", IF($N$11&lt;&gt;"", "◼︎ ベスト（対応着地：お直し）" &amp; char(10) &amp; "《修正数値》", ""))</f>
        <v>◼︎ ベスト（対応着地：お直し）
《修正数値》</v>
      </c>
      <c r="B24" s="229"/>
      <c r="C24" s="224"/>
      <c r="D24" s="239" t="s">
        <v>94</v>
      </c>
      <c r="E24" s="232"/>
      <c r="F24" s="231" t="str">
        <f t="array" ref="F24">IF(
  E24 = 0, 
  "", 
  IFERROR(
    INDEX(
      'アイテム別限界値DB'!$K:$K, 
      MATCH(
        1, 
        ('アイテム別限界値DB'!$B:$B = D$10) * 
        ('アイテム別限界値DB'!$F:$F = D24) * 
        ('アイテム別限界値DB'!$H:$H = E24), 
        0
      )
    ), 
    "再製作"
  )
)
</f>
        <v/>
      </c>
      <c r="G24" s="218" t="str">
        <f t="array" ref="G24">IF(
  E24 = 0, 
  "", 
  IFERROR(
    INDEX(
      'アイテム別限界値DB'!$L:$L, 
      MATCH(
        1, 
        ('アイテム別限界値DB'!$B:$B = D$10) * 
        ('アイテム別限界値DB'!$C:$C = D24) * 
        ('アイテム別限界値DB'!$F:$F = E24), 
        0
      )
    ), 
    ""
  )
)
</f>
        <v/>
      </c>
      <c r="H24" s="12"/>
      <c r="I24" s="239" t="s">
        <v>95</v>
      </c>
      <c r="J24" s="232"/>
      <c r="K24" s="231" t="str">
        <f t="array" ref="K24">IF(
  J24 = 0, 
  "", 
  IFERROR(
    INDEX(
      'アイテム別限界値DB'!$K:$K, 
      MATCH(
        1, 
        ('アイテム別限界値DB'!$B:$B = I$10) * 
        ('アイテム別限界値DB'!$F:$F = I24) * 
        ('アイテム別限界値DB'!$H:$H = J24), 
        0
      )
    ), 
    "再製作"
  )
)
</f>
        <v/>
      </c>
      <c r="L24" s="218" t="str">
        <f t="array" ref="L24">IF(
  J24 = 0, 
  "", 
  IFERROR(
    INDEX(
      'アイテム別限界値DB'!$L:$L, 
      MATCH(
        1, 
        ('アイテム別限界値DB'!$B:$B = I$10) * 
        ('アイテム別限界値DB'!$C:$C = I24) * 
        ('アイテム別限界値DB'!$F:$F = J24), 
        0
      )
    ), 
    ""
  )
)
</f>
        <v/>
      </c>
      <c r="M24" s="11"/>
      <c r="N24" s="224"/>
      <c r="O24" s="220"/>
      <c r="P24" s="220" t="str">
        <f t="array" ref="P24">IF(
  O24 = 0, 
  "", 
  IFERROR(
    INDEX(
      'アイテム別限界値DB'!$I:$I, 
      MATCH(
        1, 
        ('アイテム別限界値DB'!$B:$B = N$10) * 
        ('アイテム別限界値DB'!$C:$C = N24) * 
        ('アイテム別限界値DB'!$F:$F = O24), 
        0
      )
    ), 
    "再製作"
  )
)
</f>
        <v/>
      </c>
      <c r="Q24" s="121" t="str">
        <f t="array" ref="Q24">IF(
  O24 = 0, 
  "", 
  IFERROR(
    INDEX(
      'アイテム別限界値DB'!$L:$L, 
      MATCH(
        1, 
        ('アイテム別限界値DB'!$B:$B = N$10) * 
        ('アイテム別限界値DB'!$C:$C = N24) * 
        ('アイテム別限界値DB'!$F:$F = O24), 
        0
      )
    ), 
    ""
  )
)
</f>
        <v/>
      </c>
      <c r="R24" s="11"/>
      <c r="S24" s="239" t="s">
        <v>96</v>
      </c>
      <c r="T24" s="232"/>
      <c r="U24" s="231" t="str">
        <f t="array" ref="U24">IF(
  T24 = 0, 
  "", 
  IFERROR(
    INDEX(
      'アイテム別限界値DB'!$K:$K, 
      MATCH(
        1, 
        ('アイテム別限界値DB'!$B:$B = S$10) * 
        ('アイテム別限界値DB'!$F:$F = S24) * 
        ('アイテム別限界値DB'!$H:$H = T24), 
        0
      )
    ), 
    "再製作"
  )
)
</f>
        <v/>
      </c>
      <c r="V24" s="218" t="str">
        <f t="array" ref="V24">IF(
  T24 = 0, 
  "", 
  IFERROR(
    INDEX(
      'アイテム別限界値DB'!$L:$L, 
      MATCH(
        1, 
        ('アイテム別限界値DB'!$B:$B = S$10) * 
        ('アイテム別限界値DB'!$C:$C = S24) * 
        ('アイテム別限界値DB'!$F:$F = T24), 
        0
      )
    ), 
    ""
  )
)
</f>
        <v/>
      </c>
      <c r="W24" s="11"/>
      <c r="X24" s="239" t="s">
        <v>97</v>
      </c>
      <c r="Y24" s="230"/>
      <c r="Z24" s="231"/>
      <c r="AA24" s="218" t="str">
        <f t="array" ref="AA24">IF(
  Y24 = 0, 
  "", 
  IFERROR(
    INDEX(
      'アイテム別限界値DB'!$L:$L, 
      MATCH(
        1, 
        ('アイテム別限界値DB'!$B:$B = X$10) * 
        ('アイテム別限界値DB'!$C:$C = X24) * 
        ('アイテム別限界値DB'!$F:$F = Y24), 
        0
      )
    ), 
    ""
  )
)
</f>
        <v/>
      </c>
      <c r="AB24" s="11"/>
      <c r="AC24" s="239" t="s">
        <v>62</v>
      </c>
      <c r="AD24" s="232"/>
      <c r="AE24" s="231" t="str">
        <f t="array" ref="AE24">IF(
  AD24 = 0, 
  "", 
  IFERROR(
    INDEX(
      'アイテム別限界値DB'!$K:$K, 
      MATCH(
        1, 
        ('アイテム別限界値DB'!$B:$B = AC$10) * 
        ('アイテム別限界値DB'!$F:$F = AC24) * 
        ('アイテム別限界値DB'!$H:$H = AD24), 
        0
      )
    ), 
    "再製作"
  )
)
</f>
        <v/>
      </c>
      <c r="AF24" s="218" t="str">
        <f t="array" ref="AF24">IF(
  AD24 = 0, 
  "", 
  IFERROR(
    INDEX(
      'アイテム別限界値DB'!$L:$L, 
      MATCH(
        1, 
        ('アイテム別限界値DB'!$B:$B = AC$10) * 
        ('アイテム別限界値DB'!$C:$C = AC24) * 
        ('アイテム別限界値DB'!$F:$F = AD24), 
        0
      )
    ), 
    ""
  )
)
</f>
        <v/>
      </c>
      <c r="AG24" s="11"/>
      <c r="AH24" s="224"/>
      <c r="AI24" s="225"/>
      <c r="AJ24" s="220" t="str">
        <f t="array" ref="AJ24">IF(
  AI24 = 0, 
  "", 
  IFERROR(
    INDEX(
      'アイテム別限界値DB'!$I:$I, 
      MATCH(
        1, 
        ('アイテム別限界値DB'!$B:$B = AH$10) * 
        ('アイテム別限界値DB'!$C:$C = AH24) * 
        ('アイテム別限界値DB'!$F:$F = AI24), 
        0
      )
    ), 
    "再製作"
  )
)
</f>
        <v/>
      </c>
      <c r="AK24" s="121" t="str">
        <f t="array" ref="AK24">IF(
  AI24 = 0, 
  "", 
  IFERROR(
    INDEX(
      'アイテム別限界値DB'!$L:$L, 
      MATCH(
        1, 
        ('アイテム別限界値DB'!$B:$B = AH$10) * 
        ('アイテム別限界値DB'!$C:$C = AH24) * 
        ('アイテム別限界値DB'!$F:$F = AI24), 
        0
      )
    ), 
    ""
  )
)
</f>
        <v/>
      </c>
      <c r="AL24" s="11"/>
      <c r="AM24" s="224"/>
      <c r="AN24" s="225"/>
      <c r="AO24" s="220" t="str">
        <f t="array" ref="AO24">IF(
  AN24 = 0, 
  "", 
  IFERROR(
    INDEX(
      'アイテム別限界値DB'!$I:$I, 
      MATCH(
        1, 
        ('アイテム別限界値DB'!$B:$B = AM$10) * 
        ('アイテム別限界値DB'!$C:$C = AM24) * 
        ('アイテム別限界値DB'!$F:$F = AN24), 
        0
      )
    ), 
    "再製作"
  )
)
</f>
        <v/>
      </c>
      <c r="AP24" s="121" t="str">
        <f t="array" ref="AP24">IF(
  AN24 = 0, 
  "", 
  IFERROR(
    INDEX(
      'アイテム別限界値DB'!$L:$L, 
      MATCH(
        1, 
        ('アイテム別限界値DB'!$B:$B = AM$10) * 
        ('アイテム別限界値DB'!$C:$C = AM24) * 
        ('アイテム別限界値DB'!$F:$F = AN24), 
        0
      )
    ), 
    ""
  )
)
</f>
        <v/>
      </c>
      <c r="AQ24" s="11"/>
      <c r="AR24" s="224"/>
      <c r="AS24" s="225"/>
      <c r="AT24" s="220" t="str">
        <f t="array" ref="AT24">IF(
  AS24 = 0, 
  "", 
  IFERROR(
    INDEX(
      'アイテム別限界値DB'!$I:$I, 
      MATCH(
        1, 
        ('アイテム別限界値DB'!$B:$B = AR$10) * 
        ('アイテム別限界値DB'!$C:$C = AR24) * 
        ('アイテム別限界値DB'!$F:$F = AS24), 
        0
      )
    ), 
    "再製作"
  )
)
</f>
        <v/>
      </c>
      <c r="AU24" s="121" t="str">
        <f t="array" ref="AU24">IF(
  AS24 = 0, 
  "", 
  IFERROR(
    INDEX(
      'アイテム別限界値DB'!$L:$L, 
      MATCH(
        1, 
        ('アイテム別限界値DB'!$B:$B = AR$10) * 
        ('アイテム別限界値DB'!$C:$C = AR24) * 
        ('アイテム別限界値DB'!$F:$F = AS24), 
        0
      )
    ), 
    ""
  )
)
</f>
        <v/>
      </c>
      <c r="AV24" s="121"/>
      <c r="AW24" s="224"/>
      <c r="AX24" s="225"/>
      <c r="AY24" s="220" t="str">
        <f t="array" ref="AY24">IF(
  AX24 = 0, 
  "", 
  IFERROR(
    INDEX(
      'アイテム別限界値DB'!$I:$I, 
      MATCH(
        1, 
        ('アイテム別限界値DB'!$B:$B = AW$10) * 
        ('アイテム別限界値DB'!$C:$C = AW24) * 
        ('アイテム別限界値DB'!$F:$F = AX24), 
        0
      )
    ), 
    "再製作"
  )
)
</f>
        <v/>
      </c>
      <c r="AZ24" s="121" t="str">
        <f t="array" ref="AZ24">IF(
  AX24 = 0, 
  "", 
  IFERROR(
    INDEX(
      'アイテム別限界値DB'!$L:$L, 
      MATCH(
        1, 
        ('アイテム別限界値DB'!$B:$B = AW$10) * 
        ('アイテム別限界値DB'!$C:$C = AW24) * 
        ('アイテム別限界値DB'!$F:$F = AX24), 
        0
      )
    ), 
    ""
  )
)
</f>
        <v/>
      </c>
      <c r="BA24" s="121"/>
      <c r="BB24" s="224"/>
      <c r="BC24" s="225"/>
      <c r="BD24" s="220" t="str">
        <f t="array" ref="BD24">IF(
  BC24 = 0, 
  "", 
  IFERROR(
    INDEX(
      'アイテム別限界値DB'!$I:$I, 
      MATCH(
        1, 
        ('アイテム別限界値DB'!$B:$B = BB$10) * 
        ('アイテム別限界値DB'!$C:$C = BB24) * 
        ('アイテム別限界値DB'!$F:$F = BC24), 
        0
      )
    ), 
    "再製作"
  )
)
</f>
        <v/>
      </c>
      <c r="BE24" s="121" t="str">
        <f t="array" ref="BE24">IF(
  BC24 = 0, 
  "", 
  IFERROR(
    INDEX(
      'アイテム別限界値DB'!$L:$L, 
      MATCH(
        1, 
        ('アイテム別限界値DB'!$B:$B = BB$10) * 
        ('アイテム別限界値DB'!$C:$C = BB24) * 
        ('アイテム別限界値DB'!$F:$F = BC24), 
        0
      )
    ), 
    ""
  )
)
</f>
        <v/>
      </c>
      <c r="BF24" s="121"/>
      <c r="BG24" s="224"/>
      <c r="BH24" s="225"/>
      <c r="BI24" s="220" t="str">
        <f t="array" ref="BI24">IF(
  BH24 = 0, 
  "", 
  IFERROR(
    INDEX(
      'アイテム別限界値DB'!$I:$I, 
      MATCH(
        1, 
        ('アイテム別限界値DB'!$B:$B = BG$10) * 
        ('アイテム別限界値DB'!$C:$C = BG24) * 
        ('アイテム別限界値DB'!$F:$F = BH24), 
        0
      )
    ), 
    "再製作"
  )
)
</f>
        <v/>
      </c>
      <c r="BJ24" s="121" t="str">
        <f t="array" ref="BJ24">IF(
  BH24 = 0, 
  "", 
  IFERROR(
    INDEX(
      'アイテム別限界値DB'!$L:$L, 
      MATCH(
        1, 
        ('アイテム別限界値DB'!$B:$B = BG$10) * 
        ('アイテム別限界値DB'!$C:$C = BG24) * 
        ('アイテム別限界値DB'!$F:$F = BH24), 
        0
      )
    ), 
    ""
  )
)
</f>
        <v/>
      </c>
      <c r="BK24" s="121"/>
      <c r="BL24" s="224"/>
      <c r="BM24" s="225"/>
      <c r="BN24" s="220" t="str">
        <f t="array" ref="BN24">IF(
  BM24 = 0, 
  "", 
  IFERROR(
    INDEX(
      'アイテム別限界値DB'!$I:$I, 
      MATCH(
        1, 
        ('アイテム別限界値DB'!$B:$B = BL$10) * 
        ('アイテム別限界値DB'!$C:$C = BL24) * 
        ('アイテム別限界値DB'!$F:$F = BM24), 
        0
      )
    ), 
    "再製作"
  )
)
</f>
        <v/>
      </c>
      <c r="BO24" s="121" t="str">
        <f t="array" ref="BO24">IF(
  BM24 = 0, 
  "", 
  IFERROR(
    INDEX(
      'アイテム別限界値DB'!$L:$L, 
      MATCH(
        1, 
        ('アイテム別限界値DB'!$B:$B = BL$10) * 
        ('アイテム別限界値DB'!$C:$C = BL24) * 
        ('アイテム別限界値DB'!$F:$F = BM24), 
        0
      )
    ), 
    ""
  )
)
</f>
        <v/>
      </c>
      <c r="BP24" s="195"/>
    </row>
    <row r="25" ht="18.75" customHeight="1">
      <c r="A25" s="228" t="str">
        <f>IFERROR(__xludf.DUMMYFUNCTION("TEXTJOIN(CHAR(10),TRUE,FILTER(ARRAYFORMULA(IF(O$14:O72&lt;&gt;"""",N$14:N72 &amp;"" : ""&amp; O$14:O72 &amp;"" cm"","""")), N$14:N72 &lt;&gt;""""))"),"バスト : -2 cm
ウエスト : -2 cm
着丈 : -1 cm")</f>
        <v>バスト : -2 cm
ウエスト : -2 cm
着丈 : -1 cm</v>
      </c>
      <c r="B25" s="224"/>
      <c r="C25" s="224"/>
      <c r="D25" s="239" t="s">
        <v>98</v>
      </c>
      <c r="E25" s="232"/>
      <c r="F25" s="231" t="str">
        <f t="array" ref="F25">IF(
  E25 = 0, 
  "", 
  IFERROR(
    INDEX(
      'アイテム別限界値DB'!$K:$K, 
      MATCH(
        1, 
        ('アイテム別限界値DB'!$B:$B = D$10) * 
        ('アイテム別限界値DB'!$F:$F = D25) * 
        ('アイテム別限界値DB'!$H:$H = E25), 
        0
      )
    ), 
    "再製作"
  )
)
</f>
        <v/>
      </c>
      <c r="G25" s="218" t="str">
        <f t="array" ref="G25">IF(
  E25 = 0, 
  "", 
  IFERROR(
    INDEX(
      'アイテム別限界値DB'!$L:$L, 
      MATCH(
        1, 
        ('アイテム別限界値DB'!$B:$B = D$10) * 
        ('アイテム別限界値DB'!$C:$C = D25) * 
        ('アイテム別限界値DB'!$F:$F = E25), 
        0
      )
    ), 
    ""
  )
)
</f>
        <v/>
      </c>
      <c r="H25" s="12"/>
      <c r="I25" s="224" t="s">
        <v>99</v>
      </c>
      <c r="J25" s="232"/>
      <c r="K25" s="231" t="str">
        <f t="array" ref="K25">IF(
  J25 = 0, 
  "", 
  IFERROR(
    INDEX(
      'アイテム別限界値DB'!$K:$K, 
      MATCH(
        1, 
        ('アイテム別限界値DB'!$B:$B = I$10) * 
        ('アイテム別限界値DB'!$F:$F = I25) * 
        ('アイテム別限界値DB'!$H:$H = J25), 
        0
      )
    ), 
    "再製作"
  )
)
</f>
        <v/>
      </c>
      <c r="L25" s="195"/>
      <c r="M25" s="11"/>
      <c r="N25" s="11"/>
      <c r="O25" s="220"/>
      <c r="P25" s="184"/>
      <c r="Q25" s="11"/>
      <c r="R25" s="11"/>
      <c r="S25" s="186" t="s">
        <v>100</v>
      </c>
      <c r="T25" s="232"/>
      <c r="U25" s="231" t="str">
        <f t="array" ref="U25">IF(
  T25 = 0, 
  "", 
  IFERROR(
    INDEX(
      'アイテム別限界値DB'!$K:$K, 
      MATCH(
        1, 
        ('アイテム別限界値DB'!$B:$B = S$10) * 
        ('アイテム別限界値DB'!$F:$F = S25) * 
        ('アイテム別限界値DB'!$H:$H = T25), 
        0
      )
    ), 
    "再製作"
  )
)
</f>
        <v/>
      </c>
      <c r="V25" s="234"/>
      <c r="W25" s="11"/>
      <c r="X25" s="186" t="s">
        <v>101</v>
      </c>
      <c r="Y25" s="232"/>
      <c r="Z25" s="231" t="str">
        <f t="array" ref="Z25">IF(
  Y25 = 0, 
  "", 
  IFERROR(
    INDEX(
      'アイテム別限界値DB'!$K:$K, 
      MATCH(
        1, 
        ('アイテム別限界値DB'!$B:$B = X$10) * 
        ('アイテム別限界値DB'!$F:$F = X25) * 
        ('アイテム別限界値DB'!$H:$H = Y25), 
        0
      )
    ), 
    "再製作"
  )
)
</f>
        <v/>
      </c>
      <c r="AA25" s="218" t="str">
        <f t="array" ref="AA25">IF(
  Y25 = 0, 
  "", 
  IFERROR(
    INDEX(
      'アイテム別限界値DB'!$L:$L, 
      MATCH(
        1, 
        ('アイテム別限界値DB'!$B:$B = X$10) * 
        ('アイテム別限界値DB'!$C:$C = X25) * 
        ('アイテム別限界値DB'!$F:$F = Y25), 
        0
      )
    ), 
    ""
  )
)
</f>
        <v/>
      </c>
      <c r="AB25" s="11"/>
      <c r="AC25" s="186" t="s">
        <v>74</v>
      </c>
      <c r="AD25" s="232"/>
      <c r="AE25" s="231" t="str">
        <f t="array" ref="AE25">IF(
  AD25 = 0, 
  "", 
  IFERROR(
    INDEX(
      'アイテム別限界値DB'!$K:$K, 
      MATCH(
        1, 
        ('アイテム別限界値DB'!$B:$B = AC$10) * 
        ('アイテム別限界値DB'!$F:$F = AC25) * 
        ('アイテム別限界値DB'!$H:$H = AD25), 
        0
      )
    ), 
    "再製作"
  )
)
</f>
        <v/>
      </c>
      <c r="AF25" s="218" t="str">
        <f t="array" ref="AF25">IF(
  AD25 = 0, 
  "", 
  IFERROR(
    INDEX(
      'アイテム別限界値DB'!$L:$L, 
      MATCH(
        1, 
        ('アイテム別限界値DB'!$B:$B = AC$10) * 
        ('アイテム別限界値DB'!$C:$C = AC25) * 
        ('アイテム別限界値DB'!$F:$F = AD25), 
        0
      )
    ), 
    ""
  )
)
</f>
        <v/>
      </c>
      <c r="AG25" s="11"/>
      <c r="AH25" s="12"/>
      <c r="AI25" s="220"/>
      <c r="AJ25" s="220" t="str">
        <f t="array" ref="AJ25">IF(
  AI25 = 0, 
  "", 
  IFERROR(
    INDEX(
      'アイテム別限界値DB'!$I:$I, 
      MATCH(
        1, 
        ('アイテム別限界値DB'!$B:$B = AH$10) * 
        ('アイテム別限界値DB'!$C:$C = AH25) * 
        ('アイテム別限界値DB'!$F:$F = AI25), 
        0
      )
    ), 
    "再製作"
  )
)
</f>
        <v/>
      </c>
      <c r="AK25" s="195"/>
      <c r="AL25" s="11"/>
      <c r="AM25" s="12"/>
      <c r="AN25" s="220"/>
      <c r="AO25" s="220" t="str">
        <f t="array" ref="AO25">IF(
  AN25 = 0, 
  "", 
  IFERROR(
    INDEX(
      'アイテム別限界値DB'!$I:$I, 
      MATCH(
        1, 
        ('アイテム別限界値DB'!$B:$B = AM$10) * 
        ('アイテム別限界値DB'!$C:$C = AM25) * 
        ('アイテム別限界値DB'!$F:$F = AN25), 
        0
      )
    ), 
    "再製作"
  )
)
</f>
        <v/>
      </c>
      <c r="AP25" s="195"/>
      <c r="AQ25" s="11"/>
      <c r="AR25" s="12"/>
      <c r="AS25" s="220"/>
      <c r="AT25" s="220" t="str">
        <f t="array" ref="AT25">IF(
  AS25 = 0, 
  "", 
  IFERROR(
    INDEX(
      'アイテム別限界値DB'!$I:$I, 
      MATCH(
        1, 
        ('アイテム別限界値DB'!$B:$B = AR$10) * 
        ('アイテム別限界値DB'!$C:$C = AR25) * 
        ('アイテム別限界値DB'!$F:$F = AS25), 
        0
      )
    ), 
    "再製作"
  )
)
</f>
        <v/>
      </c>
      <c r="AU25" s="195"/>
      <c r="AV25" s="195"/>
      <c r="AW25" s="12"/>
      <c r="AX25" s="220"/>
      <c r="AY25" s="220" t="str">
        <f t="array" ref="AY25">IF(
  AX25 = 0, 
  "", 
  IFERROR(
    INDEX(
      'アイテム別限界値DB'!$I:$I, 
      MATCH(
        1, 
        ('アイテム別限界値DB'!$B:$B = AW$10) * 
        ('アイテム別限界値DB'!$C:$C = AW25) * 
        ('アイテム別限界値DB'!$F:$F = AX25), 
        0
      )
    ), 
    "再製作"
  )
)
</f>
        <v/>
      </c>
      <c r="AZ25" s="195"/>
      <c r="BA25" s="195"/>
      <c r="BB25" s="12"/>
      <c r="BC25" s="220"/>
      <c r="BD25" s="220" t="str">
        <f t="array" ref="BD25">IF(
  BC25 = 0, 
  "", 
  IFERROR(
    INDEX(
      'アイテム別限界値DB'!$I:$I, 
      MATCH(
        1, 
        ('アイテム別限界値DB'!$B:$B = BB$10) * 
        ('アイテム別限界値DB'!$C:$C = BB25) * 
        ('アイテム別限界値DB'!$F:$F = BC25), 
        0
      )
    ), 
    "再製作"
  )
)
</f>
        <v/>
      </c>
      <c r="BE25" s="195"/>
      <c r="BF25" s="195"/>
      <c r="BG25" s="12"/>
      <c r="BH25" s="220"/>
      <c r="BI25" s="220" t="str">
        <f t="array" ref="BI25">IF(
  BH25 = 0, 
  "", 
  IFERROR(
    INDEX(
      'アイテム別限界値DB'!$I:$I, 
      MATCH(
        1, 
        ('アイテム別限界値DB'!$B:$B = BG$10) * 
        ('アイテム別限界値DB'!$C:$C = BG25) * 
        ('アイテム別限界値DB'!$F:$F = BH25), 
        0
      )
    ), 
    "再製作"
  )
)
</f>
        <v/>
      </c>
      <c r="BJ25" s="195"/>
      <c r="BK25" s="195"/>
      <c r="BL25" s="195"/>
      <c r="BM25" s="220"/>
      <c r="BN25" s="220" t="str">
        <f t="array" ref="BN25">IF(
  BM25 = 0, 
  "", 
  IFERROR(
    INDEX(
      'アイテム別限界値DB'!$I:$I, 
      MATCH(
        1, 
        ('アイテム別限界値DB'!$B:$B = BL$10) * 
        ('アイテム別限界値DB'!$C:$C = BL25) * 
        ('アイテム別限界値DB'!$F:$F = BM25), 
        0
      )
    ), 
    "再製作"
  )
)
</f>
        <v/>
      </c>
      <c r="BO25" s="195"/>
      <c r="BP25" s="195"/>
    </row>
    <row r="26" ht="18.75" customHeight="1">
      <c r="A26" s="236" t="str">
        <f>if($A$24&lt;&gt;"", "《仕上がり数値》","")</f>
        <v>《仕上がり数値》</v>
      </c>
      <c r="B26" s="229"/>
      <c r="C26" s="224"/>
      <c r="D26" s="239" t="s">
        <v>74</v>
      </c>
      <c r="E26" s="232"/>
      <c r="F26" s="231" t="str">
        <f t="array" ref="F26">IF(
  E26 = 0, 
  "", 
  IFERROR(
    INDEX(
      'アイテム別限界値DB'!$K:$K, 
      MATCH(
        1, 
        ('アイテム別限界値DB'!$B:$B = D$10) * 
        ('アイテム別限界値DB'!$F:$F = D26) * 
        ('アイテム別限界値DB'!$H:$H = E26), 
        0
      )
    ), 
    "再製作"
  )
)
</f>
        <v/>
      </c>
      <c r="G26" s="218" t="str">
        <f t="array" ref="G26">IF(
  E26 = 0, 
  "", 
  IFERROR(
    INDEX(
      'アイテム別限界値DB'!$L:$L, 
      MATCH(
        1, 
        ('アイテム別限界値DB'!$B:$B = D$10) * 
        ('アイテム別限界値DB'!$C:$C = D26) * 
        ('アイテム別限界値DB'!$F:$F = E26), 
        0
      )
    ), 
    ""
  )
)
</f>
        <v/>
      </c>
      <c r="H26" s="12"/>
      <c r="I26" s="11" t="s">
        <v>100</v>
      </c>
      <c r="J26" s="232"/>
      <c r="K26" s="231" t="str">
        <f t="array" ref="K26">IF(
  J26 = 0, 
  "", 
  IFERROR(
    INDEX(
      'アイテム別限界値DB'!$K:$K, 
      MATCH(
        1, 
        ('アイテム別限界値DB'!$B:$B = I$10) * 
        ('アイテム別限界値DB'!$F:$F = I26) * 
        ('アイテム別限界値DB'!$H:$H = J26), 
        0
      )
    ), 
    "再製作"
  )
)
</f>
        <v/>
      </c>
      <c r="L26" s="195"/>
      <c r="M26" s="11"/>
      <c r="N26" s="11"/>
      <c r="O26" s="220"/>
      <c r="P26" s="184"/>
      <c r="Q26" s="11"/>
      <c r="R26" s="11"/>
      <c r="S26" s="12" t="s">
        <v>95</v>
      </c>
      <c r="T26" s="232"/>
      <c r="U26" s="231" t="str">
        <f t="array" ref="U26">IF(
  T26 = 0, 
  "", 
  IFERROR(
    INDEX(
      'アイテム別限界値DB'!$K:$K, 
      MATCH(
        1, 
        ('アイテム別限界値DB'!$B:$B = S$10) * 
        ('アイテム別限界値DB'!$F:$F = S26) * 
        ('アイテム別限界値DB'!$H:$H = T26), 
        0
      )
    ), 
    "再製作"
  )
)
</f>
        <v/>
      </c>
      <c r="V26" s="195"/>
      <c r="W26" s="11"/>
      <c r="X26" s="186" t="s">
        <v>62</v>
      </c>
      <c r="Y26" s="232"/>
      <c r="Z26" s="231" t="str">
        <f t="array" ref="Z26">IF(
  Y26 = 0, 
  "", 
  IFERROR(
    INDEX(
      'アイテム別限界値DB'!$K:$K, 
      MATCH(
        1, 
        ('アイテム別限界値DB'!$B:$B = X$10) * 
        ('アイテム別限界値DB'!$F:$F = X26) * 
        ('アイテム別限界値DB'!$H:$H = Y26), 
        0
      )
    ), 
    "再製作"
  )
)
</f>
        <v/>
      </c>
      <c r="AA26" s="218" t="str">
        <f t="array" ref="AA26">IF(
  Y26 = 0, 
  "", 
  IFERROR(
    INDEX(
      'アイテム別限界値DB'!$L:$L, 
      MATCH(
        1, 
        ('アイテム別限界値DB'!$B:$B = X$10) * 
        ('アイテム別限界値DB'!$C:$C = X26) * 
        ('アイテム別限界値DB'!$F:$F = Y26), 
        0
      )
    ), 
    ""
  )
)
</f>
        <v/>
      </c>
      <c r="AB26" s="11"/>
      <c r="AC26" s="186" t="s">
        <v>67</v>
      </c>
      <c r="AD26" s="232"/>
      <c r="AE26" s="231" t="str">
        <f t="array" ref="AE26">IF(
  AD26 = 0, 
  "", 
  IFERROR(
    INDEX(
      'アイテム別限界値DB'!$K:$K, 
      MATCH(
        1, 
        ('アイテム別限界値DB'!$B:$B = AC$10) * 
        ('アイテム別限界値DB'!$F:$F = AC26) * 
        ('アイテム別限界値DB'!$H:$H = AD26), 
        0
      )
    ), 
    "再製作"
  )
)
</f>
        <v/>
      </c>
      <c r="AF26" s="218" t="str">
        <f t="array" ref="AF26">IF(
  AD26 = 0, 
  "", 
  IFERROR(
    INDEX(
      'アイテム別限界値DB'!$L:$L, 
      MATCH(
        1, 
        ('アイテム別限界値DB'!$B:$B = AC$10) * 
        ('アイテム別限界値DB'!$C:$C = AC26) * 
        ('アイテム別限界値DB'!$F:$F = AD26), 
        0
      )
    ), 
    ""
  )
)
</f>
        <v/>
      </c>
      <c r="AG26" s="11"/>
      <c r="AH26" s="12"/>
      <c r="AI26" s="220"/>
      <c r="AJ26" s="220" t="str">
        <f t="array" ref="AJ26">IF(
  AI26 = 0, 
  "", 
  IFERROR(
    INDEX(
      'アイテム別限界値DB'!$I:$I, 
      MATCH(
        1, 
        ('アイテム別限界値DB'!$B:$B = AH$10) * 
        ('アイテム別限界値DB'!$C:$C = AH26) * 
        ('アイテム別限界値DB'!$F:$F = AI26), 
        0
      )
    ), 
    "再製作"
  )
)
</f>
        <v/>
      </c>
      <c r="AK26" s="195"/>
      <c r="AL26" s="11"/>
      <c r="AM26" s="12"/>
      <c r="AN26" s="220"/>
      <c r="AO26" s="220" t="str">
        <f t="array" ref="AO26">IF(
  AN26 = 0, 
  "", 
  IFERROR(
    INDEX(
      'アイテム別限界値DB'!$I:$I, 
      MATCH(
        1, 
        ('アイテム別限界値DB'!$B:$B = AM$10) * 
        ('アイテム別限界値DB'!$C:$C = AM26) * 
        ('アイテム別限界値DB'!$F:$F = AN26), 
        0
      )
    ), 
    "再製作"
  )
)
</f>
        <v/>
      </c>
      <c r="AP26" s="195"/>
      <c r="AQ26" s="11"/>
      <c r="AR26" s="12"/>
      <c r="AS26" s="220"/>
      <c r="AT26" s="220" t="str">
        <f t="array" ref="AT26">IF(
  AS26 = 0, 
  "", 
  IFERROR(
    INDEX(
      'アイテム別限界値DB'!$I:$I, 
      MATCH(
        1, 
        ('アイテム別限界値DB'!$B:$B = AR$10) * 
        ('アイテム別限界値DB'!$C:$C = AR26) * 
        ('アイテム別限界値DB'!$F:$F = AS26), 
        0
      )
    ), 
    "再製作"
  )
)
</f>
        <v/>
      </c>
      <c r="AU26" s="195"/>
      <c r="AV26" s="195"/>
      <c r="AW26" s="12"/>
      <c r="AX26" s="220"/>
      <c r="AY26" s="220" t="str">
        <f t="array" ref="AY26">IF(
  AX26 = 0, 
  "", 
  IFERROR(
    INDEX(
      'アイテム別限界値DB'!$I:$I, 
      MATCH(
        1, 
        ('アイテム別限界値DB'!$B:$B = AW$10) * 
        ('アイテム別限界値DB'!$C:$C = AW26) * 
        ('アイテム別限界値DB'!$F:$F = AX26), 
        0
      )
    ), 
    "再製作"
  )
)
</f>
        <v/>
      </c>
      <c r="AZ26" s="195"/>
      <c r="BA26" s="195"/>
      <c r="BB26" s="12"/>
      <c r="BC26" s="220"/>
      <c r="BD26" s="220" t="str">
        <f t="array" ref="BD26">IF(
  BC26 = 0, 
  "", 
  IFERROR(
    INDEX(
      'アイテム別限界値DB'!$I:$I, 
      MATCH(
        1, 
        ('アイテム別限界値DB'!$B:$B = BB$10) * 
        ('アイテム別限界値DB'!$C:$C = BB26) * 
        ('アイテム別限界値DB'!$F:$F = BC26), 
        0
      )
    ), 
    "再製作"
  )
)
</f>
        <v/>
      </c>
      <c r="BE26" s="195"/>
      <c r="BF26" s="195"/>
      <c r="BG26" s="12"/>
      <c r="BH26" s="220"/>
      <c r="BI26" s="220" t="str">
        <f t="array" ref="BI26">IF(
  BH26 = 0, 
  "", 
  IFERROR(
    INDEX(
      'アイテム別限界値DB'!$I:$I, 
      MATCH(
        1, 
        ('アイテム別限界値DB'!$B:$B = BG$10) * 
        ('アイテム別限界値DB'!$C:$C = BG26) * 
        ('アイテム別限界値DB'!$F:$F = BH26), 
        0
      )
    ), 
    "再製作"
  )
)
</f>
        <v/>
      </c>
      <c r="BJ26" s="195"/>
      <c r="BK26" s="195"/>
      <c r="BL26" s="195"/>
      <c r="BM26" s="220"/>
      <c r="BN26" s="220" t="str">
        <f t="array" ref="BN26">IF(
  BM26 = 0, 
  "", 
  IFERROR(
    INDEX(
      'アイテム別限界値DB'!$I:$I, 
      MATCH(
        1, 
        ('アイテム別限界値DB'!$B:$B = BL$10) * 
        ('アイテム別限界値DB'!$C:$C = BL26) * 
        ('アイテム別限界値DB'!$F:$F = BM26), 
        0
      )
    ), 
    "再製作"
  )
)
</f>
        <v/>
      </c>
      <c r="BO26" s="195"/>
      <c r="BP26" s="195"/>
    </row>
    <row r="27" ht="18.75" customHeight="1">
      <c r="A27" s="228" t="str">
        <f>IFERROR(__xludf.DUMMYFUNCTION("TEXTJOIN(CHAR(10),TRUE,FILTER(ARRAYFORMULA(IF(O$14:O72&lt;&gt;"""",N$14:N72 &amp;"" :  cm"","""")), N$14:N72 &lt;&gt;""""))"),"バスト :  cm
ウエスト :  cm
着丈 :  cm")</f>
        <v>バスト :  cm
ウエスト :  cm
着丈 :  cm</v>
      </c>
      <c r="B27" s="229"/>
      <c r="C27" s="224"/>
      <c r="D27" s="239" t="s">
        <v>67</v>
      </c>
      <c r="E27" s="232"/>
      <c r="F27" s="231" t="str">
        <f t="array" ref="F27">IF(
  E27 = 0, 
  "", 
  IFERROR(
    INDEX(
      'アイテム別限界値DB'!$K:$K, 
      MATCH(
        1, 
        ('アイテム別限界値DB'!$B:$B = D$10) * 
        ('アイテム別限界値DB'!$F:$F = D27) * 
        ('アイテム別限界値DB'!$H:$H = E27), 
        0
      )
    ), 
    "再製作"
  )
)
</f>
        <v/>
      </c>
      <c r="G27" s="218" t="str">
        <f t="array" ref="G27">IF(
  E27 = 0, 
  "", 
  IFERROR(
    INDEX(
      'アイテム別限界値DB'!$L:$L, 
      MATCH(
        1, 
        ('アイテム別限界値DB'!$B:$B = D$10) * 
        ('アイテム別限界値DB'!$C:$C = D27) * 
        ('アイテム別限界値DB'!$F:$F = E27), 
        0
      )
    ), 
    ""
  )
)
</f>
        <v/>
      </c>
      <c r="H27" s="12"/>
      <c r="I27" s="11" t="s">
        <v>103</v>
      </c>
      <c r="J27" s="232"/>
      <c r="K27" s="231" t="str">
        <f t="array" ref="K27">IF(
  J27 = 0, 
  "", 
  IFERROR(
    INDEX(
      'アイテム別限界値DB'!$K:$K, 
      MATCH(
        1, 
        ('アイテム別限界値DB'!$B:$B = I$10) * 
        ('アイテム別限界値DB'!$F:$F = I27) * 
        ('アイテム別限界値DB'!$H:$H = J27), 
        0
      )
    ), 
    "再製作"
  )
)
</f>
        <v/>
      </c>
      <c r="L27" s="11"/>
      <c r="M27" s="11"/>
      <c r="N27" s="11"/>
      <c r="O27" s="220"/>
      <c r="P27" s="184"/>
      <c r="Q27" s="11"/>
      <c r="R27" s="11"/>
      <c r="S27" s="12" t="s">
        <v>99</v>
      </c>
      <c r="T27" s="232"/>
      <c r="U27" s="231" t="str">
        <f t="array" ref="U27">IF(
  T27 = 0, 
  "", 
  IFERROR(
    INDEX(
      'アイテム別限界値DB'!$K:$K, 
      MATCH(
        1, 
        ('アイテム別限界値DB'!$B:$B = S$10) * 
        ('アイテム別限界値DB'!$F:$F = S27) * 
        ('アイテム別限界値DB'!$H:$H = T27), 
        0
      )
    ), 
    "再製作"
  )
)
</f>
        <v/>
      </c>
      <c r="V27" s="12"/>
      <c r="W27" s="11"/>
      <c r="X27" s="240" t="s">
        <v>74</v>
      </c>
      <c r="Y27" s="232"/>
      <c r="Z27" s="231" t="str">
        <f t="array" ref="Z27">IF(
  Y27 = 0, 
  "", 
  IFERROR(
    INDEX(
      'アイテム別限界値DB'!$K:$K, 
      MATCH(
        1, 
        ('アイテム別限界値DB'!$B:$B = X$10) * 
        ('アイテム別限界値DB'!$F:$F = X27) * 
        ('アイテム別限界値DB'!$H:$H = Y27), 
        0
      )
    ), 
    "再製作"
  )
)
</f>
        <v/>
      </c>
      <c r="AA27" s="218" t="str">
        <f t="array" ref="AA27">IF(
  Y27 = 0, 
  "", 
  IFERROR(
    INDEX(
      'アイテム別限界値DB'!$L:$L, 
      MATCH(
        1, 
        ('アイテム別限界値DB'!$B:$B = X$10) * 
        ('アイテム別限界値DB'!$C:$C = X27) * 
        ('アイテム別限界値DB'!$F:$F = Y27), 
        0
      )
    ), 
    ""
  )
)
</f>
        <v/>
      </c>
      <c r="AB27" s="11"/>
      <c r="AC27" s="240" t="s">
        <v>79</v>
      </c>
      <c r="AD27" s="232"/>
      <c r="AE27" s="231" t="str">
        <f t="array" ref="AE27">IF(
  AD27 = 0, 
  "", 
  IFERROR(
    INDEX(
      'アイテム別限界値DB'!$K:$K, 
      MATCH(
        1, 
        ('アイテム別限界値DB'!$B:$B = AC$10) * 
        ('アイテム別限界値DB'!$F:$F = AC27) * 
        ('アイテム別限界値DB'!$H:$H = AD27), 
        0
      )
    ), 
    "再製作"
  )
)
</f>
        <v/>
      </c>
      <c r="AF27" s="218" t="str">
        <f t="array" ref="AF27">IF(
  AD27 = 0, 
  "", 
  IFERROR(
    INDEX(
      'アイテム別限界値DB'!$L:$L, 
      MATCH(
        1, 
        ('アイテム別限界値DB'!$B:$B = AC$10) * 
        ('アイテム別限界値DB'!$C:$C = AC27) * 
        ('アイテム別限界値DB'!$F:$F = AD27), 
        0
      )
    ), 
    ""
  )
)
</f>
        <v/>
      </c>
      <c r="AG27" s="11"/>
      <c r="AH27" s="11"/>
      <c r="AI27" s="220"/>
      <c r="AJ27" s="184"/>
      <c r="AK27" s="11"/>
      <c r="AL27" s="11"/>
      <c r="AM27" s="11"/>
      <c r="AN27" s="220"/>
      <c r="AO27" s="184"/>
      <c r="AP27" s="11"/>
      <c r="AQ27" s="11"/>
      <c r="AR27" s="11"/>
      <c r="AS27" s="220"/>
      <c r="AT27" s="184"/>
      <c r="AU27" s="11"/>
      <c r="AV27" s="11"/>
      <c r="AW27" s="11"/>
      <c r="AX27" s="220"/>
      <c r="AY27" s="184"/>
      <c r="AZ27" s="11"/>
      <c r="BA27" s="11"/>
      <c r="BB27" s="11"/>
      <c r="BC27" s="220"/>
      <c r="BD27" s="184"/>
      <c r="BE27" s="11"/>
      <c r="BF27" s="11"/>
      <c r="BG27" s="11"/>
      <c r="BH27" s="220"/>
      <c r="BI27" s="184"/>
      <c r="BJ27" s="11"/>
      <c r="BK27" s="11"/>
      <c r="BL27" s="11"/>
      <c r="BM27" s="220"/>
      <c r="BN27" s="184"/>
      <c r="BO27" s="11"/>
      <c r="BP27" s="11"/>
    </row>
    <row r="28" ht="15.75" customHeight="1">
      <c r="A28" s="237" t="s">
        <v>104</v>
      </c>
      <c r="B28" s="11"/>
      <c r="C28" s="11"/>
      <c r="D28" s="11" t="s">
        <v>79</v>
      </c>
      <c r="E28" s="230"/>
      <c r="F28" s="231" t="str">
        <f t="array" ref="F28">IF(
  E28 = 0, 
  "", 
  IFERROR(
    INDEX(
      'アイテム別限界値DB'!$K:$K, 
      MATCH(
        1, 
        ('アイテム別限界値DB'!$B:$B = D$10) * 
        ('アイテム別限界値DB'!$F:$F = D28) * 
        ('アイテム別限界値DB'!$H:$H = E28), 
        0
      )
    ), 
    "再製作"
  )
)
</f>
        <v/>
      </c>
      <c r="G28" s="218" t="str">
        <f t="array" ref="G28">IF(
  E28 = 0, 
  "", 
  IFERROR(
    INDEX(
      'アイテム別限界値DB'!$L:$L, 
      MATCH(
        1, 
        ('アイテム別限界値DB'!$B:$B = D$10) * 
        ('アイテム別限界値DB'!$C:$C = D28) * 
        ('アイテム別限界値DB'!$F:$F = E28), 
        0
      )
    ), 
    ""
  )
)
</f>
        <v/>
      </c>
      <c r="H28" s="11"/>
      <c r="I28" s="11"/>
      <c r="J28" s="220"/>
      <c r="K28" s="184"/>
      <c r="L28" s="11"/>
      <c r="M28" s="11"/>
      <c r="N28" s="11"/>
      <c r="O28" s="220"/>
      <c r="P28" s="184"/>
      <c r="Q28" s="11"/>
      <c r="R28" s="12"/>
      <c r="S28" s="11" t="s">
        <v>103</v>
      </c>
      <c r="T28" s="232"/>
      <c r="U28" s="231" t="str">
        <f t="array" ref="U28">IF(
  T28 = 0, 
  "", 
  IFERROR(
    INDEX(
      'アイテム別限界値DB'!$K:$K, 
      MATCH(
        1, 
        ('アイテム別限界値DB'!$B:$B = S$10) * 
        ('アイテム別限界値DB'!$F:$F = S28) * 
        ('アイテム別限界値DB'!$H:$H = T28), 
        0
      )
    ), 
    "再製作"
  )
)
</f>
        <v/>
      </c>
      <c r="V28" s="11"/>
      <c r="W28" s="11"/>
      <c r="X28" s="11" t="s">
        <v>67</v>
      </c>
      <c r="Y28" s="241"/>
      <c r="Z28" s="231" t="str">
        <f t="array" ref="Z28">IF(
  Y28 = 0, 
  "", 
  IFERROR(
    INDEX(
      'アイテム別限界値DB'!$K:$K, 
      MATCH(
        1, 
        ('アイテム別限界値DB'!$B:$B = X$10) * 
        ('アイテム別限界値DB'!$F:$F = X28) * 
        ('アイテム別限界値DB'!$H:$H = Y28), 
        0
      )
    ), 
    "再製作"
  )
)
</f>
        <v/>
      </c>
      <c r="AA28" s="218" t="str">
        <f t="array" ref="AA28">IF(
  Y28 = 0, 
  "", 
  IFERROR(
    INDEX(
      'アイテム別限界値DB'!$L:$L, 
      MATCH(
        1, 
        ('アイテム別限界値DB'!$B:$B = X$10) * 
        ('アイテム別限界値DB'!$C:$C = X28) * 
        ('アイテム別限界値DB'!$F:$F = Y28), 
        0
      )
    ), 
    ""
  )
)
</f>
        <v/>
      </c>
      <c r="AB28" s="11"/>
      <c r="AC28" s="11" t="s">
        <v>83</v>
      </c>
      <c r="AD28" s="232"/>
      <c r="AE28" s="231" t="str">
        <f t="array" ref="AE28">IF(
  AD28 = 0, 
  "", 
  IFERROR(
    INDEX(
      'アイテム別限界値DB'!$K:$K, 
      MATCH(
        1, 
        ('アイテム別限界値DB'!$B:$B = AC$10) * 
        ('アイテム別限界値DB'!$F:$F = AC28) * 
        ('アイテム別限界値DB'!$H:$H = AD28), 
        0
      )
    ), 
    "再製作"
  )
)
</f>
        <v/>
      </c>
      <c r="AF28" s="218" t="str">
        <f t="array" ref="AF28">IF(
  AD28 = 0, 
  "", 
  IFERROR(
    INDEX(
      'アイテム別限界値DB'!$L:$L, 
      MATCH(
        1, 
        ('アイテム別限界値DB'!$B:$B = AC$10) * 
        ('アイテム別限界値DB'!$C:$C = AC28) * 
        ('アイテム別限界値DB'!$F:$F = AD28), 
        0
      )
    ), 
    ""
  )
)
</f>
        <v/>
      </c>
      <c r="AG28" s="11"/>
      <c r="AH28" s="11"/>
      <c r="AI28" s="220"/>
      <c r="AJ28" s="184"/>
      <c r="AK28" s="11"/>
      <c r="AL28" s="11"/>
      <c r="AM28" s="11"/>
      <c r="AN28" s="220"/>
      <c r="AO28" s="184"/>
      <c r="AP28" s="11"/>
      <c r="AQ28" s="11"/>
      <c r="AR28" s="11"/>
      <c r="AS28" s="220"/>
      <c r="AT28" s="184"/>
      <c r="AU28" s="11"/>
      <c r="AV28" s="11"/>
      <c r="AW28" s="11"/>
      <c r="AX28" s="220"/>
      <c r="AY28" s="184"/>
      <c r="AZ28" s="11"/>
      <c r="BA28" s="11"/>
      <c r="BB28" s="11"/>
      <c r="BC28" s="220"/>
      <c r="BD28" s="184"/>
      <c r="BE28" s="11"/>
      <c r="BF28" s="11"/>
      <c r="BG28" s="11"/>
      <c r="BH28" s="220"/>
      <c r="BI28" s="184"/>
      <c r="BJ28" s="11"/>
      <c r="BK28" s="11"/>
      <c r="BL28" s="11"/>
      <c r="BM28" s="220"/>
      <c r="BN28" s="184"/>
      <c r="BO28" s="11"/>
      <c r="BP28" s="11"/>
    </row>
    <row r="29" ht="15.75" customHeight="1">
      <c r="A29" s="228" t="str">
        <f>IF($S$11="再製作", "◼︎ チノ（対応着地：再製作）" &amp; char(10) &amp; "《修正数値》", IF($S$11&lt;&gt;"", "◼︎ チノ（対応着地：お直し）" &amp; char(10) &amp; "《修正数値》", ""))</f>
        <v/>
      </c>
      <c r="B29" s="160"/>
      <c r="C29" s="11"/>
      <c r="D29" s="11" t="s">
        <v>83</v>
      </c>
      <c r="E29" s="232"/>
      <c r="F29" s="231" t="str">
        <f t="array" ref="F29">IF(
  E29 = 0, 
  "", 
  IFERROR(
    INDEX(
      'アイテム別限界値DB'!$K:$K, 
      MATCH(
        1, 
        ('アイテム別限界値DB'!$B:$B = D$10) * 
        ('アイテム別限界値DB'!$F:$F = D29) * 
        ('アイテム別限界値DB'!$H:$H = E29), 
        0
      )
    ), 
    "再製作"
  )
)
</f>
        <v/>
      </c>
      <c r="G29" s="218" t="str">
        <f t="array" ref="G29">IF(
  E29 = 0, 
  "", 
  IFERROR(
    INDEX(
      'アイテム別限界値DB'!$L:$L, 
      MATCH(
        1, 
        ('アイテム別限界値DB'!$B:$B = D$10) * 
        ('アイテム別限界値DB'!$C:$C = D29) * 
        ('アイテム別限界値DB'!$F:$F = E29), 
        0
      )
    ), 
    ""
  )
)
</f>
        <v/>
      </c>
      <c r="H29" s="11"/>
      <c r="I29" s="11"/>
      <c r="J29" s="220"/>
      <c r="K29" s="184"/>
      <c r="L29" s="11"/>
      <c r="M29" s="11"/>
      <c r="N29" s="11"/>
      <c r="O29" s="220"/>
      <c r="P29" s="184"/>
      <c r="Q29" s="11"/>
      <c r="R29" s="12"/>
      <c r="S29" s="11"/>
      <c r="T29" s="220"/>
      <c r="U29" s="184"/>
      <c r="V29" s="11"/>
      <c r="W29" s="11"/>
      <c r="X29" s="11" t="s">
        <v>79</v>
      </c>
      <c r="Y29" s="232"/>
      <c r="Z29" s="231" t="str">
        <f t="array" ref="Z29">IF(
  Y29 = 0, 
  "", 
  IFERROR(
    INDEX(
      'アイテム別限界値DB'!$K:$K, 
      MATCH(
        1, 
        ('アイテム別限界値DB'!$B:$B = X$10) * 
        ('アイテム別限界値DB'!$F:$F = X29) * 
        ('アイテム別限界値DB'!$H:$H = Y29), 
        0
      )
    ), 
    "再製作"
  )
)
</f>
        <v/>
      </c>
      <c r="AA29" s="11"/>
      <c r="AB29" s="11"/>
      <c r="AC29" s="11" t="s">
        <v>105</v>
      </c>
      <c r="AD29" s="232"/>
      <c r="AE29" s="231" t="str">
        <f t="array" ref="AE29">IF(
  AD29 = 0, 
  "", 
  IFERROR(
    INDEX(
      'アイテム別限界値DB'!$K:$K, 
      MATCH(
        1, 
        ('アイテム別限界値DB'!$B:$B = AC$10) * 
        ('アイテム別限界値DB'!$F:$F = AC29) * 
        ('アイテム別限界値DB'!$H:$H = AD29), 
        0
      )
    ), 
    "再製作"
  )
)
</f>
        <v/>
      </c>
      <c r="AF29" s="11"/>
      <c r="AG29" s="11"/>
      <c r="AH29" s="11"/>
      <c r="AI29" s="220"/>
      <c r="AJ29" s="184"/>
      <c r="AK29" s="11"/>
      <c r="AL29" s="11"/>
      <c r="AM29" s="11"/>
      <c r="AN29" s="220"/>
      <c r="AO29" s="184"/>
      <c r="AP29" s="11"/>
      <c r="AQ29" s="11"/>
      <c r="AR29" s="11"/>
      <c r="AS29" s="220"/>
      <c r="AT29" s="184"/>
      <c r="AU29" s="11"/>
      <c r="AV29" s="11"/>
      <c r="AW29" s="11"/>
      <c r="AX29" s="220"/>
      <c r="AY29" s="184"/>
      <c r="AZ29" s="11"/>
      <c r="BA29" s="11"/>
      <c r="BB29" s="11"/>
      <c r="BC29" s="220"/>
      <c r="BD29" s="184"/>
      <c r="BE29" s="11"/>
      <c r="BF29" s="11"/>
      <c r="BG29" s="11"/>
      <c r="BH29" s="220"/>
      <c r="BI29" s="184"/>
      <c r="BJ29" s="11"/>
      <c r="BK29" s="11"/>
      <c r="BL29" s="11"/>
      <c r="BM29" s="220"/>
      <c r="BN29" s="184"/>
      <c r="BO29" s="11"/>
      <c r="BP29" s="11"/>
    </row>
    <row r="30" ht="15.75" customHeight="1">
      <c r="A30" s="228" t="str">
        <f>IFERROR(__xludf.DUMMYFUNCTION("TEXTJOIN(CHAR(10),TRUE,FILTER(ARRAYFORMULA(IF(T$14:T72&lt;&gt;"""", S$14:S72 &amp;"" : ""&amp; T$14:T72 &amp;"" cm"","""")), S$14:S72 &lt;&gt;""""))"),"")</f>
        <v/>
      </c>
      <c r="B30" s="229"/>
      <c r="C30" s="11"/>
      <c r="D30" s="11" t="s">
        <v>106</v>
      </c>
      <c r="E30" s="232"/>
      <c r="F30" s="231" t="str">
        <f t="array" ref="F30">IF(
  E30 = 0, 
  "", 
  IFERROR(
    INDEX(
      'アイテム別限界値DB'!$K:$K, 
      MATCH(
        1, 
        ('アイテム別限界値DB'!$B:$B = D$10) * 
        ('アイテム別限界値DB'!$F:$F = D30) * 
        ('アイテム別限界値DB'!$H:$H = E30), 
        0
      )
    ), 
    "再製作"
  )
)
</f>
        <v/>
      </c>
      <c r="G30" s="218" t="str">
        <f t="array" ref="G30">IF(
  E30 = 0, 
  "", 
  IFERROR(
    INDEX(
      'アイテム別限界値DB'!$L:$L, 
      MATCH(
        1, 
        ('アイテム別限界値DB'!$B:$B = D$10) * 
        ('アイテム別限界値DB'!$C:$C = D30) * 
        ('アイテム別限界値DB'!$F:$F = E30), 
        0
      )
    ), 
    ""
  )
)
</f>
        <v/>
      </c>
      <c r="H30" s="11"/>
      <c r="I30" s="11"/>
      <c r="J30" s="220"/>
      <c r="K30" s="184"/>
      <c r="L30" s="11"/>
      <c r="M30" s="11"/>
      <c r="N30" s="11"/>
      <c r="O30" s="220"/>
      <c r="P30" s="184"/>
      <c r="Q30" s="11"/>
      <c r="R30" s="12"/>
      <c r="S30" s="11"/>
      <c r="T30" s="220"/>
      <c r="U30" s="184"/>
      <c r="V30" s="11"/>
      <c r="W30" s="11"/>
      <c r="X30" s="11" t="s">
        <v>83</v>
      </c>
      <c r="Y30" s="232"/>
      <c r="Z30" s="231" t="str">
        <f t="array" ref="Z30">IF(
  Y30 = 0, 
  "", 
  IFERROR(
    INDEX(
      'アイテム別限界値DB'!$K:$K, 
      MATCH(
        1, 
        ('アイテム別限界値DB'!$B:$B = X$10) * 
        ('アイテム別限界値DB'!$F:$F = X30) * 
        ('アイテム別限界値DB'!$H:$H = Y30), 
        0
      )
    ), 
    "再製作"
  )
)
</f>
        <v/>
      </c>
      <c r="AA30" s="11"/>
      <c r="AB30" s="11"/>
      <c r="AC30" s="11"/>
      <c r="AD30" s="220"/>
      <c r="AE30" s="184"/>
      <c r="AF30" s="11"/>
      <c r="AG30" s="11"/>
      <c r="AH30" s="11"/>
      <c r="AI30" s="220"/>
      <c r="AJ30" s="184"/>
      <c r="AK30" s="11"/>
      <c r="AL30" s="11"/>
      <c r="AM30" s="11"/>
      <c r="AN30" s="220"/>
      <c r="AO30" s="184"/>
      <c r="AP30" s="11"/>
      <c r="AQ30" s="11"/>
      <c r="AR30" s="11"/>
      <c r="AS30" s="220"/>
      <c r="AT30" s="184"/>
      <c r="AU30" s="11"/>
      <c r="AV30" s="11"/>
      <c r="AW30" s="11"/>
      <c r="AX30" s="220"/>
      <c r="AY30" s="184"/>
      <c r="AZ30" s="11"/>
      <c r="BA30" s="11"/>
      <c r="BB30" s="11"/>
      <c r="BC30" s="220"/>
      <c r="BD30" s="184"/>
      <c r="BE30" s="11"/>
      <c r="BF30" s="11"/>
      <c r="BG30" s="11"/>
      <c r="BH30" s="220"/>
      <c r="BI30" s="184"/>
      <c r="BJ30" s="11"/>
      <c r="BK30" s="11"/>
      <c r="BL30" s="11"/>
      <c r="BM30" s="220"/>
      <c r="BN30" s="184"/>
      <c r="BO30" s="11"/>
      <c r="BP30" s="11"/>
    </row>
    <row r="31" ht="15.75" customHeight="1">
      <c r="A31" s="242" t="str">
        <f>if($A$29&lt;&gt;"", "《仕上がり数値》","")</f>
        <v/>
      </c>
      <c r="B31" s="12"/>
      <c r="C31" s="11"/>
      <c r="D31" s="11" t="s">
        <v>107</v>
      </c>
      <c r="E31" s="232"/>
      <c r="F31" s="231" t="str">
        <f t="array" ref="F31">IF(
  E31 = 0, 
  "", 
  IFERROR(
    INDEX(
      'アイテム別限界値DB'!$K:$K, 
      MATCH(
        1, 
        ('アイテム別限界値DB'!$B:$B = D$10) * 
        ('アイテム別限界値DB'!$F:$F = D31) * 
        ('アイテム別限界値DB'!$H:$H = E31), 
        0
      )
    ), 
    "再製作"
  )
)
</f>
        <v/>
      </c>
      <c r="G31" s="218" t="str">
        <f t="array" ref="G31">IF(
  E31 = 0, 
  "", 
  IFERROR(
    INDEX(
      'アイテム別限界値DB'!$L:$L, 
      MATCH(
        1, 
        ('アイテム別限界値DB'!$B:$B = D$10) * 
        ('アイテム別限界値DB'!$C:$C = D31) * 
        ('アイテム別限界値DB'!$F:$F = E31), 
        0
      )
    ), 
    ""
  )
)
</f>
        <v/>
      </c>
      <c r="H31" s="11"/>
      <c r="I31" s="11"/>
      <c r="J31" s="220"/>
      <c r="K31" s="184"/>
      <c r="L31" s="11"/>
      <c r="M31" s="11"/>
      <c r="N31" s="11"/>
      <c r="O31" s="220"/>
      <c r="P31" s="184"/>
      <c r="Q31" s="11"/>
      <c r="R31" s="12"/>
      <c r="S31" s="11"/>
      <c r="T31" s="220"/>
      <c r="U31" s="184"/>
      <c r="V31" s="11"/>
      <c r="W31" s="11"/>
      <c r="X31" s="11" t="s">
        <v>105</v>
      </c>
      <c r="Y31" s="232"/>
      <c r="Z31" s="231" t="str">
        <f t="array" ref="Z31">IF(
  Y31 = 0, 
  "", 
  IFERROR(
    INDEX(
      'アイテム別限界値DB'!$K:$K, 
      MATCH(
        1, 
        ('アイテム別限界値DB'!$B:$B = X$10) * 
        ('アイテム別限界値DB'!$F:$F = X31) * 
        ('アイテム別限界値DB'!$H:$H = Y31), 
        0
      )
    ), 
    "再製作"
  )
)
</f>
        <v/>
      </c>
      <c r="AA31" s="11"/>
      <c r="AB31" s="11"/>
      <c r="AC31" s="11"/>
      <c r="AD31" s="220"/>
      <c r="AE31" s="184"/>
      <c r="AF31" s="11"/>
      <c r="AG31" s="11"/>
      <c r="AH31" s="11"/>
      <c r="AI31" s="220"/>
      <c r="AJ31" s="184"/>
      <c r="AK31" s="11"/>
      <c r="AL31" s="11"/>
      <c r="AM31" s="11"/>
      <c r="AN31" s="220"/>
      <c r="AO31" s="184"/>
      <c r="AP31" s="11"/>
      <c r="AQ31" s="11"/>
      <c r="AR31" s="11"/>
      <c r="AS31" s="220"/>
      <c r="AT31" s="184"/>
      <c r="AU31" s="11"/>
      <c r="AV31" s="11"/>
      <c r="AW31" s="11"/>
      <c r="AX31" s="220"/>
      <c r="AY31" s="184"/>
      <c r="AZ31" s="11"/>
      <c r="BA31" s="11"/>
      <c r="BB31" s="11"/>
      <c r="BC31" s="220"/>
      <c r="BD31" s="184"/>
      <c r="BE31" s="11"/>
      <c r="BF31" s="11"/>
      <c r="BG31" s="11"/>
      <c r="BH31" s="220"/>
      <c r="BI31" s="184"/>
      <c r="BJ31" s="11"/>
      <c r="BK31" s="11"/>
      <c r="BL31" s="11"/>
      <c r="BM31" s="220"/>
      <c r="BN31" s="184"/>
      <c r="BO31" s="11"/>
      <c r="BP31" s="11"/>
    </row>
    <row r="32" ht="15.75" customHeight="1">
      <c r="A32" s="228" t="str">
        <f>IFERROR(__xludf.DUMMYFUNCTION("TEXTJOIN(CHAR(10),TRUE,FILTER(ARRAYFORMULA(IF(T$14:T72&lt;&gt;"""", S$14:S72 &amp;"" :  cm"","""")), S$14:S72 &lt;&gt;""""))"),"")</f>
        <v/>
      </c>
      <c r="B32" s="160"/>
      <c r="C32" s="11"/>
      <c r="D32" s="11" t="s">
        <v>108</v>
      </c>
      <c r="E32" s="232"/>
      <c r="F32" s="231" t="str">
        <f t="array" ref="F32">IF(
  E32 = 0, 
  "", 
  IFERROR(
    INDEX(
      'アイテム別限界値DB'!$K:$K, 
      MATCH(
        1, 
        ('アイテム別限界値DB'!$B:$B = D$10) * 
        ('アイテム別限界値DB'!$F:$F = D32) * 
        ('アイテム別限界値DB'!$H:$H = E32), 
        0
      )
    ), 
    "再製作"
  )
)
</f>
        <v/>
      </c>
      <c r="G32" s="218" t="str">
        <f t="array" ref="G32">IF(
  E32 = 0, 
  "", 
  IFERROR(
    INDEX(
      'アイテム別限界値DB'!$L:$L, 
      MATCH(
        1, 
        ('アイテム別限界値DB'!$B:$B = D$10) * 
        ('アイテム別限界値DB'!$C:$C = D32) * 
        ('アイテム別限界値DB'!$F:$F = E32), 
        0
      )
    ), 
    ""
  )
)
</f>
        <v/>
      </c>
      <c r="H32" s="11"/>
      <c r="I32" s="11"/>
      <c r="J32" s="220"/>
      <c r="K32" s="184"/>
      <c r="L32" s="11"/>
      <c r="M32" s="11"/>
      <c r="N32" s="11"/>
      <c r="O32" s="220"/>
      <c r="P32" s="184"/>
      <c r="Q32" s="11"/>
      <c r="R32" s="12"/>
      <c r="S32" s="11"/>
      <c r="T32" s="220"/>
      <c r="U32" s="184"/>
      <c r="V32" s="11"/>
      <c r="W32" s="11"/>
      <c r="X32" s="11"/>
      <c r="Y32" s="220"/>
      <c r="Z32" s="184"/>
      <c r="AA32" s="11"/>
      <c r="AB32" s="11"/>
      <c r="AC32" s="11"/>
      <c r="AD32" s="220"/>
      <c r="AE32" s="184"/>
      <c r="AF32" s="11"/>
      <c r="AG32" s="11"/>
      <c r="AH32" s="11"/>
      <c r="AI32" s="220"/>
      <c r="AJ32" s="184"/>
      <c r="AK32" s="11"/>
      <c r="AL32" s="11"/>
      <c r="AM32" s="11"/>
      <c r="AN32" s="220"/>
      <c r="AO32" s="184"/>
      <c r="AP32" s="11"/>
      <c r="AQ32" s="11"/>
      <c r="AR32" s="11"/>
      <c r="AS32" s="220"/>
      <c r="AT32" s="184"/>
      <c r="AU32" s="11"/>
      <c r="AV32" s="11"/>
      <c r="AW32" s="11"/>
      <c r="AX32" s="220"/>
      <c r="AY32" s="184"/>
      <c r="AZ32" s="11"/>
      <c r="BA32" s="11"/>
      <c r="BB32" s="11"/>
      <c r="BC32" s="220"/>
      <c r="BD32" s="184"/>
      <c r="BE32" s="11"/>
      <c r="BF32" s="11"/>
      <c r="BG32" s="11"/>
      <c r="BH32" s="220"/>
      <c r="BI32" s="184"/>
      <c r="BJ32" s="11"/>
      <c r="BK32" s="11"/>
      <c r="BL32" s="11"/>
      <c r="BM32" s="220"/>
      <c r="BN32" s="184"/>
      <c r="BO32" s="11"/>
      <c r="BP32" s="11"/>
    </row>
    <row r="33" ht="15.75" customHeight="1">
      <c r="A33" s="237" t="s">
        <v>109</v>
      </c>
      <c r="B33" s="229"/>
      <c r="C33" s="11"/>
      <c r="D33" s="11" t="s">
        <v>110</v>
      </c>
      <c r="E33" s="230"/>
      <c r="F33" s="231" t="str">
        <f t="array" ref="F33">IF(
  E33 = 0, 
  "", 
  IFERROR(
    INDEX(
      'アイテム別限界値DB'!$K:$K, 
      MATCH(
        1, 
        ('アイテム別限界値DB'!$B:$B = D$10) * 
        ('アイテム別限界値DB'!$F:$F = D33) * 
        ('アイテム別限界値DB'!$H:$H = E33), 
        0
      )
    ), 
    "再製作"
  )
)
</f>
        <v/>
      </c>
      <c r="G33" s="218" t="str">
        <f t="array" ref="G33">IF(
  E33 = 0, 
  "", 
  IFERROR(
    INDEX(
      'アイテム別限界値DB'!$L:$L, 
      MATCH(
        1, 
        ('アイテム別限界値DB'!$B:$B = D$10) * 
        ('アイテム別限界値DB'!$C:$C = D33) * 
        ('アイテム別限界値DB'!$F:$F = E33), 
        0
      )
    ), 
    ""
  )
)
</f>
        <v/>
      </c>
      <c r="H33" s="11"/>
      <c r="I33" s="11"/>
      <c r="J33" s="220"/>
      <c r="K33" s="184"/>
      <c r="L33" s="11"/>
      <c r="M33" s="11"/>
      <c r="N33" s="11"/>
      <c r="O33" s="220"/>
      <c r="P33" s="184"/>
      <c r="Q33" s="11"/>
      <c r="R33" s="12"/>
      <c r="S33" s="11"/>
      <c r="T33" s="220"/>
      <c r="U33" s="184"/>
      <c r="V33" s="11"/>
      <c r="W33" s="11"/>
      <c r="X33" s="11"/>
      <c r="Y33" s="220"/>
      <c r="Z33" s="184"/>
      <c r="AA33" s="11"/>
      <c r="AB33" s="11"/>
      <c r="AC33" s="11"/>
      <c r="AD33" s="220"/>
      <c r="AE33" s="184"/>
      <c r="AF33" s="11"/>
      <c r="AG33" s="11"/>
      <c r="AH33" s="11"/>
      <c r="AI33" s="220"/>
      <c r="AJ33" s="184"/>
      <c r="AK33" s="11"/>
      <c r="AL33" s="11"/>
      <c r="AM33" s="11"/>
      <c r="AN33" s="220"/>
      <c r="AO33" s="184"/>
      <c r="AP33" s="11"/>
      <c r="AQ33" s="11"/>
      <c r="AR33" s="11"/>
      <c r="AS33" s="220"/>
      <c r="AT33" s="184"/>
      <c r="AU33" s="11"/>
      <c r="AV33" s="11"/>
      <c r="AW33" s="11"/>
      <c r="AX33" s="220"/>
      <c r="AY33" s="184"/>
      <c r="AZ33" s="11"/>
      <c r="BA33" s="11"/>
      <c r="BB33" s="11"/>
      <c r="BC33" s="220"/>
      <c r="BD33" s="184"/>
      <c r="BE33" s="11"/>
      <c r="BF33" s="11"/>
      <c r="BG33" s="11"/>
      <c r="BH33" s="220"/>
      <c r="BI33" s="184"/>
      <c r="BJ33" s="11"/>
      <c r="BK33" s="11"/>
      <c r="BL33" s="11"/>
      <c r="BM33" s="220"/>
      <c r="BN33" s="184"/>
      <c r="BO33" s="11"/>
      <c r="BP33" s="11"/>
    </row>
    <row r="34" ht="15.75" customHeight="1">
      <c r="A34" s="228" t="str">
        <f>IF($X$11="再製作", "◼︎ シャツ（対応着地：再製作）" &amp; char(10) &amp; "《修正数値》" , IF($X$11&lt;&gt;"", "◼︎ シャツ（対応着地：お直し）" &amp; char(10) &amp; "《修正数値》", ""))</f>
        <v/>
      </c>
      <c r="B34" s="12"/>
      <c r="C34" s="11"/>
      <c r="D34" s="11" t="s">
        <v>111</v>
      </c>
      <c r="E34" s="232"/>
      <c r="F34" s="231" t="str">
        <f t="array" ref="F34">IF(
  E34 = 0, 
  "", 
  IFERROR(
    INDEX(
      'アイテム別限界値DB'!$K:$K, 
      MATCH(
        1, 
        ('アイテム別限界値DB'!$B:$B = D$10) * 
        ('アイテム別限界値DB'!$F:$F = D34) * 
        ('アイテム別限界値DB'!$H:$H = E34), 
        0
      )
    ), 
    "再製作"
  )
)
</f>
        <v/>
      </c>
      <c r="G34" s="218" t="str">
        <f t="array" ref="G34">IF(
  E34 = 0, 
  "", 
  IFERROR(
    INDEX(
      'アイテム別限界値DB'!$L:$L, 
      MATCH(
        1, 
        ('アイテム別限界値DB'!$B:$B = D$10) * 
        ('アイテム別限界値DB'!$C:$C = D34) * 
        ('アイテム別限界値DB'!$F:$F = E34), 
        0
      )
    ), 
    ""
  )
)
</f>
        <v/>
      </c>
      <c r="H34" s="11"/>
      <c r="I34" s="11"/>
      <c r="J34" s="220"/>
      <c r="K34" s="184"/>
      <c r="L34" s="11"/>
      <c r="M34" s="11"/>
      <c r="N34" s="11"/>
      <c r="O34" s="220"/>
      <c r="P34" s="184"/>
      <c r="Q34" s="11"/>
      <c r="R34" s="12"/>
      <c r="S34" s="11"/>
      <c r="T34" s="220"/>
      <c r="U34" s="184"/>
      <c r="V34" s="11"/>
      <c r="W34" s="11"/>
      <c r="X34" s="11"/>
      <c r="Y34" s="220"/>
      <c r="Z34" s="184"/>
      <c r="AA34" s="11"/>
      <c r="AB34" s="11"/>
      <c r="AC34" s="11"/>
      <c r="AD34" s="220"/>
      <c r="AE34" s="184"/>
      <c r="AF34" s="11"/>
      <c r="AG34" s="11"/>
      <c r="AH34" s="11"/>
      <c r="AI34" s="220"/>
      <c r="AJ34" s="184"/>
      <c r="AK34" s="11"/>
      <c r="AL34" s="11"/>
      <c r="AM34" s="11"/>
      <c r="AN34" s="220"/>
      <c r="AO34" s="184"/>
      <c r="AP34" s="11"/>
      <c r="AQ34" s="11"/>
      <c r="AR34" s="11"/>
      <c r="AS34" s="220"/>
      <c r="AT34" s="184"/>
      <c r="AU34" s="11"/>
      <c r="AV34" s="11"/>
      <c r="AW34" s="11"/>
      <c r="AX34" s="220"/>
      <c r="AY34" s="184"/>
      <c r="AZ34" s="11"/>
      <c r="BA34" s="11"/>
      <c r="BB34" s="11"/>
      <c r="BC34" s="220"/>
      <c r="BD34" s="184"/>
      <c r="BE34" s="11"/>
      <c r="BF34" s="11"/>
      <c r="BG34" s="11"/>
      <c r="BH34" s="220"/>
      <c r="BI34" s="184"/>
      <c r="BJ34" s="11"/>
      <c r="BK34" s="11"/>
      <c r="BL34" s="11"/>
      <c r="BM34" s="220"/>
      <c r="BN34" s="184"/>
      <c r="BO34" s="11"/>
      <c r="BP34" s="11"/>
    </row>
    <row r="35" ht="15.75" customHeight="1">
      <c r="A35" s="228" t="str">
        <f>IFERROR(__xludf.DUMMYFUNCTION("TEXTJOIN(CHAR(10),TRUE,FILTER(ARRAYFORMULA(IF(Y$14:Y72&lt;&gt;"""", X$14:X72 &amp;"" : ""&amp; Y$14:Y72 &amp;"" cm"","""")), X$14:X72 &lt;&gt;""""))"),"")</f>
        <v/>
      </c>
      <c r="B35" s="160"/>
      <c r="C35" s="11"/>
      <c r="D35" s="11" t="s">
        <v>112</v>
      </c>
      <c r="E35" s="232"/>
      <c r="F35" s="231" t="str">
        <f t="array" ref="F35">IF(
  E35 = 0, 
  "", 
  IFERROR(
    INDEX(
      'アイテム別限界値DB'!$K:$K, 
      MATCH(
        1, 
        ('アイテム別限界値DB'!$B:$B = D$10) * 
        ('アイテム別限界値DB'!$F:$F = D35) * 
        ('アイテム別限界値DB'!$H:$H = E35), 
        0
      )
    ), 
    "再製作"
  )
)
</f>
        <v/>
      </c>
      <c r="G35" s="218" t="str">
        <f t="array" ref="G35">IF(
  E35 = 0, 
  "", 
  IFERROR(
    INDEX(
      'アイテム別限界値DB'!$L:$L, 
      MATCH(
        1, 
        ('アイテム別限界値DB'!$B:$B = D$10) * 
        ('アイテム別限界値DB'!$C:$C = D35) * 
        ('アイテム別限界値DB'!$F:$F = E35), 
        0
      )
    ), 
    ""
  )
)
</f>
        <v/>
      </c>
      <c r="H35" s="11"/>
      <c r="I35" s="11"/>
      <c r="J35" s="220"/>
      <c r="K35" s="184"/>
      <c r="L35" s="11"/>
      <c r="M35" s="11"/>
      <c r="N35" s="11"/>
      <c r="O35" s="220"/>
      <c r="P35" s="184"/>
      <c r="Q35" s="11"/>
      <c r="R35" s="12"/>
      <c r="S35" s="11"/>
      <c r="T35" s="220"/>
      <c r="U35" s="184"/>
      <c r="V35" s="11"/>
      <c r="W35" s="11"/>
      <c r="X35" s="11"/>
      <c r="Y35" s="220"/>
      <c r="Z35" s="184"/>
      <c r="AA35" s="11"/>
      <c r="AB35" s="11"/>
      <c r="AC35" s="11"/>
      <c r="AD35" s="220"/>
      <c r="AE35" s="184"/>
      <c r="AF35" s="11"/>
      <c r="AG35" s="11"/>
      <c r="AH35" s="11"/>
      <c r="AI35" s="220"/>
      <c r="AJ35" s="184"/>
      <c r="AK35" s="11"/>
      <c r="AL35" s="11"/>
      <c r="AM35" s="11"/>
      <c r="AN35" s="220"/>
      <c r="AO35" s="184"/>
      <c r="AP35" s="11"/>
      <c r="AQ35" s="11"/>
      <c r="AR35" s="11"/>
      <c r="AS35" s="220"/>
      <c r="AT35" s="184"/>
      <c r="AU35" s="11"/>
      <c r="AV35" s="11"/>
      <c r="AW35" s="11"/>
      <c r="AX35" s="220"/>
      <c r="AY35" s="184"/>
      <c r="AZ35" s="11"/>
      <c r="BA35" s="11"/>
      <c r="BB35" s="11"/>
      <c r="BC35" s="220"/>
      <c r="BD35" s="184"/>
      <c r="BE35" s="11"/>
      <c r="BF35" s="11"/>
      <c r="BG35" s="11"/>
      <c r="BH35" s="220"/>
      <c r="BI35" s="184"/>
      <c r="BJ35" s="11"/>
      <c r="BK35" s="11"/>
      <c r="BL35" s="11"/>
      <c r="BM35" s="220"/>
      <c r="BN35" s="184"/>
      <c r="BO35" s="11"/>
      <c r="BP35" s="11"/>
    </row>
    <row r="36" ht="15.75" customHeight="1">
      <c r="A36" s="236" t="str">
        <f>if($A$34&lt;&gt;"", "《仕上がり数値》","")</f>
        <v/>
      </c>
      <c r="B36" s="229"/>
      <c r="C36" s="11"/>
      <c r="D36" s="11" t="s">
        <v>113</v>
      </c>
      <c r="E36" s="230"/>
      <c r="F36" s="231" t="str">
        <f t="array" ref="F36">IF(
  E36 = 0, 
  "", 
  IFERROR(
    INDEX(
      'アイテム別限界値DB'!$K:$K, 
      MATCH(
        1, 
        ('アイテム別限界値DB'!$B:$B = D$10) * 
        ('アイテム別限界値DB'!$F:$F = D36) * 
        ('アイテム別限界値DB'!$H:$H = E36), 
        0
      )
    ), 
    "再製作"
  )
)
</f>
        <v/>
      </c>
      <c r="G36" s="218" t="str">
        <f t="array" ref="G36">IF(
  E36 = 0, 
  "", 
  IFERROR(
    INDEX(
      'アイテム別限界値DB'!$L:$L, 
      MATCH(
        1, 
        ('アイテム別限界値DB'!$B:$B = D$10) * 
        ('アイテム別限界値DB'!$C:$C = D36) * 
        ('アイテム別限界値DB'!$F:$F = E36), 
        0
      )
    ), 
    ""
  )
)
</f>
        <v/>
      </c>
      <c r="H36" s="11"/>
      <c r="I36" s="11"/>
      <c r="J36" s="220"/>
      <c r="K36" s="184"/>
      <c r="L36" s="11"/>
      <c r="M36" s="11"/>
      <c r="N36" s="11"/>
      <c r="O36" s="220"/>
      <c r="P36" s="184"/>
      <c r="Q36" s="11"/>
      <c r="R36" s="12"/>
      <c r="S36" s="11"/>
      <c r="T36" s="220"/>
      <c r="U36" s="184"/>
      <c r="V36" s="11"/>
      <c r="W36" s="11"/>
      <c r="X36" s="11"/>
      <c r="Y36" s="220"/>
      <c r="Z36" s="184"/>
      <c r="AA36" s="11"/>
      <c r="AB36" s="11"/>
      <c r="AC36" s="11"/>
      <c r="AD36" s="220"/>
      <c r="AE36" s="184"/>
      <c r="AF36" s="11"/>
      <c r="AG36" s="11"/>
      <c r="AH36" s="11"/>
      <c r="AI36" s="220"/>
      <c r="AJ36" s="184"/>
      <c r="AK36" s="11"/>
      <c r="AL36" s="11"/>
      <c r="AM36" s="11"/>
      <c r="AN36" s="220"/>
      <c r="AO36" s="184"/>
      <c r="AP36" s="11"/>
      <c r="AQ36" s="11"/>
      <c r="AR36" s="11"/>
      <c r="AS36" s="220"/>
      <c r="AT36" s="184"/>
      <c r="AU36" s="11"/>
      <c r="AV36" s="11"/>
      <c r="AW36" s="11"/>
      <c r="AX36" s="220"/>
      <c r="AY36" s="184"/>
      <c r="AZ36" s="11"/>
      <c r="BA36" s="11"/>
      <c r="BB36" s="11"/>
      <c r="BC36" s="220"/>
      <c r="BD36" s="184"/>
      <c r="BE36" s="11"/>
      <c r="BF36" s="11"/>
      <c r="BG36" s="11"/>
      <c r="BH36" s="220"/>
      <c r="BI36" s="184"/>
      <c r="BJ36" s="11"/>
      <c r="BK36" s="11"/>
      <c r="BL36" s="11"/>
      <c r="BM36" s="220"/>
      <c r="BN36" s="184"/>
      <c r="BO36" s="11"/>
      <c r="BP36" s="11"/>
    </row>
    <row r="37">
      <c r="A37" s="228" t="str">
        <f>IFERROR(__xludf.DUMMYFUNCTION("TEXTJOIN(CHAR(10),TRUE,FILTER(ARRAYFORMULA(IF(Y$14:Y72&lt;&gt;"""", X$14:X72 &amp;"" :  cm"","""")), X$14:X72 &lt;&gt;""""))"),"")</f>
        <v/>
      </c>
      <c r="B37" s="12"/>
      <c r="C37" s="11"/>
      <c r="D37" s="11" t="s">
        <v>114</v>
      </c>
      <c r="E37" s="232"/>
      <c r="F37" s="231" t="str">
        <f t="array" ref="F37">IF(
  E37 = 0, 
  "", 
  IFERROR(
    INDEX(
      'アイテム別限界値DB'!$K:$K, 
      MATCH(
        1, 
        ('アイテム別限界値DB'!$B:$B = D$10) * 
        ('アイテム別限界値DB'!$F:$F = D37) * 
        ('アイテム別限界値DB'!$H:$H = E37), 
        0
      )
    ), 
    "再製作"
  )
)
</f>
        <v/>
      </c>
      <c r="G37" s="218" t="str">
        <f t="array" ref="G37">IF(
  E37 = 0, 
  "", 
  IFERROR(
    INDEX(
      'アイテム別限界値DB'!$L:$L, 
      MATCH(
        1, 
        ('アイテム別限界値DB'!$B:$B = D$10) * 
        ('アイテム別限界値DB'!$C:$C = D37) * 
        ('アイテム別限界値DB'!$F:$F = E37), 
        0
      )
    ), 
    ""
  )
)
</f>
        <v/>
      </c>
      <c r="H37" s="11"/>
      <c r="I37" s="11"/>
      <c r="J37" s="220"/>
      <c r="K37" s="184"/>
      <c r="L37" s="11"/>
      <c r="M37" s="11"/>
      <c r="N37" s="11"/>
      <c r="O37" s="220"/>
      <c r="P37" s="184"/>
      <c r="Q37" s="11"/>
      <c r="R37" s="12"/>
      <c r="S37" s="11"/>
      <c r="T37" s="220"/>
      <c r="U37" s="184"/>
      <c r="V37" s="11"/>
      <c r="W37" s="11"/>
      <c r="X37" s="11"/>
      <c r="Y37" s="220"/>
      <c r="Z37" s="184"/>
      <c r="AA37" s="11"/>
      <c r="AB37" s="11"/>
      <c r="AC37" s="11"/>
      <c r="AD37" s="220"/>
      <c r="AE37" s="184"/>
      <c r="AF37" s="11"/>
      <c r="AG37" s="11"/>
      <c r="AH37" s="11"/>
      <c r="AI37" s="220"/>
      <c r="AJ37" s="184"/>
      <c r="AK37" s="11"/>
      <c r="AL37" s="11"/>
      <c r="AM37" s="11"/>
      <c r="AN37" s="220"/>
      <c r="AO37" s="184"/>
      <c r="AP37" s="11"/>
      <c r="AQ37" s="11"/>
      <c r="AR37" s="11"/>
      <c r="AS37" s="220"/>
      <c r="AT37" s="184"/>
      <c r="AU37" s="11"/>
      <c r="AV37" s="11"/>
      <c r="AW37" s="11"/>
      <c r="AX37" s="220"/>
      <c r="AY37" s="184"/>
      <c r="AZ37" s="11"/>
      <c r="BA37" s="11"/>
      <c r="BB37" s="11"/>
      <c r="BC37" s="220"/>
      <c r="BD37" s="184"/>
      <c r="BE37" s="11"/>
      <c r="BF37" s="11"/>
      <c r="BG37" s="11"/>
      <c r="BH37" s="220"/>
      <c r="BI37" s="184"/>
      <c r="BJ37" s="11"/>
      <c r="BK37" s="11"/>
      <c r="BL37" s="11"/>
      <c r="BM37" s="220"/>
      <c r="BN37" s="184"/>
      <c r="BO37" s="11"/>
      <c r="BP37" s="11"/>
    </row>
    <row r="38">
      <c r="A38" s="243" t="s">
        <v>115</v>
      </c>
      <c r="B38" s="160"/>
      <c r="C38" s="11"/>
      <c r="D38" s="11" t="s">
        <v>116</v>
      </c>
      <c r="E38" s="232"/>
      <c r="F38" s="231" t="str">
        <f t="array" ref="F38">IF(
  E38 = 0, 
  "", 
  IFERROR(
    INDEX(
      'アイテム別限界値DB'!$K:$K, 
      MATCH(
        1, 
        ('アイテム別限界値DB'!$B:$B = D$10) * 
        ('アイテム別限界値DB'!$F:$F = D38) * 
        ('アイテム別限界値DB'!$H:$H = E38), 
        0
      )
    ), 
    "再製作"
  )
)
</f>
        <v/>
      </c>
      <c r="G38" s="218" t="str">
        <f t="array" ref="G38">IF(
  E38 = 0, 
  "", 
  IFERROR(
    INDEX(
      'アイテム別限界値DB'!$L:$L, 
      MATCH(
        1, 
        ('アイテム別限界値DB'!$B:$B = D$10) * 
        ('アイテム別限界値DB'!$C:$C = D38) * 
        ('アイテム別限界値DB'!$F:$F = E38), 
        0
      )
    ), 
    ""
  )
)
</f>
        <v/>
      </c>
      <c r="H38" s="11"/>
      <c r="I38" s="11"/>
      <c r="J38" s="220"/>
      <c r="K38" s="184"/>
      <c r="L38" s="11"/>
      <c r="M38" s="11"/>
      <c r="N38" s="11"/>
      <c r="O38" s="220"/>
      <c r="P38" s="184"/>
      <c r="Q38" s="11"/>
      <c r="R38" s="12"/>
      <c r="S38" s="11"/>
      <c r="T38" s="220"/>
      <c r="U38" s="184"/>
      <c r="V38" s="11"/>
      <c r="W38" s="11"/>
      <c r="X38" s="11"/>
      <c r="Y38" s="220"/>
      <c r="Z38" s="184"/>
      <c r="AA38" s="11"/>
      <c r="AB38" s="11"/>
      <c r="AC38" s="11"/>
      <c r="AD38" s="220"/>
      <c r="AE38" s="184"/>
      <c r="AF38" s="11"/>
      <c r="AG38" s="11"/>
      <c r="AH38" s="11"/>
      <c r="AI38" s="220"/>
      <c r="AJ38" s="184"/>
      <c r="AK38" s="11"/>
      <c r="AL38" s="11"/>
      <c r="AM38" s="11"/>
      <c r="AN38" s="220"/>
      <c r="AO38" s="184"/>
      <c r="AP38" s="11"/>
      <c r="AQ38" s="11"/>
      <c r="AR38" s="11"/>
      <c r="AS38" s="220"/>
      <c r="AT38" s="184"/>
      <c r="AU38" s="11"/>
      <c r="AV38" s="11"/>
      <c r="AW38" s="11"/>
      <c r="AX38" s="220"/>
      <c r="AY38" s="184"/>
      <c r="AZ38" s="11"/>
      <c r="BA38" s="11"/>
      <c r="BB38" s="11"/>
      <c r="BC38" s="220"/>
      <c r="BD38" s="184"/>
      <c r="BE38" s="11"/>
      <c r="BF38" s="11"/>
      <c r="BG38" s="11"/>
      <c r="BH38" s="220"/>
      <c r="BI38" s="184"/>
      <c r="BJ38" s="11"/>
      <c r="BK38" s="11"/>
      <c r="BL38" s="11"/>
      <c r="BM38" s="220"/>
      <c r="BN38" s="184"/>
      <c r="BO38" s="11"/>
      <c r="BP38" s="11"/>
    </row>
    <row r="39">
      <c r="A39" s="228" t="str">
        <f>IF( $AC$11 = "再製作", "◼︎ ポロシャツ（対応着地：再製作）" &amp; char(10) &amp; "《修正数値》" , IF($AC$11 &lt;&gt; "", "◼︎ ポロシャツ（対応着地：お直し）" &amp; char(10) &amp; "《修正数値》" , ""))</f>
        <v/>
      </c>
      <c r="B39" s="229"/>
      <c r="C39" s="11"/>
      <c r="D39" s="11" t="s">
        <v>117</v>
      </c>
      <c r="E39" s="232"/>
      <c r="F39" s="231" t="str">
        <f t="array" ref="F39">IF(
  E39 = 0, 
  "", 
  IFERROR(
    INDEX(
      'アイテム別限界値DB'!$I:$I, 
      MATCH(
        1, 
        ('アイテム別限界値DB'!$B:$B = D$10) * 
        ('アイテム別限界値DB'!$C:$C = D39) * 
        ('アイテム別限界値DB'!$F:$F = E39), 
        0
      )
    ), 
    "再製作"
  )
)
</f>
        <v/>
      </c>
      <c r="G39" s="218" t="str">
        <f t="array" ref="G39">IF(
  E39 = 0, 
  "", 
  IFERROR(
    INDEX(
      'アイテム別限界値DB'!$L:$L, 
      MATCH(
        1, 
        ('アイテム別限界値DB'!$B:$B = D$10) * 
        ('アイテム別限界値DB'!$C:$C = D39) * 
        ('アイテム別限界値DB'!$F:$F = E39), 
        0
      )
    ), 
    ""
  )
)
</f>
        <v/>
      </c>
      <c r="H39" s="11"/>
      <c r="I39" s="11"/>
      <c r="J39" s="220"/>
      <c r="K39" s="184"/>
      <c r="L39" s="11"/>
      <c r="M39" s="11"/>
      <c r="N39" s="11"/>
      <c r="O39" s="220"/>
      <c r="P39" s="184"/>
      <c r="Q39" s="11"/>
      <c r="R39" s="12"/>
      <c r="S39" s="11"/>
      <c r="T39" s="220"/>
      <c r="U39" s="184"/>
      <c r="V39" s="11"/>
      <c r="W39" s="11"/>
      <c r="X39" s="11"/>
      <c r="Y39" s="220"/>
      <c r="Z39" s="184"/>
      <c r="AA39" s="11"/>
      <c r="AB39" s="11"/>
      <c r="AC39" s="11"/>
      <c r="AD39" s="220"/>
      <c r="AE39" s="184"/>
      <c r="AF39" s="11"/>
      <c r="AG39" s="11"/>
      <c r="AH39" s="11"/>
      <c r="AI39" s="220"/>
      <c r="AJ39" s="184"/>
      <c r="AK39" s="11"/>
      <c r="AL39" s="11"/>
      <c r="AM39" s="11"/>
      <c r="AN39" s="220"/>
      <c r="AO39" s="184"/>
      <c r="AP39" s="11"/>
      <c r="AQ39" s="11"/>
      <c r="AR39" s="11"/>
      <c r="AS39" s="220"/>
      <c r="AT39" s="184"/>
      <c r="AU39" s="11"/>
      <c r="AV39" s="11"/>
      <c r="AW39" s="11"/>
      <c r="AX39" s="220"/>
      <c r="AY39" s="184"/>
      <c r="AZ39" s="11"/>
      <c r="BA39" s="11"/>
      <c r="BB39" s="11"/>
      <c r="BC39" s="220"/>
      <c r="BD39" s="184"/>
      <c r="BE39" s="11"/>
      <c r="BF39" s="11"/>
      <c r="BG39" s="11"/>
      <c r="BH39" s="220"/>
      <c r="BI39" s="184"/>
      <c r="BJ39" s="11"/>
      <c r="BK39" s="11"/>
      <c r="BL39" s="11"/>
      <c r="BM39" s="220"/>
      <c r="BN39" s="184"/>
      <c r="BO39" s="11"/>
      <c r="BP39" s="11"/>
    </row>
    <row r="40">
      <c r="A40" s="228" t="str">
        <f>IFERROR(__xludf.DUMMYFUNCTION("TEXTJOIN(CHAR(10),TRUE,FILTER(ARRAYFORMULA(IF(AD$14:AD72&lt;&gt;"""",AC$14:AC72&amp;"" : ""&amp; AD$14:AD72 &amp;"" cm"","""")), AC$14:AC72 &lt;&gt;""""))"),"")</f>
        <v/>
      </c>
      <c r="B40" s="12"/>
      <c r="C40" s="11"/>
      <c r="D40" s="11" t="s">
        <v>118</v>
      </c>
      <c r="E40" s="232"/>
      <c r="F40" s="231" t="str">
        <f t="array" ref="F40">IF(
  E40 = 0, 
  "", 
  IFERROR(
    INDEX(
      'アイテム別限界値DB'!$I:$I, 
      MATCH(
        1, 
        ('アイテム別限界値DB'!$B:$B = D$10) * 
        ('アイテム別限界値DB'!$C:$C = D40) * 
        ('アイテム別限界値DB'!$F:$F = E40), 
        0
      )
    ), 
    "再製作"
  )
)
</f>
        <v/>
      </c>
      <c r="G40" s="121"/>
      <c r="H40" s="11"/>
      <c r="I40" s="11"/>
      <c r="J40" s="220"/>
      <c r="K40" s="184"/>
      <c r="L40" s="11"/>
      <c r="M40" s="11"/>
      <c r="N40" s="11"/>
      <c r="O40" s="220"/>
      <c r="P40" s="184"/>
      <c r="Q40" s="11"/>
      <c r="R40" s="12"/>
      <c r="S40" s="11"/>
      <c r="T40" s="220"/>
      <c r="U40" s="184"/>
      <c r="V40" s="11"/>
      <c r="W40" s="11"/>
      <c r="X40" s="11"/>
      <c r="Y40" s="220"/>
      <c r="Z40" s="184"/>
      <c r="AA40" s="11"/>
      <c r="AB40" s="11"/>
      <c r="AC40" s="11"/>
      <c r="AD40" s="220"/>
      <c r="AE40" s="184"/>
      <c r="AF40" s="11"/>
      <c r="AG40" s="11"/>
      <c r="AH40" s="11"/>
      <c r="AI40" s="220"/>
      <c r="AJ40" s="184"/>
      <c r="AK40" s="11"/>
      <c r="AL40" s="11"/>
      <c r="AM40" s="11"/>
      <c r="AN40" s="220"/>
      <c r="AO40" s="184"/>
      <c r="AP40" s="11"/>
      <c r="AQ40" s="11"/>
      <c r="AR40" s="11"/>
      <c r="AS40" s="220"/>
      <c r="AT40" s="184"/>
      <c r="AU40" s="11"/>
      <c r="AV40" s="11"/>
      <c r="AW40" s="11"/>
      <c r="AX40" s="220"/>
      <c r="AY40" s="184"/>
      <c r="AZ40" s="11"/>
      <c r="BA40" s="11"/>
      <c r="BB40" s="11"/>
      <c r="BC40" s="220"/>
      <c r="BD40" s="184"/>
      <c r="BE40" s="11"/>
      <c r="BF40" s="11"/>
      <c r="BG40" s="11"/>
      <c r="BH40" s="220"/>
      <c r="BI40" s="184"/>
      <c r="BJ40" s="11"/>
      <c r="BK40" s="11"/>
      <c r="BL40" s="11"/>
      <c r="BM40" s="220"/>
      <c r="BN40" s="184"/>
      <c r="BO40" s="11"/>
      <c r="BP40" s="11"/>
    </row>
    <row r="41">
      <c r="A41" s="244" t="str">
        <f>if($A$39&lt;&gt;"", "《仕上がり数値》","")</f>
        <v/>
      </c>
      <c r="B41" s="160"/>
      <c r="C41" s="11"/>
      <c r="D41" s="11" t="s">
        <v>119</v>
      </c>
      <c r="E41" s="230"/>
      <c r="F41" s="231" t="str">
        <f t="array" ref="F41">IF(
  E41 = 0, 
  "", 
  IFERROR(
    INDEX(
      'アイテム別限界値DB'!$I:$I, 
      MATCH(
        1, 
        ('アイテム別限界値DB'!$B:$B = D$10) * 
        ('アイテム別限界値DB'!$C:$C = D41) * 
        ('アイテム別限界値DB'!$F:$F = E41), 
        0
      )
    ), 
    "再製作"
  )
)
</f>
        <v/>
      </c>
      <c r="G41" s="195"/>
      <c r="H41" s="11"/>
      <c r="I41" s="11"/>
      <c r="J41" s="220"/>
      <c r="K41" s="184"/>
      <c r="L41" s="11"/>
      <c r="M41" s="11"/>
      <c r="N41" s="11"/>
      <c r="O41" s="220"/>
      <c r="P41" s="184"/>
      <c r="Q41" s="11"/>
      <c r="R41" s="12"/>
      <c r="S41" s="11"/>
      <c r="T41" s="220"/>
      <c r="U41" s="184"/>
      <c r="V41" s="11"/>
      <c r="W41" s="11"/>
      <c r="X41" s="11"/>
      <c r="Y41" s="220"/>
      <c r="Z41" s="184"/>
      <c r="AA41" s="11"/>
      <c r="AB41" s="11"/>
      <c r="AC41" s="11"/>
      <c r="AD41" s="220"/>
      <c r="AE41" s="184"/>
      <c r="AF41" s="11"/>
      <c r="AG41" s="11"/>
      <c r="AH41" s="11"/>
      <c r="AI41" s="220"/>
      <c r="AJ41" s="184"/>
      <c r="AK41" s="11"/>
      <c r="AL41" s="11"/>
      <c r="AM41" s="11"/>
      <c r="AN41" s="220"/>
      <c r="AO41" s="184"/>
      <c r="AP41" s="11"/>
      <c r="AQ41" s="11"/>
      <c r="AR41" s="11"/>
      <c r="AS41" s="220"/>
      <c r="AT41" s="184"/>
      <c r="AU41" s="11"/>
      <c r="AV41" s="11"/>
      <c r="AW41" s="11"/>
      <c r="AX41" s="220"/>
      <c r="AY41" s="184"/>
      <c r="AZ41" s="11"/>
      <c r="BA41" s="11"/>
      <c r="BB41" s="11"/>
      <c r="BC41" s="220"/>
      <c r="BD41" s="184"/>
      <c r="BE41" s="11"/>
      <c r="BF41" s="11"/>
      <c r="BG41" s="11"/>
      <c r="BH41" s="220"/>
      <c r="BI41" s="184"/>
      <c r="BJ41" s="11"/>
      <c r="BK41" s="11"/>
      <c r="BL41" s="11"/>
      <c r="BM41" s="220"/>
      <c r="BN41" s="184"/>
      <c r="BO41" s="11"/>
      <c r="BP41" s="11"/>
    </row>
    <row r="42">
      <c r="A42" s="228" t="str">
        <f>IFERROR(__xludf.DUMMYFUNCTION("TEXTJOIN(CHAR(10),TRUE,FILTER(ARRAYFORMULA(IF(AD$14:AD72&lt;&gt;"""",AC$14:AC72&amp;"" :  cm"","""")), AC$14:AC72 &lt;&gt;""""))"),"")</f>
        <v/>
      </c>
      <c r="B42" s="229"/>
      <c r="C42" s="11"/>
      <c r="D42" s="11" t="s">
        <v>120</v>
      </c>
      <c r="E42" s="232"/>
      <c r="F42" s="231" t="str">
        <f t="array" ref="F42">IF(
  E42 = 0, 
  "", 
  IFERROR(
    INDEX(
      'アイテム別限界値DB'!$I:$I, 
      MATCH(
        1, 
        ('アイテム別限界値DB'!$B:$B = D$10) * 
        ('アイテム別限界値DB'!$C:$C = D42) * 
        ('アイテム別限界値DB'!$F:$F = E42), 
        0
      )
    ), 
    "再製作"
  )
)
</f>
        <v/>
      </c>
      <c r="G42" s="195"/>
      <c r="H42" s="11"/>
      <c r="I42" s="11"/>
      <c r="J42" s="220"/>
      <c r="K42" s="184"/>
      <c r="L42" s="11"/>
      <c r="M42" s="11"/>
      <c r="N42" s="11"/>
      <c r="O42" s="220"/>
      <c r="P42" s="184"/>
      <c r="Q42" s="11"/>
      <c r="R42" s="12"/>
      <c r="S42" s="11"/>
      <c r="T42" s="220"/>
      <c r="U42" s="184"/>
      <c r="V42" s="11"/>
      <c r="W42" s="11"/>
      <c r="X42" s="11"/>
      <c r="Y42" s="220"/>
      <c r="Z42" s="184"/>
      <c r="AA42" s="11"/>
      <c r="AB42" s="11"/>
      <c r="AC42" s="11"/>
      <c r="AD42" s="220"/>
      <c r="AE42" s="184"/>
      <c r="AF42" s="11"/>
      <c r="AG42" s="11"/>
      <c r="AH42" s="11"/>
      <c r="AI42" s="220"/>
      <c r="AJ42" s="184"/>
      <c r="AK42" s="11"/>
      <c r="AL42" s="11"/>
      <c r="AM42" s="11"/>
      <c r="AN42" s="220"/>
      <c r="AO42" s="184"/>
      <c r="AP42" s="11"/>
      <c r="AQ42" s="11"/>
      <c r="AR42" s="11"/>
      <c r="AS42" s="220"/>
      <c r="AT42" s="184"/>
      <c r="AU42" s="11"/>
      <c r="AV42" s="11"/>
      <c r="AW42" s="11"/>
      <c r="AX42" s="220"/>
      <c r="AY42" s="184"/>
      <c r="AZ42" s="11"/>
      <c r="BA42" s="11"/>
      <c r="BB42" s="11"/>
      <c r="BC42" s="220"/>
      <c r="BD42" s="184"/>
      <c r="BE42" s="11"/>
      <c r="BF42" s="11"/>
      <c r="BG42" s="11"/>
      <c r="BH42" s="220"/>
      <c r="BI42" s="184"/>
      <c r="BJ42" s="11"/>
      <c r="BK42" s="11"/>
      <c r="BL42" s="11"/>
      <c r="BM42" s="220"/>
      <c r="BN42" s="184"/>
      <c r="BO42" s="11"/>
      <c r="BP42" s="11"/>
    </row>
    <row r="43">
      <c r="A43" s="222" t="s">
        <v>121</v>
      </c>
      <c r="B43" s="185"/>
      <c r="C43" s="11"/>
      <c r="D43" s="11"/>
      <c r="E43" s="220"/>
      <c r="F43" s="220"/>
      <c r="G43" s="220"/>
      <c r="H43" s="11"/>
      <c r="I43" s="11"/>
      <c r="J43" s="220"/>
      <c r="K43" s="184"/>
      <c r="L43" s="184"/>
      <c r="M43" s="11"/>
      <c r="N43" s="11"/>
      <c r="O43" s="195"/>
      <c r="P43" s="11"/>
      <c r="Q43" s="11"/>
      <c r="R43" s="12"/>
      <c r="S43" s="11"/>
      <c r="T43" s="220"/>
      <c r="U43" s="184"/>
      <c r="V43" s="184"/>
      <c r="W43" s="11"/>
      <c r="X43" s="11"/>
      <c r="Y43" s="220"/>
      <c r="Z43" s="184"/>
      <c r="AA43" s="184"/>
      <c r="AB43" s="11"/>
      <c r="AC43" s="11"/>
      <c r="AD43" s="220"/>
      <c r="AE43" s="184"/>
      <c r="AF43" s="184"/>
      <c r="AG43" s="11"/>
      <c r="AH43" s="11"/>
      <c r="AI43" s="220"/>
      <c r="AJ43" s="184"/>
      <c r="AK43" s="184"/>
      <c r="AL43" s="11"/>
      <c r="AM43" s="11"/>
      <c r="AN43" s="220"/>
      <c r="AO43" s="184"/>
      <c r="AP43" s="184"/>
      <c r="AQ43" s="11"/>
      <c r="AR43" s="11"/>
      <c r="AS43" s="220"/>
      <c r="AT43" s="184"/>
      <c r="AU43" s="184"/>
      <c r="AV43" s="11"/>
      <c r="AW43" s="11"/>
      <c r="AX43" s="220"/>
      <c r="AY43" s="184"/>
      <c r="AZ43" s="184"/>
      <c r="BA43" s="11"/>
      <c r="BB43" s="11"/>
      <c r="BC43" s="220"/>
      <c r="BD43" s="184"/>
      <c r="BE43" s="184"/>
      <c r="BF43" s="11"/>
      <c r="BG43" s="11"/>
      <c r="BH43" s="220"/>
      <c r="BI43" s="184"/>
      <c r="BJ43" s="184"/>
      <c r="BK43" s="184"/>
      <c r="BL43" s="184"/>
      <c r="BM43" s="184"/>
      <c r="BN43" s="184"/>
      <c r="BO43" s="184"/>
      <c r="BP43" s="184"/>
    </row>
    <row r="44">
      <c r="A44" s="245" t="str">
        <f>IF( $AH$11 = "再製作", "◼︎ アルスターコート（対応着地：再製作）" &amp; char(10) &amp; "《修正数値》", IF($AH$11 &lt;&gt; "", "◼︎ アルスターコート（対応着地：お直し）" &amp; char(10) &amp; "《修正数値》", ""))</f>
        <v/>
      </c>
      <c r="B44" s="187"/>
      <c r="C44" s="11"/>
      <c r="D44" s="11"/>
      <c r="E44" s="220"/>
      <c r="F44" s="220"/>
      <c r="G44" s="220"/>
      <c r="H44" s="11"/>
      <c r="I44" s="11"/>
      <c r="J44" s="220"/>
      <c r="K44" s="184"/>
      <c r="L44" s="184"/>
      <c r="M44" s="11"/>
      <c r="N44" s="11"/>
      <c r="O44" s="195"/>
      <c r="P44" s="11"/>
      <c r="Q44" s="11"/>
      <c r="R44" s="12"/>
      <c r="S44" s="11"/>
      <c r="T44" s="220"/>
      <c r="U44" s="184"/>
      <c r="V44" s="184"/>
      <c r="W44" s="11"/>
      <c r="X44" s="11"/>
      <c r="Y44" s="220"/>
      <c r="Z44" s="184"/>
      <c r="AA44" s="184"/>
      <c r="AB44" s="11"/>
      <c r="AC44" s="11"/>
      <c r="AD44" s="220"/>
      <c r="AE44" s="184"/>
      <c r="AF44" s="184"/>
      <c r="AG44" s="11"/>
      <c r="AH44" s="11"/>
      <c r="AI44" s="220"/>
      <c r="AJ44" s="184"/>
      <c r="AK44" s="184"/>
      <c r="AL44" s="11"/>
      <c r="AM44" s="11"/>
      <c r="AN44" s="220"/>
      <c r="AO44" s="184"/>
      <c r="AP44" s="184"/>
      <c r="AQ44" s="11"/>
      <c r="AR44" s="11"/>
      <c r="AS44" s="220"/>
      <c r="AT44" s="184"/>
      <c r="AU44" s="184"/>
      <c r="AV44" s="11"/>
      <c r="AW44" s="11"/>
      <c r="AX44" s="220"/>
      <c r="AY44" s="184"/>
      <c r="AZ44" s="184"/>
      <c r="BA44" s="11"/>
      <c r="BB44" s="11"/>
      <c r="BC44" s="220"/>
      <c r="BD44" s="184"/>
      <c r="BE44" s="184"/>
      <c r="BF44" s="11"/>
      <c r="BG44" s="11"/>
      <c r="BH44" s="220"/>
      <c r="BI44" s="184"/>
      <c r="BJ44" s="184"/>
      <c r="BK44" s="184"/>
      <c r="BL44" s="184"/>
      <c r="BM44" s="184"/>
      <c r="BN44" s="184"/>
      <c r="BO44" s="184"/>
      <c r="BP44" s="184"/>
    </row>
    <row r="45">
      <c r="A45" s="228" t="str">
        <f>IFERROR(__xludf.DUMMYFUNCTION("TEXTJOIN(CHAR(10),TRUE,FILTER(ARRAYFORMULA(IF($AI$14:$AI72&lt;&gt;"""",AH$14:AH72&amp;"" : ""&amp; AI$14:AI72 &amp;"" cm"","""")), AH$14:AH72 &lt;&gt;""""))"),"")</f>
        <v/>
      </c>
      <c r="B45" s="246"/>
      <c r="C45" s="11"/>
      <c r="D45" s="11"/>
      <c r="E45" s="220"/>
      <c r="F45" s="220"/>
      <c r="G45" s="220"/>
      <c r="H45" s="11"/>
      <c r="I45" s="11"/>
      <c r="J45" s="220"/>
      <c r="K45" s="184"/>
      <c r="L45" s="184"/>
      <c r="M45" s="11"/>
      <c r="N45" s="11"/>
      <c r="O45" s="195"/>
      <c r="P45" s="11"/>
      <c r="Q45" s="11"/>
      <c r="R45" s="12"/>
      <c r="S45" s="11"/>
      <c r="T45" s="220"/>
      <c r="U45" s="184"/>
      <c r="V45" s="184"/>
      <c r="W45" s="11"/>
      <c r="X45" s="11"/>
      <c r="Y45" s="220"/>
      <c r="Z45" s="184"/>
      <c r="AA45" s="184"/>
      <c r="AB45" s="11"/>
      <c r="AC45" s="11"/>
      <c r="AD45" s="220"/>
      <c r="AE45" s="184"/>
      <c r="AF45" s="184"/>
      <c r="AG45" s="11"/>
      <c r="AH45" s="11"/>
      <c r="AI45" s="220"/>
      <c r="AJ45" s="184"/>
      <c r="AK45" s="184"/>
      <c r="AL45" s="11"/>
      <c r="AM45" s="11"/>
      <c r="AN45" s="220"/>
      <c r="AO45" s="184"/>
      <c r="AP45" s="184"/>
      <c r="AQ45" s="11"/>
      <c r="AR45" s="11"/>
      <c r="AS45" s="220"/>
      <c r="AT45" s="184"/>
      <c r="AU45" s="184"/>
      <c r="AV45" s="11"/>
      <c r="AW45" s="11"/>
      <c r="AX45" s="220"/>
      <c r="AY45" s="184"/>
      <c r="AZ45" s="184"/>
      <c r="BA45" s="11"/>
      <c r="BB45" s="11"/>
      <c r="BC45" s="220"/>
      <c r="BD45" s="184"/>
      <c r="BE45" s="184"/>
      <c r="BF45" s="11"/>
      <c r="BG45" s="11"/>
      <c r="BH45" s="220"/>
      <c r="BI45" s="184"/>
      <c r="BJ45" s="184"/>
      <c r="BK45" s="184"/>
      <c r="BL45" s="184"/>
      <c r="BM45" s="184"/>
      <c r="BN45" s="184"/>
      <c r="BO45" s="184"/>
      <c r="BP45" s="184"/>
    </row>
    <row r="46">
      <c r="A46" s="242" t="str">
        <f>if($A$44&lt;&gt;"", "《仕上がり数値》","")</f>
        <v/>
      </c>
      <c r="B46" s="240"/>
      <c r="C46" s="11"/>
      <c r="D46" s="11"/>
      <c r="E46" s="220"/>
      <c r="F46" s="220"/>
      <c r="G46" s="220"/>
      <c r="H46" s="11"/>
      <c r="I46" s="11"/>
      <c r="J46" s="220"/>
      <c r="K46" s="184"/>
      <c r="L46" s="184"/>
      <c r="M46" s="11"/>
      <c r="N46" s="11"/>
      <c r="O46" s="195"/>
      <c r="P46" s="11"/>
      <c r="Q46" s="11"/>
      <c r="R46" s="12"/>
      <c r="S46" s="11"/>
      <c r="T46" s="220"/>
      <c r="U46" s="184"/>
      <c r="V46" s="184"/>
      <c r="W46" s="11"/>
      <c r="X46" s="11"/>
      <c r="Y46" s="220"/>
      <c r="Z46" s="184"/>
      <c r="AA46" s="184"/>
      <c r="AB46" s="11"/>
      <c r="AC46" s="11"/>
      <c r="AD46" s="220"/>
      <c r="AE46" s="184"/>
      <c r="AF46" s="184"/>
      <c r="AG46" s="11"/>
      <c r="AH46" s="11"/>
      <c r="AI46" s="220"/>
      <c r="AJ46" s="184"/>
      <c r="AK46" s="184"/>
      <c r="AL46" s="11"/>
      <c r="AM46" s="11"/>
      <c r="AN46" s="220"/>
      <c r="AO46" s="184"/>
      <c r="AP46" s="184"/>
      <c r="AQ46" s="11"/>
      <c r="AR46" s="11"/>
      <c r="AS46" s="220"/>
      <c r="AT46" s="184"/>
      <c r="AU46" s="184"/>
      <c r="AV46" s="11"/>
      <c r="AW46" s="11"/>
      <c r="AX46" s="220"/>
      <c r="AY46" s="184"/>
      <c r="AZ46" s="184"/>
      <c r="BA46" s="11"/>
      <c r="BB46" s="11"/>
      <c r="BC46" s="220"/>
      <c r="BD46" s="184"/>
      <c r="BE46" s="184"/>
      <c r="BF46" s="11"/>
      <c r="BG46" s="11"/>
      <c r="BH46" s="220"/>
      <c r="BI46" s="184"/>
      <c r="BJ46" s="184"/>
      <c r="BK46" s="184"/>
      <c r="BL46" s="184"/>
      <c r="BM46" s="184"/>
      <c r="BN46" s="184"/>
      <c r="BO46" s="184"/>
      <c r="BP46" s="184"/>
    </row>
    <row r="47">
      <c r="A47" s="228" t="str">
        <f>IFERROR(__xludf.DUMMYFUNCTION("TEXTJOIN(CHAR(10),TRUE,FILTER(ARRAYFORMULA(IF($AI$14:$AI72&lt;&gt;"""",AH$14:AH72&amp;"" :  cm"","""")), AH$14:AH72 &lt;&gt;""""))"),"")</f>
        <v/>
      </c>
      <c r="B47" s="240"/>
      <c r="C47" s="11"/>
      <c r="D47" s="11"/>
      <c r="E47" s="220"/>
      <c r="F47" s="220"/>
      <c r="G47" s="220"/>
      <c r="H47" s="11"/>
      <c r="I47" s="11"/>
      <c r="J47" s="220"/>
      <c r="K47" s="184"/>
      <c r="L47" s="184"/>
      <c r="M47" s="11"/>
      <c r="N47" s="11"/>
      <c r="O47" s="195"/>
      <c r="P47" s="11"/>
      <c r="Q47" s="11"/>
      <c r="R47" s="12"/>
      <c r="S47" s="11"/>
      <c r="T47" s="220"/>
      <c r="U47" s="184"/>
      <c r="V47" s="184"/>
      <c r="W47" s="11"/>
      <c r="X47" s="11"/>
      <c r="Y47" s="220"/>
      <c r="Z47" s="184"/>
      <c r="AA47" s="184"/>
      <c r="AB47" s="11"/>
      <c r="AC47" s="11"/>
      <c r="AD47" s="220"/>
      <c r="AE47" s="184"/>
      <c r="AF47" s="184"/>
      <c r="AG47" s="11"/>
      <c r="AH47" s="11"/>
      <c r="AI47" s="220"/>
      <c r="AJ47" s="184"/>
      <c r="AK47" s="184"/>
      <c r="AL47" s="11"/>
      <c r="AM47" s="11"/>
      <c r="AN47" s="220"/>
      <c r="AO47" s="184"/>
      <c r="AP47" s="184"/>
      <c r="AQ47" s="11"/>
      <c r="AR47" s="11"/>
      <c r="AS47" s="220"/>
      <c r="AT47" s="184"/>
      <c r="AU47" s="184"/>
      <c r="AV47" s="11"/>
      <c r="AW47" s="11"/>
      <c r="AX47" s="220"/>
      <c r="AY47" s="184"/>
      <c r="AZ47" s="184"/>
      <c r="BA47" s="11"/>
      <c r="BB47" s="11"/>
      <c r="BC47" s="220"/>
      <c r="BD47" s="184"/>
      <c r="BE47" s="184"/>
      <c r="BF47" s="11"/>
      <c r="BG47" s="11"/>
      <c r="BH47" s="220"/>
      <c r="BI47" s="184"/>
      <c r="BJ47" s="184"/>
      <c r="BK47" s="184"/>
      <c r="BL47" s="184"/>
      <c r="BM47" s="184"/>
      <c r="BN47" s="184"/>
      <c r="BO47" s="184"/>
      <c r="BP47" s="184"/>
    </row>
    <row r="48">
      <c r="A48" s="237" t="s">
        <v>122</v>
      </c>
      <c r="B48" s="240"/>
      <c r="C48" s="11"/>
      <c r="D48" s="11"/>
      <c r="E48" s="220"/>
      <c r="F48" s="220"/>
      <c r="G48" s="220"/>
      <c r="H48" s="11"/>
      <c r="I48" s="11"/>
      <c r="J48" s="220"/>
      <c r="K48" s="184"/>
      <c r="L48" s="184"/>
      <c r="M48" s="11"/>
      <c r="N48" s="11"/>
      <c r="O48" s="195"/>
      <c r="P48" s="11"/>
      <c r="Q48" s="11"/>
      <c r="R48" s="12"/>
      <c r="S48" s="11"/>
      <c r="T48" s="220"/>
      <c r="U48" s="184"/>
      <c r="V48" s="184"/>
      <c r="W48" s="11"/>
      <c r="X48" s="11"/>
      <c r="Y48" s="220"/>
      <c r="Z48" s="184"/>
      <c r="AA48" s="184"/>
      <c r="AB48" s="11"/>
      <c r="AC48" s="11"/>
      <c r="AD48" s="220"/>
      <c r="AE48" s="184"/>
      <c r="AF48" s="184"/>
      <c r="AG48" s="11"/>
      <c r="AH48" s="11"/>
      <c r="AI48" s="220"/>
      <c r="AJ48" s="184"/>
      <c r="AK48" s="184"/>
      <c r="AL48" s="11"/>
      <c r="AM48" s="11"/>
      <c r="AN48" s="220"/>
      <c r="AO48" s="184"/>
      <c r="AP48" s="184"/>
      <c r="AQ48" s="11"/>
      <c r="AR48" s="11"/>
      <c r="AS48" s="220"/>
      <c r="AT48" s="184"/>
      <c r="AU48" s="184"/>
      <c r="AV48" s="11"/>
      <c r="AW48" s="11"/>
      <c r="AX48" s="220"/>
      <c r="AY48" s="184"/>
      <c r="AZ48" s="184"/>
      <c r="BA48" s="11"/>
      <c r="BB48" s="11"/>
      <c r="BC48" s="220"/>
      <c r="BD48" s="184"/>
      <c r="BE48" s="184"/>
      <c r="BF48" s="11"/>
      <c r="BG48" s="11"/>
      <c r="BH48" s="220"/>
      <c r="BI48" s="184"/>
      <c r="BJ48" s="184"/>
      <c r="BK48" s="184"/>
      <c r="BL48" s="184"/>
      <c r="BM48" s="184"/>
      <c r="BN48" s="184"/>
      <c r="BO48" s="184"/>
      <c r="BP48" s="184"/>
    </row>
    <row r="49">
      <c r="A49" s="245" t="str">
        <f>IF( $AM$11 = "再製作", "◼︎ ショートステンカラーコート（対応着地：再製作）" &amp; char(10) &amp; "《修正数値》", IF($AM$11 &lt;&gt; "", "◼︎ ショートステンカラーコート（対応着地：お直し）"  &amp; char(10) &amp; "《修正数値》", ""))</f>
        <v/>
      </c>
      <c r="B49" s="240"/>
      <c r="C49" s="11"/>
      <c r="D49" s="11"/>
      <c r="E49" s="220"/>
      <c r="F49" s="220"/>
      <c r="G49" s="220"/>
      <c r="H49" s="11"/>
      <c r="I49" s="11"/>
      <c r="J49" s="220"/>
      <c r="K49" s="184"/>
      <c r="L49" s="184"/>
      <c r="M49" s="11"/>
      <c r="N49" s="11"/>
      <c r="O49" s="195"/>
      <c r="P49" s="11"/>
      <c r="Q49" s="11"/>
      <c r="R49" s="12"/>
      <c r="S49" s="11"/>
      <c r="T49" s="220"/>
      <c r="U49" s="184"/>
      <c r="V49" s="184"/>
      <c r="W49" s="11"/>
      <c r="X49" s="11"/>
      <c r="Y49" s="220"/>
      <c r="Z49" s="184"/>
      <c r="AA49" s="184"/>
      <c r="AB49" s="11"/>
      <c r="AC49" s="11"/>
      <c r="AD49" s="220"/>
      <c r="AE49" s="184"/>
      <c r="AF49" s="184"/>
      <c r="AG49" s="11"/>
      <c r="AH49" s="11"/>
      <c r="AI49" s="220"/>
      <c r="AJ49" s="184"/>
      <c r="AK49" s="184"/>
      <c r="AL49" s="11"/>
      <c r="AM49" s="11"/>
      <c r="AN49" s="220"/>
      <c r="AO49" s="184"/>
      <c r="AP49" s="184"/>
      <c r="AQ49" s="11"/>
      <c r="AR49" s="11"/>
      <c r="AS49" s="220"/>
      <c r="AT49" s="184"/>
      <c r="AU49" s="184"/>
      <c r="AV49" s="11"/>
      <c r="AW49" s="11"/>
      <c r="AX49" s="220"/>
      <c r="AY49" s="184"/>
      <c r="AZ49" s="184"/>
      <c r="BA49" s="11"/>
      <c r="BB49" s="11"/>
      <c r="BC49" s="220"/>
      <c r="BD49" s="184"/>
      <c r="BE49" s="184"/>
      <c r="BF49" s="11"/>
      <c r="BG49" s="11"/>
      <c r="BH49" s="220"/>
      <c r="BI49" s="184"/>
      <c r="BJ49" s="184"/>
      <c r="BK49" s="184"/>
      <c r="BL49" s="184"/>
      <c r="BM49" s="184"/>
      <c r="BN49" s="184"/>
      <c r="BO49" s="184"/>
      <c r="BP49" s="184"/>
    </row>
    <row r="50">
      <c r="A50" s="228" t="str">
        <f>IFERROR(__xludf.DUMMYFUNCTION("TEXTJOIN(CHAR(10),TRUE,FILTER(ARRAYFORMULA(IF(AN$14:AN72&lt;&gt;"""",AM$14:AM72&amp;"" : ""&amp; AN$14:AN72 &amp;"" cm"" &amp; ""（仕上がり寸：cm）"","""")), AM$14:AM72 &lt;&gt;""""))"),"")</f>
        <v/>
      </c>
      <c r="B50" s="240"/>
      <c r="C50" s="11"/>
      <c r="D50" s="11"/>
      <c r="E50" s="220"/>
      <c r="F50" s="220"/>
      <c r="G50" s="220"/>
      <c r="H50" s="11"/>
      <c r="I50" s="11"/>
      <c r="J50" s="220"/>
      <c r="K50" s="184"/>
      <c r="L50" s="184"/>
      <c r="M50" s="11"/>
      <c r="N50" s="11"/>
      <c r="O50" s="195"/>
      <c r="P50" s="11"/>
      <c r="Q50" s="11"/>
      <c r="R50" s="12"/>
      <c r="S50" s="11"/>
      <c r="T50" s="220"/>
      <c r="U50" s="184"/>
      <c r="V50" s="184"/>
      <c r="W50" s="11"/>
      <c r="X50" s="11"/>
      <c r="Y50" s="220"/>
      <c r="Z50" s="184"/>
      <c r="AA50" s="184"/>
      <c r="AB50" s="11"/>
      <c r="AC50" s="11"/>
      <c r="AD50" s="220"/>
      <c r="AE50" s="184"/>
      <c r="AF50" s="184"/>
      <c r="AG50" s="11"/>
      <c r="AH50" s="11"/>
      <c r="AI50" s="220"/>
      <c r="AJ50" s="184"/>
      <c r="AK50" s="184"/>
      <c r="AL50" s="11"/>
      <c r="AM50" s="11"/>
      <c r="AN50" s="220"/>
      <c r="AO50" s="184"/>
      <c r="AP50" s="184"/>
      <c r="AQ50" s="11"/>
      <c r="AR50" s="11"/>
      <c r="AS50" s="220"/>
      <c r="AT50" s="184"/>
      <c r="AU50" s="184"/>
      <c r="AV50" s="11"/>
      <c r="AW50" s="11"/>
      <c r="AX50" s="220"/>
      <c r="AY50" s="184"/>
      <c r="AZ50" s="184"/>
      <c r="BA50" s="11"/>
      <c r="BB50" s="11"/>
      <c r="BC50" s="220"/>
      <c r="BD50" s="184"/>
      <c r="BE50" s="184"/>
      <c r="BF50" s="11"/>
      <c r="BG50" s="11"/>
      <c r="BH50" s="220"/>
      <c r="BI50" s="184"/>
      <c r="BJ50" s="184"/>
      <c r="BK50" s="184"/>
      <c r="BL50" s="184"/>
      <c r="BM50" s="184"/>
      <c r="BN50" s="184"/>
      <c r="BO50" s="184"/>
      <c r="BP50" s="184"/>
    </row>
    <row r="51">
      <c r="A51" s="244" t="str">
        <f>if($A$49&lt;&gt;"", "《仕上がり数値》","")</f>
        <v/>
      </c>
      <c r="B51" s="240"/>
      <c r="C51" s="11"/>
      <c r="D51" s="11"/>
      <c r="E51" s="220"/>
      <c r="F51" s="220"/>
      <c r="G51" s="220"/>
      <c r="H51" s="11"/>
      <c r="I51" s="11"/>
      <c r="J51" s="220"/>
      <c r="K51" s="184"/>
      <c r="L51" s="184"/>
      <c r="M51" s="11"/>
      <c r="N51" s="11"/>
      <c r="O51" s="195"/>
      <c r="P51" s="11"/>
      <c r="Q51" s="11"/>
      <c r="R51" s="12"/>
      <c r="S51" s="11"/>
      <c r="T51" s="220"/>
      <c r="U51" s="184"/>
      <c r="V51" s="184"/>
      <c r="W51" s="11"/>
      <c r="X51" s="11"/>
      <c r="Y51" s="220"/>
      <c r="Z51" s="184"/>
      <c r="AA51" s="184"/>
      <c r="AB51" s="11"/>
      <c r="AC51" s="11"/>
      <c r="AD51" s="220"/>
      <c r="AE51" s="184"/>
      <c r="AF51" s="184"/>
      <c r="AG51" s="11"/>
      <c r="AH51" s="11"/>
      <c r="AI51" s="220"/>
      <c r="AJ51" s="184"/>
      <c r="AK51" s="184"/>
      <c r="AL51" s="11"/>
      <c r="AM51" s="11"/>
      <c r="AN51" s="220"/>
      <c r="AO51" s="184"/>
      <c r="AP51" s="184"/>
      <c r="AQ51" s="11"/>
      <c r="AR51" s="11"/>
      <c r="AS51" s="220"/>
      <c r="AT51" s="184"/>
      <c r="AU51" s="184"/>
      <c r="AV51" s="11"/>
      <c r="AW51" s="11"/>
      <c r="AX51" s="220"/>
      <c r="AY51" s="184"/>
      <c r="AZ51" s="184"/>
      <c r="BA51" s="11"/>
      <c r="BB51" s="11"/>
      <c r="BC51" s="220"/>
      <c r="BD51" s="184"/>
      <c r="BE51" s="184"/>
      <c r="BF51" s="11"/>
      <c r="BG51" s="11"/>
      <c r="BH51" s="220"/>
      <c r="BI51" s="184"/>
      <c r="BJ51" s="184"/>
      <c r="BK51" s="184"/>
      <c r="BL51" s="184"/>
      <c r="BM51" s="184"/>
      <c r="BN51" s="184"/>
      <c r="BO51" s="184"/>
      <c r="BP51" s="184"/>
    </row>
    <row r="52">
      <c r="A52" s="228" t="str">
        <f>IFERROR(__xludf.DUMMYFUNCTION("TEXTJOIN(CHAR(10),TRUE,FILTER(ARRAYFORMULA(IF(AN$14:AN72&lt;&gt;"""",AM$14:AM72&amp;"" : ""&amp; AN$14:AN72 &amp;"" cm"" &amp; ""（仕上がり寸：cm）"","""")), AM$14:AM72 &lt;&gt;""""))"),"")</f>
        <v/>
      </c>
      <c r="B52" s="240"/>
      <c r="C52" s="11"/>
      <c r="D52" s="11"/>
      <c r="E52" s="220"/>
      <c r="F52" s="220"/>
      <c r="G52" s="220"/>
      <c r="H52" s="11"/>
      <c r="I52" s="11"/>
      <c r="J52" s="220"/>
      <c r="K52" s="184"/>
      <c r="L52" s="184"/>
      <c r="M52" s="11"/>
      <c r="N52" s="11"/>
      <c r="O52" s="195"/>
      <c r="P52" s="11"/>
      <c r="Q52" s="11"/>
      <c r="R52" s="12"/>
      <c r="S52" s="11"/>
      <c r="T52" s="220"/>
      <c r="U52" s="184"/>
      <c r="V52" s="184"/>
      <c r="W52" s="11"/>
      <c r="X52" s="11"/>
      <c r="Y52" s="220"/>
      <c r="Z52" s="184"/>
      <c r="AA52" s="184"/>
      <c r="AB52" s="11"/>
      <c r="AC52" s="11"/>
      <c r="AD52" s="220"/>
      <c r="AE52" s="184"/>
      <c r="AF52" s="184"/>
      <c r="AG52" s="11"/>
      <c r="AH52" s="11"/>
      <c r="AI52" s="220"/>
      <c r="AJ52" s="184"/>
      <c r="AK52" s="184"/>
      <c r="AL52" s="11"/>
      <c r="AM52" s="11"/>
      <c r="AN52" s="220"/>
      <c r="AO52" s="184"/>
      <c r="AP52" s="184"/>
      <c r="AQ52" s="11"/>
      <c r="AR52" s="11"/>
      <c r="AS52" s="220"/>
      <c r="AT52" s="184"/>
      <c r="AU52" s="184"/>
      <c r="AV52" s="11"/>
      <c r="AW52" s="11"/>
      <c r="AX52" s="220"/>
      <c r="AY52" s="184"/>
      <c r="AZ52" s="184"/>
      <c r="BA52" s="11"/>
      <c r="BB52" s="11"/>
      <c r="BC52" s="220"/>
      <c r="BD52" s="184"/>
      <c r="BE52" s="184"/>
      <c r="BF52" s="11"/>
      <c r="BG52" s="11"/>
      <c r="BH52" s="220"/>
      <c r="BI52" s="184"/>
      <c r="BJ52" s="184"/>
      <c r="BK52" s="184"/>
      <c r="BL52" s="184"/>
      <c r="BM52" s="184"/>
      <c r="BN52" s="184"/>
      <c r="BO52" s="184"/>
      <c r="BP52" s="184"/>
    </row>
    <row r="53">
      <c r="A53" s="243" t="s">
        <v>123</v>
      </c>
      <c r="B53" s="240"/>
      <c r="C53" s="11"/>
      <c r="D53" s="11"/>
      <c r="E53" s="220"/>
      <c r="F53" s="220"/>
      <c r="G53" s="220"/>
      <c r="H53" s="11"/>
      <c r="I53" s="11"/>
      <c r="J53" s="220"/>
      <c r="K53" s="184"/>
      <c r="L53" s="184"/>
      <c r="M53" s="11"/>
      <c r="N53" s="11"/>
      <c r="O53" s="195"/>
      <c r="P53" s="11"/>
      <c r="Q53" s="11"/>
      <c r="R53" s="12"/>
      <c r="S53" s="11"/>
      <c r="T53" s="220"/>
      <c r="U53" s="184"/>
      <c r="V53" s="184"/>
      <c r="W53" s="11"/>
      <c r="X53" s="11"/>
      <c r="Y53" s="220"/>
      <c r="Z53" s="184"/>
      <c r="AA53" s="184"/>
      <c r="AB53" s="11"/>
      <c r="AC53" s="11"/>
      <c r="AD53" s="220"/>
      <c r="AE53" s="184"/>
      <c r="AF53" s="184"/>
      <c r="AG53" s="11"/>
      <c r="AH53" s="11"/>
      <c r="AI53" s="220"/>
      <c r="AJ53" s="184"/>
      <c r="AK53" s="184"/>
      <c r="AL53" s="11"/>
      <c r="AM53" s="11"/>
      <c r="AN53" s="220"/>
      <c r="AO53" s="184"/>
      <c r="AP53" s="184"/>
      <c r="AQ53" s="11"/>
      <c r="AR53" s="11"/>
      <c r="AS53" s="220"/>
      <c r="AT53" s="184"/>
      <c r="AU53" s="184"/>
      <c r="AV53" s="11"/>
      <c r="AW53" s="11"/>
      <c r="AX53" s="220"/>
      <c r="AY53" s="184"/>
      <c r="AZ53" s="184"/>
      <c r="BA53" s="11"/>
      <c r="BB53" s="11"/>
      <c r="BC53" s="220"/>
      <c r="BD53" s="184"/>
      <c r="BE53" s="184"/>
      <c r="BF53" s="11"/>
      <c r="BG53" s="11"/>
      <c r="BH53" s="220"/>
      <c r="BI53" s="184"/>
      <c r="BJ53" s="184"/>
      <c r="BK53" s="184"/>
      <c r="BL53" s="184"/>
      <c r="BM53" s="184"/>
      <c r="BN53" s="184"/>
      <c r="BO53" s="184"/>
      <c r="BP53" s="184"/>
    </row>
    <row r="54">
      <c r="A54" s="245" t="str">
        <f>IF( $AR$11 = "再製作", "◼︎ ステンカラーコート（対応着地：再製作）" &amp;char(10)&amp; "《修正数値》", IF($AR$11 &lt;&gt; "", "◼︎ ステンカラーコート（対応着地：お直し）" &amp;char(10)&amp; "《修正数値》", ""))</f>
        <v/>
      </c>
      <c r="B54" s="240"/>
      <c r="C54" s="11"/>
      <c r="D54" s="11"/>
      <c r="E54" s="220"/>
      <c r="F54" s="220"/>
      <c r="G54" s="220"/>
      <c r="H54" s="11"/>
      <c r="I54" s="11"/>
      <c r="J54" s="220"/>
      <c r="K54" s="184"/>
      <c r="L54" s="184"/>
      <c r="M54" s="11"/>
      <c r="N54" s="11"/>
      <c r="O54" s="195"/>
      <c r="P54" s="11"/>
      <c r="Q54" s="11"/>
      <c r="R54" s="12"/>
      <c r="S54" s="11"/>
      <c r="T54" s="220"/>
      <c r="U54" s="184"/>
      <c r="V54" s="184"/>
      <c r="W54" s="11"/>
      <c r="X54" s="11"/>
      <c r="Y54" s="220"/>
      <c r="Z54" s="184"/>
      <c r="AA54" s="184"/>
      <c r="AB54" s="11"/>
      <c r="AC54" s="11"/>
      <c r="AD54" s="220"/>
      <c r="AE54" s="184"/>
      <c r="AF54" s="184"/>
      <c r="AG54" s="11"/>
      <c r="AH54" s="11"/>
      <c r="AI54" s="220"/>
      <c r="AJ54" s="184"/>
      <c r="AK54" s="184"/>
      <c r="AL54" s="11"/>
      <c r="AM54" s="11"/>
      <c r="AN54" s="220"/>
      <c r="AO54" s="184"/>
      <c r="AP54" s="184"/>
      <c r="AQ54" s="11"/>
      <c r="AR54" s="11"/>
      <c r="AS54" s="220"/>
      <c r="AT54" s="184"/>
      <c r="AU54" s="184"/>
      <c r="AV54" s="11"/>
      <c r="AW54" s="11"/>
      <c r="AX54" s="220"/>
      <c r="AY54" s="184"/>
      <c r="AZ54" s="184"/>
      <c r="BA54" s="11"/>
      <c r="BB54" s="11"/>
      <c r="BC54" s="220"/>
      <c r="BD54" s="184"/>
      <c r="BE54" s="184"/>
      <c r="BF54" s="11"/>
      <c r="BG54" s="11"/>
      <c r="BH54" s="220"/>
      <c r="BI54" s="184"/>
      <c r="BJ54" s="184"/>
      <c r="BK54" s="184"/>
      <c r="BL54" s="184"/>
      <c r="BM54" s="184"/>
      <c r="BN54" s="184"/>
      <c r="BO54" s="184"/>
      <c r="BP54" s="184"/>
    </row>
    <row r="55">
      <c r="A55" s="228" t="str">
        <f>IFERROR(__xludf.DUMMYFUNCTION("TEXTJOIN(CHAR(10),TRUE,FILTER(ARRAYFORMULA(IF(AS$14:AS72&lt;&gt;"""",AR$14:AR72&amp;"" : ""&amp; AS$14:AS72 &amp;"" cm"","""")), AR$14:AR72 &lt;&gt;""""))"),"")</f>
        <v/>
      </c>
      <c r="B55" s="240"/>
      <c r="C55" s="11"/>
      <c r="D55" s="11"/>
      <c r="E55" s="220"/>
      <c r="F55" s="220"/>
      <c r="G55" s="220"/>
      <c r="H55" s="11"/>
      <c r="I55" s="11"/>
      <c r="J55" s="220"/>
      <c r="K55" s="184"/>
      <c r="L55" s="184"/>
      <c r="M55" s="11"/>
      <c r="N55" s="11"/>
      <c r="O55" s="195"/>
      <c r="P55" s="11"/>
      <c r="Q55" s="11"/>
      <c r="R55" s="12"/>
      <c r="S55" s="11"/>
      <c r="T55" s="220"/>
      <c r="U55" s="184"/>
      <c r="V55" s="184"/>
      <c r="W55" s="11"/>
      <c r="X55" s="11"/>
      <c r="Y55" s="220"/>
      <c r="Z55" s="184"/>
      <c r="AA55" s="184"/>
      <c r="AB55" s="11"/>
      <c r="AC55" s="11"/>
      <c r="AD55" s="220"/>
      <c r="AE55" s="184"/>
      <c r="AF55" s="184"/>
      <c r="AG55" s="11"/>
      <c r="AH55" s="11"/>
      <c r="AI55" s="220"/>
      <c r="AJ55" s="184"/>
      <c r="AK55" s="184"/>
      <c r="AL55" s="11"/>
      <c r="AM55" s="11"/>
      <c r="AN55" s="220"/>
      <c r="AO55" s="184"/>
      <c r="AP55" s="184"/>
      <c r="AQ55" s="11"/>
      <c r="AR55" s="11"/>
      <c r="AS55" s="220"/>
      <c r="AT55" s="184"/>
      <c r="AU55" s="184"/>
      <c r="AV55" s="11"/>
      <c r="AW55" s="11"/>
      <c r="AX55" s="220"/>
      <c r="AY55" s="184"/>
      <c r="AZ55" s="184"/>
      <c r="BA55" s="11"/>
      <c r="BB55" s="11"/>
      <c r="BC55" s="220"/>
      <c r="BD55" s="184"/>
      <c r="BE55" s="184"/>
      <c r="BF55" s="11"/>
      <c r="BG55" s="11"/>
      <c r="BH55" s="220"/>
      <c r="BI55" s="184"/>
      <c r="BJ55" s="184"/>
      <c r="BK55" s="184"/>
      <c r="BL55" s="184"/>
      <c r="BM55" s="184"/>
      <c r="BN55" s="184"/>
      <c r="BO55" s="184"/>
      <c r="BP55" s="184"/>
    </row>
    <row r="56">
      <c r="A56" s="244" t="str">
        <f>if($A$54&lt;&gt;"", "《仕上がり数値》","")</f>
        <v/>
      </c>
      <c r="B56" s="240"/>
      <c r="C56" s="11"/>
      <c r="D56" s="11"/>
      <c r="E56" s="220"/>
      <c r="F56" s="220"/>
      <c r="G56" s="220"/>
      <c r="H56" s="11"/>
      <c r="I56" s="11"/>
      <c r="J56" s="220"/>
      <c r="K56" s="184"/>
      <c r="L56" s="184"/>
      <c r="M56" s="11"/>
      <c r="N56" s="11"/>
      <c r="O56" s="195"/>
      <c r="P56" s="11"/>
      <c r="Q56" s="11"/>
      <c r="R56" s="12"/>
      <c r="S56" s="11"/>
      <c r="T56" s="220"/>
      <c r="U56" s="184"/>
      <c r="V56" s="184"/>
      <c r="W56" s="11"/>
      <c r="X56" s="11"/>
      <c r="Y56" s="220"/>
      <c r="Z56" s="184"/>
      <c r="AA56" s="184"/>
      <c r="AB56" s="11"/>
      <c r="AC56" s="11"/>
      <c r="AD56" s="220"/>
      <c r="AE56" s="184"/>
      <c r="AF56" s="184"/>
      <c r="AG56" s="11"/>
      <c r="AH56" s="11"/>
      <c r="AI56" s="220"/>
      <c r="AJ56" s="184"/>
      <c r="AK56" s="184"/>
      <c r="AL56" s="11"/>
      <c r="AM56" s="11"/>
      <c r="AN56" s="220"/>
      <c r="AO56" s="184"/>
      <c r="AP56" s="184"/>
      <c r="AQ56" s="11"/>
      <c r="AR56" s="11"/>
      <c r="AS56" s="220"/>
      <c r="AT56" s="184"/>
      <c r="AU56" s="184"/>
      <c r="AV56" s="11"/>
      <c r="AW56" s="11"/>
      <c r="AX56" s="220"/>
      <c r="AY56" s="184"/>
      <c r="AZ56" s="184"/>
      <c r="BA56" s="11"/>
      <c r="BB56" s="11"/>
      <c r="BC56" s="220"/>
      <c r="BD56" s="184"/>
      <c r="BE56" s="184"/>
      <c r="BF56" s="11"/>
      <c r="BG56" s="11"/>
      <c r="BH56" s="220"/>
      <c r="BI56" s="184"/>
      <c r="BJ56" s="184"/>
      <c r="BK56" s="184"/>
      <c r="BL56" s="184"/>
      <c r="BM56" s="184"/>
      <c r="BN56" s="184"/>
      <c r="BO56" s="184"/>
      <c r="BP56" s="184"/>
    </row>
    <row r="57">
      <c r="A57" s="228" t="str">
        <f>IFERROR(__xludf.DUMMYFUNCTION("TEXTJOIN(CHAR(10),TRUE,FILTER(ARRAYFORMULA(IF(AS$14:AS72&lt;&gt;"""",AR$14:AR72&amp;"" :  cm"","""")), AR$14:AR72 &lt;&gt;""""))"),"")</f>
        <v/>
      </c>
      <c r="B57" s="240"/>
      <c r="C57" s="11"/>
      <c r="D57" s="11"/>
      <c r="E57" s="220"/>
      <c r="F57" s="220"/>
      <c r="G57" s="220"/>
      <c r="H57" s="11"/>
      <c r="I57" s="11"/>
      <c r="J57" s="220"/>
      <c r="K57" s="184"/>
      <c r="L57" s="184"/>
      <c r="M57" s="11"/>
      <c r="N57" s="11"/>
      <c r="O57" s="195"/>
      <c r="P57" s="11"/>
      <c r="Q57" s="11"/>
      <c r="R57" s="12"/>
      <c r="S57" s="11"/>
      <c r="T57" s="220"/>
      <c r="U57" s="184"/>
      <c r="V57" s="184"/>
      <c r="W57" s="11"/>
      <c r="X57" s="11"/>
      <c r="Y57" s="220"/>
      <c r="Z57" s="184"/>
      <c r="AA57" s="184"/>
      <c r="AB57" s="11"/>
      <c r="AC57" s="11"/>
      <c r="AD57" s="220"/>
      <c r="AE57" s="184"/>
      <c r="AF57" s="184"/>
      <c r="AG57" s="11"/>
      <c r="AH57" s="11"/>
      <c r="AI57" s="220"/>
      <c r="AJ57" s="184"/>
      <c r="AK57" s="184"/>
      <c r="AL57" s="11"/>
      <c r="AM57" s="11"/>
      <c r="AN57" s="220"/>
      <c r="AO57" s="184"/>
      <c r="AP57" s="184"/>
      <c r="AQ57" s="11"/>
      <c r="AR57" s="11"/>
      <c r="AS57" s="220"/>
      <c r="AT57" s="184"/>
      <c r="AU57" s="184"/>
      <c r="AV57" s="11"/>
      <c r="AW57" s="11"/>
      <c r="AX57" s="220"/>
      <c r="AY57" s="184"/>
      <c r="AZ57" s="184"/>
      <c r="BA57" s="11"/>
      <c r="BB57" s="11"/>
      <c r="BC57" s="220"/>
      <c r="BD57" s="184"/>
      <c r="BE57" s="184"/>
      <c r="BF57" s="11"/>
      <c r="BG57" s="11"/>
      <c r="BH57" s="220"/>
      <c r="BI57" s="184"/>
      <c r="BJ57" s="184"/>
      <c r="BK57" s="184"/>
      <c r="BL57" s="184"/>
      <c r="BM57" s="184"/>
      <c r="BN57" s="184"/>
      <c r="BO57" s="184"/>
      <c r="BP57" s="184"/>
    </row>
    <row r="58">
      <c r="A58" s="243" t="s">
        <v>124</v>
      </c>
      <c r="B58" s="240"/>
      <c r="C58" s="11"/>
      <c r="D58" s="11"/>
      <c r="E58" s="220"/>
      <c r="F58" s="220"/>
      <c r="G58" s="220"/>
      <c r="H58" s="11"/>
      <c r="I58" s="11"/>
      <c r="J58" s="220"/>
      <c r="K58" s="184"/>
      <c r="L58" s="184"/>
      <c r="M58" s="11"/>
      <c r="N58" s="11"/>
      <c r="O58" s="195"/>
      <c r="P58" s="11"/>
      <c r="Q58" s="11"/>
      <c r="R58" s="12"/>
      <c r="S58" s="11"/>
      <c r="T58" s="220"/>
      <c r="U58" s="184"/>
      <c r="V58" s="184"/>
      <c r="W58" s="11"/>
      <c r="X58" s="11"/>
      <c r="Y58" s="220"/>
      <c r="Z58" s="184"/>
      <c r="AA58" s="184"/>
      <c r="AB58" s="11"/>
      <c r="AC58" s="11"/>
      <c r="AD58" s="220"/>
      <c r="AE58" s="184"/>
      <c r="AF58" s="184"/>
      <c r="AG58" s="11"/>
      <c r="AH58" s="11"/>
      <c r="AI58" s="220"/>
      <c r="AJ58" s="184"/>
      <c r="AK58" s="184"/>
      <c r="AL58" s="11"/>
      <c r="AM58" s="11"/>
      <c r="AN58" s="220"/>
      <c r="AO58" s="184"/>
      <c r="AP58" s="184"/>
      <c r="AQ58" s="11"/>
      <c r="AR58" s="11"/>
      <c r="AS58" s="220"/>
      <c r="AT58" s="184"/>
      <c r="AU58" s="184"/>
      <c r="AV58" s="11"/>
      <c r="AW58" s="11"/>
      <c r="AX58" s="220"/>
      <c r="AY58" s="184"/>
      <c r="AZ58" s="184"/>
      <c r="BA58" s="11"/>
      <c r="BB58" s="11"/>
      <c r="BC58" s="220"/>
      <c r="BD58" s="184"/>
      <c r="BE58" s="184"/>
      <c r="BF58" s="11"/>
      <c r="BG58" s="11"/>
      <c r="BH58" s="220"/>
      <c r="BI58" s="184"/>
      <c r="BJ58" s="184"/>
      <c r="BK58" s="184"/>
      <c r="BL58" s="184"/>
      <c r="BM58" s="184"/>
      <c r="BN58" s="184"/>
      <c r="BO58" s="184"/>
      <c r="BP58" s="184"/>
    </row>
    <row r="59">
      <c r="A59" s="245" t="str">
        <f>IF( $AW$11 = "再製作", "◼︎ チェスターコート（対応着地：再製作）" &amp;char(10)&amp;"《修正数値》", IF($AW$11 &lt;&gt; "", "◼︎ チェスターコート（対応着地：お直し）" &amp;char(10)&amp;"《修正数値》", ""))</f>
        <v/>
      </c>
      <c r="B59" s="240"/>
      <c r="C59" s="11"/>
      <c r="D59" s="11"/>
      <c r="E59" s="220"/>
      <c r="F59" s="220"/>
      <c r="G59" s="220"/>
      <c r="H59" s="11"/>
      <c r="I59" s="11"/>
      <c r="J59" s="220"/>
      <c r="K59" s="184"/>
      <c r="L59" s="184"/>
      <c r="M59" s="11"/>
      <c r="N59" s="11"/>
      <c r="O59" s="195"/>
      <c r="P59" s="11"/>
      <c r="Q59" s="11"/>
      <c r="R59" s="12"/>
      <c r="S59" s="11"/>
      <c r="T59" s="220"/>
      <c r="U59" s="184"/>
      <c r="V59" s="184"/>
      <c r="W59" s="11"/>
      <c r="X59" s="11"/>
      <c r="Y59" s="220"/>
      <c r="Z59" s="184"/>
      <c r="AA59" s="184"/>
      <c r="AB59" s="11"/>
      <c r="AC59" s="11"/>
      <c r="AD59" s="220"/>
      <c r="AE59" s="184"/>
      <c r="AF59" s="184"/>
      <c r="AG59" s="11"/>
      <c r="AH59" s="11"/>
      <c r="AI59" s="220"/>
      <c r="AJ59" s="184"/>
      <c r="AK59" s="184"/>
      <c r="AL59" s="11"/>
      <c r="AM59" s="11"/>
      <c r="AN59" s="220"/>
      <c r="AO59" s="184"/>
      <c r="AP59" s="184"/>
      <c r="AQ59" s="11"/>
      <c r="AR59" s="11"/>
      <c r="AS59" s="220"/>
      <c r="AT59" s="184"/>
      <c r="AU59" s="184"/>
      <c r="AV59" s="11"/>
      <c r="AW59" s="11"/>
      <c r="AX59" s="220"/>
      <c r="AY59" s="184"/>
      <c r="AZ59" s="184"/>
      <c r="BA59" s="11"/>
      <c r="BB59" s="11"/>
      <c r="BC59" s="220"/>
      <c r="BD59" s="184"/>
      <c r="BE59" s="184"/>
      <c r="BF59" s="11"/>
      <c r="BG59" s="11"/>
      <c r="BH59" s="220"/>
      <c r="BI59" s="184"/>
      <c r="BJ59" s="184"/>
      <c r="BK59" s="184"/>
      <c r="BL59" s="184"/>
      <c r="BM59" s="184"/>
      <c r="BN59" s="184"/>
      <c r="BO59" s="184"/>
      <c r="BP59" s="184"/>
    </row>
    <row r="60">
      <c r="A60" s="228" t="str">
        <f>IFERROR(__xludf.DUMMYFUNCTION("TEXTJOIN(CHAR(10),TRUE,FILTER(ARRAYFORMULA(IF(AX$14:AX72&lt;&gt;"""",AW$14:AW72&amp;"" : ""&amp; AX$14:AX72 &amp;"" cm"","""")), AC$14:AC72 &lt;&gt;""""))"),"")</f>
        <v/>
      </c>
      <c r="B60" s="240"/>
      <c r="C60" s="11"/>
      <c r="D60" s="11"/>
      <c r="E60" s="220"/>
      <c r="F60" s="220"/>
      <c r="G60" s="220"/>
      <c r="H60" s="11"/>
      <c r="I60" s="11"/>
      <c r="J60" s="220"/>
      <c r="K60" s="184"/>
      <c r="L60" s="184"/>
      <c r="M60" s="11"/>
      <c r="N60" s="11"/>
      <c r="O60" s="195"/>
      <c r="P60" s="11"/>
      <c r="Q60" s="11"/>
      <c r="R60" s="12"/>
      <c r="S60" s="11"/>
      <c r="T60" s="220"/>
      <c r="U60" s="184"/>
      <c r="V60" s="184"/>
      <c r="W60" s="11"/>
      <c r="X60" s="11"/>
      <c r="Y60" s="220"/>
      <c r="Z60" s="184"/>
      <c r="AA60" s="184"/>
      <c r="AB60" s="11"/>
      <c r="AC60" s="11"/>
      <c r="AD60" s="220"/>
      <c r="AE60" s="184"/>
      <c r="AF60" s="184"/>
      <c r="AG60" s="11"/>
      <c r="AH60" s="11"/>
      <c r="AI60" s="220"/>
      <c r="AJ60" s="184"/>
      <c r="AK60" s="184"/>
      <c r="AL60" s="11"/>
      <c r="AM60" s="11"/>
      <c r="AN60" s="220"/>
      <c r="AO60" s="184"/>
      <c r="AP60" s="184"/>
      <c r="AQ60" s="11"/>
      <c r="AR60" s="11"/>
      <c r="AS60" s="220"/>
      <c r="AT60" s="184"/>
      <c r="AU60" s="184"/>
      <c r="AV60" s="11"/>
      <c r="AW60" s="11"/>
      <c r="AX60" s="220"/>
      <c r="AY60" s="184"/>
      <c r="AZ60" s="184"/>
      <c r="BA60" s="11"/>
      <c r="BB60" s="11"/>
      <c r="BC60" s="220"/>
      <c r="BD60" s="184"/>
      <c r="BE60" s="184"/>
      <c r="BF60" s="11"/>
      <c r="BG60" s="11"/>
      <c r="BH60" s="220"/>
      <c r="BI60" s="184"/>
      <c r="BJ60" s="184"/>
      <c r="BK60" s="184"/>
      <c r="BL60" s="184"/>
      <c r="BM60" s="184"/>
      <c r="BN60" s="184"/>
      <c r="BO60" s="184"/>
      <c r="BP60" s="184"/>
    </row>
    <row r="61">
      <c r="A61" s="244" t="str">
        <f>if($A$59&lt;&gt;"", "《仕上がり数値》","")</f>
        <v/>
      </c>
      <c r="B61" s="240"/>
      <c r="C61" s="11"/>
      <c r="D61" s="11"/>
      <c r="E61" s="220"/>
      <c r="F61" s="220"/>
      <c r="G61" s="220"/>
      <c r="H61" s="11"/>
      <c r="I61" s="11"/>
      <c r="J61" s="220"/>
      <c r="K61" s="184"/>
      <c r="L61" s="184"/>
      <c r="M61" s="11"/>
      <c r="N61" s="11"/>
      <c r="O61" s="195"/>
      <c r="P61" s="11"/>
      <c r="Q61" s="11"/>
      <c r="R61" s="12"/>
      <c r="S61" s="11"/>
      <c r="T61" s="220"/>
      <c r="U61" s="184"/>
      <c r="V61" s="184"/>
      <c r="W61" s="11"/>
      <c r="X61" s="11"/>
      <c r="Y61" s="220"/>
      <c r="Z61" s="184"/>
      <c r="AA61" s="184"/>
      <c r="AB61" s="11"/>
      <c r="AC61" s="11"/>
      <c r="AD61" s="220"/>
      <c r="AE61" s="184"/>
      <c r="AF61" s="184"/>
      <c r="AG61" s="11"/>
      <c r="AH61" s="11"/>
      <c r="AI61" s="220"/>
      <c r="AJ61" s="184"/>
      <c r="AK61" s="184"/>
      <c r="AL61" s="11"/>
      <c r="AM61" s="11"/>
      <c r="AN61" s="220"/>
      <c r="AO61" s="184"/>
      <c r="AP61" s="184"/>
      <c r="AQ61" s="11"/>
      <c r="AR61" s="11"/>
      <c r="AS61" s="220"/>
      <c r="AT61" s="184"/>
      <c r="AU61" s="184"/>
      <c r="AV61" s="11"/>
      <c r="AW61" s="11"/>
      <c r="AX61" s="220"/>
      <c r="AY61" s="184"/>
      <c r="AZ61" s="184"/>
      <c r="BA61" s="11"/>
      <c r="BB61" s="11"/>
      <c r="BC61" s="220"/>
      <c r="BD61" s="184"/>
      <c r="BE61" s="184"/>
      <c r="BF61" s="11"/>
      <c r="BG61" s="11"/>
      <c r="BH61" s="220"/>
      <c r="BI61" s="184"/>
      <c r="BJ61" s="184"/>
      <c r="BK61" s="184"/>
      <c r="BL61" s="184"/>
      <c r="BM61" s="184"/>
      <c r="BN61" s="184"/>
      <c r="BO61" s="184"/>
      <c r="BP61" s="184"/>
    </row>
    <row r="62">
      <c r="A62" s="228" t="str">
        <f>IFERROR(__xludf.DUMMYFUNCTION("TEXTJOIN(CHAR(10),TRUE,FILTER(ARRAYFORMULA(IF(AX$14:AX72&lt;&gt;"""",AW$14:AW72&amp;"" :  cm"","""")), AC$14:AC72 &lt;&gt;""""))"),"")</f>
        <v/>
      </c>
      <c r="B62" s="240"/>
      <c r="C62" s="11"/>
      <c r="D62" s="11"/>
      <c r="E62" s="220"/>
      <c r="F62" s="220"/>
      <c r="G62" s="220"/>
      <c r="H62" s="11"/>
      <c r="I62" s="11"/>
      <c r="J62" s="220"/>
      <c r="K62" s="184"/>
      <c r="L62" s="184"/>
      <c r="M62" s="11"/>
      <c r="N62" s="11"/>
      <c r="O62" s="195"/>
      <c r="P62" s="11"/>
      <c r="Q62" s="11"/>
      <c r="R62" s="12"/>
      <c r="S62" s="11"/>
      <c r="T62" s="220"/>
      <c r="U62" s="184"/>
      <c r="V62" s="184"/>
      <c r="W62" s="11"/>
      <c r="X62" s="11"/>
      <c r="Y62" s="220"/>
      <c r="Z62" s="184"/>
      <c r="AA62" s="184"/>
      <c r="AB62" s="11"/>
      <c r="AC62" s="11"/>
      <c r="AD62" s="220"/>
      <c r="AE62" s="184"/>
      <c r="AF62" s="184"/>
      <c r="AG62" s="11"/>
      <c r="AH62" s="11"/>
      <c r="AI62" s="220"/>
      <c r="AJ62" s="184"/>
      <c r="AK62" s="184"/>
      <c r="AL62" s="11"/>
      <c r="AM62" s="11"/>
      <c r="AN62" s="220"/>
      <c r="AO62" s="184"/>
      <c r="AP62" s="184"/>
      <c r="AQ62" s="11"/>
      <c r="AR62" s="11"/>
      <c r="AS62" s="220"/>
      <c r="AT62" s="184"/>
      <c r="AU62" s="184"/>
      <c r="AV62" s="11"/>
      <c r="AW62" s="11"/>
      <c r="AX62" s="220"/>
      <c r="AY62" s="184"/>
      <c r="AZ62" s="184"/>
      <c r="BA62" s="11"/>
      <c r="BB62" s="11"/>
      <c r="BC62" s="220"/>
      <c r="BD62" s="184"/>
      <c r="BE62" s="184"/>
      <c r="BF62" s="11"/>
      <c r="BG62" s="11"/>
      <c r="BH62" s="220"/>
      <c r="BI62" s="184"/>
      <c r="BJ62" s="184"/>
      <c r="BK62" s="184"/>
      <c r="BL62" s="184"/>
      <c r="BM62" s="184"/>
      <c r="BN62" s="184"/>
      <c r="BO62" s="184"/>
      <c r="BP62" s="184"/>
    </row>
    <row r="63">
      <c r="A63" s="243" t="s">
        <v>125</v>
      </c>
      <c r="B63" s="240"/>
      <c r="C63" s="11"/>
      <c r="D63" s="11"/>
      <c r="E63" s="220"/>
      <c r="F63" s="220"/>
      <c r="G63" s="220"/>
      <c r="H63" s="11"/>
      <c r="I63" s="11"/>
      <c r="J63" s="220"/>
      <c r="K63" s="184"/>
      <c r="L63" s="184"/>
      <c r="M63" s="11"/>
      <c r="N63" s="11"/>
      <c r="O63" s="195"/>
      <c r="P63" s="11"/>
      <c r="Q63" s="11"/>
      <c r="R63" s="12"/>
      <c r="S63" s="11"/>
      <c r="T63" s="220"/>
      <c r="U63" s="184"/>
      <c r="V63" s="184"/>
      <c r="W63" s="11"/>
      <c r="X63" s="11"/>
      <c r="Y63" s="220"/>
      <c r="Z63" s="184"/>
      <c r="AA63" s="184"/>
      <c r="AB63" s="11"/>
      <c r="AC63" s="11"/>
      <c r="AD63" s="220"/>
      <c r="AE63" s="184"/>
      <c r="AF63" s="184"/>
      <c r="AG63" s="11"/>
      <c r="AH63" s="11"/>
      <c r="AI63" s="220"/>
      <c r="AJ63" s="184"/>
      <c r="AK63" s="184"/>
      <c r="AL63" s="11"/>
      <c r="AM63" s="11"/>
      <c r="AN63" s="220"/>
      <c r="AO63" s="184"/>
      <c r="AP63" s="184"/>
      <c r="AQ63" s="11"/>
      <c r="AR63" s="11"/>
      <c r="AS63" s="220"/>
      <c r="AT63" s="184"/>
      <c r="AU63" s="184"/>
      <c r="AV63" s="11"/>
      <c r="AW63" s="11"/>
      <c r="AX63" s="220"/>
      <c r="AY63" s="184"/>
      <c r="AZ63" s="184"/>
      <c r="BA63" s="11"/>
      <c r="BB63" s="11"/>
      <c r="BC63" s="220"/>
      <c r="BD63" s="184"/>
      <c r="BE63" s="184"/>
      <c r="BF63" s="11"/>
      <c r="BG63" s="11"/>
      <c r="BH63" s="220"/>
      <c r="BI63" s="184"/>
      <c r="BJ63" s="184"/>
      <c r="BK63" s="184"/>
      <c r="BL63" s="184"/>
      <c r="BM63" s="184"/>
      <c r="BN63" s="184"/>
      <c r="BO63" s="184"/>
      <c r="BP63" s="184"/>
    </row>
    <row r="64">
      <c r="A64" s="245" t="str">
        <f>IF( $BB$11 = "再製作", "◼︎ トレンチコート（対応着地：再製作）" &amp;char(10)&amp; "《修正数値》", IF($BB$11 &lt;&gt; "", "◼︎ トレンチコート（対応着地：お直し）" &amp;char(10)&amp; "《修正数値》", ""))</f>
        <v/>
      </c>
      <c r="B64" s="240"/>
      <c r="C64" s="11"/>
      <c r="D64" s="11"/>
      <c r="E64" s="220"/>
      <c r="F64" s="220"/>
      <c r="G64" s="220"/>
      <c r="H64" s="11"/>
      <c r="I64" s="11"/>
      <c r="J64" s="220"/>
      <c r="K64" s="184"/>
      <c r="L64" s="184"/>
      <c r="M64" s="11"/>
      <c r="N64" s="11"/>
      <c r="O64" s="195"/>
      <c r="P64" s="11"/>
      <c r="Q64" s="11"/>
      <c r="R64" s="12"/>
      <c r="S64" s="11"/>
      <c r="T64" s="220"/>
      <c r="U64" s="184"/>
      <c r="V64" s="184"/>
      <c r="W64" s="11"/>
      <c r="X64" s="11"/>
      <c r="Y64" s="220"/>
      <c r="Z64" s="184"/>
      <c r="AA64" s="184"/>
      <c r="AB64" s="11"/>
      <c r="AC64" s="11"/>
      <c r="AD64" s="220"/>
      <c r="AE64" s="184"/>
      <c r="AF64" s="184"/>
      <c r="AG64" s="11"/>
      <c r="AH64" s="11"/>
      <c r="AI64" s="220"/>
      <c r="AJ64" s="184"/>
      <c r="AK64" s="184"/>
      <c r="AL64" s="11"/>
      <c r="AM64" s="11"/>
      <c r="AN64" s="220"/>
      <c r="AO64" s="184"/>
      <c r="AP64" s="184"/>
      <c r="AQ64" s="11"/>
      <c r="AR64" s="11"/>
      <c r="AS64" s="220"/>
      <c r="AT64" s="184"/>
      <c r="AU64" s="184"/>
      <c r="AV64" s="11"/>
      <c r="AW64" s="11"/>
      <c r="AX64" s="220"/>
      <c r="AY64" s="184"/>
      <c r="AZ64" s="184"/>
      <c r="BA64" s="11"/>
      <c r="BB64" s="11"/>
      <c r="BC64" s="220"/>
      <c r="BD64" s="184"/>
      <c r="BE64" s="184"/>
      <c r="BF64" s="11"/>
      <c r="BG64" s="11"/>
      <c r="BH64" s="220"/>
      <c r="BI64" s="184"/>
      <c r="BJ64" s="184"/>
      <c r="BK64" s="184"/>
      <c r="BL64" s="184"/>
      <c r="BM64" s="184"/>
      <c r="BN64" s="184"/>
      <c r="BO64" s="184"/>
      <c r="BP64" s="184"/>
    </row>
    <row r="65">
      <c r="A65" s="228" t="str">
        <f>IFERROR(__xludf.DUMMYFUNCTION("TEXTJOIN(CHAR(10),TRUE,FILTER(ARRAYFORMULA(IF(BC$14:BC72&lt;&gt;"""",BB$14:BB72&amp;"" : ""&amp; BC$14:BC72 &amp;"" cm"","""")), BB$14:BB72 &lt;&gt;""""))"),"")</f>
        <v/>
      </c>
      <c r="B65" s="240"/>
      <c r="C65" s="11"/>
      <c r="D65" s="11"/>
      <c r="E65" s="220"/>
      <c r="F65" s="220"/>
      <c r="G65" s="220"/>
      <c r="H65" s="11"/>
      <c r="I65" s="11"/>
      <c r="J65" s="220"/>
      <c r="K65" s="184"/>
      <c r="L65" s="184"/>
      <c r="M65" s="11"/>
      <c r="N65" s="11"/>
      <c r="O65" s="195"/>
      <c r="P65" s="11"/>
      <c r="Q65" s="11"/>
      <c r="R65" s="12"/>
      <c r="S65" s="11"/>
      <c r="T65" s="220"/>
      <c r="U65" s="184"/>
      <c r="V65" s="184"/>
      <c r="W65" s="11"/>
      <c r="X65" s="11"/>
      <c r="Y65" s="220"/>
      <c r="Z65" s="184"/>
      <c r="AA65" s="184"/>
      <c r="AB65" s="11"/>
      <c r="AC65" s="11"/>
      <c r="AD65" s="220"/>
      <c r="AE65" s="184"/>
      <c r="AF65" s="184"/>
      <c r="AG65" s="11"/>
      <c r="AH65" s="11"/>
      <c r="AI65" s="220"/>
      <c r="AJ65" s="184"/>
      <c r="AK65" s="184"/>
      <c r="AL65" s="11"/>
      <c r="AM65" s="11"/>
      <c r="AN65" s="220"/>
      <c r="AO65" s="184"/>
      <c r="AP65" s="184"/>
      <c r="AQ65" s="11"/>
      <c r="AR65" s="11"/>
      <c r="AS65" s="220"/>
      <c r="AT65" s="184"/>
      <c r="AU65" s="184"/>
      <c r="AV65" s="11"/>
      <c r="AW65" s="11"/>
      <c r="AX65" s="220"/>
      <c r="AY65" s="184"/>
      <c r="AZ65" s="184"/>
      <c r="BA65" s="11"/>
      <c r="BB65" s="11"/>
      <c r="BC65" s="220"/>
      <c r="BD65" s="184"/>
      <c r="BE65" s="184"/>
      <c r="BF65" s="11"/>
      <c r="BG65" s="11"/>
      <c r="BH65" s="220"/>
      <c r="BI65" s="184"/>
      <c r="BJ65" s="184"/>
      <c r="BK65" s="184"/>
      <c r="BL65" s="184"/>
      <c r="BM65" s="184"/>
      <c r="BN65" s="184"/>
      <c r="BO65" s="184"/>
      <c r="BP65" s="184"/>
    </row>
    <row r="66">
      <c r="A66" s="244" t="str">
        <f>if($A$64&lt;&gt;"", "《仕上がり数値》","")</f>
        <v/>
      </c>
      <c r="B66" s="240"/>
      <c r="C66" s="11"/>
      <c r="D66" s="11"/>
      <c r="E66" s="220"/>
      <c r="F66" s="220"/>
      <c r="G66" s="220"/>
      <c r="H66" s="11"/>
      <c r="I66" s="11"/>
      <c r="J66" s="220"/>
      <c r="K66" s="184"/>
      <c r="L66" s="184"/>
      <c r="M66" s="11"/>
      <c r="N66" s="11"/>
      <c r="O66" s="195"/>
      <c r="P66" s="11"/>
      <c r="Q66" s="11"/>
      <c r="R66" s="12"/>
      <c r="S66" s="11"/>
      <c r="T66" s="220"/>
      <c r="U66" s="184"/>
      <c r="V66" s="184"/>
      <c r="W66" s="11"/>
      <c r="X66" s="11"/>
      <c r="Y66" s="220"/>
      <c r="Z66" s="184"/>
      <c r="AA66" s="184"/>
      <c r="AB66" s="11"/>
      <c r="AC66" s="11"/>
      <c r="AD66" s="220"/>
      <c r="AE66" s="184"/>
      <c r="AF66" s="184"/>
      <c r="AG66" s="11"/>
      <c r="AH66" s="11"/>
      <c r="AI66" s="220"/>
      <c r="AJ66" s="184"/>
      <c r="AK66" s="184"/>
      <c r="AL66" s="11"/>
      <c r="AM66" s="11"/>
      <c r="AN66" s="220"/>
      <c r="AO66" s="184"/>
      <c r="AP66" s="184"/>
      <c r="AQ66" s="11"/>
      <c r="AR66" s="11"/>
      <c r="AS66" s="220"/>
      <c r="AT66" s="184"/>
      <c r="AU66" s="184"/>
      <c r="AV66" s="11"/>
      <c r="AW66" s="11"/>
      <c r="AX66" s="220"/>
      <c r="AY66" s="184"/>
      <c r="AZ66" s="184"/>
      <c r="BA66" s="11"/>
      <c r="BB66" s="11"/>
      <c r="BC66" s="220"/>
      <c r="BD66" s="184"/>
      <c r="BE66" s="184"/>
      <c r="BF66" s="11"/>
      <c r="BG66" s="11"/>
      <c r="BH66" s="220"/>
      <c r="BI66" s="184"/>
      <c r="BJ66" s="184"/>
      <c r="BK66" s="184"/>
      <c r="BL66" s="184"/>
      <c r="BM66" s="184"/>
      <c r="BN66" s="184"/>
      <c r="BO66" s="184"/>
      <c r="BP66" s="184"/>
    </row>
    <row r="67">
      <c r="A67" s="228" t="str">
        <f>IFERROR(__xludf.DUMMYFUNCTION("TEXTJOIN(CHAR(10),TRUE,FILTER(ARRAYFORMULA(IF(BC$14:BC72&lt;&gt;"""",BB$14:BB72&amp;"" :  cm"","""")), BB$14:BB72 &lt;&gt;""""))"),"")</f>
        <v/>
      </c>
      <c r="B67" s="240"/>
      <c r="C67" s="11"/>
      <c r="D67" s="11"/>
      <c r="E67" s="220"/>
      <c r="F67" s="220"/>
      <c r="G67" s="220"/>
      <c r="H67" s="11"/>
      <c r="I67" s="11"/>
      <c r="J67" s="220"/>
      <c r="K67" s="184"/>
      <c r="L67" s="184"/>
      <c r="M67" s="11"/>
      <c r="N67" s="11"/>
      <c r="O67" s="195"/>
      <c r="P67" s="11"/>
      <c r="Q67" s="11"/>
      <c r="R67" s="12"/>
      <c r="S67" s="11"/>
      <c r="T67" s="220"/>
      <c r="U67" s="184"/>
      <c r="V67" s="184"/>
      <c r="W67" s="11"/>
      <c r="X67" s="11"/>
      <c r="Y67" s="220"/>
      <c r="Z67" s="184"/>
      <c r="AA67" s="184"/>
      <c r="AB67" s="11"/>
      <c r="AC67" s="11"/>
      <c r="AD67" s="220"/>
      <c r="AE67" s="184"/>
      <c r="AF67" s="184"/>
      <c r="AG67" s="11"/>
      <c r="AH67" s="11"/>
      <c r="AI67" s="220"/>
      <c r="AJ67" s="184"/>
      <c r="AK67" s="184"/>
      <c r="AL67" s="11"/>
      <c r="AM67" s="11"/>
      <c r="AN67" s="220"/>
      <c r="AO67" s="184"/>
      <c r="AP67" s="184"/>
      <c r="AQ67" s="11"/>
      <c r="AR67" s="11"/>
      <c r="AS67" s="220"/>
      <c r="AT67" s="184"/>
      <c r="AU67" s="184"/>
      <c r="AV67" s="11"/>
      <c r="AW67" s="11"/>
      <c r="AX67" s="220"/>
      <c r="AY67" s="184"/>
      <c r="AZ67" s="184"/>
      <c r="BA67" s="11"/>
      <c r="BB67" s="11"/>
      <c r="BC67" s="220"/>
      <c r="BD67" s="184"/>
      <c r="BE67" s="184"/>
      <c r="BF67" s="11"/>
      <c r="BG67" s="11"/>
      <c r="BH67" s="220"/>
      <c r="BI67" s="184"/>
      <c r="BJ67" s="184"/>
      <c r="BK67" s="184"/>
      <c r="BL67" s="184"/>
      <c r="BM67" s="184"/>
      <c r="BN67" s="184"/>
      <c r="BO67" s="184"/>
      <c r="BP67" s="184"/>
    </row>
    <row r="68">
      <c r="A68" s="243" t="s">
        <v>126</v>
      </c>
      <c r="B68" s="240"/>
      <c r="C68" s="11"/>
      <c r="D68" s="11"/>
      <c r="E68" s="220"/>
      <c r="F68" s="220"/>
      <c r="G68" s="220"/>
      <c r="H68" s="11"/>
      <c r="I68" s="11"/>
      <c r="J68" s="220"/>
      <c r="K68" s="184"/>
      <c r="L68" s="184"/>
      <c r="M68" s="11"/>
      <c r="N68" s="11"/>
      <c r="O68" s="195"/>
      <c r="P68" s="11"/>
      <c r="Q68" s="11"/>
      <c r="R68" s="12"/>
      <c r="S68" s="11"/>
      <c r="T68" s="220"/>
      <c r="U68" s="184"/>
      <c r="V68" s="184"/>
      <c r="W68" s="11"/>
      <c r="X68" s="11"/>
      <c r="Y68" s="220"/>
      <c r="Z68" s="184"/>
      <c r="AA68" s="184"/>
      <c r="AB68" s="11"/>
      <c r="AC68" s="11"/>
      <c r="AD68" s="220"/>
      <c r="AE68" s="184"/>
      <c r="AF68" s="184"/>
      <c r="AG68" s="11"/>
      <c r="AH68" s="11"/>
      <c r="AI68" s="220"/>
      <c r="AJ68" s="184"/>
      <c r="AK68" s="184"/>
      <c r="AL68" s="11"/>
      <c r="AM68" s="11"/>
      <c r="AN68" s="220"/>
      <c r="AO68" s="184"/>
      <c r="AP68" s="184"/>
      <c r="AQ68" s="11"/>
      <c r="AR68" s="11"/>
      <c r="AS68" s="220"/>
      <c r="AT68" s="184"/>
      <c r="AU68" s="184"/>
      <c r="AV68" s="11"/>
      <c r="AW68" s="11"/>
      <c r="AX68" s="220"/>
      <c r="AY68" s="184"/>
      <c r="AZ68" s="184"/>
      <c r="BA68" s="11"/>
      <c r="BB68" s="11"/>
      <c r="BC68" s="220"/>
      <c r="BD68" s="184"/>
      <c r="BE68" s="184"/>
      <c r="BF68" s="11"/>
      <c r="BG68" s="11"/>
      <c r="BH68" s="220"/>
      <c r="BI68" s="184"/>
      <c r="BJ68" s="184"/>
      <c r="BK68" s="184"/>
      <c r="BL68" s="184"/>
      <c r="BM68" s="184"/>
      <c r="BN68" s="184"/>
      <c r="BO68" s="184"/>
      <c r="BP68" s="184"/>
    </row>
    <row r="69">
      <c r="A69" s="245" t="str">
        <f>IF( $BG$11 = "再製作", "◼︎ フーデッドコート（対応着地：再製作）"&amp;char(10)&amp;"《修正数値》", IF($BG$11 &lt;&gt; "", "◼︎ フーデッドコート（対応着地：お直し）"&amp;char(10)&amp;"《修正数値》", ""))</f>
        <v/>
      </c>
      <c r="B69" s="240"/>
      <c r="C69" s="11"/>
      <c r="D69" s="11"/>
      <c r="E69" s="220"/>
      <c r="F69" s="220"/>
      <c r="G69" s="220"/>
      <c r="H69" s="11"/>
      <c r="I69" s="11"/>
      <c r="J69" s="220"/>
      <c r="K69" s="184"/>
      <c r="L69" s="184"/>
      <c r="M69" s="11"/>
      <c r="N69" s="11"/>
      <c r="O69" s="195"/>
      <c r="P69" s="11"/>
      <c r="Q69" s="11"/>
      <c r="R69" s="12"/>
      <c r="S69" s="11"/>
      <c r="T69" s="220"/>
      <c r="U69" s="184"/>
      <c r="V69" s="184"/>
      <c r="W69" s="11"/>
      <c r="X69" s="11"/>
      <c r="Y69" s="220"/>
      <c r="Z69" s="184"/>
      <c r="AA69" s="184"/>
      <c r="AB69" s="11"/>
      <c r="AC69" s="11"/>
      <c r="AD69" s="220"/>
      <c r="AE69" s="184"/>
      <c r="AF69" s="184"/>
      <c r="AG69" s="11"/>
      <c r="AH69" s="11"/>
      <c r="AI69" s="220"/>
      <c r="AJ69" s="184"/>
      <c r="AK69" s="184"/>
      <c r="AL69" s="11"/>
      <c r="AM69" s="11"/>
      <c r="AN69" s="220"/>
      <c r="AO69" s="184"/>
      <c r="AP69" s="184"/>
      <c r="AQ69" s="11"/>
      <c r="AR69" s="11"/>
      <c r="AS69" s="220"/>
      <c r="AT69" s="184"/>
      <c r="AU69" s="184"/>
      <c r="AV69" s="11"/>
      <c r="AW69" s="11"/>
      <c r="AX69" s="220"/>
      <c r="AY69" s="184"/>
      <c r="AZ69" s="184"/>
      <c r="BA69" s="11"/>
      <c r="BB69" s="11"/>
      <c r="BC69" s="220"/>
      <c r="BD69" s="184"/>
      <c r="BE69" s="184"/>
      <c r="BF69" s="11"/>
      <c r="BG69" s="11"/>
      <c r="BH69" s="220"/>
      <c r="BI69" s="184"/>
      <c r="BJ69" s="184"/>
      <c r="BK69" s="184"/>
      <c r="BL69" s="184"/>
      <c r="BM69" s="184"/>
      <c r="BN69" s="184"/>
      <c r="BO69" s="184"/>
      <c r="BP69" s="184"/>
    </row>
    <row r="70">
      <c r="A70" s="228" t="str">
        <f>IFERROR(__xludf.DUMMYFUNCTION("TEXTJOIN(CHAR(10),TRUE,FILTER(ARRAYFORMULA(IF(BH$14:BH72&lt;&gt;"""",BG$14:BG72&amp;"" : ""&amp; BH$14:BH72 &amp;"" cm"","""")), BG$14:BG72 &lt;&gt;""""))"),"")</f>
        <v/>
      </c>
      <c r="B70" s="240"/>
      <c r="C70" s="11"/>
      <c r="D70" s="11"/>
      <c r="E70" s="220"/>
      <c r="F70" s="220"/>
      <c r="G70" s="220"/>
      <c r="H70" s="11"/>
      <c r="I70" s="11"/>
      <c r="J70" s="220"/>
      <c r="K70" s="184"/>
      <c r="L70" s="184"/>
      <c r="M70" s="11"/>
      <c r="N70" s="11"/>
      <c r="O70" s="195"/>
      <c r="P70" s="11"/>
      <c r="Q70" s="11"/>
      <c r="R70" s="12"/>
      <c r="S70" s="11"/>
      <c r="T70" s="220"/>
      <c r="U70" s="184"/>
      <c r="V70" s="184"/>
      <c r="W70" s="11"/>
      <c r="X70" s="11"/>
      <c r="Y70" s="220"/>
      <c r="Z70" s="184"/>
      <c r="AA70" s="184"/>
      <c r="AB70" s="11"/>
      <c r="AC70" s="11"/>
      <c r="AD70" s="220"/>
      <c r="AE70" s="184"/>
      <c r="AF70" s="184"/>
      <c r="AG70" s="11"/>
      <c r="AH70" s="11"/>
      <c r="AI70" s="220"/>
      <c r="AJ70" s="184"/>
      <c r="AK70" s="184"/>
      <c r="AL70" s="11"/>
      <c r="AM70" s="11"/>
      <c r="AN70" s="220"/>
      <c r="AO70" s="184"/>
      <c r="AP70" s="184"/>
      <c r="AQ70" s="11"/>
      <c r="AR70" s="11"/>
      <c r="AS70" s="220"/>
      <c r="AT70" s="184"/>
      <c r="AU70" s="184"/>
      <c r="AV70" s="11"/>
      <c r="AW70" s="11"/>
      <c r="AX70" s="220"/>
      <c r="AY70" s="184"/>
      <c r="AZ70" s="184"/>
      <c r="BA70" s="11"/>
      <c r="BB70" s="11"/>
      <c r="BC70" s="220"/>
      <c r="BD70" s="184"/>
      <c r="BE70" s="184"/>
      <c r="BF70" s="11"/>
      <c r="BG70" s="11"/>
      <c r="BH70" s="220"/>
      <c r="BI70" s="184"/>
      <c r="BJ70" s="184"/>
      <c r="BK70" s="184"/>
      <c r="BL70" s="184"/>
      <c r="BM70" s="184"/>
      <c r="BN70" s="184"/>
      <c r="BO70" s="184"/>
      <c r="BP70" s="184"/>
    </row>
    <row r="71">
      <c r="A71" s="244" t="str">
        <f>if($A$69&lt;&gt;"", "《仕上がり数値》","")</f>
        <v/>
      </c>
      <c r="B71" s="240"/>
      <c r="C71" s="11"/>
      <c r="D71" s="11"/>
      <c r="E71" s="220"/>
      <c r="F71" s="220"/>
      <c r="G71" s="220"/>
      <c r="H71" s="11"/>
      <c r="I71" s="11"/>
      <c r="J71" s="220"/>
      <c r="K71" s="184"/>
      <c r="L71" s="184"/>
      <c r="M71" s="11"/>
      <c r="N71" s="11"/>
      <c r="O71" s="195"/>
      <c r="P71" s="11"/>
      <c r="Q71" s="11"/>
      <c r="R71" s="12"/>
      <c r="S71" s="11"/>
      <c r="T71" s="220"/>
      <c r="U71" s="184"/>
      <c r="V71" s="184"/>
      <c r="W71" s="11"/>
      <c r="X71" s="11"/>
      <c r="Y71" s="220"/>
      <c r="Z71" s="184"/>
      <c r="AA71" s="184"/>
      <c r="AB71" s="11"/>
      <c r="AC71" s="11"/>
      <c r="AD71" s="220"/>
      <c r="AE71" s="184"/>
      <c r="AF71" s="184"/>
      <c r="AG71" s="11"/>
      <c r="AH71" s="11"/>
      <c r="AI71" s="220"/>
      <c r="AJ71" s="184"/>
      <c r="AK71" s="184"/>
      <c r="AL71" s="11"/>
      <c r="AM71" s="11"/>
      <c r="AN71" s="220"/>
      <c r="AO71" s="184"/>
      <c r="AP71" s="184"/>
      <c r="AQ71" s="11"/>
      <c r="AR71" s="11"/>
      <c r="AS71" s="220"/>
      <c r="AT71" s="184"/>
      <c r="AU71" s="184"/>
      <c r="AV71" s="11"/>
      <c r="AW71" s="11"/>
      <c r="AX71" s="220"/>
      <c r="AY71" s="184"/>
      <c r="AZ71" s="184"/>
      <c r="BA71" s="11"/>
      <c r="BB71" s="11"/>
      <c r="BC71" s="220"/>
      <c r="BD71" s="184"/>
      <c r="BE71" s="184"/>
      <c r="BF71" s="11"/>
      <c r="BG71" s="11"/>
      <c r="BH71" s="220"/>
      <c r="BI71" s="184"/>
      <c r="BJ71" s="184"/>
      <c r="BK71" s="184"/>
      <c r="BL71" s="184"/>
      <c r="BM71" s="184"/>
      <c r="BN71" s="184"/>
      <c r="BO71" s="184"/>
      <c r="BP71" s="184"/>
    </row>
    <row r="72">
      <c r="A72" s="228" t="str">
        <f>IFERROR(__xludf.DUMMYFUNCTION("TEXTJOIN(CHAR(10),TRUE,FILTER(ARRAYFORMULA(IF(BH$14:BH72&lt;&gt;"""",BG$14:BG72&amp;"" :  cm"","""")), BG$14:BG72 &lt;&gt;""""))"),"")</f>
        <v/>
      </c>
      <c r="B72" s="240"/>
      <c r="C72" s="11"/>
      <c r="D72" s="11"/>
      <c r="E72" s="220"/>
      <c r="F72" s="220"/>
      <c r="G72" s="220"/>
      <c r="H72" s="11"/>
      <c r="I72" s="11"/>
      <c r="J72" s="220"/>
      <c r="K72" s="184"/>
      <c r="L72" s="184"/>
      <c r="M72" s="11"/>
      <c r="N72" s="11"/>
      <c r="O72" s="195"/>
      <c r="P72" s="11"/>
      <c r="Q72" s="11"/>
      <c r="R72" s="12"/>
      <c r="S72" s="11"/>
      <c r="T72" s="220"/>
      <c r="U72" s="184"/>
      <c r="V72" s="184"/>
      <c r="W72" s="11"/>
      <c r="X72" s="11"/>
      <c r="Y72" s="220"/>
      <c r="Z72" s="184"/>
      <c r="AA72" s="184"/>
      <c r="AB72" s="11"/>
      <c r="AC72" s="11"/>
      <c r="AD72" s="220"/>
      <c r="AE72" s="184"/>
      <c r="AF72" s="184"/>
      <c r="AG72" s="11"/>
      <c r="AH72" s="11"/>
      <c r="AI72" s="220"/>
      <c r="AJ72" s="184"/>
      <c r="AK72" s="184"/>
      <c r="AL72" s="11"/>
      <c r="AM72" s="11"/>
      <c r="AN72" s="220"/>
      <c r="AO72" s="184"/>
      <c r="AP72" s="184"/>
      <c r="AQ72" s="11"/>
      <c r="AR72" s="11"/>
      <c r="AS72" s="220"/>
      <c r="AT72" s="184"/>
      <c r="AU72" s="184"/>
      <c r="AV72" s="11"/>
      <c r="AW72" s="11"/>
      <c r="AX72" s="220"/>
      <c r="AY72" s="184"/>
      <c r="AZ72" s="184"/>
      <c r="BA72" s="11"/>
      <c r="BB72" s="11"/>
      <c r="BC72" s="220"/>
      <c r="BD72" s="184"/>
      <c r="BE72" s="184"/>
      <c r="BF72" s="11"/>
      <c r="BG72" s="11"/>
      <c r="BH72" s="220"/>
      <c r="BI72" s="184"/>
      <c r="BJ72" s="184"/>
      <c r="BK72" s="184"/>
      <c r="BL72" s="184"/>
      <c r="BM72" s="184"/>
      <c r="BN72" s="184"/>
      <c r="BO72" s="184"/>
      <c r="BP72" s="184"/>
    </row>
  </sheetData>
  <mergeCells count="1">
    <mergeCell ref="D5:G5"/>
  </mergeCells>
  <hyperlinks>
    <hyperlink r:id="rId1" location="gid=1551873484" ref="K5"/>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hidden="1" min="1" max="2" width="20.88"/>
    <col customWidth="1" min="3" max="3" width="3.88"/>
    <col customWidth="1" min="4" max="4" width="25.13"/>
    <col customWidth="1" min="5" max="6" width="12.63"/>
    <col customWidth="1" hidden="1" min="7" max="7" width="12.63"/>
    <col customWidth="1" min="8" max="8" width="6.38"/>
    <col customWidth="1" min="9" max="9" width="25.13"/>
    <col customWidth="1" min="10" max="11" width="12.63"/>
    <col customWidth="1" hidden="1" min="12" max="12" width="12.63"/>
    <col customWidth="1" min="13" max="13" width="6.38"/>
    <col customWidth="1" min="14" max="14" width="25.13"/>
    <col customWidth="1" min="15" max="16" width="12.63"/>
    <col customWidth="1" hidden="1" min="17" max="17" width="12.63"/>
    <col customWidth="1" min="18" max="18" width="6.25"/>
    <col customWidth="1" min="19" max="19" width="25.13"/>
    <col customWidth="1" min="20" max="21" width="12.63"/>
    <col customWidth="1" hidden="1" min="22" max="22" width="12.63"/>
    <col customWidth="1" min="23" max="23" width="6.38"/>
    <col customWidth="1" min="24" max="24" width="25.13"/>
    <col customWidth="1" min="25" max="26" width="12.63"/>
    <col customWidth="1" hidden="1" min="27" max="27" width="12.63"/>
    <col customWidth="1" min="28" max="28" width="6.38"/>
    <col customWidth="1" min="29" max="29" width="25.13"/>
    <col customWidth="1" min="30" max="31" width="12.63"/>
    <col customWidth="1" hidden="1" min="32" max="32" width="12.63"/>
    <col customWidth="1" min="33" max="33" width="7.13"/>
    <col customWidth="1" min="34" max="34" width="25.13"/>
    <col customWidth="1" min="35" max="36" width="12.63"/>
    <col customWidth="1" hidden="1" min="37" max="37" width="12.63"/>
    <col customWidth="1" min="38" max="38" width="7.13"/>
    <col customWidth="1" min="39" max="39" width="25.13"/>
    <col customWidth="1" min="40" max="41" width="12.63"/>
    <col customWidth="1" hidden="1" min="42" max="42" width="12.63"/>
    <col customWidth="1" min="43" max="43" width="7.13"/>
    <col customWidth="1" min="44" max="44" width="25.13"/>
    <col customWidth="1" min="45" max="46" width="12.63"/>
    <col customWidth="1" hidden="1" min="47" max="47" width="12.63"/>
    <col customWidth="1" min="48" max="48" width="12.63"/>
    <col customWidth="1" min="49" max="49" width="25.13"/>
    <col customWidth="1" min="50" max="51" width="12.63"/>
    <col customWidth="1" hidden="1" min="52" max="52" width="12.63"/>
    <col customWidth="1" min="53" max="53" width="12.63"/>
    <col customWidth="1" min="54" max="54" width="25.13"/>
    <col customWidth="1" min="55" max="56" width="12.63"/>
    <col customWidth="1" hidden="1" min="57" max="57" width="12.63"/>
    <col customWidth="1" min="58" max="58" width="12.63"/>
    <col customWidth="1" min="59" max="59" width="25.13"/>
    <col customWidth="1" min="60" max="61" width="12.63"/>
    <col customWidth="1" hidden="1" min="62" max="62" width="12.63"/>
    <col customWidth="1" min="63" max="63" width="12.63"/>
    <col customWidth="1" min="64" max="64" width="19.25"/>
    <col customWidth="1" min="65" max="66" width="12.63"/>
    <col customWidth="1" hidden="1" min="67" max="67" width="12.63"/>
    <col customWidth="1" min="68" max="68" width="12.63"/>
  </cols>
  <sheetData>
    <row r="1">
      <c r="A1" s="248">
        <f>today()</f>
        <v>45991</v>
      </c>
      <c r="B1" s="249"/>
      <c r="C1" s="250"/>
      <c r="D1" s="251" t="s">
        <v>8</v>
      </c>
      <c r="E1" s="252"/>
      <c r="F1" s="252"/>
      <c r="G1" s="252"/>
      <c r="H1" s="253"/>
      <c r="I1" s="253"/>
      <c r="J1" s="252"/>
      <c r="K1" s="254" t="s">
        <v>133</v>
      </c>
      <c r="L1" s="252"/>
      <c r="M1" s="253"/>
      <c r="N1" s="252"/>
      <c r="O1" s="252"/>
      <c r="P1" s="252"/>
      <c r="Q1" s="252"/>
      <c r="R1" s="253"/>
      <c r="S1" s="253"/>
      <c r="T1" s="255"/>
      <c r="U1" s="255"/>
      <c r="V1" s="255"/>
      <c r="W1" s="253"/>
      <c r="X1" s="252"/>
      <c r="Y1" s="255"/>
      <c r="Z1" s="255"/>
      <c r="AA1" s="255"/>
      <c r="AB1" s="253"/>
      <c r="AC1" s="252"/>
      <c r="AD1" s="255"/>
      <c r="AE1" s="255"/>
      <c r="AF1" s="255"/>
      <c r="AG1" s="253"/>
      <c r="AH1" s="252"/>
      <c r="AI1" s="255"/>
      <c r="AJ1" s="255"/>
      <c r="AK1" s="255"/>
      <c r="AL1" s="253"/>
      <c r="AM1" s="252"/>
      <c r="AN1" s="255"/>
      <c r="AO1" s="255"/>
      <c r="AP1" s="255"/>
      <c r="AQ1" s="253"/>
      <c r="AR1" s="252"/>
      <c r="AS1" s="255"/>
      <c r="AT1" s="255"/>
      <c r="AU1" s="255"/>
      <c r="AV1" s="253"/>
      <c r="AW1" s="252"/>
      <c r="AX1" s="255"/>
      <c r="AY1" s="255"/>
      <c r="AZ1" s="255"/>
      <c r="BA1" s="253"/>
      <c r="BB1" s="252"/>
      <c r="BC1" s="255"/>
      <c r="BD1" s="255"/>
      <c r="BE1" s="255"/>
      <c r="BF1" s="253"/>
      <c r="BG1" s="252"/>
      <c r="BH1" s="255"/>
      <c r="BI1" s="255"/>
      <c r="BJ1" s="255"/>
      <c r="BK1" s="255"/>
      <c r="BL1" s="255"/>
      <c r="BM1" s="255"/>
      <c r="BN1" s="255"/>
      <c r="BO1" s="255"/>
      <c r="BP1" s="255"/>
    </row>
    <row r="2">
      <c r="A2" s="11"/>
      <c r="B2" s="183"/>
      <c r="C2" s="12"/>
      <c r="D2" s="12"/>
      <c r="E2" s="12"/>
      <c r="F2" s="12"/>
      <c r="G2" s="12"/>
      <c r="H2" s="11"/>
      <c r="I2" s="11"/>
      <c r="J2" s="12"/>
      <c r="K2" s="12"/>
      <c r="L2" s="12"/>
      <c r="M2" s="11"/>
      <c r="N2" s="12"/>
      <c r="O2" s="12"/>
      <c r="P2" s="12"/>
      <c r="Q2" s="12"/>
      <c r="R2" s="11"/>
      <c r="S2" s="11"/>
      <c r="T2" s="184"/>
      <c r="U2" s="184"/>
      <c r="V2" s="184"/>
      <c r="W2" s="11"/>
      <c r="X2" s="12"/>
      <c r="Y2" s="184"/>
      <c r="Z2" s="184"/>
      <c r="AA2" s="184"/>
      <c r="AB2" s="11"/>
      <c r="AC2" s="12"/>
      <c r="AD2" s="184"/>
      <c r="AE2" s="184"/>
      <c r="AF2" s="184"/>
      <c r="AG2" s="11"/>
      <c r="AH2" s="12"/>
      <c r="AI2" s="184"/>
      <c r="AJ2" s="184"/>
      <c r="AK2" s="184"/>
      <c r="AL2" s="11"/>
      <c r="AM2" s="12"/>
      <c r="AN2" s="184"/>
      <c r="AO2" s="184"/>
      <c r="AP2" s="184"/>
      <c r="AQ2" s="11"/>
      <c r="AR2" s="12"/>
      <c r="AS2" s="184"/>
      <c r="AT2" s="184"/>
      <c r="AU2" s="184"/>
      <c r="AV2" s="11"/>
      <c r="AW2" s="12"/>
      <c r="AX2" s="184"/>
      <c r="AY2" s="184"/>
      <c r="AZ2" s="184"/>
      <c r="BA2" s="11"/>
      <c r="BB2" s="12"/>
      <c r="BC2" s="184"/>
      <c r="BD2" s="184"/>
      <c r="BE2" s="184"/>
      <c r="BF2" s="11"/>
      <c r="BG2" s="12"/>
      <c r="BH2" s="184"/>
      <c r="BI2" s="184"/>
      <c r="BJ2" s="184"/>
      <c r="BK2" s="184"/>
      <c r="BL2" s="184"/>
      <c r="BM2" s="184"/>
      <c r="BN2" s="184"/>
      <c r="BO2" s="184"/>
      <c r="BP2" s="184"/>
    </row>
    <row r="3">
      <c r="A3" s="12"/>
      <c r="B3" s="185"/>
      <c r="C3" s="12"/>
      <c r="D3" s="12" t="str">
        <f t="array" ref="D3:D5">index(A3:A5,0)</f>
        <v/>
      </c>
      <c r="E3" s="12"/>
      <c r="F3" s="12"/>
      <c r="G3" s="12"/>
      <c r="H3" s="11"/>
      <c r="I3" s="11"/>
      <c r="J3" s="12"/>
      <c r="K3" s="12"/>
      <c r="L3" s="12"/>
      <c r="M3" s="11"/>
      <c r="N3" s="12"/>
      <c r="O3" s="12"/>
      <c r="P3" s="12"/>
      <c r="Q3" s="12"/>
      <c r="R3" s="11"/>
      <c r="S3" s="11"/>
      <c r="T3" s="184"/>
      <c r="U3" s="184"/>
      <c r="V3" s="184"/>
      <c r="W3" s="11"/>
      <c r="X3" s="12"/>
      <c r="Y3" s="184"/>
      <c r="Z3" s="184"/>
      <c r="AA3" s="184"/>
      <c r="AB3" s="11"/>
      <c r="AC3" s="12"/>
      <c r="AD3" s="184"/>
      <c r="AE3" s="184"/>
      <c r="AF3" s="184"/>
      <c r="AG3" s="11"/>
      <c r="AH3" s="12"/>
      <c r="AI3" s="184"/>
      <c r="AJ3" s="184"/>
      <c r="AK3" s="184"/>
      <c r="AL3" s="11"/>
      <c r="AM3" s="12"/>
      <c r="AN3" s="184"/>
      <c r="AO3" s="184"/>
      <c r="AP3" s="184"/>
      <c r="AQ3" s="11"/>
      <c r="AR3" s="12"/>
      <c r="AS3" s="184"/>
      <c r="AT3" s="184"/>
      <c r="AU3" s="184"/>
      <c r="AV3" s="11"/>
      <c r="AW3" s="12"/>
      <c r="AX3" s="184"/>
      <c r="AY3" s="184"/>
      <c r="AZ3" s="184"/>
      <c r="BA3" s="11"/>
      <c r="BB3" s="12"/>
      <c r="BC3" s="184"/>
      <c r="BD3" s="184"/>
      <c r="BE3" s="184"/>
      <c r="BF3" s="11"/>
      <c r="BG3" s="12"/>
      <c r="BH3" s="184"/>
      <c r="BI3" s="184"/>
      <c r="BJ3" s="184"/>
      <c r="BK3" s="184"/>
      <c r="BL3" s="184"/>
      <c r="BM3" s="184"/>
      <c r="BN3" s="184"/>
      <c r="BO3" s="184"/>
      <c r="BP3" s="184"/>
    </row>
    <row r="4">
      <c r="A4" s="186" t="s">
        <v>28</v>
      </c>
      <c r="B4" s="185"/>
      <c r="C4" s="12"/>
      <c r="D4" s="12" t="s">
        <v>28</v>
      </c>
      <c r="E4" s="12"/>
      <c r="F4" s="12"/>
      <c r="G4" s="12"/>
      <c r="H4" s="11"/>
      <c r="I4" s="11"/>
      <c r="J4" s="12"/>
      <c r="K4" s="12"/>
      <c r="L4" s="12"/>
      <c r="M4" s="11"/>
      <c r="N4" s="12"/>
      <c r="O4" s="12"/>
      <c r="P4" s="12"/>
      <c r="Q4" s="12"/>
      <c r="R4" s="11"/>
      <c r="S4" s="11"/>
      <c r="T4" s="184"/>
      <c r="U4" s="184"/>
      <c r="V4" s="184"/>
      <c r="W4" s="11"/>
      <c r="X4" s="12"/>
      <c r="Y4" s="184"/>
      <c r="Z4" s="184"/>
      <c r="AA4" s="184"/>
      <c r="AB4" s="11"/>
      <c r="AC4" s="12"/>
      <c r="AD4" s="184"/>
      <c r="AE4" s="184"/>
      <c r="AF4" s="184"/>
      <c r="AG4" s="11"/>
      <c r="AH4" s="12"/>
      <c r="AI4" s="184"/>
      <c r="AJ4" s="184"/>
      <c r="AK4" s="184"/>
      <c r="AL4" s="11"/>
      <c r="AM4" s="12"/>
      <c r="AN4" s="184"/>
      <c r="AO4" s="184"/>
      <c r="AP4" s="184"/>
      <c r="AQ4" s="11"/>
      <c r="AR4" s="12"/>
      <c r="AS4" s="184"/>
      <c r="AT4" s="184"/>
      <c r="AU4" s="184"/>
      <c r="AV4" s="11"/>
      <c r="AW4" s="12"/>
      <c r="AX4" s="184"/>
      <c r="AY4" s="184"/>
      <c r="AZ4" s="184"/>
      <c r="BA4" s="11"/>
      <c r="BB4" s="12"/>
      <c r="BC4" s="184"/>
      <c r="BD4" s="184"/>
      <c r="BE4" s="184"/>
      <c r="BF4" s="11"/>
      <c r="BG4" s="12"/>
      <c r="BH4" s="184"/>
      <c r="BI4" s="184"/>
      <c r="BJ4" s="184"/>
      <c r="BK4" s="184"/>
      <c r="BL4" s="184"/>
      <c r="BM4" s="184"/>
      <c r="BN4" s="184"/>
      <c r="BO4" s="184"/>
      <c r="BP4" s="184"/>
    </row>
    <row r="5" ht="225.0" customHeight="1">
      <c r="A5" s="187" t="str">
        <f>$A$7 &amp; $A$8 &amp; CHAR(10) &amp; $A$10 &amp; CHAR(10) &amp; CHAR(10) &amp; $A$11</f>
        <v>FABRIC TOKYO 吉祥寺 2025-11-30 お直し適用サイズ
FABRIC TOKYO 吉祥寺 2025-11-30 お直し適用サイズ ＊スーツサイズ
FABRIC TOKYO 吉祥寺 2025-11-30 お直し適用サイズ ＊ビジネスカジュアルサイズ
◼︎ ジャケット（対応着地：お直し）
《修正数値》
バスト : -2 cm
《仕上がり数値》
バスト : cm
◼︎ ベスト（対応着地：お直し）
《修正数値》
バスト : -2 cm
《仕上がり数値》
バスト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v>
      </c>
      <c r="B5" s="188" t="str">
        <f>"【お直し来店済み】" &amp; CHAR(10) &amp; 
 "来店⽇時：" &amp; text($A$1," yyyy/mm/dd")&amp; CHAR(10) &amp;
 "来店店舗：" &amp; $D$1 &amp; CHAR(10) &amp; CHAR(10) &amp;
 "お直し着地：" &amp; CHAR(10) &amp; $A$10</f>
        <v>【お直し来店済み】
来店⽇時： 2025/11/30
来店店舗：吉祥寺
お直し着地：
◼︎ ジャケット（対応着地：お直し）
《修正数値》
バスト : -2 cm
《仕上がり数値》
バスト : cm
◼︎ ベスト（対応着地：お直し）
《修正数値》
バスト : -2 cm
《仕上がり数値》
バスト : cm</v>
      </c>
      <c r="C5" s="12"/>
      <c r="D5" s="189" t="s">
        <v>134</v>
      </c>
      <c r="H5" s="11"/>
      <c r="I5" s="11" t="str">
        <f>"【お直し来店済み】" &amp; CHAR(10) &amp; 
 "来店⽇時：" &amp; text($A$1," yyyy/mm/dd")&amp; CHAR(10) &amp;
 "来店店舗：" &amp; $D$1 &amp; CHAR(10) &amp; CHAR(10) &amp;
 "お直し着地：" &amp; CHAR(10) &amp; $A$10</f>
        <v>【お直し来店済み】
来店⽇時： 2025/11/30
来店店舗：吉祥寺
お直し着地：
◼︎ ジャケット（対応着地：お直し）
《修正数値》
バスト : -2 cm
《仕上がり数値》
バスト : cm
◼︎ ベスト（対応着地：お直し）
《修正数値》
バスト : -2 cm
《仕上がり数値》
バスト : cm</v>
      </c>
      <c r="J5" s="12"/>
      <c r="K5" s="191" t="s">
        <v>30</v>
      </c>
      <c r="L5" s="12"/>
      <c r="M5" s="11"/>
      <c r="N5" s="12"/>
      <c r="O5" s="12"/>
      <c r="P5" s="12"/>
      <c r="Q5" s="12"/>
      <c r="R5" s="11"/>
      <c r="S5" s="11"/>
      <c r="T5" s="184"/>
      <c r="U5" s="184"/>
      <c r="V5" s="184"/>
      <c r="W5" s="11"/>
      <c r="X5" s="12"/>
      <c r="Y5" s="184"/>
      <c r="Z5" s="184"/>
      <c r="AA5" s="184"/>
      <c r="AB5" s="11"/>
      <c r="AC5" s="12"/>
      <c r="AD5" s="184"/>
      <c r="AE5" s="184"/>
      <c r="AF5" s="184"/>
      <c r="AG5" s="11"/>
      <c r="AH5" s="12"/>
      <c r="AI5" s="184"/>
      <c r="AJ5" s="184"/>
      <c r="AK5" s="184"/>
      <c r="AL5" s="11"/>
      <c r="AM5" s="12"/>
      <c r="AN5" s="184"/>
      <c r="AO5" s="184"/>
      <c r="AP5" s="184"/>
      <c r="AQ5" s="11"/>
      <c r="AR5" s="12"/>
      <c r="AS5" s="184"/>
      <c r="AT5" s="184"/>
      <c r="AU5" s="184"/>
      <c r="AV5" s="11"/>
      <c r="AW5" s="12"/>
      <c r="AX5" s="184"/>
      <c r="AY5" s="184"/>
      <c r="AZ5" s="184"/>
      <c r="BA5" s="11"/>
      <c r="BB5" s="12"/>
      <c r="BC5" s="184"/>
      <c r="BD5" s="184"/>
      <c r="BE5" s="184"/>
      <c r="BF5" s="11"/>
      <c r="BG5" s="12"/>
      <c r="BH5" s="184"/>
      <c r="BI5" s="184"/>
      <c r="BJ5" s="184"/>
      <c r="BK5" s="184"/>
      <c r="BL5" s="184"/>
      <c r="BM5" s="184"/>
      <c r="BN5" s="184"/>
      <c r="BO5" s="184"/>
      <c r="BP5" s="184"/>
    </row>
    <row r="6">
      <c r="A6" s="12"/>
      <c r="B6" s="186"/>
      <c r="C6" s="12"/>
      <c r="D6" s="12"/>
      <c r="E6" s="12"/>
      <c r="F6" s="12"/>
      <c r="G6" s="12"/>
      <c r="H6" s="11"/>
      <c r="I6" s="11"/>
      <c r="J6" s="12"/>
      <c r="K6" s="12"/>
      <c r="L6" s="12"/>
      <c r="M6" s="11"/>
      <c r="N6" s="12"/>
      <c r="O6" s="12"/>
      <c r="P6" s="12"/>
      <c r="Q6" s="12"/>
      <c r="R6" s="11"/>
      <c r="S6" s="11"/>
      <c r="T6" s="184"/>
      <c r="U6" s="184"/>
      <c r="V6" s="184"/>
      <c r="W6" s="11"/>
      <c r="X6" s="12"/>
      <c r="Y6" s="184"/>
      <c r="Z6" s="184"/>
      <c r="AA6" s="184"/>
      <c r="AB6" s="11"/>
      <c r="AC6" s="12"/>
      <c r="AD6" s="184"/>
      <c r="AE6" s="184"/>
      <c r="AF6" s="184"/>
      <c r="AG6" s="11"/>
      <c r="AH6" s="12"/>
      <c r="AI6" s="184"/>
      <c r="AJ6" s="184"/>
      <c r="AK6" s="184"/>
      <c r="AL6" s="11"/>
      <c r="AM6" s="12"/>
      <c r="AN6" s="184"/>
      <c r="AO6" s="184"/>
      <c r="AP6" s="184"/>
      <c r="AQ6" s="11"/>
      <c r="AR6" s="12"/>
      <c r="AS6" s="184"/>
      <c r="AT6" s="184"/>
      <c r="AU6" s="184"/>
      <c r="AV6" s="11"/>
      <c r="AW6" s="12"/>
      <c r="AX6" s="184"/>
      <c r="AY6" s="184"/>
      <c r="AZ6" s="184"/>
      <c r="BA6" s="11"/>
      <c r="BB6" s="12"/>
      <c r="BC6" s="184"/>
      <c r="BD6" s="184"/>
      <c r="BE6" s="184"/>
      <c r="BF6" s="11"/>
      <c r="BG6" s="12"/>
      <c r="BH6" s="184"/>
      <c r="BI6" s="184"/>
      <c r="BJ6" s="184"/>
      <c r="BK6" s="184"/>
      <c r="BL6" s="184"/>
      <c r="BM6" s="184"/>
      <c r="BN6" s="184"/>
      <c r="BO6" s="184"/>
      <c r="BP6" s="184"/>
    </row>
    <row r="7" ht="28.5" customHeight="1">
      <c r="A7" s="192" t="str">
        <f>IF((SUM(LEN(I11), LEN(N11), LEN(S11), LEN(X11), LEN(AC11), LEN(AH11), LEN(AM11), LEN(AR11), LEN(AW11), LEN(BB11), LEN(BG11)))&gt;0, "FABRIC TOKYO "&amp; $D$1 &amp; " " &amp; TEXT($A$1, "yyyy-m-d") &amp; " お直し適用サイズ" &amp; CHAR(10), "")</f>
        <v>FABRIC TOKYO 吉祥寺 2025-11-30 お直し適用サイズ
</v>
      </c>
      <c r="B7" s="193"/>
      <c r="C7" s="12"/>
      <c r="D7" s="194" t="s">
        <v>31</v>
      </c>
      <c r="E7" s="12"/>
      <c r="F7" s="12"/>
      <c r="G7" s="12"/>
      <c r="H7" s="11"/>
      <c r="I7" s="11"/>
      <c r="J7" s="12"/>
      <c r="K7" s="12"/>
      <c r="L7" s="12"/>
      <c r="M7" s="11"/>
      <c r="N7" s="12"/>
      <c r="O7" s="12"/>
      <c r="P7" s="12"/>
      <c r="Q7" s="12"/>
      <c r="R7" s="11"/>
      <c r="S7" s="11"/>
      <c r="T7" s="184"/>
      <c r="U7" s="184"/>
      <c r="V7" s="184"/>
      <c r="W7" s="11"/>
      <c r="X7" s="12"/>
      <c r="Y7" s="184"/>
      <c r="Z7" s="184"/>
      <c r="AA7" s="184"/>
      <c r="AB7" s="11"/>
      <c r="AC7" s="12"/>
      <c r="AD7" s="184"/>
      <c r="AE7" s="184"/>
      <c r="AF7" s="184"/>
      <c r="AG7" s="11"/>
      <c r="AH7" s="12"/>
      <c r="AI7" s="184"/>
      <c r="AJ7" s="184"/>
      <c r="AK7" s="184"/>
      <c r="AL7" s="11"/>
      <c r="AM7" s="12"/>
      <c r="AN7" s="184"/>
      <c r="AO7" s="184"/>
      <c r="AP7" s="184"/>
      <c r="AQ7" s="11"/>
      <c r="AR7" s="12"/>
      <c r="AS7" s="184"/>
      <c r="AT7" s="184"/>
      <c r="AU7" s="184"/>
      <c r="AV7" s="11"/>
      <c r="AW7" s="12"/>
      <c r="AX7" s="184"/>
      <c r="AY7" s="184"/>
      <c r="AZ7" s="184"/>
      <c r="BA7" s="11"/>
      <c r="BB7" s="12"/>
      <c r="BC7" s="184"/>
      <c r="BD7" s="184"/>
      <c r="BE7" s="184"/>
      <c r="BF7" s="11"/>
      <c r="BG7" s="12"/>
      <c r="BH7" s="184"/>
      <c r="BI7" s="184"/>
      <c r="BJ7" s="184"/>
      <c r="BK7" s="184"/>
      <c r="BL7" s="184"/>
      <c r="BM7" s="184"/>
      <c r="BN7" s="184"/>
      <c r="BO7" s="184"/>
      <c r="BP7" s="184"/>
    </row>
    <row r="8">
      <c r="A8" s="192" t="str">
        <f>ifs($D$11&lt;&gt;"", 
"FABRIC TOKYO "&amp; $D$1&amp; "" &amp; text($A$1," yyyy-m-d"&amp;" お直し適用サイズ ＊スーツサイズ")
&amp; CHAR(10) &amp;
"FABRIC TOKYO "&amp; $D$1&amp; "" &amp; text($A$1," yyyy-m-d"&amp;" お直し適用サイズ ＊ビジネスカジュアルサイズ" &amp; CHAR(10))
,
$D$11="", "")</f>
        <v>FABRIC TOKYO 吉祥寺 2025-11-30 お直し適用サイズ ＊スーツサイズ
FABRIC TOKYO 吉祥寺 2025-11-30 お直し適用サイズ ＊ビジネスカジュアルサイズ
</v>
      </c>
      <c r="B8" s="193"/>
      <c r="C8" s="195"/>
      <c r="D8" s="196">
        <f>IF(OR($D$11="再製作", $I$11="再製作", $N$11="再製作"), "再製作", 
  IF(AND(COUNTIF($E$11:$O$11, "&gt;=" &amp;  TODAY()), COUNTIF($E$11:$O11, "&lt;&gt;")), MAX($D$11, $I$11, $N$11), ""))</f>
        <v>46000</v>
      </c>
      <c r="E8" s="197" t="s">
        <v>32</v>
      </c>
      <c r="F8" s="12"/>
      <c r="G8" s="12"/>
      <c r="H8" s="12"/>
      <c r="I8" s="12"/>
      <c r="J8" s="195"/>
      <c r="K8" s="195"/>
      <c r="L8" s="195"/>
      <c r="M8" s="11"/>
      <c r="N8" s="198" t="s">
        <v>33</v>
      </c>
      <c r="O8" s="12"/>
      <c r="P8" s="12"/>
      <c r="Q8" s="12"/>
      <c r="R8" s="11"/>
      <c r="S8" s="11"/>
      <c r="T8" s="184"/>
      <c r="U8" s="184"/>
      <c r="V8" s="184"/>
      <c r="W8" s="11"/>
      <c r="X8" s="12"/>
      <c r="Y8" s="184"/>
      <c r="Z8" s="184"/>
      <c r="AA8" s="184"/>
      <c r="AB8" s="11"/>
      <c r="AC8" s="12"/>
      <c r="AD8" s="184"/>
      <c r="AE8" s="184"/>
      <c r="AF8" s="184"/>
      <c r="AG8" s="11"/>
      <c r="AH8" s="12"/>
      <c r="AI8" s="184"/>
      <c r="AJ8" s="184"/>
      <c r="AK8" s="184"/>
      <c r="AL8" s="11"/>
      <c r="AM8" s="12"/>
      <c r="AN8" s="184"/>
      <c r="AO8" s="184"/>
      <c r="AP8" s="184"/>
      <c r="AQ8" s="11"/>
      <c r="AR8" s="12"/>
      <c r="AS8" s="184"/>
      <c r="AT8" s="184"/>
      <c r="AU8" s="184"/>
      <c r="AV8" s="11"/>
      <c r="AW8" s="12"/>
      <c r="AX8" s="184"/>
      <c r="AY8" s="184"/>
      <c r="AZ8" s="184"/>
      <c r="BA8" s="11"/>
      <c r="BB8" s="12"/>
      <c r="BC8" s="184"/>
      <c r="BD8" s="184"/>
      <c r="BE8" s="184"/>
      <c r="BF8" s="11"/>
      <c r="BG8" s="12"/>
      <c r="BH8" s="184"/>
      <c r="BI8" s="184"/>
      <c r="BJ8" s="184"/>
      <c r="BK8" s="184"/>
      <c r="BL8" s="184"/>
      <c r="BM8" s="184"/>
      <c r="BN8" s="184"/>
      <c r="BO8" s="184"/>
      <c r="BP8" s="184"/>
    </row>
    <row r="9">
      <c r="A9" s="12"/>
      <c r="B9" s="186"/>
      <c r="C9" s="12"/>
      <c r="D9" s="12"/>
      <c r="E9" s="11"/>
      <c r="F9" s="11"/>
      <c r="G9" s="11"/>
      <c r="H9" s="11"/>
      <c r="I9" s="11"/>
      <c r="J9" s="11"/>
      <c r="K9" s="11"/>
      <c r="L9" s="11"/>
      <c r="M9" s="11"/>
      <c r="N9" s="11"/>
      <c r="O9" s="11"/>
      <c r="P9" s="11"/>
      <c r="Q9" s="11"/>
      <c r="R9" s="11"/>
      <c r="S9" s="12"/>
      <c r="T9" s="184"/>
      <c r="U9" s="184"/>
      <c r="V9" s="184"/>
      <c r="W9" s="11"/>
      <c r="X9" s="12"/>
      <c r="Y9" s="184"/>
      <c r="Z9" s="184"/>
      <c r="AA9" s="184"/>
      <c r="AB9" s="11"/>
      <c r="AC9" s="12"/>
      <c r="AD9" s="184"/>
      <c r="AE9" s="184"/>
      <c r="AF9" s="184"/>
      <c r="AG9" s="11"/>
      <c r="AH9" s="12"/>
      <c r="AI9" s="184"/>
      <c r="AJ9" s="184"/>
      <c r="AK9" s="184"/>
      <c r="AL9" s="11"/>
      <c r="AM9" s="12"/>
      <c r="AN9" s="184"/>
      <c r="AO9" s="184"/>
      <c r="AP9" s="184"/>
      <c r="AQ9" s="11"/>
      <c r="AR9" s="12"/>
      <c r="AS9" s="184"/>
      <c r="AT9" s="184"/>
      <c r="AU9" s="184"/>
      <c r="AV9" s="11"/>
      <c r="AW9" s="12"/>
      <c r="AX9" s="184"/>
      <c r="AY9" s="184"/>
      <c r="AZ9" s="184"/>
      <c r="BA9" s="11"/>
      <c r="BB9" s="12"/>
      <c r="BC9" s="184"/>
      <c r="BD9" s="184"/>
      <c r="BE9" s="184"/>
      <c r="BF9" s="11"/>
      <c r="BG9" s="12"/>
      <c r="BH9" s="184"/>
      <c r="BI9" s="184"/>
      <c r="BJ9" s="184"/>
      <c r="BK9" s="184"/>
      <c r="BL9" s="184"/>
      <c r="BM9" s="184"/>
      <c r="BN9" s="184"/>
      <c r="BO9" s="184"/>
      <c r="BP9" s="184"/>
    </row>
    <row r="10" ht="15.75" customHeight="1">
      <c r="A10" s="199" t="str">
        <f t="array" ref="A10">TRIM(
 IF($A$14&lt;&gt;"",TEXTJOIN(CHAR(10),TRUE,IF($A$14:$A$17&lt;&gt;"",$A$14:$A$17,"")) &amp; CHAR(10) &amp; CHAR(10),"") &amp;
 IF($A$19&lt;&gt;"",TEXTJOIN(CHAR(10),TRUE,IF($A$19:$A$22&lt;&gt;"",$A$19:$A$22,"")) &amp; CHAR(10) &amp; CHAR(10),"") &amp;
 IF($A$24&lt;&gt;"",TEXTJOIN(CHAR(10),TRUE,IF($A$24:$A$27&lt;&gt;"",$A$24:$A$27,"")) &amp; CHAR(10) &amp; CHAR(10),"") &amp;
 IF($A$29&lt;&gt;"",TEXTJOIN(CHAR(10),TRUE,IF($A$29:$A$32&lt;&gt;"",$A$29:$A$32,"")) &amp; CHAR(10) &amp; CHAR(10),"") &amp;
 IF($A$34&lt;&gt;"",TEXTJOIN(CHAR(10),TRUE,IF($A$34:$A$37&lt;&gt;"",$A$34:$A$37,"")) &amp; CHAR(10) &amp; CHAR(10),"") &amp;
 IF($A$39&lt;&gt;"",TEXTJOIN(CHAR(10),TRUE,IF($A$39:$A$42&lt;&gt;"",$A$39:$A$42,"")) &amp; CHAR(10) &amp; CHAR(10),"") &amp;
 IF($A$44&lt;&gt;"",TEXTJOIN(CHAR(10),TRUE,IF($A$44:$A$47&lt;&gt;"",$A$44:$A$47,"")) &amp; CHAR(10) &amp; CHAR(10),"") &amp;
 IF($A$49&lt;&gt;"",TEXTJOIN(CHAR(10),TRUE,IF($A$49:$A$52&lt;&gt;"",$A$49:$A$52,"")) &amp; CHAR(10) &amp; CHAR(10),"") &amp;
 IF($A$54&lt;&gt;"",TEXTJOIN(CHAR(10),TRUE,IF($A$54:$A$57&lt;&gt;"",$A$54:$A$57,"")) &amp; CHAR(10) &amp; CHAR(10),"") &amp;
 IF($A$59&lt;&gt;"",TEXTJOIN(CHAR(10),TRUE,IF($A$59:$A$62&lt;&gt;"",$A$59:$A$62,"")) &amp; CHAR(10) &amp; CHAR(10),"") &amp;
 IF($A$64&lt;&gt;"",TEXTJOIN(CHAR(10),TRUE,IF($A$64:$A$67&lt;&gt;"",$A$64:$A$67,"")) &amp; CHAR(10) &amp; CHAR(10),"") &amp;
 IF($A$69&lt;&gt;"",TEXTJOIN(CHAR(10),TRUE,IF($A$69:$A$72&lt;&gt;"",$A$69:$A$72,"")) &amp; CHAR(10) &amp; CHAR(10),"") 
)
</f>
        <v>◼︎ ジャケット（対応着地：お直し）
《修正数値》
バスト : -2 cm
《仕上がり数値》
バスト : cm
◼︎ ベスト（対応着地：お直し）
《修正数値》
バスト : -2 cm
《仕上がり数値》
バスト : cm</v>
      </c>
      <c r="B10" s="12"/>
      <c r="C10" s="12"/>
      <c r="D10" s="200" t="s">
        <v>34</v>
      </c>
      <c r="E10" s="201"/>
      <c r="F10" s="201"/>
      <c r="G10" s="202" t="s">
        <v>35</v>
      </c>
      <c r="H10" s="11"/>
      <c r="I10" s="200" t="s">
        <v>36</v>
      </c>
      <c r="J10" s="203"/>
      <c r="K10" s="201"/>
      <c r="L10" s="202" t="s">
        <v>35</v>
      </c>
      <c r="M10" s="11"/>
      <c r="N10" s="204" t="s">
        <v>37</v>
      </c>
      <c r="O10" s="203"/>
      <c r="P10" s="201"/>
      <c r="Q10" s="202" t="s">
        <v>35</v>
      </c>
      <c r="R10" s="11"/>
      <c r="S10" s="200" t="s">
        <v>38</v>
      </c>
      <c r="T10" s="203"/>
      <c r="U10" s="201"/>
      <c r="V10" s="202" t="s">
        <v>35</v>
      </c>
      <c r="W10" s="11"/>
      <c r="X10" s="200" t="s">
        <v>39</v>
      </c>
      <c r="Y10" s="203"/>
      <c r="Z10" s="201"/>
      <c r="AA10" s="202" t="s">
        <v>35</v>
      </c>
      <c r="AB10" s="11"/>
      <c r="AC10" s="200" t="s">
        <v>40</v>
      </c>
      <c r="AD10" s="203"/>
      <c r="AE10" s="201"/>
      <c r="AF10" s="202" t="s">
        <v>35</v>
      </c>
      <c r="AG10" s="11"/>
      <c r="AH10" s="200" t="s">
        <v>41</v>
      </c>
      <c r="AI10" s="203"/>
      <c r="AJ10" s="201"/>
      <c r="AK10" s="202" t="s">
        <v>35</v>
      </c>
      <c r="AL10" s="11"/>
      <c r="AM10" s="200" t="s">
        <v>42</v>
      </c>
      <c r="AN10" s="203"/>
      <c r="AO10" s="201"/>
      <c r="AP10" s="202" t="s">
        <v>35</v>
      </c>
      <c r="AQ10" s="11"/>
      <c r="AR10" s="200" t="s">
        <v>43</v>
      </c>
      <c r="AS10" s="203"/>
      <c r="AT10" s="201"/>
      <c r="AU10" s="202" t="s">
        <v>35</v>
      </c>
      <c r="AV10" s="12"/>
      <c r="AW10" s="200" t="s">
        <v>44</v>
      </c>
      <c r="AX10" s="203"/>
      <c r="AY10" s="201"/>
      <c r="AZ10" s="202" t="s">
        <v>35</v>
      </c>
      <c r="BA10" s="12"/>
      <c r="BB10" s="200" t="s">
        <v>45</v>
      </c>
      <c r="BC10" s="203"/>
      <c r="BD10" s="201"/>
      <c r="BE10" s="202" t="s">
        <v>35</v>
      </c>
      <c r="BF10" s="12"/>
      <c r="BG10" s="200" t="s">
        <v>46</v>
      </c>
      <c r="BH10" s="203"/>
      <c r="BI10" s="201"/>
      <c r="BJ10" s="202" t="s">
        <v>35</v>
      </c>
      <c r="BK10" s="12"/>
      <c r="BL10" s="200" t="s">
        <v>47</v>
      </c>
      <c r="BM10" s="201"/>
      <c r="BN10" s="201"/>
      <c r="BO10" s="202" t="s">
        <v>35</v>
      </c>
      <c r="BP10" s="12"/>
    </row>
    <row r="11" ht="37.5" customHeight="1">
      <c r="A11" s="205" t="s">
        <v>48</v>
      </c>
      <c r="B11" s="206"/>
      <c r="C11" s="207"/>
      <c r="D11" s="196">
        <f t="array" ref="D11">IFS( COUNTA(F$13:F27) = 0, "", COUNTIF(F$13:F27, "再製作") &gt; 0, "再製作", COUNTIF(F$13:F27, "&gt;0") = 1, INDEX(F$13:F27, MATCH(TRUE, ISNUMBER(F$13:F27), 0)), COUNTIF(F$13:F27, "&gt;0") = 2, 'アイテム別限界値DB'!$S$4, COUNTIF(F$13:F27, "&gt;0") &gt;= 3, 'アイテム別限界値DB'!$S$6, TRUE, "" ) </f>
        <v>46000</v>
      </c>
      <c r="E11" s="208" t="s">
        <v>49</v>
      </c>
      <c r="F11" s="202" t="s">
        <v>50</v>
      </c>
      <c r="G11" s="209">
        <f>sum(G12:G72)</f>
        <v>0</v>
      </c>
      <c r="H11" s="206"/>
      <c r="I11" s="196" t="str">
        <f t="array" ref="I11">IFS( COUNTA(K$13:K27) = 0, "", COUNTIF(K$13:K27, "再製作") &gt; 0, "再製作", COUNTIF(K$13:K27, "&gt;0") = 1, INDEX(K$13:K27, MATCH(TRUE, ISNUMBER(K$13:K27), 0)), COUNTIF(K$13:K27, "&gt;0") = 2, 'アイテム別限界値DB'!$S$8, COUNTIF(K$13:K27, "&gt;0") &gt;= 3, 'アイテム別限界値DB'!$S$10, TRUE, "" ) </f>
        <v/>
      </c>
      <c r="J11" s="210" t="s">
        <v>49</v>
      </c>
      <c r="K11" s="202" t="s">
        <v>50</v>
      </c>
      <c r="L11" s="209">
        <f>sum(L12:L72)</f>
        <v>0</v>
      </c>
      <c r="M11" s="206"/>
      <c r="N11" s="196">
        <f t="array" ref="N11">IFS( COUNTA(P$13:P27) = 0, "", COUNTIF(P$13:P27, "再製作") &gt; 0, "再製作", COUNTIF(P$13:P27, "&gt;0") = 1, INDEX(P$13:P27, MATCH(TRUE, ISNUMBER(P$13:P27), 0)), COUNTIF(P$13:P27, "&gt;0") = 2, 'アイテム別限界値DB'!$S$4, COUNTIF(P$13:P27, "&gt;0") &gt;= 3, 'アイテム別限界値DB'!$S$6, TRUE, "" ) </f>
        <v>46000</v>
      </c>
      <c r="O11" s="210" t="s">
        <v>49</v>
      </c>
      <c r="P11" s="202" t="s">
        <v>50</v>
      </c>
      <c r="Q11" s="209">
        <f>sum(Q12:Q72)</f>
        <v>0</v>
      </c>
      <c r="R11" s="211"/>
      <c r="S11" s="196" t="str">
        <f t="array" ref="S11">IFS( COUNTA(U$13:U27) = 0, "", COUNTIF(U$13:U27, "再製作") &gt; 0, "再製作", COUNTIF(U$13:U27, "&gt;0") = 1, INDEX(U$13:U27, MATCH(TRUE, ISNUMBER(U$13:U27), 0)), COUNTIF(U$13:U27, "&gt;0") = 2, 'アイテム別限界値DB'!$S$8, COUNTIF(U$13:U27, "&gt;0") &gt;= 3, 'アイテム別限界値DB'!$S$10, TRUE, "" ) </f>
        <v/>
      </c>
      <c r="T11" s="210" t="s">
        <v>49</v>
      </c>
      <c r="U11" s="202" t="s">
        <v>50</v>
      </c>
      <c r="V11" s="209">
        <f>sum(V12:V72)</f>
        <v>0</v>
      </c>
      <c r="W11" s="212"/>
      <c r="X11" s="196" t="str">
        <f t="array" ref="X11">IFS( COUNTA(Z$13:Z27) = 0, "", COUNTIF(Z$13:Z27, "再製作") &gt; 0, "再製作", COUNTIF(Z$13:Z27, "&gt;0") = 1, INDEX(Z$13:Z27, MATCH(TRUE, ISNUMBER(Z$13:Z27), 0)), COUNTIF(Z$13:Z27, "&gt;0") = 2, 'アイテム別限界値DB'!$S$4, COUNTIF(Z$13:Z27, "&gt;0") &gt;= 3, 'アイテム別限界値DB'!$S$6, TRUE, "" ) </f>
        <v/>
      </c>
      <c r="Y11" s="210" t="s">
        <v>49</v>
      </c>
      <c r="Z11" s="202" t="s">
        <v>50</v>
      </c>
      <c r="AA11" s="209">
        <f>sum(AA12:AA72)</f>
        <v>0</v>
      </c>
      <c r="AB11" s="211"/>
      <c r="AC11" s="196" t="str">
        <f t="array" ref="AC11">IFS( COUNTA(AE$13:AE27) = 0, "", COUNTIF(AE$13:AE27, "再製作") &gt; 0, "再製作", COUNTIF(AE$13:AE27, "&gt;0") = 1, INDEX(AE$13:AE27, MATCH(TRUE, ISNUMBER(AE$13:AE27), 0)), COUNTIF(AE$13:AE27, "&gt;0") = 2, 'アイテム別限界値DB'!$S$4, COUNTIF(AE$13:AE27, "&gt;0") &gt;= 3, 'アイテム別限界値DB'!$S$6, TRUE, "" ) </f>
        <v/>
      </c>
      <c r="AD11" s="210" t="s">
        <v>49</v>
      </c>
      <c r="AE11" s="202" t="s">
        <v>50</v>
      </c>
      <c r="AF11" s="209">
        <f>sum(AF12:AF72)</f>
        <v>0</v>
      </c>
      <c r="AG11" s="211"/>
      <c r="AH11" s="196" t="str">
        <f t="array" ref="AH11">IFS( COUNTA(AJ$13:AJ27) = 0, "", COUNTIF(AJ$13:AJ27, "再製作") &gt; 0, "再製作", COUNTIF(AJ$13:AJ27, "&gt;0") = 1, INDEX(AJ$13:AJ27, MATCH(TRUE, ISNUMBER(AJ$13:AJ27), 0)), COUNTIF(AJ$13:AJ27, "&gt;0") = 2, 'アイテム別限界値DB'!$S$4, COUNTIF(AJ$13:AJ27, "&gt;0") &gt;= 3, 'アイテム別限界値DB'!$S$6, TRUE, "" ) </f>
        <v/>
      </c>
      <c r="AI11" s="210" t="s">
        <v>49</v>
      </c>
      <c r="AJ11" s="202" t="s">
        <v>50</v>
      </c>
      <c r="AK11" s="209">
        <f>sum(AK12:AK72)</f>
        <v>0</v>
      </c>
      <c r="AL11" s="211"/>
      <c r="AM11" s="196" t="str">
        <f t="array" ref="AM11">IFS( COUNTA(AO$13:AO27) = 0, "", COUNTIF(AO$13:AO27, "再製作") &gt; 0, "再製作", COUNTIF(AO$13:AO27, "&gt;0") = 1, INDEX(AO$13:AO27, MATCH(TRUE, ISNUMBER(AO$13:AO27), 0)), COUNTIF(AO$13:AO27, "&gt;0") = 2, 'アイテム別限界値DB'!$S$4, COUNTIF(AO$13:AO27, "&gt;0") &gt;= 3, 'アイテム別限界値DB'!$S$6, TRUE, "" ) </f>
        <v/>
      </c>
      <c r="AN11" s="210" t="s">
        <v>49</v>
      </c>
      <c r="AO11" s="202" t="s">
        <v>50</v>
      </c>
      <c r="AP11" s="209">
        <f>sum(AP12:AP72)</f>
        <v>0</v>
      </c>
      <c r="AQ11" s="211"/>
      <c r="AR11" s="196" t="str">
        <f t="array" ref="AR11">IFS( COUNTA(AT$13:AT27) = 0, "", COUNTIF(AT$13:AT27, "再製作") &gt; 0, "再製作", COUNTIF(AT$13:AT27, "&gt;0") = 1, INDEX(AT$13:AT27, MATCH(TRUE, ISNUMBER(AT$13:AT27), 0)), COUNTIF(AT$13:AT27, "&gt;0") = 2, 'アイテム別限界値DB'!$S$4, COUNTIF(AT$13:AT27, "&gt;0") &gt;= 3, 'アイテム別限界値DB'!$S$6, TRUE, "" ) </f>
        <v/>
      </c>
      <c r="AS11" s="210" t="s">
        <v>49</v>
      </c>
      <c r="AT11" s="202" t="s">
        <v>50</v>
      </c>
      <c r="AU11" s="209">
        <f>sum(AU12:AU72)</f>
        <v>0</v>
      </c>
      <c r="AV11" s="213"/>
      <c r="AW11" s="196" t="str">
        <f t="array" ref="AW11">IFS( COUNTA(AY$13:AY27) = 0, "", COUNTIF(AY$13:AY27, "再製作") &gt; 0, "再製作", COUNTIF(AY$13:AY27, "&gt;0") = 1, INDEX(AY$13:AY27, MATCH(TRUE, ISNUMBER(AY$13:AY27), 0)), COUNTIF(AY$13:AY27, "&gt;0") = 2, 'アイテム別限界値DB'!$S$4, COUNTIF(AY$13:AY27, "&gt;0") &gt;= 3, 'アイテム別限界値DB'!$S$6, TRUE, "" ) </f>
        <v/>
      </c>
      <c r="AX11" s="210" t="s">
        <v>49</v>
      </c>
      <c r="AY11" s="202" t="s">
        <v>50</v>
      </c>
      <c r="AZ11" s="209">
        <f>sum(AZ12:AZ72)</f>
        <v>0</v>
      </c>
      <c r="BA11" s="213"/>
      <c r="BB11" s="196" t="str">
        <f t="array" ref="BB11">IFS( COUNTA(BD$13:BD27) = 0, "", COUNTIF(BD$13:BD27, "再製作") &gt; 0, "再製作", COUNTIF(BD$13:BD27, "&gt;0") = 1, INDEX(BD$13:BD27, MATCH(TRUE, ISNUMBER(BD$13:BD27), 0)), COUNTIF(BD$13:BD27, "&gt;0") = 2, 'アイテム別限界値DB'!$S$4, COUNTIF(BD$13:BD27, "&gt;0") &gt;= 3, 'アイテム別限界値DB'!$S$6, TRUE, "" ) </f>
        <v/>
      </c>
      <c r="BC11" s="210" t="s">
        <v>49</v>
      </c>
      <c r="BD11" s="202" t="s">
        <v>50</v>
      </c>
      <c r="BE11" s="209">
        <f>sum(BE12:BE72)</f>
        <v>0</v>
      </c>
      <c r="BF11" s="213"/>
      <c r="BG11" s="196" t="str">
        <f t="array" ref="BG11">IFS( COUNTA(BI$13:BI27) = 0, "", COUNTIF(BI$13:BI27, "再製作") &gt; 0, "再製作", COUNTIF(BI$13:BI27, "&gt;0") = 1, INDEX(BI$13:BI27, MATCH(TRUE, ISNUMBER(BI$13:BI27), 0)), COUNTIF(BI$13:BI27, "&gt;0") = 2, 'アイテム別限界値DB'!$S$4, COUNTIF(BI$13:BI27, "&gt;0") &gt;= 3, 'アイテム別限界値DB'!$S$6, TRUE, "" ) </f>
        <v/>
      </c>
      <c r="BH11" s="210" t="s">
        <v>49</v>
      </c>
      <c r="BI11" s="202" t="s">
        <v>50</v>
      </c>
      <c r="BJ11" s="209">
        <f>sum(BJ12:BJ72)</f>
        <v>0</v>
      </c>
      <c r="BK11" s="213"/>
      <c r="BL11" s="196">
        <f t="array" ref="BL11">IFS( COUNTA(BN$13:BN27) = 0, "", COUNTIF(BN$13:BN27, "再製作") &gt; 0, "再製作", COUNTIF(BN$13:BN27, "&gt;0") = 1, INDEX(BN$13:BN27, MATCH(TRUE, ISNUMBER(BN$13:BN27), 0)), COUNTIF(BN$13:BN27, "&gt;0") = 2, 'アイテム別限界値DB'!$S$4, COUNTIF(BN$13:BN27, "&gt;0") &gt;= 3, 'アイテム別限界値DB'!$S$6, TRUE, "" ) </f>
        <v>46003</v>
      </c>
      <c r="BM11" s="214" t="s">
        <v>49</v>
      </c>
      <c r="BN11" s="215" t="s">
        <v>50</v>
      </c>
      <c r="BO11" s="209">
        <f>sum(BO12:BO72)</f>
        <v>0</v>
      </c>
      <c r="BP11" s="213"/>
    </row>
    <row r="12" ht="15.75" hidden="1" customHeight="1">
      <c r="A12" s="11"/>
      <c r="B12" s="11"/>
      <c r="C12" s="11"/>
      <c r="D12" s="216" t="s">
        <v>51</v>
      </c>
      <c r="E12" s="217" t="str">
        <f>IF(D11="再製作", "再製作", IF(D11&lt;&gt;"", "お直し", ""))
</f>
        <v>お直し</v>
      </c>
      <c r="F12" s="195"/>
      <c r="G12" s="218" t="str">
        <f t="array" ref="G12">IF(
  E12 = "再製作", 
  "", 
 if(E12="", "",
  IFERROR(
    INDEX(
      'アイテム別限界値DB'!$L:$L, 
      MATCH(
        1, 
        ('アイテム別限界値DB'!$B:$B = D$10) * 
        ('アイテム別限界値DB'!$C:$C = D12), 
        0
      )
    ), 
    "再製作"
  )
))
</f>
        <v/>
      </c>
      <c r="H12" s="12"/>
      <c r="I12" s="216" t="s">
        <v>51</v>
      </c>
      <c r="J12" s="217" t="str">
        <f>IF(I11="再製作", "再製作", IF(I11&lt;&gt;"", "お直し", ""))
</f>
        <v/>
      </c>
      <c r="K12" s="195"/>
      <c r="L12" s="218" t="str">
        <f t="array" ref="L12">IF(
  J12 = "再製作", 
  "", 
 if(J12="", "",
  IFERROR(
    INDEX(
      'アイテム別限界値DB'!$L:$L, 
      MATCH(
        1, 
        ('アイテム別限界値DB'!$B:$B = I$10) * 
        ('アイテム別限界値DB'!$C:$C = I12), 
        0
      )
    ), 
    "再製作"
  )
))
</f>
        <v/>
      </c>
      <c r="M12" s="121"/>
      <c r="N12" s="216" t="s">
        <v>51</v>
      </c>
      <c r="O12" s="217" t="str">
        <f>IF(N11="再製作", "再製作", IF(N11&lt;&gt;"", "お直し", ""))
</f>
        <v>お直し</v>
      </c>
      <c r="P12" s="195"/>
      <c r="Q12" s="218" t="str">
        <f t="array" ref="Q12">IF(
  O12 = "再製作", 
  "", 
 if(O12="", "",
  IFERROR(
    INDEX(
      'アイテム別限界値DB'!$L:$L, 
      MATCH(
        1, 
        ('アイテム別限界値DB'!$B:$B = N$10) * 
        ('アイテム別限界値DB'!$C:$C = N12), 
        0
      )
    ), 
    "再製作"
  )
))
</f>
        <v/>
      </c>
      <c r="R12" s="11"/>
      <c r="S12" s="216" t="s">
        <v>51</v>
      </c>
      <c r="T12" s="219" t="str">
        <f>IF(S11="再製作", "再製作", IF(S11&lt;&gt;"", "お直し", ""))
</f>
        <v/>
      </c>
      <c r="U12" s="220"/>
      <c r="V12" s="218" t="str">
        <f t="array" ref="V12">IF(
  T12 = "再製作", 
  "", 
 if(T12="", "",
  IFERROR(
    INDEX(
      'アイテム別限界値DB'!$L:$L, 
      MATCH(
        1, 
        ('アイテム別限界値DB'!$B:$B = S$10) * 
        ('アイテム別限界値DB'!$C:$C = S12), 
        0
      )
    ), 
    "再製作"
  )
))
</f>
        <v/>
      </c>
      <c r="W12" s="12"/>
      <c r="X12" s="216" t="s">
        <v>51</v>
      </c>
      <c r="Y12" s="219" t="str">
        <f>IF(X11="再製作", "再製作", IF(X11&lt;&gt;"", "お直し", ""))
</f>
        <v/>
      </c>
      <c r="Z12" s="220"/>
      <c r="AA12" s="218" t="str">
        <f t="array" ref="AA12">IF(
  Y12 = "再製作", 
  "", 
 if(Y12="", "",
  IFERROR(
    INDEX(
      'アイテム別限界値DB'!$L:$L, 
      MATCH(
        1, 
        ('アイテム別限界値DB'!$B:$B = X$10) * 
        ('アイテム別限界値DB'!$C:$C = X12), 
        0
      )
    ), 
    "再製作"
  )
))
</f>
        <v/>
      </c>
      <c r="AB12" s="11"/>
      <c r="AC12" s="216" t="s">
        <v>51</v>
      </c>
      <c r="AD12" s="219" t="str">
        <f>IF(AC11="再製作", "再製作", IF(AC11&lt;&gt;"", "お直し", ""))
</f>
        <v/>
      </c>
      <c r="AE12" s="220"/>
      <c r="AF12" s="218" t="str">
        <f t="array" ref="AF12">IF(
  AD12 = "再製作", 
  "", 
 if(AD12="", "",
  IFERROR(
    INDEX(
      'アイテム別限界値DB'!$L:$L, 
      MATCH(
        1, 
        ('アイテム別限界値DB'!$B:$B = AC$10) * 
        ('アイテム別限界値DB'!$C:$C = AC12), 
        0
      )
    ), 
    "再製作"
  )
))
</f>
        <v/>
      </c>
      <c r="AG12" s="11"/>
      <c r="AH12" s="216" t="s">
        <v>51</v>
      </c>
      <c r="AI12" s="219" t="str">
        <f>IF(AH11="再製作", "再製作", IF(AH11&lt;&gt;"", "お直し", ""))
</f>
        <v/>
      </c>
      <c r="AJ12" s="220"/>
      <c r="AK12" s="218" t="str">
        <f t="array" ref="AK12">IF(
  AI12 = "再製作", 
  "", 
 if(AI12="", "",
  IFERROR(
    INDEX(
      'アイテム別限界値DB'!$L:$L, 
      MATCH(
        1, 
        ('アイテム別限界値DB'!$B:$B = AH$10) * 
        ('アイテム別限界値DB'!$C:$C = AH12), 
        0
      )
    ), 
    "再製作"
  )
))
</f>
        <v/>
      </c>
      <c r="AL12" s="11"/>
      <c r="AM12" s="216" t="s">
        <v>51</v>
      </c>
      <c r="AN12" s="219" t="str">
        <f>IF(AM11="再製作", "再製作", IF(AM11&lt;&gt;"", "お直し", ""))
</f>
        <v/>
      </c>
      <c r="AO12" s="220"/>
      <c r="AP12" s="218" t="str">
        <f t="array" ref="AP12">IF(
  AN12 = "再製作", 
  "", 
 if(AN12="", "",
  IFERROR(
    INDEX(
      'アイテム別限界値DB'!$L:$L, 
      MATCH(
        1, 
        ('アイテム別限界値DB'!$B:$B = AM$10) * 
        ('アイテム別限界値DB'!$C:$C = AM12), 
        0
      )
    ), 
    "再製作"
  )
))
</f>
        <v/>
      </c>
      <c r="AQ12" s="11"/>
      <c r="AR12" s="216" t="s">
        <v>51</v>
      </c>
      <c r="AS12" s="219" t="str">
        <f>IF(AR11="再製作", "再製作", IF(AR11&lt;&gt;"", "お直し", ""))
</f>
        <v/>
      </c>
      <c r="AT12" s="220"/>
      <c r="AU12" s="218" t="str">
        <f t="array" ref="AU12">IF(
  AS12 = "再製作", 
  "", 
 if(AS12="", "",
  IFERROR(
    INDEX(
      'アイテム別限界値DB'!$L:$L, 
      MATCH(
        1, 
        ('アイテム別限界値DB'!$B:$B = AR$10) * 
        ('アイテム別限界値DB'!$C:$C = AR12), 
        0
      )
    ), 
    "再製作"
  )
))
</f>
        <v/>
      </c>
      <c r="AV12" s="121"/>
      <c r="AW12" s="216" t="s">
        <v>51</v>
      </c>
      <c r="AX12" s="219" t="str">
        <f>IF(AW11="再製作", "再製作", IF(AW11&lt;&gt;"", "お直し", ""))
</f>
        <v/>
      </c>
      <c r="AY12" s="220"/>
      <c r="AZ12" s="218" t="str">
        <f t="array" ref="AZ12">IF(
  AX12 = "再製作", 
  "", 
 if(AX12="", "",
  IFERROR(
    INDEX(
      'アイテム別限界値DB'!$L:$L, 
      MATCH(
        1, 
        ('アイテム別限界値DB'!$B:$B = AW$10) * 
        ('アイテム別限界値DB'!$C:$C = AW12), 
        0
      )
    ), 
    "再製作"
  )
))
</f>
        <v/>
      </c>
      <c r="BA12" s="121"/>
      <c r="BB12" s="216" t="s">
        <v>51</v>
      </c>
      <c r="BC12" s="217" t="str">
        <f>IF(BB11="再製作", "再製作", IF(BB11&lt;&gt;"", "お直し", ""))
</f>
        <v/>
      </c>
      <c r="BD12" s="195"/>
      <c r="BE12" s="218" t="str">
        <f t="array" ref="BE12">IF(
  BC12 = "再製作", 
  "", 
 if(BC12="", "",
  IFERROR(
    INDEX(
      'アイテム別限界値DB'!$L:$L, 
      MATCH(
        1, 
        ('アイテム別限界値DB'!$B:$B = BB$10) * 
        ('アイテム別限界値DB'!$C:$C = BB12), 
        0
      )
    ), 
    "再製作"
  )
))
</f>
        <v/>
      </c>
      <c r="BF12" s="121"/>
      <c r="BG12" s="216" t="s">
        <v>51</v>
      </c>
      <c r="BH12" s="217" t="str">
        <f>IF(BG11="再製作", "再製作", IF(BG11&lt;&gt;"", "お直し", ""))
</f>
        <v/>
      </c>
      <c r="BI12" s="195"/>
      <c r="BJ12" s="218" t="str">
        <f t="array" ref="BJ12">IF(
  BH12 = "再製作", 
  "", 
 if(BH12="", "",
  IFERROR(
    INDEX(
      'アイテム別限界値DB'!$L:$L, 
      MATCH(
        1, 
        ('アイテム別限界値DB'!$B:$B = BG$10) * 
        ('アイテム別限界値DB'!$C:$C = BG12), 
        0
      )
    ), 
    "再製作"
  )
))
</f>
        <v/>
      </c>
      <c r="BK12" s="121"/>
      <c r="BL12" s="221" t="s">
        <v>51</v>
      </c>
      <c r="BM12" s="219" t="str">
        <f>IF(BL11="再製作", "再製作", IF(BL11&lt;&gt;"", "お直し", ""))
</f>
        <v>お直し</v>
      </c>
      <c r="BN12" s="195"/>
      <c r="BO12" s="218" t="str">
        <f t="array" ref="BO12">IF(
  BM12 = "再製作", 
  "", 
 if(BM12="", "",
  IFERROR(
    INDEX(
      'アイテム別限界値DB'!$L:$L, 
      MATCH(
        1, 
        ('アイテム別限界値DB'!$B:$B = BL$10) * 
        ('アイテム別限界値DB'!$C:$C = BL12), 
        0
      )
    ), 
    "再製作"
  )
))
</f>
        <v/>
      </c>
      <c r="BP12" s="195"/>
    </row>
    <row r="13" ht="18.75" hidden="1" customHeight="1">
      <c r="A13" s="222" t="s">
        <v>52</v>
      </c>
      <c r="B13" s="12"/>
      <c r="C13" s="12"/>
      <c r="D13" s="223" t="b">
        <f t="array" ref="D13:D42">UNIQUE(IF( ('アイテム別限界値DB'!$B:$B = D$10) * ('アイテム別限界値DB'!$A:$A = "サイズ"),  IF('アイテム別限界値DB'!$B:$B = D$10, 'アイテム別限界値DB'!$F:$F, "") ))</f>
        <v>0</v>
      </c>
      <c r="E13" s="224"/>
      <c r="F13" s="12"/>
      <c r="G13" s="121"/>
      <c r="H13" s="12"/>
      <c r="I13" s="223" t="b">
        <f t="array" ref="I13:I27">UNIQUE(IF( ('アイテム別限界値DB'!$B:$B = I$10) * ('アイテム別限界値DB'!$A:$A = "サイズ"),  IF('アイテム別限界値DB'!$B:$B = I$10, 'アイテム別限界値DB'!$F:$F, "") ))</f>
        <v>0</v>
      </c>
      <c r="J13" s="224"/>
      <c r="K13" s="12"/>
      <c r="L13" s="121"/>
      <c r="M13" s="12"/>
      <c r="N13" s="223" t="b">
        <f t="array" ref="N13:N21">UNIQUE(IF( ('アイテム別限界値DB'!$B:$B = N$10) * ('アイテム別限界値DB'!$A:$A = "サイズ"),  IF('アイテム別限界値DB'!$B:$B = N$10, 'アイテム別限界値DB'!$C:$C, "") ))</f>
        <v>0</v>
      </c>
      <c r="O13" s="224"/>
      <c r="P13" s="12"/>
      <c r="Q13" s="121"/>
      <c r="R13" s="11"/>
      <c r="S13" s="223" t="b">
        <f t="array" ref="S13:S28">UNIQUE(IF( ('アイテム別限界値DB'!$B:$B = S$10) * ('アイテム別限界値DB'!$A:$A = "サイズ"),  IF('アイテム別限界値DB'!$B:$B = S$10, 'アイテム別限界値DB'!$F:$F, "") ))</f>
        <v>0</v>
      </c>
      <c r="T13" s="225"/>
      <c r="U13" s="226"/>
      <c r="V13" s="121"/>
      <c r="W13" s="12"/>
      <c r="X13" s="223" t="b">
        <f t="array" ref="X13:X31">UNIQUE(IF( ('アイテム別限界値DB'!$B:$B = X$10) * ('アイテム別限界値DB'!$A:$A = "サイズ"),  IF('アイテム別限界値DB'!$B:$B = X$10, 'アイテム別限界値DB'!$C:$C, "") ))</f>
        <v>0</v>
      </c>
      <c r="Y13" s="225"/>
      <c r="Z13" s="226"/>
      <c r="AA13" s="121"/>
      <c r="AB13" s="11"/>
      <c r="AC13" s="223" t="b">
        <f t="array" ref="AC13:AC29">UNIQUE(IF( ('アイテム別限界値DB'!$B:$B = AC$10) * ('アイテム別限界値DB'!$A:$A = "サイズ"),  IF('アイテム別限界値DB'!$B:$B = AC$10, 'アイテム別限界値DB'!$F:$F, "") ))</f>
        <v>0</v>
      </c>
      <c r="AD13" s="225"/>
      <c r="AE13" s="226"/>
      <c r="AF13" s="121"/>
      <c r="AG13" s="11"/>
      <c r="AH13" s="223" t="b">
        <f t="array" ref="AH13:AH20">UNIQUE(IF( ('アイテム別限界値DB'!$B:$B = AH$10) * ('アイテム別限界値DB'!$A:$A = "サイズ"),  IF('アイテム別限界値DB'!$B:$B = AH$10, 'アイテム別限界値DB'!$F:$F, "") ))</f>
        <v>0</v>
      </c>
      <c r="AI13" s="225"/>
      <c r="AJ13" s="226"/>
      <c r="AK13" s="121"/>
      <c r="AL13" s="11"/>
      <c r="AM13" s="223" t="b">
        <f t="array" ref="AM13:AM20">UNIQUE(IF( ('アイテム別限界値DB'!$B:$B = AM$10) * ('アイテム別限界値DB'!$A:$A = "サイズ"),  IF('アイテム別限界値DB'!$B:$B = AM$10, 'アイテム別限界値DB'!$F:$F, "") ))</f>
        <v>0</v>
      </c>
      <c r="AN13" s="225"/>
      <c r="AO13" s="226"/>
      <c r="AP13" s="121"/>
      <c r="AQ13" s="11"/>
      <c r="AR13" s="223" t="b">
        <f t="array" ref="AR13:AR20">UNIQUE(IF( ('アイテム別限界値DB'!$B:$B = AR$10) * ('アイテム別限界値DB'!$A:$A = "サイズ"),  IF('アイテム別限界値DB'!$B:$B = AR$10, 'アイテム別限界値DB'!$F:$F, "") ))</f>
        <v>0</v>
      </c>
      <c r="AS13" s="225"/>
      <c r="AT13" s="226"/>
      <c r="AU13" s="121"/>
      <c r="AV13" s="121"/>
      <c r="AW13" s="223" t="b">
        <f t="array" ref="AW13:AW20">UNIQUE(IF( ('アイテム別限界値DB'!$B:$B = AW$10) * ('アイテム別限界値DB'!$A:$A = "サイズ"),  IF('アイテム別限界値DB'!$B:$B = AW$10, 'アイテム別限界値DB'!$F:$F, "") ))</f>
        <v>0</v>
      </c>
      <c r="AX13" s="225"/>
      <c r="AY13" s="226"/>
      <c r="AZ13" s="121"/>
      <c r="BA13" s="121"/>
      <c r="BB13" s="223" t="b">
        <f t="array" ref="BB13:BB20">UNIQUE(IF( ('アイテム別限界値DB'!$B:$B = BB$10) * ('アイテム別限界値DB'!$A:$A = "サイズ"),  IF('アイテム別限界値DB'!$B:$B = BB$10, 'アイテム別限界値DB'!$F:$F, "") ))</f>
        <v>0</v>
      </c>
      <c r="BC13" s="224"/>
      <c r="BD13" s="12"/>
      <c r="BE13" s="121"/>
      <c r="BF13" s="121"/>
      <c r="BG13" s="223" t="b">
        <f t="array" ref="BG13:BG20">UNIQUE(IF( ('アイテム別限界値DB'!$B:$B = BG$10) * ('アイテム別限界値DB'!$A:$A = "サイズ"),  IF('アイテム別限界値DB'!$B:$B = BG$10, 'アイテム別限界値DB'!$F:$F, "") ))</f>
        <v>0</v>
      </c>
      <c r="BH13" s="224"/>
      <c r="BI13" s="12"/>
      <c r="BJ13" s="121"/>
      <c r="BK13" s="121"/>
      <c r="BL13" s="227" t="b">
        <f t="array" ref="BL13:BL23">UNIQUE(IF( ('アイテム別限界値DB'!$B:$B = BL$10) * ('アイテム別限界値DB'!$A:$A = "サイズ"),  IF('アイテム別限界値DB'!$B:$B = BL$10, 'アイテム別限界値DB'!$F:$F, "") ))</f>
        <v>0</v>
      </c>
      <c r="BM13" s="224"/>
      <c r="BN13" s="121"/>
      <c r="BO13" s="121"/>
      <c r="BP13" s="121"/>
    </row>
    <row r="14" ht="18.75" customHeight="1">
      <c r="A14" s="228" t="str">
        <f>IF($D$11 = "再製作", "◼︎ ジャケット（対応着地：再製作）" &amp; char(10) &amp; "《修正数値》", IF( $D$11 &lt;&gt;"", "◼︎ ジャケット（対応着地：お直し）" &amp; char(10) &amp; "《修正数値》", ""))</f>
        <v>◼︎ ジャケット（対応着地：お直し）
《修正数値》</v>
      </c>
      <c r="B14" s="229"/>
      <c r="C14" s="224"/>
      <c r="D14" s="224" t="s">
        <v>51</v>
      </c>
      <c r="E14" s="230"/>
      <c r="F14" s="231" t="str">
        <f t="array" ref="F14">IF(
  E14 = 0, 
  "", 
  IFERROR(
    INDEX(
      'アイテム別限界値DB'!$K:$K, 
      MATCH(
        1, 
        ('アイテム別限界値DB'!$B:$B = D$10) * 
        ('アイテム別限界値DB'!$F:$F = D14) * 
        ('アイテム別限界値DB'!$H:$H = E14), 
        0
      )
    ), 
    "再製作"
  )
)
</f>
        <v/>
      </c>
      <c r="G14" s="218" t="str">
        <f t="array" ref="G14">IF(
  E14 = 0, 
  "", 
  IFERROR(
    INDEX(
      'アイテム別限界値DB'!$L:$L, 
      MATCH(
        1, 
        ('アイテム別限界値DB'!$B:$B = D$10) * 
        ('アイテム別限界値DB'!$C:$C = D14) * 
        ('アイテム別限界値DB'!$F:$F = E14), 
        0
      )
    ), 
    ""
  )
)
</f>
        <v/>
      </c>
      <c r="H14" s="195"/>
      <c r="I14" s="224" t="s">
        <v>51</v>
      </c>
      <c r="J14" s="232"/>
      <c r="K14" s="231" t="str">
        <f t="array" ref="K14">IF(
  J14 = 0, 
  "", 
  IFERROR(
    INDEX(
      'アイテム別限界値DB'!$K:$K, 
      MATCH(
        1, 
        ('アイテム別限界値DB'!$B:$B = I$10) * 
        ('アイテム別限界値DB'!$F:$F = I14) * 
        ('アイテム別限界値DB'!$H:$H = J14), 
        0
      )
    ), 
    "再製作"
  )
)
</f>
        <v/>
      </c>
      <c r="L14" s="218" t="str">
        <f t="array" ref="L14">IF(
  J14 = 0, 
  "", 
  IFERROR(
    INDEX(
      'アイテム別限界値DB'!$L:$L, 
      MATCH(
        1, 
        ('アイテム別限界値DB'!$B:$B = I$10) * 
        ('アイテム別限界値DB'!$C:$C = I14) * 
        ('アイテム別限界値DB'!$F:$F = J14), 
        0
      )
    ), 
    ""
  )
)
</f>
        <v/>
      </c>
      <c r="M14" s="12"/>
      <c r="N14" s="224" t="s">
        <v>51</v>
      </c>
      <c r="O14" s="232"/>
      <c r="P14" s="231" t="str">
        <f t="array" ref="P14">IF(
  O14 = 0, 
  "", 
  IFERROR(
    INDEX(
      'アイテム別限界値DB'!$K:$K, 
      MATCH(
        1, 
        ('アイテム別限界値DB'!$B:$B = N$10) * 
        ('アイテム別限界値DB'!$F:$F = N14) * 
        ('アイテム別限界値DB'!$H:$H = O14), 
        0
      )
    ), 
    "再製作"
  )
)
</f>
        <v/>
      </c>
      <c r="Q14" s="218" t="str">
        <f t="array" ref="Q14">IF(
  O14 = 0, 
  "", 
  IFERROR(
    INDEX(
      'アイテム別限界値DB'!$L:$L, 
      MATCH(
        1, 
        ('アイテム別限界値DB'!$B:$B = N$10) * 
        ('アイテム別限界値DB'!$C:$C = N14) * 
        ('アイテム別限界値DB'!$F:$F = O14), 
        0
      )
    ), 
    ""
  )
)
</f>
        <v/>
      </c>
      <c r="R14" s="12"/>
      <c r="S14" s="224" t="s">
        <v>51</v>
      </c>
      <c r="T14" s="232"/>
      <c r="U14" s="231" t="str">
        <f t="array" ref="U14">IF(
  T14 = 0, 
  "", 
  IFERROR(
    INDEX(
      'アイテム別限界値DB'!$K:$K, 
      MATCH(
        1, 
        ('アイテム別限界値DB'!$B:$B = S$10) * 
        ('アイテム別限界値DB'!$F:$F = S14) * 
        ('アイテム別限界値DB'!$H:$H = T14), 
        0
      )
    ), 
    "再製作"
  )
)
</f>
        <v/>
      </c>
      <c r="V14" s="218" t="str">
        <f t="array" ref="V14">IF(
  T14 = 0, 
  "", 
  IFERROR(
    INDEX(
      'アイテム別限界値DB'!$L:$L, 
      MATCH(
        1, 
        ('アイテム別限界値DB'!$B:$B = S$10) * 
        ('アイテム別限界値DB'!$C:$C = S14) * 
        ('アイテム別限界値DB'!$F:$F = T14), 
        0
      )
    ), 
    ""
  )
)
</f>
        <v/>
      </c>
      <c r="W14" s="12"/>
      <c r="X14" s="224" t="s">
        <v>51</v>
      </c>
      <c r="Y14" s="232"/>
      <c r="Z14" s="231" t="str">
        <f t="array" ref="Z14">IF(
  Y14 = 0, 
  "", 
  IFERROR(
    INDEX(
      'アイテム別限界値DB'!$K:$K, 
      MATCH(
        1, 
        ('アイテム別限界値DB'!$B:$B = X$10) * 
        ('アイテム別限界値DB'!$F:$F = X14) * 
        ('アイテム別限界値DB'!$H:$H = Y14), 
        0
      )
    ), 
    "再製作"
  )
)
</f>
        <v/>
      </c>
      <c r="AA14" s="218" t="str">
        <f t="array" ref="AA14">IF(
  Y14 = 0, 
  "", 
  IFERROR(
    INDEX(
      'アイテム別限界値DB'!$L:$L, 
      MATCH(
        1, 
        ('アイテム別限界値DB'!$B:$B = X$10) * 
        ('アイテム別限界値DB'!$C:$C = X14) * 
        ('アイテム別限界値DB'!$F:$F = Y14), 
        0
      )
    ), 
    ""
  )
)
</f>
        <v/>
      </c>
      <c r="AB14" s="11"/>
      <c r="AC14" s="224" t="s">
        <v>51</v>
      </c>
      <c r="AD14" s="232"/>
      <c r="AE14" s="231" t="str">
        <f t="array" ref="AE14">IF(
  AD14 = 0, 
  "", 
  IFERROR(
    INDEX(
      'アイテム別限界値DB'!$K:$K, 
      MATCH(
        1, 
        ('アイテム別限界値DB'!$B:$B = AC$10) * 
        ('アイテム別限界値DB'!$F:$F = AC14) * 
        ('アイテム別限界値DB'!$H:$H = AD14), 
        0
      )
    ), 
    "再製作"
  )
)
</f>
        <v/>
      </c>
      <c r="AF14" s="218" t="str">
        <f t="array" ref="AF14">IF(
  AD14 = 0, 
  "", 
  IFERROR(
    INDEX(
      'アイテム別限界値DB'!$L:$L, 
      MATCH(
        1, 
        ('アイテム別限界値DB'!$B:$B = AC$10) * 
        ('アイテム別限界値DB'!$C:$C = AC14) * 
        ('アイテム別限界値DB'!$F:$F = AD14), 
        0
      )
    ), 
    ""
  )
)
</f>
        <v/>
      </c>
      <c r="AG14" s="11"/>
      <c r="AH14" s="224" t="s">
        <v>51</v>
      </c>
      <c r="AI14" s="232"/>
      <c r="AJ14" s="231" t="str">
        <f t="array" ref="AJ14">IF(
  AI14 = 0, 
  "", 
  IFERROR(
    INDEX(
      'アイテム別限界値DB'!$K:$K, 
      MATCH(
        1, 
        ('アイテム別限界値DB'!$B:$B = AH$10) * 
        ('アイテム別限界値DB'!$F:$F = AH14) * 
        ('アイテム別限界値DB'!$H:$H = AI14), 
        0
      )
    ), 
    "再製作"
  )
)
</f>
        <v/>
      </c>
      <c r="AK14" s="218" t="str">
        <f t="array" ref="AK14">IF(
  AI14 = 0, 
  "", 
  IFERROR(
    INDEX(
      'アイテム別限界値DB'!$L:$L, 
      MATCH(
        1, 
        ('アイテム別限界値DB'!$B:$B = AH$10) * 
        ('アイテム別限界値DB'!$C:$C = AH14) * 
        ('アイテム別限界値DB'!$F:$F = AI14), 
        0
      )
    ), 
    ""
  )
)
</f>
        <v/>
      </c>
      <c r="AL14" s="11"/>
      <c r="AM14" s="224" t="s">
        <v>51</v>
      </c>
      <c r="AN14" s="232"/>
      <c r="AO14" s="231" t="str">
        <f t="array" ref="AO14">IF(
  AN14 = 0, 
  "", 
  IFERROR(
    INDEX(
      'アイテム別限界値DB'!$K:$K, 
      MATCH(
        1, 
        ('アイテム別限界値DB'!$B:$B = AM$10) * 
        ('アイテム別限界値DB'!$F:$F = AM14) * 
        ('アイテム別限界値DB'!$H:$H = AN14), 
        0
      )
    ), 
    "再製作"
  )
)
</f>
        <v/>
      </c>
      <c r="AP14" s="218" t="str">
        <f t="array" ref="AP14">IF(
  AN14 = 0, 
  "", 
  IFERROR(
    INDEX(
      'アイテム別限界値DB'!$L:$L, 
      MATCH(
        1, 
        ('アイテム別限界値DB'!$B:$B = AM$10) * 
        ('アイテム別限界値DB'!$C:$C = AM14) * 
        ('アイテム別限界値DB'!$F:$F = AN14), 
        0
      )
    ), 
    ""
  )
)
</f>
        <v/>
      </c>
      <c r="AQ14" s="11"/>
      <c r="AR14" s="224" t="s">
        <v>51</v>
      </c>
      <c r="AS14" s="232"/>
      <c r="AT14" s="231" t="str">
        <f t="array" ref="AT14">IF(
  AS14 = 0, 
  "", 
  IFERROR(
    INDEX(
      'アイテム別限界値DB'!$K:$K, 
      MATCH(
        1, 
        ('アイテム別限界値DB'!$B:$B = AR$10) * 
        ('アイテム別限界値DB'!$F:$F = AR14) * 
        ('アイテム別限界値DB'!$H:$H = AS14), 
        0
      )
    ), 
    "再製作"
  )
)
</f>
        <v/>
      </c>
      <c r="AU14" s="218" t="str">
        <f t="array" ref="AU14">IF(
  AS14 = 0, 
  "", 
  IFERROR(
    INDEX(
      'アイテム別限界値DB'!$L:$L, 
      MATCH(
        1, 
        ('アイテム別限界値DB'!$B:$B = AR$10) * 
        ('アイテム別限界値DB'!$C:$C = AR14) * 
        ('アイテム別限界値DB'!$F:$F = AS14), 
        0
      )
    ), 
    ""
  )
)
</f>
        <v/>
      </c>
      <c r="AV14" s="121"/>
      <c r="AW14" s="224" t="s">
        <v>51</v>
      </c>
      <c r="AX14" s="232"/>
      <c r="AY14" s="231" t="str">
        <f t="array" ref="AY14">IF(
  AX14 = 0, 
  "", 
  IFERROR(
    INDEX(
      'アイテム別限界値DB'!$K:$K, 
      MATCH(
        1, 
        ('アイテム別限界値DB'!$B:$B = AW$10) * 
        ('アイテム別限界値DB'!$F:$F = AW14) * 
        ('アイテム別限界値DB'!$H:$H = AX14), 
        0
      )
    ), 
    "再製作"
  )
)
</f>
        <v/>
      </c>
      <c r="AZ14" s="218" t="str">
        <f t="array" ref="AZ14">IF(
  AX14 = 0, 
  "", 
  IFERROR(
    INDEX(
      'アイテム別限界値DB'!$L:$L, 
      MATCH(
        1, 
        ('アイテム別限界値DB'!$B:$B = AW$10) * 
        ('アイテム別限界値DB'!$C:$C = AW14) * 
        ('アイテム別限界値DB'!$F:$F = AX14), 
        0
      )
    ), 
    ""
  )
)
</f>
        <v/>
      </c>
      <c r="BA14" s="121"/>
      <c r="BB14" s="224" t="s">
        <v>51</v>
      </c>
      <c r="BC14" s="232"/>
      <c r="BD14" s="231" t="str">
        <f t="array" ref="BD14">IF(
  BC14 = 0, 
  "", 
  IFERROR(
    INDEX(
      'アイテム別限界値DB'!$K:$K, 
      MATCH(
        1, 
        ('アイテム別限界値DB'!$B:$B = BB$10) * 
        ('アイテム別限界値DB'!$F:$F = BB14) * 
        ('アイテム別限界値DB'!$H:$H = BC14), 
        0
      )
    ), 
    "再製作"
  )
)
</f>
        <v/>
      </c>
      <c r="BE14" s="218" t="str">
        <f t="array" ref="BE14">IF(
  BC14 = 0, 
  "", 
  IFERROR(
    INDEX(
      'アイテム別限界値DB'!$L:$L, 
      MATCH(
        1, 
        ('アイテム別限界値DB'!$B:$B = BB$10) * 
        ('アイテム別限界値DB'!$C:$C = BB14) * 
        ('アイテム別限界値DB'!$F:$F = BC14), 
        0
      )
    ), 
    ""
  )
)
</f>
        <v/>
      </c>
      <c r="BF14" s="121"/>
      <c r="BG14" s="224" t="s">
        <v>51</v>
      </c>
      <c r="BH14" s="233"/>
      <c r="BI14" s="234" t="str">
        <f t="array" ref="BI14">IF(
  BH14 = 0, 
  "", 
  IFERROR(
    INDEX(
      'アイテム別限界値DB'!$K:$K, 
      MATCH(
        1, 
        ('アイテム別限界値DB'!$B:$B = BG$10) * 
        ('アイテム別限界値DB'!$F:$F = BG14) * 
        ('アイテム別限界値DB'!$H:$H = BH14), 
        0
      )
    ), 
    "再製作"
  )
)
</f>
        <v/>
      </c>
      <c r="BJ14" s="218" t="str">
        <f t="array" ref="BJ14">IF(
  BH14 = 0, 
  "", 
  IFERROR(
    INDEX(
      'アイテム別限界値DB'!$L:$L, 
      MATCH(
        1, 
        ('アイテム別限界値DB'!$B:$B = BG$10) * 
        ('アイテム別限界値DB'!$C:$C = BG14) * 
        ('アイテム別限界値DB'!$F:$F = BH14), 
        0
      )
    ), 
    ""
  )
)
</f>
        <v/>
      </c>
      <c r="BK14" s="121"/>
      <c r="BL14" s="224" t="s">
        <v>51</v>
      </c>
      <c r="BM14" s="232"/>
      <c r="BN14" s="231" t="str">
        <f t="array" ref="BN14">IF(
  BM14 = 0, 
  "", 
  IFERROR(
    INDEX(
      'アイテム別限界値DB'!$K:$K, 
      MATCH(
        1, 
        ('アイテム別限界値DB'!$B:$B = BL$10) * 
        ('アイテム別限界値DB'!$F:$F = BL14) * 
        ('アイテム別限界値DB'!$H:$H = BM14), 
        0
      )
    ), 
    "再製作"
  )
)
</f>
        <v/>
      </c>
      <c r="BO14" s="218" t="str">
        <f t="array" ref="BO14">IF(
  BM14 = 0, 
  "", 
  IFERROR(
    INDEX(
      'アイテム別限界値DB'!$L:$L, 
      MATCH(
        1, 
        ('アイテム別限界値DB'!$B:$B = BL$10) * 
        ('アイテム別限界値DB'!$C:$C = BL14) * 
        ('アイテム別限界値DB'!$F:$F = BM14), 
        0
      )
    ), 
    ""
  )
)
</f>
        <v/>
      </c>
      <c r="BP14" s="195"/>
    </row>
    <row r="15" ht="18.75" customHeight="1">
      <c r="A15" s="228" t="str">
        <f>IFERROR(__xludf.DUMMYFUNCTION("TEXTJOIN(CHAR(10),TRUE,FILTER(ARRAYFORMULA(IF(E$14:E72&lt;&gt;"""",D$14:D72&amp;"" : ""&amp; E$14:E72 &amp;"" cm"","""")), D$14:D72 &lt;&gt;""""))"),"バスト : -2 cm")</f>
        <v>バスト : -2 cm</v>
      </c>
      <c r="B15" s="235"/>
      <c r="C15" s="224"/>
      <c r="D15" s="224" t="s">
        <v>53</v>
      </c>
      <c r="E15" s="230"/>
      <c r="F15" s="231" t="str">
        <f t="array" ref="F15">IF(
  E15 = 0, 
  "", 
  IFERROR(
    INDEX(
      'アイテム別限界値DB'!$K:$K, 
      MATCH(
        1, 
        ('アイテム別限界値DB'!$B:$B = D$10) * 
        ('アイテム別限界値DB'!$F:$F = D15) * 
        ('アイテム別限界値DB'!$H:$H = E15), 
        0
      )
    ), 
    "再製作"
  )
)
</f>
        <v/>
      </c>
      <c r="G15" s="218" t="str">
        <f t="array" ref="G15">IF(
  E15 = 0, 
  "", 
  IFERROR(
    INDEX(
      'アイテム別限界値DB'!$L:$L, 
      MATCH(
        1, 
        ('アイテム別限界値DB'!$B:$B = D$10) * 
        ('アイテム別限界値DB'!$C:$C = D15) * 
        ('アイテム別限界値DB'!$F:$F = E15), 
        0
      )
    ), 
    ""
  )
)
</f>
        <v/>
      </c>
      <c r="H15" s="12"/>
      <c r="I15" s="224" t="s">
        <v>54</v>
      </c>
      <c r="J15" s="230"/>
      <c r="K15" s="231" t="str">
        <f t="array" ref="K15">IF(
  J15 = 0, 
  "", 
  IFERROR(
    INDEX(
      'アイテム別限界値DB'!$K:$K, 
      MATCH(
        1, 
        ('アイテム別限界値DB'!$B:$B = I$10) * 
        ('アイテム別限界値DB'!$F:$F = I15) * 
        ('アイテム別限界値DB'!$H:$H = J15), 
        0
      )
    ), 
    "再製作"
  )
)
</f>
        <v/>
      </c>
      <c r="L15" s="218" t="str">
        <f t="array" ref="L15">IF(
  J15 = 0, 
  "", 
  IFERROR(
    INDEX(
      'アイテム別限界値DB'!$L:$L, 
      MATCH(
        1, 
        ('アイテム別限界値DB'!$B:$B = I$10) * 
        ('アイテム別限界値DB'!$C:$C = I15) * 
        ('アイテム別限界値DB'!$F:$F = J15), 
        0
      )
    ), 
    ""
  )
)
</f>
        <v/>
      </c>
      <c r="M15" s="12"/>
      <c r="N15" s="224" t="s">
        <v>55</v>
      </c>
      <c r="O15" s="230" t="s">
        <v>129</v>
      </c>
      <c r="P15" s="231">
        <f t="array" ref="P15">IF(
  O15 = 0, 
  "", 
  IFERROR(
    INDEX(
      'アイテム別限界値DB'!$K:$K, 
      MATCH(
        1, 
        ('アイテム別限界値DB'!$B:$B = N$10) * 
        ('アイテム別限界値DB'!$F:$F = N15) * 
        ('アイテム別限界値DB'!$H:$H = O15), 
        0
      )
    ), 
    "再製作"
  )
)
</f>
        <v>46000</v>
      </c>
      <c r="Q15" s="218" t="str">
        <f t="array" ref="Q15">IF(
  O15 = 0, 
  "", 
  IFERROR(
    INDEX(
      'アイテム別限界値DB'!$L:$L, 
      MATCH(
        1, 
        ('アイテム別限界値DB'!$B:$B = N$10) * 
        ('アイテム別限界値DB'!$C:$C = N15) * 
        ('アイテム別限界値DB'!$F:$F = O15), 
        0
      )
    ), 
    ""
  )
)
</f>
        <v/>
      </c>
      <c r="R15" s="12"/>
      <c r="S15" s="224" t="s">
        <v>54</v>
      </c>
      <c r="T15" s="232"/>
      <c r="U15" s="231" t="str">
        <f t="array" ref="U15">IF(
  T15 = 0, 
  "", 
  IFERROR(
    INDEX(
      'アイテム別限界値DB'!$K:$K, 
      MATCH(
        1, 
        ('アイテム別限界値DB'!$B:$B = S$10) * 
        ('アイテム別限界値DB'!$F:$F = S15) * 
        ('アイテム別限界値DB'!$H:$H = T15), 
        0
      )
    ), 
    "再製作"
  )
)
</f>
        <v/>
      </c>
      <c r="V15" s="218" t="str">
        <f t="array" ref="V15">IF(
  T15 = 0, 
  "", 
  IFERROR(
    INDEX(
      'アイテム別限界値DB'!$L:$L, 
      MATCH(
        1, 
        ('アイテム別限界値DB'!$B:$B = S$10) * 
        ('アイテム別限界値DB'!$C:$C = S15) * 
        ('アイテム別限界値DB'!$F:$F = T15), 
        0
      )
    ), 
    ""
  )
)
</f>
        <v/>
      </c>
      <c r="W15" s="12"/>
      <c r="X15" s="224" t="s">
        <v>53</v>
      </c>
      <c r="Y15" s="230"/>
      <c r="Z15" s="231" t="str">
        <f t="array" ref="Z15">IF(
  Y15 = 0, 
  "", 
  IFERROR(
    INDEX(
      'アイテム別限界値DB'!$K:$K, 
      MATCH(
        1, 
        ('アイテム別限界値DB'!$B:$B = X$10) * 
        ('アイテム別限界値DB'!$F:$F = X15) * 
        ('アイテム別限界値DB'!$H:$H = Y15), 
        0
      )
    ), 
    "再製作"
  )
)
</f>
        <v/>
      </c>
      <c r="AA15" s="218" t="str">
        <f t="array" ref="AA15">IF(
  Y15 = 0, 
  "", 
  IFERROR(
    INDEX(
      'アイテム別限界値DB'!$L:$L, 
      MATCH(
        1, 
        ('アイテム別限界値DB'!$B:$B = X$10) * 
        ('アイテム別限界値DB'!$C:$C = X15) * 
        ('アイテム別限界値DB'!$F:$F = Y15), 
        0
      )
    ), 
    ""
  )
)
</f>
        <v/>
      </c>
      <c r="AB15" s="11"/>
      <c r="AC15" s="224" t="s">
        <v>53</v>
      </c>
      <c r="AD15" s="232"/>
      <c r="AE15" s="231" t="str">
        <f t="array" ref="AE15">IF(
  AD15 = 0, 
  "", 
  IFERROR(
    INDEX(
      'アイテム別限界値DB'!$K:$K, 
      MATCH(
        1, 
        ('アイテム別限界値DB'!$B:$B = AC$10) * 
        ('アイテム別限界値DB'!$F:$F = AC15) * 
        ('アイテム別限界値DB'!$H:$H = AD15), 
        0
      )
    ), 
    "再製作"
  )
)
</f>
        <v/>
      </c>
      <c r="AF15" s="218" t="str">
        <f t="array" ref="AF15">IF(
  AD15 = 0, 
  "", 
  IFERROR(
    INDEX(
      'アイテム別限界値DB'!$L:$L, 
      MATCH(
        1, 
        ('アイテム別限界値DB'!$B:$B = AC$10) * 
        ('アイテム別限界値DB'!$C:$C = AC15) * 
        ('アイテム別限界値DB'!$F:$F = AD15), 
        0
      )
    ), 
    ""
  )
)
</f>
        <v/>
      </c>
      <c r="AG15" s="11"/>
      <c r="AH15" s="224" t="s">
        <v>53</v>
      </c>
      <c r="AI15" s="232"/>
      <c r="AJ15" s="231" t="str">
        <f t="array" ref="AJ15">IF(
  AI15 = 0, 
  "", 
  IFERROR(
    INDEX(
      'アイテム別限界値DB'!$K:$K, 
      MATCH(
        1, 
        ('アイテム別限界値DB'!$B:$B = AH$10) * 
        ('アイテム別限界値DB'!$F:$F = AH15) * 
        ('アイテム別限界値DB'!$H:$H = AI15), 
        0
      )
    ), 
    "再製作"
  )
)
</f>
        <v/>
      </c>
      <c r="AK15" s="218" t="str">
        <f t="array" ref="AK15">IF(
  AI15 = 0, 
  "", 
  IFERROR(
    INDEX(
      'アイテム別限界値DB'!$L:$L, 
      MATCH(
        1, 
        ('アイテム別限界値DB'!$B:$B = AH$10) * 
        ('アイテム別限界値DB'!$C:$C = AH15) * 
        ('アイテム別限界値DB'!$F:$F = AI15), 
        0
      )
    ), 
    ""
  )
)
</f>
        <v/>
      </c>
      <c r="AL15" s="11"/>
      <c r="AM15" s="224" t="s">
        <v>53</v>
      </c>
      <c r="AN15" s="232"/>
      <c r="AO15" s="231" t="str">
        <f t="array" ref="AO15">IF(
  AN15 = 0, 
  "", 
  IFERROR(
    INDEX(
      'アイテム別限界値DB'!$K:$K, 
      MATCH(
        1, 
        ('アイテム別限界値DB'!$B:$B = AM$10) * 
        ('アイテム別限界値DB'!$F:$F = AM15) * 
        ('アイテム別限界値DB'!$H:$H = AN15), 
        0
      )
    ), 
    "再製作"
  )
)
</f>
        <v/>
      </c>
      <c r="AP15" s="218" t="str">
        <f t="array" ref="AP15">IF(
  AN15 = 0, 
  "", 
  IFERROR(
    INDEX(
      'アイテム別限界値DB'!$L:$L, 
      MATCH(
        1, 
        ('アイテム別限界値DB'!$B:$B = AM$10) * 
        ('アイテム別限界値DB'!$C:$C = AM15) * 
        ('アイテム別限界値DB'!$F:$F = AN15), 
        0
      )
    ), 
    ""
  )
)
</f>
        <v/>
      </c>
      <c r="AQ15" s="11"/>
      <c r="AR15" s="224" t="s">
        <v>53</v>
      </c>
      <c r="AS15" s="232"/>
      <c r="AT15" s="231" t="str">
        <f t="array" ref="AT15">IF(
  AS15 = 0, 
  "", 
  IFERROR(
    INDEX(
      'アイテム別限界値DB'!$K:$K, 
      MATCH(
        1, 
        ('アイテム別限界値DB'!$B:$B = AR$10) * 
        ('アイテム別限界値DB'!$F:$F = AR15) * 
        ('アイテム別限界値DB'!$H:$H = AS15), 
        0
      )
    ), 
    "再製作"
  )
)
</f>
        <v/>
      </c>
      <c r="AU15" s="218" t="str">
        <f t="array" ref="AU15">IF(
  AS15 = 0, 
  "", 
  IFERROR(
    INDEX(
      'アイテム別限界値DB'!$L:$L, 
      MATCH(
        1, 
        ('アイテム別限界値DB'!$B:$B = AR$10) * 
        ('アイテム別限界値DB'!$C:$C = AR15) * 
        ('アイテム別限界値DB'!$F:$F = AS15), 
        0
      )
    ), 
    ""
  )
)
</f>
        <v/>
      </c>
      <c r="AV15" s="121"/>
      <c r="AW15" s="224" t="s">
        <v>53</v>
      </c>
      <c r="AX15" s="232"/>
      <c r="AY15" s="231" t="str">
        <f t="array" ref="AY15">IF(
  AX15 = 0, 
  "", 
  IFERROR(
    INDEX(
      'アイテム別限界値DB'!$K:$K, 
      MATCH(
        1, 
        ('アイテム別限界値DB'!$B:$B = AW$10) * 
        ('アイテム別限界値DB'!$F:$F = AW15) * 
        ('アイテム別限界値DB'!$H:$H = AX15), 
        0
      )
    ), 
    "再製作"
  )
)
</f>
        <v/>
      </c>
      <c r="AZ15" s="218" t="str">
        <f t="array" ref="AZ15">IF(
  AX15 = 0, 
  "", 
  IFERROR(
    INDEX(
      'アイテム別限界値DB'!$L:$L, 
      MATCH(
        1, 
        ('アイテム別限界値DB'!$B:$B = AW$10) * 
        ('アイテム別限界値DB'!$C:$C = AW15) * 
        ('アイテム別限界値DB'!$F:$F = AX15), 
        0
      )
    ), 
    ""
  )
)
</f>
        <v/>
      </c>
      <c r="BA15" s="121"/>
      <c r="BB15" s="224" t="s">
        <v>53</v>
      </c>
      <c r="BC15" s="232"/>
      <c r="BD15" s="231" t="str">
        <f t="array" ref="BD15">IF(
  BC15 = 0, 
  "", 
  IFERROR(
    INDEX(
      'アイテム別限界値DB'!$K:$K, 
      MATCH(
        1, 
        ('アイテム別限界値DB'!$B:$B = BB$10) * 
        ('アイテム別限界値DB'!$F:$F = BB15) * 
        ('アイテム別限界値DB'!$H:$H = BC15), 
        0
      )
    ), 
    "再製作"
  )
)
</f>
        <v/>
      </c>
      <c r="BE15" s="218" t="str">
        <f t="array" ref="BE15">IF(
  BC15 = 0, 
  "", 
  IFERROR(
    INDEX(
      'アイテム別限界値DB'!$L:$L, 
      MATCH(
        1, 
        ('アイテム別限界値DB'!$B:$B = BB$10) * 
        ('アイテム別限界値DB'!$C:$C = BB15) * 
        ('アイテム別限界値DB'!$F:$F = BC15), 
        0
      )
    ), 
    ""
  )
)
</f>
        <v/>
      </c>
      <c r="BF15" s="121"/>
      <c r="BG15" s="224" t="s">
        <v>53</v>
      </c>
      <c r="BH15" s="232"/>
      <c r="BI15" s="231" t="str">
        <f t="array" ref="BI15">IF(
  BH15 = 0, 
  "", 
  IFERROR(
    INDEX(
      'アイテム別限界値DB'!$K:$K, 
      MATCH(
        1, 
        ('アイテム別限界値DB'!$B:$B = BG$10) * 
        ('アイテム別限界値DB'!$F:$F = BG15) * 
        ('アイテム別限界値DB'!$H:$H = BH15), 
        0
      )
    ), 
    "再製作"
  )
)
</f>
        <v/>
      </c>
      <c r="BJ15" s="218" t="str">
        <f t="array" ref="BJ15">IF(
  BH15 = 0, 
  "", 
  IFERROR(
    INDEX(
      'アイテム別限界値DB'!$L:$L, 
      MATCH(
        1, 
        ('アイテム別限界値DB'!$B:$B = BG$10) * 
        ('アイテム別限界値DB'!$C:$C = BG15) * 
        ('アイテム別限界値DB'!$F:$F = BH15), 
        0
      )
    ), 
    ""
  )
)
</f>
        <v/>
      </c>
      <c r="BK15" s="121"/>
      <c r="BL15" s="224" t="s">
        <v>53</v>
      </c>
      <c r="BM15" s="232"/>
      <c r="BN15" s="231" t="str">
        <f t="array" ref="BN15">IF(
  BM15 = 0, 
  "", 
  IFERROR(
    INDEX(
      'アイテム別限界値DB'!$K:$K, 
      MATCH(
        1, 
        ('アイテム別限界値DB'!$B:$B = BL$10) * 
        ('アイテム別限界値DB'!$F:$F = BL15) * 
        ('アイテム別限界値DB'!$H:$H = BM15), 
        0
      )
    ), 
    "再製作"
  )
)
</f>
        <v/>
      </c>
      <c r="BO15" s="218" t="str">
        <f t="array" ref="BO15">IF(
  BM15 = 0, 
  "", 
  IFERROR(
    INDEX(
      'アイテム別限界値DB'!$L:$L, 
      MATCH(
        1, 
        ('アイテム別限界値DB'!$B:$B = BL$10) * 
        ('アイテム別限界値DB'!$C:$C = BL15) * 
        ('アイテム別限界値DB'!$F:$F = BM15), 
        0
      )
    ), 
    ""
  )
)
</f>
        <v/>
      </c>
      <c r="BP15" s="195"/>
    </row>
    <row r="16" ht="18.75" customHeight="1">
      <c r="A16" s="236" t="str">
        <f>if($A$14&lt;&gt;"", "《仕上がり数値》","")</f>
        <v>《仕上がり数値》</v>
      </c>
      <c r="B16" s="224"/>
      <c r="C16" s="224"/>
      <c r="D16" s="224" t="s">
        <v>55</v>
      </c>
      <c r="E16" s="230" t="s">
        <v>129</v>
      </c>
      <c r="F16" s="231">
        <f t="array" ref="F16">IF(
  E16 = 0, 
  "", 
  IFERROR(
    INDEX(
      'アイテム別限界値DB'!$K:$K, 
      MATCH(
        1, 
        ('アイテム別限界値DB'!$B:$B = D$10) * 
        ('アイテム別限界値DB'!$F:$F = D16) * 
        ('アイテム別限界値DB'!$H:$H = E16), 
        0
      )
    ), 
    "再製作"
  )
)
</f>
        <v>46000</v>
      </c>
      <c r="G16" s="218" t="str">
        <f t="array" ref="G16">IF(
  E16 = 0, 
  "", 
  IFERROR(
    INDEX(
      'アイテム別限界値DB'!$L:$L, 
      MATCH(
        1, 
        ('アイテム別限界値DB'!$B:$B = D$10) * 
        ('アイテム別限界値DB'!$C:$C = D16) * 
        ('アイテム別限界値DB'!$F:$F = E16), 
        0
      )
    ), 
    ""
  )
)
</f>
        <v/>
      </c>
      <c r="H16" s="12"/>
      <c r="I16" s="224" t="s">
        <v>56</v>
      </c>
      <c r="J16" s="230"/>
      <c r="K16" s="231" t="str">
        <f t="array" ref="K16">IF(
  J16 = 0, 
  "", 
  IFERROR(
    INDEX(
      'アイテム別限界値DB'!$K:$K, 
      MATCH(
        1, 
        ('アイテム別限界値DB'!$B:$B = I$10) * 
        ('アイテム別限界値DB'!$F:$F = I16) * 
        ('アイテム別限界値DB'!$H:$H = J16), 
        0
      )
    ), 
    "再製作"
  )
)
</f>
        <v/>
      </c>
      <c r="L16" s="218" t="str">
        <f t="array" ref="L16">IF(
  J16 = 0, 
  "", 
  IFERROR(
    INDEX(
      'アイテム別限界値DB'!$L:$L, 
      MATCH(
        1, 
        ('アイテム別限界値DB'!$B:$B = I$10) * 
        ('アイテム別限界値DB'!$C:$C = I16) * 
        ('アイテム別限界値DB'!$F:$F = J16), 
        0
      )
    ), 
    ""
  )
)
</f>
        <v/>
      </c>
      <c r="M16" s="12"/>
      <c r="N16" s="224" t="s">
        <v>57</v>
      </c>
      <c r="O16" s="230"/>
      <c r="P16" s="231" t="str">
        <f t="array" ref="P16">IF(
  O16 = 0, 
  "", 
  IFERROR(
    INDEX(
      'アイテム別限界値DB'!$K:$K, 
      MATCH(
        1, 
        ('アイテム別限界値DB'!$B:$B = N$10) * 
        ('アイテム別限界値DB'!$F:$F = N16) * 
        ('アイテム別限界値DB'!$H:$H = O16), 
        0
      )
    ), 
    "再製作"
  )
)
</f>
        <v/>
      </c>
      <c r="Q16" s="218" t="str">
        <f t="array" ref="Q16">IF(
  O16 = 0, 
  "", 
  IFERROR(
    INDEX(
      'アイテム別限界値DB'!$L:$L, 
      MATCH(
        1, 
        ('アイテム別限界値DB'!$B:$B = N$10) * 
        ('アイテム別限界値DB'!$C:$C = N16) * 
        ('アイテム別限界値DB'!$F:$F = O16), 
        0
      )
    ), 
    ""
  )
)
</f>
        <v/>
      </c>
      <c r="R16" s="12"/>
      <c r="S16" s="224" t="s">
        <v>56</v>
      </c>
      <c r="T16" s="232"/>
      <c r="U16" s="231" t="str">
        <f t="array" ref="U16">IF(
  T16 = 0, 
  "", 
  IFERROR(
    INDEX(
      'アイテム別限界値DB'!$K:$K, 
      MATCH(
        1, 
        ('アイテム別限界値DB'!$B:$B = S$10) * 
        ('アイテム別限界値DB'!$F:$F = S16) * 
        ('アイテム別限界値DB'!$H:$H = T16), 
        0
      )
    ), 
    "再製作"
  )
)
</f>
        <v/>
      </c>
      <c r="V16" s="218" t="str">
        <f t="array" ref="V16">IF(
  T16 = 0, 
  "", 
  IFERROR(
    INDEX(
      'アイテム別限界値DB'!$L:$L, 
      MATCH(
        1, 
        ('アイテム別限界値DB'!$B:$B = S$10) * 
        ('アイテム別限界値DB'!$C:$C = S16) * 
        ('アイテム別限界値DB'!$F:$F = T16), 
        0
      )
    ), 
    ""
  )
)
</f>
        <v/>
      </c>
      <c r="W16" s="12"/>
      <c r="X16" s="224" t="s">
        <v>58</v>
      </c>
      <c r="Y16" s="230"/>
      <c r="Z16" s="231" t="str">
        <f t="array" ref="Z16">IF(
  Y16 = 0, 
  "", 
  IFERROR(
    INDEX(
      'アイテム別限界値DB'!$K:$K, 
      MATCH(
        1, 
        ('アイテム別限界値DB'!$B:$B = X$10) * 
        ('アイテム別限界値DB'!$F:$F = X16) * 
        ('アイテム別限界値DB'!$H:$H = Y16), 
        0
      )
    ), 
    "再製作"
  )
)
</f>
        <v/>
      </c>
      <c r="AA16" s="218" t="str">
        <f t="array" ref="AA16">IF(
  Y16 = 0, 
  "", 
  IFERROR(
    INDEX(
      'アイテム別限界値DB'!$L:$L, 
      MATCH(
        1, 
        ('アイテム別限界値DB'!$B:$B = X$10) * 
        ('アイテム別限界値DB'!$C:$C = X16) * 
        ('アイテム別限界値DB'!$F:$F = Y16), 
        0
      )
    ), 
    ""
  )
)
</f>
        <v/>
      </c>
      <c r="AB16" s="11"/>
      <c r="AC16" s="224" t="s">
        <v>55</v>
      </c>
      <c r="AD16" s="232"/>
      <c r="AE16" s="231" t="str">
        <f t="array" ref="AE16">IF(
  AD16 = 0, 
  "", 
  IFERROR(
    INDEX(
      'アイテム別限界値DB'!$K:$K, 
      MATCH(
        1, 
        ('アイテム別限界値DB'!$B:$B = AC$10) * 
        ('アイテム別限界値DB'!$F:$F = AC16) * 
        ('アイテム別限界値DB'!$H:$H = AD16), 
        0
      )
    ), 
    "再製作"
  )
)
</f>
        <v/>
      </c>
      <c r="AF16" s="218" t="str">
        <f t="array" ref="AF16">IF(
  AD16 = 0, 
  "", 
  IFERROR(
    INDEX(
      'アイテム別限界値DB'!$L:$L, 
      MATCH(
        1, 
        ('アイテム別限界値DB'!$B:$B = AC$10) * 
        ('アイテム別限界値DB'!$C:$C = AC16) * 
        ('アイテム別限界値DB'!$F:$F = AD16), 
        0
      )
    ), 
    ""
  )
)
</f>
        <v/>
      </c>
      <c r="AG16" s="11"/>
      <c r="AH16" s="224" t="s">
        <v>55</v>
      </c>
      <c r="AI16" s="232"/>
      <c r="AJ16" s="231" t="str">
        <f t="array" ref="AJ16">IF(
  AI16 = 0, 
  "", 
  IFERROR(
    INDEX(
      'アイテム別限界値DB'!$K:$K, 
      MATCH(
        1, 
        ('アイテム別限界値DB'!$B:$B = AH$10) * 
        ('アイテム別限界値DB'!$F:$F = AH16) * 
        ('アイテム別限界値DB'!$H:$H = AI16), 
        0
      )
    ), 
    "再製作"
  )
)
</f>
        <v/>
      </c>
      <c r="AK16" s="218" t="str">
        <f t="array" ref="AK16">IF(
  AI16 = 0, 
  "", 
  IFERROR(
    INDEX(
      'アイテム別限界値DB'!$L:$L, 
      MATCH(
        1, 
        ('アイテム別限界値DB'!$B:$B = AH$10) * 
        ('アイテム別限界値DB'!$C:$C = AH16) * 
        ('アイテム別限界値DB'!$F:$F = AI16), 
        0
      )
    ), 
    ""
  )
)
</f>
        <v/>
      </c>
      <c r="AL16" s="11"/>
      <c r="AM16" s="224" t="s">
        <v>55</v>
      </c>
      <c r="AN16" s="232"/>
      <c r="AO16" s="231" t="str">
        <f t="array" ref="AO16">IF(
  AN16 = 0, 
  "", 
  IFERROR(
    INDEX(
      'アイテム別限界値DB'!$K:$K, 
      MATCH(
        1, 
        ('アイテム別限界値DB'!$B:$B = AM$10) * 
        ('アイテム別限界値DB'!$F:$F = AM16) * 
        ('アイテム別限界値DB'!$H:$H = AN16), 
        0
      )
    ), 
    "再製作"
  )
)
</f>
        <v/>
      </c>
      <c r="AP16" s="218" t="str">
        <f t="array" ref="AP16">IF(
  AN16 = 0, 
  "", 
  IFERROR(
    INDEX(
      'アイテム別限界値DB'!$L:$L, 
      MATCH(
        1, 
        ('アイテム別限界値DB'!$B:$B = AM$10) * 
        ('アイテム別限界値DB'!$C:$C = AM16) * 
        ('アイテム別限界値DB'!$F:$F = AN16), 
        0
      )
    ), 
    ""
  )
)
</f>
        <v/>
      </c>
      <c r="AQ16" s="11"/>
      <c r="AR16" s="224" t="s">
        <v>55</v>
      </c>
      <c r="AS16" s="232"/>
      <c r="AT16" s="231" t="str">
        <f t="array" ref="AT16">IF(
  AS16 = 0, 
  "", 
  IFERROR(
    INDEX(
      'アイテム別限界値DB'!$K:$K, 
      MATCH(
        1, 
        ('アイテム別限界値DB'!$B:$B = AR$10) * 
        ('アイテム別限界値DB'!$F:$F = AR16) * 
        ('アイテム別限界値DB'!$H:$H = AS16), 
        0
      )
    ), 
    "再製作"
  )
)
</f>
        <v/>
      </c>
      <c r="AU16" s="218" t="str">
        <f t="array" ref="AU16">IF(
  AS16 = 0, 
  "", 
  IFERROR(
    INDEX(
      'アイテム別限界値DB'!$L:$L, 
      MATCH(
        1, 
        ('アイテム別限界値DB'!$B:$B = AR$10) * 
        ('アイテム別限界値DB'!$C:$C = AR16) * 
        ('アイテム別限界値DB'!$F:$F = AS16), 
        0
      )
    ), 
    ""
  )
)
</f>
        <v/>
      </c>
      <c r="AV16" s="121"/>
      <c r="AW16" s="224" t="s">
        <v>55</v>
      </c>
      <c r="AX16" s="232"/>
      <c r="AY16" s="231" t="str">
        <f t="array" ref="AY16">IF(
  AX16 = 0, 
  "", 
  IFERROR(
    INDEX(
      'アイテム別限界値DB'!$K:$K, 
      MATCH(
        1, 
        ('アイテム別限界値DB'!$B:$B = AW$10) * 
        ('アイテム別限界値DB'!$F:$F = AW16) * 
        ('アイテム別限界値DB'!$H:$H = AX16), 
        0
      )
    ), 
    "再製作"
  )
)
</f>
        <v/>
      </c>
      <c r="AZ16" s="218" t="str">
        <f t="array" ref="AZ16">IF(
  AX16 = 0, 
  "", 
  IFERROR(
    INDEX(
      'アイテム別限界値DB'!$L:$L, 
      MATCH(
        1, 
        ('アイテム別限界値DB'!$B:$B = AW$10) * 
        ('アイテム別限界値DB'!$C:$C = AW16) * 
        ('アイテム別限界値DB'!$F:$F = AX16), 
        0
      )
    ), 
    ""
  )
)
</f>
        <v/>
      </c>
      <c r="BA16" s="121"/>
      <c r="BB16" s="224" t="s">
        <v>55</v>
      </c>
      <c r="BC16" s="232"/>
      <c r="BD16" s="231" t="str">
        <f t="array" ref="BD16">IF(
  BC16 = 0, 
  "", 
  IFERROR(
    INDEX(
      'アイテム別限界値DB'!$K:$K, 
      MATCH(
        1, 
        ('アイテム別限界値DB'!$B:$B = BB$10) * 
        ('アイテム別限界値DB'!$F:$F = BB16) * 
        ('アイテム別限界値DB'!$H:$H = BC16), 
        0
      )
    ), 
    "再製作"
  )
)
</f>
        <v/>
      </c>
      <c r="BE16" s="218" t="str">
        <f t="array" ref="BE16">IF(
  BC16 = 0, 
  "", 
  IFERROR(
    INDEX(
      'アイテム別限界値DB'!$L:$L, 
      MATCH(
        1, 
        ('アイテム別限界値DB'!$B:$B = BB$10) * 
        ('アイテム別限界値DB'!$C:$C = BB16) * 
        ('アイテム別限界値DB'!$F:$F = BC16), 
        0
      )
    ), 
    ""
  )
)
</f>
        <v/>
      </c>
      <c r="BF16" s="121"/>
      <c r="BG16" s="224" t="s">
        <v>55</v>
      </c>
      <c r="BH16" s="232"/>
      <c r="BI16" s="231" t="str">
        <f t="array" ref="BI16">IF(
  BH16 = 0, 
  "", 
  IFERROR(
    INDEX(
      'アイテム別限界値DB'!$K:$K, 
      MATCH(
        1, 
        ('アイテム別限界値DB'!$B:$B = BG$10) * 
        ('アイテム別限界値DB'!$F:$F = BG16) * 
        ('アイテム別限界値DB'!$H:$H = BH16), 
        0
      )
    ), 
    "再製作"
  )
)
</f>
        <v/>
      </c>
      <c r="BJ16" s="218" t="str">
        <f t="array" ref="BJ16">IF(
  BH16 = 0, 
  "", 
  IFERROR(
    INDEX(
      'アイテム別限界値DB'!$L:$L, 
      MATCH(
        1, 
        ('アイテム別限界値DB'!$B:$B = BG$10) * 
        ('アイテム別限界値DB'!$C:$C = BG16) * 
        ('アイテム別限界値DB'!$F:$F = BH16), 
        0
      )
    ), 
    ""
  )
)
</f>
        <v/>
      </c>
      <c r="BK16" s="121"/>
      <c r="BL16" s="224" t="s">
        <v>55</v>
      </c>
      <c r="BM16" s="232" t="s">
        <v>59</v>
      </c>
      <c r="BN16" s="231">
        <f t="array" ref="BN16">IF(
  BM16 = 0, 
  "", 
  IFERROR(
    INDEX(
      'アイテム別限界値DB'!$K:$K, 
      MATCH(
        1, 
        ('アイテム別限界値DB'!$B:$B = BL$10) * 
        ('アイテム別限界値DB'!$F:$F = BL16) * 
        ('アイテム別限界値DB'!$H:$H = BM16), 
        0
      )
    ), 
    "再製作"
  )
)
</f>
        <v>46000</v>
      </c>
      <c r="BO16" s="218" t="str">
        <f t="array" ref="BO16">IF(
  BM16 = 0, 
  "", 
  IFERROR(
    INDEX(
      'アイテム別限界値DB'!$L:$L, 
      MATCH(
        1, 
        ('アイテム別限界値DB'!$B:$B = BL$10) * 
        ('アイテム別限界値DB'!$C:$C = BL16) * 
        ('アイテム別限界値DB'!$F:$F = BM16), 
        0
      )
    ), 
    ""
  )
)
</f>
        <v/>
      </c>
      <c r="BP16" s="195"/>
    </row>
    <row r="17" ht="18.75" customHeight="1">
      <c r="A17" s="228" t="str">
        <f>IFERROR(__xludf.DUMMYFUNCTION("TEXTJOIN(CHAR(10),TRUE,FILTER(ARRAYFORMULA(IF(E$14:E72&lt;&gt;"""",D$14:D72&amp;"" :  cm"","""")), D$14:D72 &lt;&gt;""""))"),"バスト :  cm")</f>
        <v>バスト :  cm</v>
      </c>
      <c r="B17" s="229"/>
      <c r="C17" s="224"/>
      <c r="D17" s="224" t="s">
        <v>60</v>
      </c>
      <c r="E17" s="230"/>
      <c r="F17" s="231" t="str">
        <f t="array" ref="F17">IF(
  E17 = 0, 
  "", 
  IFERROR(
    INDEX(
      'アイテム別限界値DB'!$K:$K, 
      MATCH(
        1, 
        ('アイテム別限界値DB'!$B:$B = D$10) * 
        ('アイテム別限界値DB'!$F:$F = D17) * 
        ('アイテム別限界値DB'!$H:$H = E17), 
        0
      )
    ), 
    "再製作"
  )
)
</f>
        <v/>
      </c>
      <c r="G17" s="218" t="str">
        <f t="array" ref="G17">IF(
  E17 = 0, 
  "", 
  IFERROR(
    INDEX(
      'アイテム別限界値DB'!$L:$L, 
      MATCH(
        1, 
        ('アイテム別限界値DB'!$B:$B = D$10) * 
        ('アイテム別限界値DB'!$C:$C = D17) * 
        ('アイテム別限界値DB'!$F:$F = E17), 
        0
      )
    ), 
    ""
  )
)
</f>
        <v/>
      </c>
      <c r="H17" s="12"/>
      <c r="I17" s="224" t="s">
        <v>61</v>
      </c>
      <c r="J17" s="230"/>
      <c r="K17" s="231" t="str">
        <f t="array" ref="K17">IF(
  J17 = 0, 
  "", 
  IFERROR(
    INDEX(
      'アイテム別限界値DB'!$K:$K, 
      MATCH(
        1, 
        ('アイテム別限界値DB'!$B:$B = I$10) * 
        ('アイテム別限界値DB'!$F:$F = I17) * 
        ('アイテム別限界値DB'!$H:$H = J17), 
        0
      )
    ), 
    "再製作"
  )
)
</f>
        <v/>
      </c>
      <c r="L17" s="218" t="str">
        <f t="array" ref="L17">IF(
  J17 = 0, 
  "", 
  IFERROR(
    INDEX(
      'アイテム別限界値DB'!$L:$L, 
      MATCH(
        1, 
        ('アイテム別限界値DB'!$B:$B = I$10) * 
        ('アイテム別限界値DB'!$C:$C = I17) * 
        ('アイテム別限界値DB'!$F:$F = J17), 
        0
      )
    ), 
    ""
  )
)
</f>
        <v/>
      </c>
      <c r="M17" s="12"/>
      <c r="N17" s="224" t="s">
        <v>62</v>
      </c>
      <c r="O17" s="230"/>
      <c r="P17" s="231" t="str">
        <f t="array" ref="P17">IF(
  O17 = 0, 
  "", 
  IFERROR(
    INDEX(
      'アイテム別限界値DB'!$K:$K, 
      MATCH(
        1, 
        ('アイテム別限界値DB'!$B:$B = N$10) * 
        ('アイテム別限界値DB'!$F:$F = N17) * 
        ('アイテム別限界値DB'!$H:$H = O17), 
        0
      )
    ), 
    "再製作"
  )
)
</f>
        <v/>
      </c>
      <c r="Q17" s="218" t="str">
        <f t="array" ref="Q17">IF(
  O17 = 0, 
  "", 
  IFERROR(
    INDEX(
      'アイテム別限界値DB'!$L:$L, 
      MATCH(
        1, 
        ('アイテム別限界値DB'!$B:$B = N$10) * 
        ('アイテム別限界値DB'!$C:$C = N17) * 
        ('アイテム別限界値DB'!$F:$F = O17), 
        0
      )
    ), 
    ""
  )
)
</f>
        <v/>
      </c>
      <c r="R17" s="11"/>
      <c r="S17" s="224" t="s">
        <v>61</v>
      </c>
      <c r="T17" s="232"/>
      <c r="U17" s="231" t="str">
        <f t="array" ref="U17">IF(
  T17 = 0, 
  "", 
  IFERROR(
    INDEX(
      'アイテム別限界値DB'!$K:$K, 
      MATCH(
        1, 
        ('アイテム別限界値DB'!$B:$B = S$10) * 
        ('アイテム別限界値DB'!$F:$F = S17) * 
        ('アイテム別限界値DB'!$H:$H = T17), 
        0
      )
    ), 
    "再製作"
  )
)
</f>
        <v/>
      </c>
      <c r="V17" s="218" t="str">
        <f t="array" ref="V17">IF(
  T17 = 0, 
  "", 
  IFERROR(
    INDEX(
      'アイテム別限界値DB'!$L:$L, 
      MATCH(
        1, 
        ('アイテム別限界値DB'!$B:$B = S$10) * 
        ('アイテム別限界値DB'!$C:$C = S17) * 
        ('アイテム別限界値DB'!$F:$F = T17), 
        0
      )
    ), 
    ""
  )
)
</f>
        <v/>
      </c>
      <c r="W17" s="12"/>
      <c r="X17" s="224" t="s">
        <v>63</v>
      </c>
      <c r="Y17" s="232"/>
      <c r="Z17" s="231" t="str">
        <f t="array" ref="Z17">IF(
  Y17 = 0, 
  "", 
  IFERROR(
    INDEX(
      'アイテム別限界値DB'!$K:$K, 
      MATCH(
        1, 
        ('アイテム別限界値DB'!$B:$B = X$10) * 
        ('アイテム別限界値DB'!$F:$F = X17) * 
        ('アイテム別限界値DB'!$H:$H = Y17), 
        0
      )
    ), 
    "再製作"
  )
)
</f>
        <v/>
      </c>
      <c r="AA17" s="218" t="str">
        <f t="array" ref="AA17">IF(
  Y17 = 0, 
  "", 
  IFERROR(
    INDEX(
      'アイテム別限界値DB'!$L:$L, 
      MATCH(
        1, 
        ('アイテム別限界値DB'!$B:$B = X$10) * 
        ('アイテム別限界値DB'!$C:$C = X17) * 
        ('アイテム別限界値DB'!$F:$F = Y17), 
        0
      )
    ), 
    ""
  )
)
</f>
        <v/>
      </c>
      <c r="AB17" s="11"/>
      <c r="AC17" s="224" t="s">
        <v>57</v>
      </c>
      <c r="AD17" s="232"/>
      <c r="AE17" s="231" t="str">
        <f t="array" ref="AE17">IF(
  AD17 = 0, 
  "", 
  IFERROR(
    INDEX(
      'アイテム別限界値DB'!$K:$K, 
      MATCH(
        1, 
        ('アイテム別限界値DB'!$B:$B = AC$10) * 
        ('アイテム別限界値DB'!$F:$F = AC17) * 
        ('アイテム別限界値DB'!$H:$H = AD17), 
        0
      )
    ), 
    "再製作"
  )
)
</f>
        <v/>
      </c>
      <c r="AF17" s="218" t="str">
        <f t="array" ref="AF17">IF(
  AD17 = 0, 
  "", 
  IFERROR(
    INDEX(
      'アイテム別限界値DB'!$L:$L, 
      MATCH(
        1, 
        ('アイテム別限界値DB'!$B:$B = AC$10) * 
        ('アイテム別限界値DB'!$C:$C = AC17) * 
        ('アイテム別限界値DB'!$F:$F = AD17), 
        0
      )
    ), 
    ""
  )
)
</f>
        <v/>
      </c>
      <c r="AG17" s="11"/>
      <c r="AH17" s="224" t="s">
        <v>57</v>
      </c>
      <c r="AI17" s="232"/>
      <c r="AJ17" s="231" t="str">
        <f t="array" ref="AJ17">IF(
  AI17 = 0, 
  "", 
  IFERROR(
    INDEX(
      'アイテム別限界値DB'!$K:$K, 
      MATCH(
        1, 
        ('アイテム別限界値DB'!$B:$B = AH$10) * 
        ('アイテム別限界値DB'!$F:$F = AH17) * 
        ('アイテム別限界値DB'!$H:$H = AI17), 
        0
      )
    ), 
    "再製作"
  )
)
</f>
        <v/>
      </c>
      <c r="AK17" s="218" t="str">
        <f t="array" ref="AK17">IF(
  AI17 = 0, 
  "", 
  IFERROR(
    INDEX(
      'アイテム別限界値DB'!$L:$L, 
      MATCH(
        1, 
        ('アイテム別限界値DB'!$B:$B = AH$10) * 
        ('アイテム別限界値DB'!$C:$C = AH17) * 
        ('アイテム別限界値DB'!$F:$F = AI17), 
        0
      )
    ), 
    ""
  )
)
</f>
        <v/>
      </c>
      <c r="AL17" s="11"/>
      <c r="AM17" s="224" t="s">
        <v>57</v>
      </c>
      <c r="AN17" s="232"/>
      <c r="AO17" s="231" t="str">
        <f t="array" ref="AO17">IF(
  AN17 = 0, 
  "", 
  IFERROR(
    INDEX(
      'アイテム別限界値DB'!$K:$K, 
      MATCH(
        1, 
        ('アイテム別限界値DB'!$B:$B = AM$10) * 
        ('アイテム別限界値DB'!$F:$F = AM17) * 
        ('アイテム別限界値DB'!$H:$H = AN17), 
        0
      )
    ), 
    "再製作"
  )
)
</f>
        <v/>
      </c>
      <c r="AP17" s="218" t="str">
        <f t="array" ref="AP17">IF(
  AN17 = 0, 
  "", 
  IFERROR(
    INDEX(
      'アイテム別限界値DB'!$L:$L, 
      MATCH(
        1, 
        ('アイテム別限界値DB'!$B:$B = AM$10) * 
        ('アイテム別限界値DB'!$C:$C = AM17) * 
        ('アイテム別限界値DB'!$F:$F = AN17), 
        0
      )
    ), 
    ""
  )
)
</f>
        <v/>
      </c>
      <c r="AQ17" s="11"/>
      <c r="AR17" s="224" t="s">
        <v>57</v>
      </c>
      <c r="AS17" s="232"/>
      <c r="AT17" s="231" t="str">
        <f t="array" ref="AT17">IF(
  AS17 = 0, 
  "", 
  IFERROR(
    INDEX(
      'アイテム別限界値DB'!$K:$K, 
      MATCH(
        1, 
        ('アイテム別限界値DB'!$B:$B = AR$10) * 
        ('アイテム別限界値DB'!$F:$F = AR17) * 
        ('アイテム別限界値DB'!$H:$H = AS17), 
        0
      )
    ), 
    "再製作"
  )
)
</f>
        <v/>
      </c>
      <c r="AU17" s="218" t="str">
        <f t="array" ref="AU17">IF(
  AS17 = 0, 
  "", 
  IFERROR(
    INDEX(
      'アイテム別限界値DB'!$L:$L, 
      MATCH(
        1, 
        ('アイテム別限界値DB'!$B:$B = AR$10) * 
        ('アイテム別限界値DB'!$C:$C = AR17) * 
        ('アイテム別限界値DB'!$F:$F = AS17), 
        0
      )
    ), 
    ""
  )
)
</f>
        <v/>
      </c>
      <c r="AV17" s="121"/>
      <c r="AW17" s="224" t="s">
        <v>57</v>
      </c>
      <c r="AX17" s="232"/>
      <c r="AY17" s="231" t="str">
        <f t="array" ref="AY17">IF(
  AX17 = 0, 
  "", 
  IFERROR(
    INDEX(
      'アイテム別限界値DB'!$K:$K, 
      MATCH(
        1, 
        ('アイテム別限界値DB'!$B:$B = AW$10) * 
        ('アイテム別限界値DB'!$F:$F = AW17) * 
        ('アイテム別限界値DB'!$H:$H = AX17), 
        0
      )
    ), 
    "再製作"
  )
)
</f>
        <v/>
      </c>
      <c r="AZ17" s="218" t="str">
        <f t="array" ref="AZ17">IF(
  AX17 = 0, 
  "", 
  IFERROR(
    INDEX(
      'アイテム別限界値DB'!$L:$L, 
      MATCH(
        1, 
        ('アイテム別限界値DB'!$B:$B = AW$10) * 
        ('アイテム別限界値DB'!$C:$C = AW17) * 
        ('アイテム別限界値DB'!$F:$F = AX17), 
        0
      )
    ), 
    ""
  )
)
</f>
        <v/>
      </c>
      <c r="BA17" s="121"/>
      <c r="BB17" s="224" t="s">
        <v>57</v>
      </c>
      <c r="BC17" s="232"/>
      <c r="BD17" s="231" t="str">
        <f t="array" ref="BD17">IF(
  BC17 = 0, 
  "", 
  IFERROR(
    INDEX(
      'アイテム別限界値DB'!$K:$K, 
      MATCH(
        1, 
        ('アイテム別限界値DB'!$B:$B = BB$10) * 
        ('アイテム別限界値DB'!$F:$F = BB17) * 
        ('アイテム別限界値DB'!$H:$H = BC17), 
        0
      )
    ), 
    "再製作"
  )
)
</f>
        <v/>
      </c>
      <c r="BE17" s="218" t="str">
        <f t="array" ref="BE17">IF(
  BC17 = 0, 
  "", 
  IFERROR(
    INDEX(
      'アイテム別限界値DB'!$L:$L, 
      MATCH(
        1, 
        ('アイテム別限界値DB'!$B:$B = BB$10) * 
        ('アイテム別限界値DB'!$C:$C = BB17) * 
        ('アイテム別限界値DB'!$F:$F = BC17), 
        0
      )
    ), 
    ""
  )
)
</f>
        <v/>
      </c>
      <c r="BF17" s="121"/>
      <c r="BG17" s="224" t="s">
        <v>57</v>
      </c>
      <c r="BH17" s="232"/>
      <c r="BI17" s="231" t="str">
        <f t="array" ref="BI17">IF(
  BH17 = 0, 
  "", 
  IFERROR(
    INDEX(
      'アイテム別限界値DB'!$K:$K, 
      MATCH(
        1, 
        ('アイテム別限界値DB'!$B:$B = BG$10) * 
        ('アイテム別限界値DB'!$F:$F = BG17) * 
        ('アイテム別限界値DB'!$H:$H = BH17), 
        0
      )
    ), 
    "再製作"
  )
)
</f>
        <v/>
      </c>
      <c r="BJ17" s="218" t="str">
        <f t="array" ref="BJ17">IF(
  BH17 = 0, 
  "", 
  IFERROR(
    INDEX(
      'アイテム別限界値DB'!$L:$L, 
      MATCH(
        1, 
        ('アイテム別限界値DB'!$B:$B = BG$10) * 
        ('アイテム別限界値DB'!$C:$C = BG17) * 
        ('アイテム別限界値DB'!$F:$F = BH17), 
        0
      )
    ), 
    ""
  )
)
</f>
        <v/>
      </c>
      <c r="BK17" s="121"/>
      <c r="BL17" s="224" t="s">
        <v>57</v>
      </c>
      <c r="BM17" s="232" t="s">
        <v>59</v>
      </c>
      <c r="BN17" s="231">
        <f t="array" ref="BN17">IF(
  BM17 = 0, 
  "", 
  IFERROR(
    INDEX(
      'アイテム別限界値DB'!$K:$K, 
      MATCH(
        1, 
        ('アイテム別限界値DB'!$B:$B = BL$10) * 
        ('アイテム別限界値DB'!$F:$F = BL17) * 
        ('アイテム別限界値DB'!$H:$H = BM17), 
        0
      )
    ), 
    "再製作"
  )
)
</f>
        <v>46000</v>
      </c>
      <c r="BO17" s="218" t="str">
        <f t="array" ref="BO17">IF(
  BM17 = 0, 
  "", 
  IFERROR(
    INDEX(
      'アイテム別限界値DB'!$L:$L, 
      MATCH(
        1, 
        ('アイテム別限界値DB'!$B:$B = BL$10) * 
        ('アイテム別限界値DB'!$C:$C = BL17) * 
        ('アイテム別限界値DB'!$F:$F = BM17), 
        0
      )
    ), 
    ""
  )
)
</f>
        <v/>
      </c>
      <c r="BP17" s="195"/>
    </row>
    <row r="18" ht="18.75" customHeight="1">
      <c r="A18" s="237" t="s">
        <v>64</v>
      </c>
      <c r="B18" s="235"/>
      <c r="C18" s="224"/>
      <c r="D18" s="224" t="s">
        <v>65</v>
      </c>
      <c r="E18" s="230"/>
      <c r="F18" s="231" t="str">
        <f t="array" ref="F18">IF(
  E18 = 0, 
  "", 
  IFERROR(
    INDEX(
      'アイテム別限界値DB'!$K:$K, 
      MATCH(
        1, 
        ('アイテム別限界値DB'!$B:$B = D$10) * 
        ('アイテム別限界値DB'!$F:$F = D18) * 
        ('アイテム別限界値DB'!$H:$H = E18), 
        0
      )
    ), 
    "再製作"
  )
)
</f>
        <v/>
      </c>
      <c r="G18" s="218" t="str">
        <f t="array" ref="G18">IF(
  E18 = 0, 
  "", 
  IFERROR(
    INDEX(
      'アイテム別限界値DB'!$L:$L, 
      MATCH(
        1, 
        ('アイテム別限界値DB'!$B:$B = D$10) * 
        ('アイテム別限界値DB'!$C:$C = D18) * 
        ('アイテム別限界値DB'!$F:$F = E18), 
        0
      )
    ), 
    ""
  )
)
</f>
        <v/>
      </c>
      <c r="H18" s="12"/>
      <c r="I18" s="224" t="s">
        <v>66</v>
      </c>
      <c r="J18" s="232"/>
      <c r="K18" s="231" t="str">
        <f t="array" ref="K18">IF(
  J18 = 0, 
  "", 
  IFERROR(
    INDEX(
      'アイテム別限界値DB'!$K:$K, 
      MATCH(
        1, 
        ('アイテム別限界値DB'!$B:$B = I$10) * 
        ('アイテム別限界値DB'!$F:$F = I18) * 
        ('アイテム別限界値DB'!$H:$H = J18), 
        0
      )
    ), 
    "再製作"
  )
)
</f>
        <v/>
      </c>
      <c r="L18" s="218" t="str">
        <f t="array" ref="L18">IF(
  J18 = 0, 
  "", 
  IFERROR(
    INDEX(
      'アイテム別限界値DB'!$L:$L, 
      MATCH(
        1, 
        ('アイテム別限界値DB'!$B:$B = I$10) * 
        ('アイテム別限界値DB'!$C:$C = I18) * 
        ('アイテム別限界値DB'!$F:$F = J18), 
        0
      )
    ), 
    ""
  )
)
</f>
        <v/>
      </c>
      <c r="M18" s="12"/>
      <c r="N18" s="224" t="s">
        <v>67</v>
      </c>
      <c r="O18" s="232"/>
      <c r="P18" s="231" t="str">
        <f t="array" ref="P18">IF(
  O18 = 0, 
  "", 
  IFERROR(
    INDEX(
      'アイテム別限界値DB'!$K:$K, 
      MATCH(
        1, 
        ('アイテム別限界値DB'!$B:$B = N$10) * 
        ('アイテム別限界値DB'!$F:$F = N18) * 
        ('アイテム別限界値DB'!$H:$H = O18), 
        0
      )
    ), 
    "再製作"
  )
)
</f>
        <v/>
      </c>
      <c r="Q18" s="218" t="str">
        <f t="array" ref="Q18">IF(
  O18 = 0, 
  "", 
  IFERROR(
    INDEX(
      'アイテム別限界値DB'!$L:$L, 
      MATCH(
        1, 
        ('アイテム別限界値DB'!$B:$B = N$10) * 
        ('アイテム別限界値DB'!$C:$C = N18) * 
        ('アイテム別限界値DB'!$F:$F = O18), 
        0
      )
    ), 
    ""
  )
)
</f>
        <v/>
      </c>
      <c r="R18" s="11"/>
      <c r="S18" s="224" t="s">
        <v>68</v>
      </c>
      <c r="T18" s="232"/>
      <c r="U18" s="231" t="str">
        <f t="array" ref="U18">IF(
  T18 = 0, 
  "", 
  IFERROR(
    INDEX(
      'アイテム別限界値DB'!$K:$K, 
      MATCH(
        1, 
        ('アイテム別限界値DB'!$B:$B = S$10) * 
        ('アイテム別限界値DB'!$F:$F = S18) * 
        ('アイテム別限界値DB'!$H:$H = T18), 
        0
      )
    ), 
    "再製作"
  )
)
</f>
        <v/>
      </c>
      <c r="V18" s="218" t="str">
        <f t="array" ref="V18">IF(
  T18 = 0, 
  "", 
  IFERROR(
    INDEX(
      'アイテム別限界値DB'!$L:$L, 
      MATCH(
        1, 
        ('アイテム別限界値DB'!$B:$B = S$10) * 
        ('アイテム別限界値DB'!$C:$C = S18) * 
        ('アイテム別限界値DB'!$F:$F = T18), 
        0
      )
    ), 
    ""
  )
)
</f>
        <v/>
      </c>
      <c r="W18" s="11"/>
      <c r="X18" s="224" t="s">
        <v>57</v>
      </c>
      <c r="Y18" s="230"/>
      <c r="Z18" s="231" t="str">
        <f t="array" ref="Z18">IF(
  Y18 = 0, 
  "", 
  IFERROR(
    INDEX(
      'アイテム別限界値DB'!$K:$K, 
      MATCH(
        1, 
        ('アイテム別限界値DB'!$B:$B = X$10) * 
        ('アイテム別限界値DB'!$F:$F = X18) * 
        ('アイテム別限界値DB'!$H:$H = Y18), 
        0
      )
    ), 
    "再製作"
  )
)
</f>
        <v/>
      </c>
      <c r="AA18" s="218" t="str">
        <f t="array" ref="AA18">IF(
  Y18 = 0, 
  "", 
  IFERROR(
    INDEX(
      'アイテム別限界値DB'!$L:$L, 
      MATCH(
        1, 
        ('アイテム別限界値DB'!$B:$B = X$10) * 
        ('アイテム別限界値DB'!$C:$C = X18) * 
        ('アイテム別限界値DB'!$F:$F = Y18), 
        0
      )
    ), 
    ""
  )
)
</f>
        <v/>
      </c>
      <c r="AB18" s="11"/>
      <c r="AC18" s="224" t="s">
        <v>69</v>
      </c>
      <c r="AD18" s="232"/>
      <c r="AE18" s="231" t="str">
        <f t="array" ref="AE18">IF(
  AD18 = 0, 
  "", 
  IFERROR(
    INDEX(
      'アイテム別限界値DB'!$K:$K, 
      MATCH(
        1, 
        ('アイテム別限界値DB'!$B:$B = AC$10) * 
        ('アイテム別限界値DB'!$F:$F = AC18) * 
        ('アイテム別限界値DB'!$H:$H = AD18), 
        0
      )
    ), 
    "再製作"
  )
)
</f>
        <v/>
      </c>
      <c r="AF18" s="218" t="str">
        <f t="array" ref="AF18">IF(
  AD18 = 0, 
  "", 
  IFERROR(
    INDEX(
      'アイテム別限界値DB'!$L:$L, 
      MATCH(
        1, 
        ('アイテム別限界値DB'!$B:$B = AC$10) * 
        ('アイテム別限界値DB'!$C:$C = AC18) * 
        ('アイテム別限界値DB'!$F:$F = AD18), 
        0
      )
    ), 
    ""
  )
)
</f>
        <v/>
      </c>
      <c r="AG18" s="11"/>
      <c r="AH18" s="224" t="s">
        <v>70</v>
      </c>
      <c r="AI18" s="232"/>
      <c r="AJ18" s="231" t="str">
        <f t="array" ref="AJ18">IF(
  AI18 = 0, 
  "", 
  IFERROR(
    INDEX(
      'アイテム別限界値DB'!$K:$K, 
      MATCH(
        1, 
        ('アイテム別限界値DB'!$B:$B = AH$10) * 
        ('アイテム別限界値DB'!$F:$F = AH18) * 
        ('アイテム別限界値DB'!$H:$H = AI18), 
        0
      )
    ), 
    "再製作"
  )
)
</f>
        <v/>
      </c>
      <c r="AK18" s="218" t="str">
        <f t="array" ref="AK18">IF(
  AI18 = 0, 
  "", 
  IFERROR(
    INDEX(
      'アイテム別限界値DB'!$L:$L, 
      MATCH(
        1, 
        ('アイテム別限界値DB'!$B:$B = AH$10) * 
        ('アイテム別限界値DB'!$C:$C = AH18) * 
        ('アイテム別限界値DB'!$F:$F = AI18), 
        0
      )
    ), 
    ""
  )
)
</f>
        <v/>
      </c>
      <c r="AL18" s="11"/>
      <c r="AM18" s="224" t="s">
        <v>71</v>
      </c>
      <c r="AN18" s="232"/>
      <c r="AO18" s="231" t="str">
        <f t="array" ref="AO18">IF(
  AN18 = 0, 
  "", 
  IFERROR(
    INDEX(
      'アイテム別限界値DB'!$K:$K, 
      MATCH(
        1, 
        ('アイテム別限界値DB'!$B:$B = AM$10) * 
        ('アイテム別限界値DB'!$F:$F = AM18) * 
        ('アイテム別限界値DB'!$H:$H = AN18), 
        0
      )
    ), 
    "再製作"
  )
)
</f>
        <v/>
      </c>
      <c r="AP18" s="218" t="str">
        <f t="array" ref="AP18">IF(
  AN18 = 0, 
  "", 
  IFERROR(
    INDEX(
      'アイテム別限界値DB'!$L:$L, 
      MATCH(
        1, 
        ('アイテム別限界値DB'!$B:$B = AM$10) * 
        ('アイテム別限界値DB'!$C:$C = AM18) * 
        ('アイテム別限界値DB'!$F:$F = AN18), 
        0
      )
    ), 
    ""
  )
)
</f>
        <v/>
      </c>
      <c r="AQ18" s="11"/>
      <c r="AR18" s="224" t="s">
        <v>71</v>
      </c>
      <c r="AS18" s="232"/>
      <c r="AT18" s="231" t="str">
        <f t="array" ref="AT18">IF(
  AS18 = 0, 
  "", 
  IFERROR(
    INDEX(
      'アイテム別限界値DB'!$K:$K, 
      MATCH(
        1, 
        ('アイテム別限界値DB'!$B:$B = AR$10) * 
        ('アイテム別限界値DB'!$F:$F = AR18) * 
        ('アイテム別限界値DB'!$H:$H = AS18), 
        0
      )
    ), 
    "再製作"
  )
)
</f>
        <v/>
      </c>
      <c r="AU18" s="218" t="str">
        <f t="array" ref="AU18">IF(
  AS18 = 0, 
  "", 
  IFERROR(
    INDEX(
      'アイテム別限界値DB'!$L:$L, 
      MATCH(
        1, 
        ('アイテム別限界値DB'!$B:$B = AR$10) * 
        ('アイテム別限界値DB'!$C:$C = AR18) * 
        ('アイテム別限界値DB'!$F:$F = AS18), 
        0
      )
    ), 
    ""
  )
)
</f>
        <v/>
      </c>
      <c r="AV18" s="121"/>
      <c r="AW18" s="224" t="s">
        <v>71</v>
      </c>
      <c r="AX18" s="232"/>
      <c r="AY18" s="231" t="str">
        <f t="array" ref="AY18">IF(
  AX18 = 0, 
  "", 
  IFERROR(
    INDEX(
      'アイテム別限界値DB'!$K:$K, 
      MATCH(
        1, 
        ('アイテム別限界値DB'!$B:$B = AW$10) * 
        ('アイテム別限界値DB'!$F:$F = AW18) * 
        ('アイテム別限界値DB'!$H:$H = AX18), 
        0
      )
    ), 
    "再製作"
  )
)
</f>
        <v/>
      </c>
      <c r="AZ18" s="218" t="str">
        <f t="array" ref="AZ18">IF(
  AX18 = 0, 
  "", 
  IFERROR(
    INDEX(
      'アイテム別限界値DB'!$L:$L, 
      MATCH(
        1, 
        ('アイテム別限界値DB'!$B:$B = AW$10) * 
        ('アイテム別限界値DB'!$C:$C = AW18) * 
        ('アイテム別限界値DB'!$F:$F = AX18), 
        0
      )
    ), 
    ""
  )
)
</f>
        <v/>
      </c>
      <c r="BA18" s="121"/>
      <c r="BB18" s="224" t="s">
        <v>71</v>
      </c>
      <c r="BC18" s="232"/>
      <c r="BD18" s="231" t="str">
        <f t="array" ref="BD18">IF(
  BC18 = 0, 
  "", 
  IFERROR(
    INDEX(
      'アイテム別限界値DB'!$K:$K, 
      MATCH(
        1, 
        ('アイテム別限界値DB'!$B:$B = BB$10) * 
        ('アイテム別限界値DB'!$F:$F = BB18) * 
        ('アイテム別限界値DB'!$H:$H = BC18), 
        0
      )
    ), 
    "再製作"
  )
)
</f>
        <v/>
      </c>
      <c r="BE18" s="218" t="str">
        <f t="array" ref="BE18">IF(
  BC18 = 0, 
  "", 
  IFERROR(
    INDEX(
      'アイテム別限界値DB'!$L:$L, 
      MATCH(
        1, 
        ('アイテム別限界値DB'!$B:$B = BB$10) * 
        ('アイテム別限界値DB'!$C:$C = BB18) * 
        ('アイテム別限界値DB'!$F:$F = BC18), 
        0
      )
    ), 
    ""
  )
)
</f>
        <v/>
      </c>
      <c r="BF18" s="121"/>
      <c r="BG18" s="224" t="s">
        <v>71</v>
      </c>
      <c r="BH18" s="232"/>
      <c r="BI18" s="231" t="str">
        <f t="array" ref="BI18">IF(
  BH18 = 0, 
  "", 
  IFERROR(
    INDEX(
      'アイテム別限界値DB'!$K:$K, 
      MATCH(
        1, 
        ('アイテム別限界値DB'!$B:$B = BG$10) * 
        ('アイテム別限界値DB'!$F:$F = BG18) * 
        ('アイテム別限界値DB'!$H:$H = BH18), 
        0
      )
    ), 
    "再製作"
  )
)
</f>
        <v/>
      </c>
      <c r="BJ18" s="218" t="str">
        <f t="array" ref="BJ18">IF(
  BH18 = 0, 
  "", 
  IFERROR(
    INDEX(
      'アイテム別限界値DB'!$L:$L, 
      MATCH(
        1, 
        ('アイテム別限界値DB'!$B:$B = BG$10) * 
        ('アイテム別限界値DB'!$C:$C = BG18) * 
        ('アイテム別限界値DB'!$F:$F = BH18), 
        0
      )
    ), 
    ""
  )
)
</f>
        <v/>
      </c>
      <c r="BK18" s="121"/>
      <c r="BL18" s="224" t="s">
        <v>69</v>
      </c>
      <c r="BM18" s="232"/>
      <c r="BN18" s="231" t="str">
        <f t="array" ref="BN18">IF(
  BM18 = 0, 
  "", 
  IFERROR(
    INDEX(
      'アイテム別限界値DB'!$K:$K, 
      MATCH(
        1, 
        ('アイテム別限界値DB'!$B:$B = BL$10) * 
        ('アイテム別限界値DB'!$F:$F = BL18) * 
        ('アイテム別限界値DB'!$H:$H = BM18), 
        0
      )
    ), 
    "再製作"
  )
)
</f>
        <v/>
      </c>
      <c r="BO18" s="218" t="str">
        <f t="array" ref="BO18">IF(
  BM18 = 0, 
  "", 
  IFERROR(
    INDEX(
      'アイテム別限界値DB'!$L:$L, 
      MATCH(
        1, 
        ('アイテム別限界値DB'!$B:$B = BL$10) * 
        ('アイテム別限界値DB'!$C:$C = BL18) * 
        ('アイテム別限界値DB'!$F:$F = BM18), 
        0
      )
    ), 
    ""
  )
)
</f>
        <v/>
      </c>
      <c r="BP18" s="195"/>
    </row>
    <row r="19" ht="18.75" customHeight="1">
      <c r="A19" s="228" t="str">
        <f>IF($I$11 ="再製作", "◼︎ パンツ（対応着地：再製作）"　&amp; char(10) &amp; "《修正数値》", IF($I$11 &lt;&gt; "", "◼︎ パンツ（対応着地：お直し）"　&amp; char(10) &amp; "《修正数値》", ""))</f>
        <v/>
      </c>
      <c r="B19" s="224"/>
      <c r="C19" s="224"/>
      <c r="D19" s="238" t="s">
        <v>72</v>
      </c>
      <c r="E19" s="232"/>
      <c r="F19" s="231" t="str">
        <f t="array" ref="F19">IF(
  E19 = 0, 
  "", 
  IFERROR(
    INDEX(
      'アイテム別限界値DB'!$K:$K, 
      MATCH(
        1, 
        ('アイテム別限界値DB'!$B:$B = D$10) * 
        ('アイテム別限界値DB'!$F:$F = D19) * 
        ('アイテム別限界値DB'!$H:$H = E19), 
        0
      )
    ), 
    "再製作"
  )
)
</f>
        <v/>
      </c>
      <c r="G19" s="218" t="str">
        <f t="array" ref="G19">IF(
  E19 = 0, 
  "", 
  IFERROR(
    INDEX(
      'アイテム別限界値DB'!$L:$L, 
      MATCH(
        1, 
        ('アイテム別限界値DB'!$B:$B = D$10) * 
        ('アイテム別限界値DB'!$C:$C = D19) * 
        ('アイテム別限界値DB'!$F:$F = E19), 
        0
      )
    ), 
    ""
  )
)
</f>
        <v/>
      </c>
      <c r="H19" s="12"/>
      <c r="I19" s="238" t="s">
        <v>73</v>
      </c>
      <c r="J19" s="232"/>
      <c r="K19" s="231" t="str">
        <f t="array" ref="K19">IF(
  J19 = 0, 
  "", 
  IFERROR(
    INDEX(
      'アイテム別限界値DB'!$K:$K, 
      MATCH(
        1, 
        ('アイテム別限界値DB'!$B:$B = I$10) * 
        ('アイテム別限界値DB'!$F:$F = I19) * 
        ('アイテム別限界値DB'!$H:$H = J19), 
        0
      )
    ), 
    "再製作"
  )
)
</f>
        <v/>
      </c>
      <c r="L19" s="218" t="str">
        <f t="array" ref="L19">IF(
  J19 = 0, 
  "", 
  IFERROR(
    INDEX(
      'アイテム別限界値DB'!$L:$L, 
      MATCH(
        1, 
        ('アイテム別限界値DB'!$B:$B = I$10) * 
        ('アイテム別限界値DB'!$C:$C = I19) * 
        ('アイテム別限界値DB'!$F:$F = J19), 
        0
      )
    ), 
    ""
  )
)
</f>
        <v/>
      </c>
      <c r="M19" s="12"/>
      <c r="N19" s="238" t="s">
        <v>74</v>
      </c>
      <c r="O19" s="232"/>
      <c r="P19" s="231" t="str">
        <f t="array" ref="P19">IF(
  O19 = 0, 
  "", 
  IFERROR(
    INDEX(
      'アイテム別限界値DB'!$K:$K, 
      MATCH(
        1, 
        ('アイテム別限界値DB'!$B:$B = N$10) * 
        ('アイテム別限界値DB'!$F:$F = N19) * 
        ('アイテム別限界値DB'!$H:$H = O19), 
        0
      )
    ), 
    "再製作"
  )
)
</f>
        <v/>
      </c>
      <c r="Q19" s="218" t="str">
        <f t="array" ref="Q19">IF(
  O19 = 0, 
  "", 
  IFERROR(
    INDEX(
      'アイテム別限界値DB'!$L:$L, 
      MATCH(
        1, 
        ('アイテム別限界値DB'!$B:$B = N$10) * 
        ('アイテム別限界値DB'!$C:$C = N19) * 
        ('アイテム別限界値DB'!$F:$F = O19), 
        0
      )
    ), 
    ""
  )
)
</f>
        <v/>
      </c>
      <c r="R19" s="11"/>
      <c r="S19" s="238" t="s">
        <v>75</v>
      </c>
      <c r="T19" s="232"/>
      <c r="U19" s="231" t="str">
        <f t="array" ref="U19">IF(
  T19 = 0, 
  "", 
  IFERROR(
    INDEX(
      'アイテム別限界値DB'!$K:$K, 
      MATCH(
        1, 
        ('アイテム別限界値DB'!$B:$B = S$10) * 
        ('アイテム別限界値DB'!$F:$F = S19) * 
        ('アイテム別限界値DB'!$H:$H = T19), 
        0
      )
    ), 
    "再製作"
  )
)
</f>
        <v/>
      </c>
      <c r="V19" s="218" t="str">
        <f t="array" ref="V19">IF(
  T19 = 0, 
  "", 
  IFERROR(
    INDEX(
      'アイテム別限界値DB'!$L:$L, 
      MATCH(
        1, 
        ('アイテム別限界値DB'!$B:$B = S$10) * 
        ('アイテム別限界値DB'!$C:$C = S19) * 
        ('アイテム別限界値DB'!$F:$F = T19), 
        0
      )
    ), 
    ""
  )
)
</f>
        <v/>
      </c>
      <c r="W19" s="11"/>
      <c r="X19" s="238" t="s">
        <v>69</v>
      </c>
      <c r="Y19" s="230"/>
      <c r="Z19" s="231" t="str">
        <f t="array" ref="Z19">IF(
  Y19 = 0, 
  "", 
  IFERROR(
    INDEX(
      'アイテム別限界値DB'!$K:$K, 
      MATCH(
        1, 
        ('アイテム別限界値DB'!$B:$B = X$10) * 
        ('アイテム別限界値DB'!$F:$F = X19) * 
        ('アイテム別限界値DB'!$H:$H = Y19), 
        0
      )
    ), 
    "再製作"
  )
)
</f>
        <v/>
      </c>
      <c r="AA19" s="218" t="str">
        <f t="array" ref="AA19">IF(
  Y19 = 0, 
  "", 
  IFERROR(
    INDEX(
      'アイテム別限界値DB'!$L:$L, 
      MATCH(
        1, 
        ('アイテム別限界値DB'!$B:$B = X$10) * 
        ('アイテム別限界値DB'!$C:$C = X19) * 
        ('アイテム別限界値DB'!$F:$F = Y19), 
        0
      )
    ), 
    ""
  )
)
</f>
        <v/>
      </c>
      <c r="AB19" s="11"/>
      <c r="AC19" s="238" t="s">
        <v>76</v>
      </c>
      <c r="AD19" s="232"/>
      <c r="AE19" s="231" t="str">
        <f t="array" ref="AE19">IF(
  AD19 = 0, 
  "", 
  IFERROR(
    INDEX(
      'アイテム別限界値DB'!$K:$K, 
      MATCH(
        1, 
        ('アイテム別限界値DB'!$B:$B = AC$10) * 
        ('アイテム別限界値DB'!$F:$F = AC19) * 
        ('アイテム別限界値DB'!$H:$H = AD19), 
        0
      )
    ), 
    "再製作"
  )
)
</f>
        <v/>
      </c>
      <c r="AF19" s="218" t="str">
        <f t="array" ref="AF19">IF(
  AD19 = 0, 
  "", 
  IFERROR(
    INDEX(
      'アイテム別限界値DB'!$L:$L, 
      MATCH(
        1, 
        ('アイテム別限界値DB'!$B:$B = AC$10) * 
        ('アイテム別限界値DB'!$C:$C = AC19) * 
        ('アイテム別限界値DB'!$F:$F = AD19), 
        0
      )
    ), 
    ""
  )
)
</f>
        <v/>
      </c>
      <c r="AG19" s="11"/>
      <c r="AH19" s="238" t="s">
        <v>71</v>
      </c>
      <c r="AI19" s="232"/>
      <c r="AJ19" s="231" t="str">
        <f t="array" ref="AJ19">IF(
  AI19 = 0, 
  "", 
  IFERROR(
    INDEX(
      'アイテム別限界値DB'!$K:$K, 
      MATCH(
        1, 
        ('アイテム別限界値DB'!$B:$B = AH$10) * 
        ('アイテム別限界値DB'!$F:$F = AH19) * 
        ('アイテム別限界値DB'!$H:$H = AI19), 
        0
      )
    ), 
    "再製作"
  )
)
</f>
        <v/>
      </c>
      <c r="AK19" s="218" t="str">
        <f t="array" ref="AK19">IF(
  AI19 = 0, 
  "", 
  IFERROR(
    INDEX(
      'アイテム別限界値DB'!$L:$L, 
      MATCH(
        1, 
        ('アイテム別限界値DB'!$B:$B = AH$10) * 
        ('アイテム別限界値DB'!$C:$C = AH19) * 
        ('アイテム別限界値DB'!$F:$F = AI19), 
        0
      )
    ), 
    ""
  )
)
</f>
        <v/>
      </c>
      <c r="AL19" s="11"/>
      <c r="AM19" s="238" t="s">
        <v>62</v>
      </c>
      <c r="AN19" s="232"/>
      <c r="AO19" s="231" t="str">
        <f t="array" ref="AO19">IF(
  AN19 = 0, 
  "", 
  IFERROR(
    INDEX(
      'アイテム別限界値DB'!$K:$K, 
      MATCH(
        1, 
        ('アイテム別限界値DB'!$B:$B = AM$10) * 
        ('アイテム別限界値DB'!$F:$F = AM19) * 
        ('アイテム別限界値DB'!$H:$H = AN19), 
        0
      )
    ), 
    "再製作"
  )
)
</f>
        <v/>
      </c>
      <c r="AP19" s="218" t="str">
        <f t="array" ref="AP19">IF(
  AN19 = 0, 
  "", 
  IFERROR(
    INDEX(
      'アイテム別限界値DB'!$L:$L, 
      MATCH(
        1, 
        ('アイテム別限界値DB'!$B:$B = AM$10) * 
        ('アイテム別限界値DB'!$C:$C = AM19) * 
        ('アイテム別限界値DB'!$F:$F = AN19), 
        0
      )
    ), 
    ""
  )
)
</f>
        <v/>
      </c>
      <c r="AQ19" s="11"/>
      <c r="AR19" s="238" t="s">
        <v>62</v>
      </c>
      <c r="AS19" s="232"/>
      <c r="AT19" s="231" t="str">
        <f t="array" ref="AT19">IF(
  AS19 = 0, 
  "", 
  IFERROR(
    INDEX(
      'アイテム別限界値DB'!$K:$K, 
      MATCH(
        1, 
        ('アイテム別限界値DB'!$B:$B = AR$10) * 
        ('アイテム別限界値DB'!$F:$F = AR19) * 
        ('アイテム別限界値DB'!$H:$H = AS19), 
        0
      )
    ), 
    "再製作"
  )
)
</f>
        <v/>
      </c>
      <c r="AU19" s="218" t="str">
        <f t="array" ref="AU19">IF(
  AS19 = 0, 
  "", 
  IFERROR(
    INDEX(
      'アイテム別限界値DB'!$L:$L, 
      MATCH(
        1, 
        ('アイテム別限界値DB'!$B:$B = AR$10) * 
        ('アイテム別限界値DB'!$C:$C = AR19) * 
        ('アイテム別限界値DB'!$F:$F = AS19), 
        0
      )
    ), 
    ""
  )
)
</f>
        <v/>
      </c>
      <c r="AV19" s="121"/>
      <c r="AW19" s="224" t="s">
        <v>62</v>
      </c>
      <c r="AX19" s="232"/>
      <c r="AY19" s="231" t="str">
        <f t="array" ref="AY19">IF(
  AX19 = 0, 
  "", 
  IFERROR(
    INDEX(
      'アイテム別限界値DB'!$K:$K, 
      MATCH(
        1, 
        ('アイテム別限界値DB'!$B:$B = AW$10) * 
        ('アイテム別限界値DB'!$F:$F = AW19) * 
        ('アイテム別限界値DB'!$H:$H = AX19), 
        0
      )
    ), 
    "再製作"
  )
)
</f>
        <v/>
      </c>
      <c r="AZ19" s="218" t="str">
        <f t="array" ref="AZ19">IF(
  AX19 = 0, 
  "", 
  IFERROR(
    INDEX(
      'アイテム別限界値DB'!$L:$L, 
      MATCH(
        1, 
        ('アイテム別限界値DB'!$B:$B = AW$10) * 
        ('アイテム別限界値DB'!$C:$C = AW19) * 
        ('アイテム別限界値DB'!$F:$F = AX19), 
        0
      )
    ), 
    ""
  )
)
</f>
        <v/>
      </c>
      <c r="BA19" s="121"/>
      <c r="BB19" s="224" t="s">
        <v>62</v>
      </c>
      <c r="BC19" s="232"/>
      <c r="BD19" s="231" t="str">
        <f t="array" ref="BD19">IF(
  BC19 = 0, 
  "", 
  IFERROR(
    INDEX(
      'アイテム別限界値DB'!$K:$K, 
      MATCH(
        1, 
        ('アイテム別限界値DB'!$B:$B = BB$10) * 
        ('アイテム別限界値DB'!$F:$F = BB19) * 
        ('アイテム別限界値DB'!$H:$H = BC19), 
        0
      )
    ), 
    "再製作"
  )
)
</f>
        <v/>
      </c>
      <c r="BE19" s="218" t="str">
        <f t="array" ref="BE19">IF(
  BC19 = 0, 
  "", 
  IFERROR(
    INDEX(
      'アイテム別限界値DB'!$L:$L, 
      MATCH(
        1, 
        ('アイテム別限界値DB'!$B:$B = BB$10) * 
        ('アイテム別限界値DB'!$C:$C = BB19) * 
        ('アイテム別限界値DB'!$F:$F = BC19), 
        0
      )
    ), 
    ""
  )
)
</f>
        <v/>
      </c>
      <c r="BF19" s="121"/>
      <c r="BG19" s="224" t="s">
        <v>62</v>
      </c>
      <c r="BH19" s="232"/>
      <c r="BI19" s="231" t="str">
        <f t="array" ref="BI19">IF(
  BH19 = 0, 
  "", 
  IFERROR(
    INDEX(
      'アイテム別限界値DB'!$K:$K, 
      MATCH(
        1, 
        ('アイテム別限界値DB'!$B:$B = BG$10) * 
        ('アイテム別限界値DB'!$F:$F = BG19) * 
        ('アイテム別限界値DB'!$H:$H = BH19), 
        0
      )
    ), 
    "再製作"
  )
)
</f>
        <v/>
      </c>
      <c r="BJ19" s="218" t="str">
        <f t="array" ref="BJ19">IF(
  BH19 = 0, 
  "", 
  IFERROR(
    INDEX(
      'アイテム別限界値DB'!$L:$L, 
      MATCH(
        1, 
        ('アイテム別限界値DB'!$B:$B = BG$10) * 
        ('アイテム別限界値DB'!$C:$C = BG19) * 
        ('アイテム別限界値DB'!$F:$F = BH19), 
        0
      )
    ), 
    ""
  )
)
</f>
        <v/>
      </c>
      <c r="BK19" s="121"/>
      <c r="BL19" s="224" t="s">
        <v>76</v>
      </c>
      <c r="BM19" s="232"/>
      <c r="BN19" s="231" t="str">
        <f t="array" ref="BN19">IF(
  BM19 = 0, 
  "", 
  IFERROR(
    INDEX(
      'アイテム別限界値DB'!$K:$K, 
      MATCH(
        1, 
        ('アイテム別限界値DB'!$B:$B = BL$10) * 
        ('アイテム別限界値DB'!$F:$F = BL19) * 
        ('アイテム別限界値DB'!$H:$H = BM19), 
        0
      )
    ), 
    "再製作"
  )
)
</f>
        <v/>
      </c>
      <c r="BO19" s="218" t="str">
        <f t="array" ref="BO19">IF(
  BM19 = 0, 
  "", 
  IFERROR(
    INDEX(
      'アイテム別限界値DB'!$L:$L, 
      MATCH(
        1, 
        ('アイテム別限界値DB'!$B:$B = BL$10) * 
        ('アイテム別限界値DB'!$C:$C = BL19) * 
        ('アイテム別限界値DB'!$F:$F = BM19), 
        0
      )
    ), 
    ""
  )
)
</f>
        <v/>
      </c>
      <c r="BP19" s="195"/>
    </row>
    <row r="20" ht="18.75" customHeight="1">
      <c r="A20" s="228" t="str">
        <f>IFERROR(__xludf.DUMMYFUNCTION("TEXTJOIN(CHAR(10),TRUE,FILTER(ARRAYFORMULA(IF(J$14:J72&lt;&gt;"""", I$14:I72 &amp;"" : ""&amp; J$14:J72 &amp;"" cm"","""")), I$14:I72 &lt;&gt;""""))"),"")</f>
        <v/>
      </c>
      <c r="B20" s="229"/>
      <c r="C20" s="224"/>
      <c r="D20" s="238" t="s">
        <v>77</v>
      </c>
      <c r="E20" s="230"/>
      <c r="F20" s="231" t="str">
        <f t="array" ref="F20">IF(
  E20 = 0, 
  "", 
  IFERROR(
    INDEX(
      'アイテム別限界値DB'!$K:$K, 
      MATCH(
        1, 
        ('アイテム別限界値DB'!$B:$B = D$10) * 
        ('アイテム別限界値DB'!$F:$F = D20) * 
        ('アイテム別限界値DB'!$H:$H = E20), 
        0
      )
    ), 
    "再製作"
  )
)
</f>
        <v/>
      </c>
      <c r="G20" s="218" t="str">
        <f t="array" ref="G20">IF(
  E20 = 0, 
  "", 
  IFERROR(
    INDEX(
      'アイテム別限界値DB'!$L:$L, 
      MATCH(
        1, 
        ('アイテム別限界値DB'!$B:$B = D$10) * 
        ('アイテム別限界値DB'!$C:$C = D20) * 
        ('アイテム別限界値DB'!$F:$F = E20), 
        0
      )
    ), 
    ""
  )
)
</f>
        <v/>
      </c>
      <c r="H20" s="12"/>
      <c r="I20" s="238" t="s">
        <v>78</v>
      </c>
      <c r="J20" s="230"/>
      <c r="K20" s="231" t="str">
        <f t="array" ref="K20">IF(
  J20 = 0, 
  "", 
  IFERROR(
    INDEX(
      'アイテム別限界値DB'!$K:$K, 
      MATCH(
        1, 
        ('アイテム別限界値DB'!$B:$B = I$10) * 
        ('アイテム別限界値DB'!$F:$F = I20) * 
        ('アイテム別限界値DB'!$H:$H = J20), 
        0
      )
    ), 
    "再製作"
  )
)
</f>
        <v/>
      </c>
      <c r="L20" s="218" t="str">
        <f t="array" ref="L20">IF(
  J20 = 0, 
  "", 
  IFERROR(
    INDEX(
      'アイテム別限界値DB'!$L:$L, 
      MATCH(
        1, 
        ('アイテム別限界値DB'!$B:$B = I$10) * 
        ('アイテム別限界値DB'!$C:$C = I20) * 
        ('アイテム別限界値DB'!$F:$F = J20), 
        0
      )
    ), 
    ""
  )
)
</f>
        <v/>
      </c>
      <c r="M20" s="12"/>
      <c r="N20" s="238" t="s">
        <v>79</v>
      </c>
      <c r="O20" s="232"/>
      <c r="P20" s="231" t="str">
        <f t="array" ref="P20">IF(
  O20 = 0, 
  "", 
  IFERROR(
    INDEX(
      'アイテム別限界値DB'!$K:$K, 
      MATCH(
        1, 
        ('アイテム別限界値DB'!$B:$B = N$10) * 
        ('アイテム別限界値DB'!$F:$F = N20) * 
        ('アイテム別限界値DB'!$H:$H = O20), 
        0
      )
    ), 
    "再製作"
  )
)
</f>
        <v/>
      </c>
      <c r="Q20" s="218" t="str">
        <f t="array" ref="Q20">IF(
  O20 = 0, 
  "", 
  IFERROR(
    INDEX(
      'アイテム別限界値DB'!$L:$L, 
      MATCH(
        1, 
        ('アイテム別限界値DB'!$B:$B = N$10) * 
        ('アイテム別限界値DB'!$C:$C = N20) * 
        ('アイテム別限界値DB'!$F:$F = O20), 
        0
      )
    ), 
    ""
  )
)
</f>
        <v/>
      </c>
      <c r="R20" s="11"/>
      <c r="S20" s="238" t="s">
        <v>78</v>
      </c>
      <c r="T20" s="230"/>
      <c r="U20" s="231" t="str">
        <f t="array" ref="U20">IF(
  T20 = 0, 
  "", 
  IFERROR(
    INDEX(
      'アイテム別限界値DB'!$K:$K, 
      MATCH(
        1, 
        ('アイテム別限界値DB'!$B:$B = S$10) * 
        ('アイテム別限界値DB'!$F:$F = S20) * 
        ('アイテム別限界値DB'!$H:$H = T20), 
        0
      )
    ), 
    "再製作"
  )
)
</f>
        <v/>
      </c>
      <c r="V20" s="218" t="str">
        <f t="array" ref="V20">IF(
  T20 = 0, 
  "", 
  IFERROR(
    INDEX(
      'アイテム別限界値DB'!$L:$L, 
      MATCH(
        1, 
        ('アイテム別限界値DB'!$B:$B = S$10) * 
        ('アイテム別限界値DB'!$C:$C = S20) * 
        ('アイテム別限界値DB'!$F:$F = T20), 
        0
      )
    ), 
    ""
  )
)
</f>
        <v/>
      </c>
      <c r="W20" s="11"/>
      <c r="X20" s="238" t="s">
        <v>76</v>
      </c>
      <c r="Y20" s="230"/>
      <c r="Z20" s="231" t="str">
        <f t="array" ref="Z20">IF(
  Y20 = 0, 
  "", 
  IFERROR(
    INDEX(
      'アイテム別限界値DB'!$K:$K, 
      MATCH(
        1, 
        ('アイテム別限界値DB'!$B:$B = X$10) * 
        ('アイテム別限界値DB'!$F:$F = X20) * 
        ('アイテム別限界値DB'!$H:$H = Y20), 
        0
      )
    ), 
    "再製作"
  )
)
</f>
        <v/>
      </c>
      <c r="AA20" s="218" t="str">
        <f t="array" ref="AA20">IF(
  Y20 = 0, 
  "", 
  IFERROR(
    INDEX(
      'アイテム別限界値DB'!$L:$L, 
      MATCH(
        1, 
        ('アイテム別限界値DB'!$B:$B = X$10) * 
        ('アイテム別限界値DB'!$C:$C = X20) * 
        ('アイテム別限界値DB'!$F:$F = Y20), 
        0
      )
    ), 
    ""
  )
)
</f>
        <v/>
      </c>
      <c r="AB20" s="11"/>
      <c r="AC20" s="238" t="s">
        <v>80</v>
      </c>
      <c r="AD20" s="232"/>
      <c r="AE20" s="231" t="str">
        <f t="array" ref="AE20">IF(
  AD20 = 0, 
  "", 
  IFERROR(
    INDEX(
      'アイテム別限界値DB'!$K:$K, 
      MATCH(
        1, 
        ('アイテム別限界値DB'!$B:$B = AC$10) * 
        ('アイテム別限界値DB'!$F:$F = AC20) * 
        ('アイテム別限界値DB'!$H:$H = AD20), 
        0
      )
    ), 
    "再製作"
  )
)
</f>
        <v/>
      </c>
      <c r="AF20" s="218" t="str">
        <f t="array" ref="AF20">IF(
  AD20 = 0, 
  "", 
  IFERROR(
    INDEX(
      'アイテム別限界値DB'!$L:$L, 
      MATCH(
        1, 
        ('アイテム別限界値DB'!$B:$B = AC$10) * 
        ('アイテム別限界値DB'!$C:$C = AC20) * 
        ('アイテム別限界値DB'!$F:$F = AD20), 
        0
      )
    ), 
    ""
  )
)
</f>
        <v/>
      </c>
      <c r="AG20" s="11"/>
      <c r="AH20" s="224" t="s">
        <v>62</v>
      </c>
      <c r="AI20" s="232"/>
      <c r="AJ20" s="231" t="str">
        <f t="array" ref="AJ20">IF(
  AI20 = 0, 
  "", 
  IFERROR(
    INDEX(
      'アイテム別限界値DB'!$K:$K, 
      MATCH(
        1, 
        ('アイテム別限界値DB'!$B:$B = AH$10) * 
        ('アイテム別限界値DB'!$F:$F = AH20) * 
        ('アイテム別限界値DB'!$H:$H = AI20), 
        0
      )
    ), 
    "再製作"
  )
)
</f>
        <v/>
      </c>
      <c r="AK20" s="218" t="str">
        <f t="array" ref="AK20">IF(
  AI20 = 0, 
  "", 
  IFERROR(
    INDEX(
      'アイテム別限界値DB'!$L:$L, 
      MATCH(
        1, 
        ('アイテム別限界値DB'!$B:$B = AH$10) * 
        ('アイテム別限界値DB'!$C:$C = AH20) * 
        ('アイテム別限界値DB'!$F:$F = AI20), 
        0
      )
    ), 
    ""
  )
)
</f>
        <v/>
      </c>
      <c r="AL20" s="11"/>
      <c r="AM20" s="224" t="s">
        <v>70</v>
      </c>
      <c r="AN20" s="232"/>
      <c r="AO20" s="231" t="str">
        <f t="array" ref="AO20">IF(
  AN20 = 0, 
  "", 
  IFERROR(
    INDEX(
      'アイテム別限界値DB'!$K:$K, 
      MATCH(
        1, 
        ('アイテム別限界値DB'!$B:$B = AM$10) * 
        ('アイテム別限界値DB'!$F:$F = AM20) * 
        ('アイテム別限界値DB'!$H:$H = AN20), 
        0
      )
    ), 
    "再製作"
  )
)
</f>
        <v/>
      </c>
      <c r="AP20" s="218" t="str">
        <f t="array" ref="AP20">IF(
  AN20 = 0, 
  "", 
  IFERROR(
    INDEX(
      'アイテム別限界値DB'!$L:$L, 
      MATCH(
        1, 
        ('アイテム別限界値DB'!$B:$B = AM$10) * 
        ('アイテム別限界値DB'!$C:$C = AM20) * 
        ('アイテム別限界値DB'!$F:$F = AN20), 
        0
      )
    ), 
    ""
  )
)
</f>
        <v/>
      </c>
      <c r="AQ20" s="11"/>
      <c r="AR20" s="224" t="s">
        <v>70</v>
      </c>
      <c r="AS20" s="232"/>
      <c r="AT20" s="231" t="str">
        <f t="array" ref="AT20">IF(
  AS20 = 0, 
  "", 
  IFERROR(
    INDEX(
      'アイテム別限界値DB'!$K:$K, 
      MATCH(
        1, 
        ('アイテム別限界値DB'!$B:$B = AR$10) * 
        ('アイテム別限界値DB'!$F:$F = AR20) * 
        ('アイテム別限界値DB'!$H:$H = AS20), 
        0
      )
    ), 
    "再製作"
  )
)
</f>
        <v/>
      </c>
      <c r="AU20" s="218" t="str">
        <f t="array" ref="AU20">IF(
  AS20 = 0, 
  "", 
  IFERROR(
    INDEX(
      'アイテム別限界値DB'!$L:$L, 
      MATCH(
        1, 
        ('アイテム別限界値DB'!$B:$B = AR$10) * 
        ('アイテム別限界値DB'!$C:$C = AR20) * 
        ('アイテム別限界値DB'!$F:$F = AS20), 
        0
      )
    ), 
    ""
  )
)
</f>
        <v/>
      </c>
      <c r="AV20" s="121"/>
      <c r="AW20" s="224" t="s">
        <v>70</v>
      </c>
      <c r="AX20" s="232"/>
      <c r="AY20" s="231" t="str">
        <f t="array" ref="AY20">IF(
  AX20 = 0, 
  "", 
  IFERROR(
    INDEX(
      'アイテム別限界値DB'!$K:$K, 
      MATCH(
        1, 
        ('アイテム別限界値DB'!$B:$B = AW$10) * 
        ('アイテム別限界値DB'!$F:$F = AW20) * 
        ('アイテム別限界値DB'!$H:$H = AX20), 
        0
      )
    ), 
    "再製作"
  )
)
</f>
        <v/>
      </c>
      <c r="AZ20" s="218" t="str">
        <f t="array" ref="AZ20">IF(
  AX20 = 0, 
  "", 
  IFERROR(
    INDEX(
      'アイテム別限界値DB'!$L:$L, 
      MATCH(
        1, 
        ('アイテム別限界値DB'!$B:$B = AW$10) * 
        ('アイテム別限界値DB'!$C:$C = AW20) * 
        ('アイテム別限界値DB'!$F:$F = AX20), 
        0
      )
    ), 
    ""
  )
)
</f>
        <v/>
      </c>
      <c r="BA20" s="121"/>
      <c r="BB20" s="224" t="s">
        <v>70</v>
      </c>
      <c r="BC20" s="232"/>
      <c r="BD20" s="231" t="str">
        <f t="array" ref="BD20">IF(
  BC20 = 0, 
  "", 
  IFERROR(
    INDEX(
      'アイテム別限界値DB'!$K:$K, 
      MATCH(
        1, 
        ('アイテム別限界値DB'!$B:$B = BB$10) * 
        ('アイテム別限界値DB'!$F:$F = BB20) * 
        ('アイテム別限界値DB'!$H:$H = BC20), 
        0
      )
    ), 
    "再製作"
  )
)
</f>
        <v/>
      </c>
      <c r="BE20" s="218" t="str">
        <f t="array" ref="BE20">IF(
  BC20 = 0, 
  "", 
  IFERROR(
    INDEX(
      'アイテム別限界値DB'!$L:$L, 
      MATCH(
        1, 
        ('アイテム別限界値DB'!$B:$B = BB$10) * 
        ('アイテム別限界値DB'!$C:$C = BB20) * 
        ('アイテム別限界値DB'!$F:$F = BC20), 
        0
      )
    ), 
    ""
  )
)
</f>
        <v/>
      </c>
      <c r="BF20" s="121"/>
      <c r="BG20" s="224" t="s">
        <v>70</v>
      </c>
      <c r="BH20" s="232"/>
      <c r="BI20" s="231" t="str">
        <f t="array" ref="BI20">IF(
  BH20 = 0, 
  "", 
  IFERROR(
    INDEX(
      'アイテム別限界値DB'!$K:$K, 
      MATCH(
        1, 
        ('アイテム別限界値DB'!$B:$B = BG$10) * 
        ('アイテム別限界値DB'!$F:$F = BG20) * 
        ('アイテム別限界値DB'!$H:$H = BH20), 
        0
      )
    ), 
    "再製作"
  )
)
</f>
        <v/>
      </c>
      <c r="BJ20" s="218" t="str">
        <f t="array" ref="BJ20">IF(
  BH20 = 0, 
  "", 
  IFERROR(
    INDEX(
      'アイテム別限界値DB'!$L:$L, 
      MATCH(
        1, 
        ('アイテム別限界値DB'!$B:$B = BG$10) * 
        ('アイテム別限界値DB'!$C:$C = BG20) * 
        ('アイテム別限界値DB'!$F:$F = BH20), 
        0
      )
    ), 
    ""
  )
)
</f>
        <v/>
      </c>
      <c r="BK20" s="121"/>
      <c r="BL20" s="224" t="s">
        <v>80</v>
      </c>
      <c r="BM20" s="232"/>
      <c r="BN20" s="231" t="str">
        <f t="array" ref="BN20">IF(
  BM20 = 0, 
  "", 
  IFERROR(
    INDEX(
      'アイテム別限界値DB'!$K:$K, 
      MATCH(
        1, 
        ('アイテム別限界値DB'!$B:$B = BL$10) * 
        ('アイテム別限界値DB'!$F:$F = BL20) * 
        ('アイテム別限界値DB'!$H:$H = BM20), 
        0
      )
    ), 
    "再製作"
  )
)
</f>
        <v/>
      </c>
      <c r="BO20" s="218" t="str">
        <f t="array" ref="BO20">IF(
  BM20 = 0, 
  "", 
  IFERROR(
    INDEX(
      'アイテム別限界値DB'!$L:$L, 
      MATCH(
        1, 
        ('アイテム別限界値DB'!$B:$B = BL$10) * 
        ('アイテム別限界値DB'!$C:$C = BL20) * 
        ('アイテム別限界値DB'!$F:$F = BM20), 
        0
      )
    ), 
    ""
  )
)
</f>
        <v/>
      </c>
      <c r="BP20" s="195"/>
    </row>
    <row r="21" ht="18.75" customHeight="1">
      <c r="A21" s="236" t="str">
        <f>if($A$19&lt;&gt;"", "《仕上がり数値》","")</f>
        <v/>
      </c>
      <c r="B21" s="229"/>
      <c r="C21" s="224"/>
      <c r="D21" s="238" t="s">
        <v>81</v>
      </c>
      <c r="E21" s="232"/>
      <c r="F21" s="231" t="str">
        <f t="array" ref="F21">IF(
  E21 = 0, 
  "", 
  IFERROR(
    INDEX(
      'アイテム別限界値DB'!$K:$K, 
      MATCH(
        1, 
        ('アイテム別限界値DB'!$B:$B = D$10) * 
        ('アイテム別限界値DB'!$F:$F = D21) * 
        ('アイテム別限界値DB'!$H:$H = E21), 
        0
      )
    ), 
    "再製作"
  )
)
</f>
        <v/>
      </c>
      <c r="G21" s="218" t="str">
        <f t="array" ref="G21">IF(
  E21 = 0, 
  "", 
  IFERROR(
    INDEX(
      'アイテム別限界値DB'!$L:$L, 
      MATCH(
        1, 
        ('アイテム別限界値DB'!$B:$B = D$10) * 
        ('アイテム別限界値DB'!$C:$C = D21) * 
        ('アイテム別限界値DB'!$F:$F = E21), 
        0
      )
    ), 
    ""
  )
)
</f>
        <v/>
      </c>
      <c r="H21" s="12"/>
      <c r="I21" s="238" t="s">
        <v>82</v>
      </c>
      <c r="J21" s="230"/>
      <c r="K21" s="231" t="str">
        <f t="array" ref="K21">IF(
  J21 = 0, 
  "", 
  IFERROR(
    INDEX(
      'アイテム別限界値DB'!$K:$K, 
      MATCH(
        1, 
        ('アイテム別限界値DB'!$B:$B = I$10) * 
        ('アイテム別限界値DB'!$F:$F = I21) * 
        ('アイテム別限界値DB'!$H:$H = J21), 
        0
      )
    ), 
    "再製作"
  )
)
</f>
        <v/>
      </c>
      <c r="L21" s="218" t="str">
        <f t="array" ref="L21">IF(
  J21 = 0, 
  "", 
  IFERROR(
    INDEX(
      'アイテム別限界値DB'!$L:$L, 
      MATCH(
        1, 
        ('アイテム別限界値DB'!$B:$B = I$10) * 
        ('アイテム別限界値DB'!$C:$C = I21) * 
        ('アイテム別限界値DB'!$F:$F = J21), 
        0
      )
    ), 
    ""
  )
)
</f>
        <v/>
      </c>
      <c r="M21" s="12"/>
      <c r="N21" s="224" t="s">
        <v>83</v>
      </c>
      <c r="O21" s="232"/>
      <c r="P21" s="231" t="str">
        <f t="array" ref="P21">IF(
  O21 = 0, 
  "", 
  IFERROR(
    INDEX(
      'アイテム別限界値DB'!$K:$K, 
      MATCH(
        1, 
        ('アイテム別限界値DB'!$B:$B = N$10) * 
        ('アイテム別限界値DB'!$F:$F = N21) * 
        ('アイテム別限界値DB'!$H:$H = O21), 
        0
      )
    ), 
    "再製作"
  )
)
</f>
        <v/>
      </c>
      <c r="Q21" s="121" t="str">
        <f t="array" ref="Q21">IF(
  O21 = 0, 
  "", 
  IFERROR(
    INDEX(
      'アイテム別限界値DB'!$L:$L, 
      MATCH(
        1, 
        ('アイテム別限界値DB'!$B:$B = N$10) * 
        ('アイテム別限界値DB'!$C:$C = N21) * 
        ('アイテム別限界値DB'!$F:$F = O21), 
        0
      )
    ), 
    ""
  )
)
</f>
        <v/>
      </c>
      <c r="R21" s="11"/>
      <c r="S21" s="238" t="s">
        <v>82</v>
      </c>
      <c r="T21" s="230"/>
      <c r="U21" s="231" t="str">
        <f t="array" ref="U21">IF(
  T21 = 0, 
  "", 
  IFERROR(
    INDEX(
      'アイテム別限界値DB'!$K:$K, 
      MATCH(
        1, 
        ('アイテム別限界値DB'!$B:$B = S$10) * 
        ('アイテム別限界値DB'!$F:$F = S21) * 
        ('アイテム別限界値DB'!$H:$H = T21), 
        0
      )
    ), 
    "再製作"
  )
)
</f>
        <v/>
      </c>
      <c r="V21" s="218" t="str">
        <f t="array" ref="V21">IF(
  T21 = 0, 
  "", 
  IFERROR(
    INDEX(
      'アイテム別限界値DB'!$L:$L, 
      MATCH(
        1, 
        ('アイテム別限界値DB'!$B:$B = S$10) * 
        ('アイテム別限界値DB'!$C:$C = S21) * 
        ('アイテム別限界値DB'!$F:$F = T21), 
        0
      )
    ), 
    ""
  )
)
</f>
        <v/>
      </c>
      <c r="W21" s="11"/>
      <c r="X21" s="238" t="s">
        <v>84</v>
      </c>
      <c r="Y21" s="230"/>
      <c r="Z21" s="231" t="str">
        <f t="array" ref="Z21">IF(
  Y21 = 0, 
  "", 
  IFERROR(
    INDEX(
      'アイテム別限界値DB'!$K:$K, 
      MATCH(
        1, 
        ('アイテム別限界値DB'!$B:$B = X$10) * 
        ('アイテム別限界値DB'!$F:$F = X21) * 
        ('アイテム別限界値DB'!$H:$H = Y21), 
        0
      )
    ), 
    "再製作"
  )
)
</f>
        <v/>
      </c>
      <c r="AA21" s="218" t="str">
        <f t="array" ref="AA21">IF(
  Y21 = 0, 
  "", 
  IFERROR(
    INDEX(
      'アイテム別限界値DB'!$L:$L, 
      MATCH(
        1, 
        ('アイテム別限界値DB'!$B:$B = X$10) * 
        ('アイテム別限界値DB'!$C:$C = X21) * 
        ('アイテム別限界値DB'!$F:$F = Y21), 
        0
      )
    ), 
    ""
  )
)
</f>
        <v/>
      </c>
      <c r="AB21" s="11"/>
      <c r="AC21" s="238" t="s">
        <v>85</v>
      </c>
      <c r="AD21" s="232"/>
      <c r="AE21" s="231" t="str">
        <f t="array" ref="AE21">IF(
  AD21 = 0, 
  "", 
  IFERROR(
    INDEX(
      'アイテム別限界値DB'!$K:$K, 
      MATCH(
        1, 
        ('アイテム別限界値DB'!$B:$B = AC$10) * 
        ('アイテム別限界値DB'!$F:$F = AC21) * 
        ('アイテム別限界値DB'!$H:$H = AD21), 
        0
      )
    ), 
    "再製作"
  )
)
</f>
        <v/>
      </c>
      <c r="AF21" s="218" t="str">
        <f t="array" ref="AF21">IF(
  AD21 = 0, 
  "", 
  IFERROR(
    INDEX(
      'アイテム別限界値DB'!$L:$L, 
      MATCH(
        1, 
        ('アイテム別限界値DB'!$B:$B = AC$10) * 
        ('アイテム別限界値DB'!$C:$C = AC21) * 
        ('アイテム別限界値DB'!$F:$F = AD21), 
        0
      )
    ), 
    ""
  )
)
</f>
        <v/>
      </c>
      <c r="AG21" s="11"/>
      <c r="AH21" s="224"/>
      <c r="AI21" s="225"/>
      <c r="AJ21" s="220" t="str">
        <f t="array" ref="AJ21">IF(
  AI21 = 0, 
  "", 
  IFERROR(
    INDEX(
      'アイテム別限界値DB'!$I:$I, 
      MATCH(
        1, 
        ('アイテム別限界値DB'!$B:$B = AH$10) * 
        ('アイテム別限界値DB'!$C:$C = AH21) * 
        ('アイテム別限界値DB'!$F:$F = AI21), 
        0
      )
    ), 
    "再製作"
  )
)
</f>
        <v/>
      </c>
      <c r="AK21" s="121" t="str">
        <f t="array" ref="AK21">IF(
  AI21 = 0, 
  "", 
  IFERROR(
    INDEX(
      'アイテム別限界値DB'!$L:$L, 
      MATCH(
        1, 
        ('アイテム別限界値DB'!$B:$B = AH$10) * 
        ('アイテム別限界値DB'!$C:$C = AH21) * 
        ('アイテム別限界値DB'!$F:$F = AI21), 
        0
      )
    ), 
    ""
  )
)
</f>
        <v/>
      </c>
      <c r="AL21" s="11"/>
      <c r="AM21" s="224"/>
      <c r="AN21" s="225"/>
      <c r="AO21" s="220" t="str">
        <f t="array" ref="AO21">IF(
  AN21 = 0, 
  "", 
  IFERROR(
    INDEX(
      'アイテム別限界値DB'!$I:$I, 
      MATCH(
        1, 
        ('アイテム別限界値DB'!$B:$B = AM$10) * 
        ('アイテム別限界値DB'!$C:$C = AM21) * 
        ('アイテム別限界値DB'!$F:$F = AN21), 
        0
      )
    ), 
    "再製作"
  )
)
</f>
        <v/>
      </c>
      <c r="AP21" s="121" t="str">
        <f t="array" ref="AP21">IF(
  AN21 = 0, 
  "", 
  IFERROR(
    INDEX(
      'アイテム別限界値DB'!$L:$L, 
      MATCH(
        1, 
        ('アイテム別限界値DB'!$B:$B = AM$10) * 
        ('アイテム別限界値DB'!$C:$C = AM21) * 
        ('アイテム別限界値DB'!$F:$F = AN21), 
        0
      )
    ), 
    ""
  )
)
</f>
        <v/>
      </c>
      <c r="AQ21" s="11"/>
      <c r="AR21" s="224"/>
      <c r="AS21" s="225"/>
      <c r="AT21" s="220" t="str">
        <f t="array" ref="AT21">IF(
  AS21 = 0, 
  "", 
  IFERROR(
    INDEX(
      'アイテム別限界値DB'!$I:$I, 
      MATCH(
        1, 
        ('アイテム別限界値DB'!$B:$B = AR$10) * 
        ('アイテム別限界値DB'!$C:$C = AR21) * 
        ('アイテム別限界値DB'!$F:$F = AS21), 
        0
      )
    ), 
    "再製作"
  )
)
</f>
        <v/>
      </c>
      <c r="AU21" s="121" t="str">
        <f t="array" ref="AU21">IF(
  AS21 = 0, 
  "", 
  IFERROR(
    INDEX(
      'アイテム別限界値DB'!$L:$L, 
      MATCH(
        1, 
        ('アイテム別限界値DB'!$B:$B = AR$10) * 
        ('アイテム別限界値DB'!$C:$C = AR21) * 
        ('アイテム別限界値DB'!$F:$F = AS21), 
        0
      )
    ), 
    ""
  )
)
</f>
        <v/>
      </c>
      <c r="AV21" s="121"/>
      <c r="AW21" s="224"/>
      <c r="AX21" s="225"/>
      <c r="AY21" s="220" t="str">
        <f t="array" ref="AY21">IF(
  AX21 = 0, 
  "", 
  IFERROR(
    INDEX(
      'アイテム別限界値DB'!$I:$I, 
      MATCH(
        1, 
        ('アイテム別限界値DB'!$B:$B = AW$10) * 
        ('アイテム別限界値DB'!$C:$C = AW21) * 
        ('アイテム別限界値DB'!$F:$F = AX21), 
        0
      )
    ), 
    "再製作"
  )
)
</f>
        <v/>
      </c>
      <c r="AZ21" s="121" t="str">
        <f t="array" ref="AZ21">IF(
  AX21 = 0, 
  "", 
  IFERROR(
    INDEX(
      'アイテム別限界値DB'!$L:$L, 
      MATCH(
        1, 
        ('アイテム別限界値DB'!$B:$B = AW$10) * 
        ('アイテム別限界値DB'!$C:$C = AW21) * 
        ('アイテム別限界値DB'!$F:$F = AX21), 
        0
      )
    ), 
    ""
  )
)
</f>
        <v/>
      </c>
      <c r="BA21" s="121"/>
      <c r="BB21" s="224"/>
      <c r="BC21" s="225"/>
      <c r="BD21" s="220" t="str">
        <f t="array" ref="BD21">IF(
  BC21 = 0, 
  "", 
  IFERROR(
    INDEX(
      'アイテム別限界値DB'!$I:$I, 
      MATCH(
        1, 
        ('アイテム別限界値DB'!$B:$B = BB$10) * 
        ('アイテム別限界値DB'!$C:$C = BB21) * 
        ('アイテム別限界値DB'!$F:$F = BC21), 
        0
      )
    ), 
    "再製作"
  )
)
</f>
        <v/>
      </c>
      <c r="BE21" s="121" t="str">
        <f t="array" ref="BE21">IF(
  BC21 = 0, 
  "", 
  IFERROR(
    INDEX(
      'アイテム別限界値DB'!$L:$L, 
      MATCH(
        1, 
        ('アイテム別限界値DB'!$B:$B = BB$10) * 
        ('アイテム別限界値DB'!$C:$C = BB21) * 
        ('アイテム別限界値DB'!$F:$F = BC21), 
        0
      )
    ), 
    ""
  )
)
</f>
        <v/>
      </c>
      <c r="BF21" s="121"/>
      <c r="BG21" s="224"/>
      <c r="BH21" s="225"/>
      <c r="BI21" s="220" t="str">
        <f t="array" ref="BI21">IF(
  BH21 = 0, 
  "", 
  IFERROR(
    INDEX(
      'アイテム別限界値DB'!$I:$I, 
      MATCH(
        1, 
        ('アイテム別限界値DB'!$B:$B = BG$10) * 
        ('アイテム別限界値DB'!$C:$C = BG21) * 
        ('アイテム別限界値DB'!$F:$F = BH21), 
        0
      )
    ), 
    "再製作"
  )
)
</f>
        <v/>
      </c>
      <c r="BJ21" s="121" t="str">
        <f t="array" ref="BJ21">IF(
  BH21 = 0, 
  "", 
  IFERROR(
    INDEX(
      'アイテム別限界値DB'!$L:$L, 
      MATCH(
        1, 
        ('アイテム別限界値DB'!$B:$B = BG$10) * 
        ('アイテム別限界値DB'!$C:$C = BG21) * 
        ('アイテム別限界値DB'!$F:$F = BH21), 
        0
      )
    ), 
    ""
  )
)
</f>
        <v/>
      </c>
      <c r="BK21" s="121"/>
      <c r="BL21" s="224" t="s">
        <v>85</v>
      </c>
      <c r="BM21" s="232"/>
      <c r="BN21" s="231" t="str">
        <f t="array" ref="BN21">IF(
  BM21 = 0, 
  "", 
  IFERROR(
    INDEX(
      'アイテム別限界値DB'!$K:$K, 
      MATCH(
        1, 
        ('アイテム別限界値DB'!$B:$B = BL$10) * 
        ('アイテム別限界値DB'!$F:$F = BL21) * 
        ('アイテム別限界値DB'!$H:$H = BM21), 
        0
      )
    ), 
    "再製作"
  )
)
</f>
        <v/>
      </c>
      <c r="BO21" s="218" t="str">
        <f t="array" ref="BO21">IF(
  BM21 = 0, 
  "", 
  IFERROR(
    INDEX(
      'アイテム別限界値DB'!$L:$L, 
      MATCH(
        1, 
        ('アイテム別限界値DB'!$B:$B = BL$10) * 
        ('アイテム別限界値DB'!$C:$C = BL21) * 
        ('アイテム別限界値DB'!$F:$F = BM21), 
        0
      )
    ), 
    ""
  )
)
</f>
        <v/>
      </c>
      <c r="BP21" s="195"/>
    </row>
    <row r="22" ht="18.75" customHeight="1">
      <c r="A22" s="228" t="str">
        <f>IFERROR(__xludf.DUMMYFUNCTION("TEXTJOIN(CHAR(10),TRUE,FILTER(ARRAYFORMULA(IF(J$14:J72&lt;&gt;"""", I$14:I72 &amp;"" :  cm"","""")), I$14:I72 &lt;&gt;""""))"),"")</f>
        <v/>
      </c>
      <c r="B22" s="224"/>
      <c r="C22" s="224"/>
      <c r="D22" s="238" t="s">
        <v>86</v>
      </c>
      <c r="E22" s="230"/>
      <c r="F22" s="231" t="str">
        <f t="array" ref="F22">IF(
  E22 = 0, 
  "", 
  IFERROR(
    INDEX(
      'アイテム別限界値DB'!$K:$K, 
      MATCH(
        1, 
        ('アイテム別限界値DB'!$B:$B = D$10) * 
        ('アイテム別限界値DB'!$F:$F = D22) * 
        ('アイテム別限界値DB'!$H:$H = E22), 
        0
      )
    ), 
    "再製作"
  )
)
</f>
        <v/>
      </c>
      <c r="G22" s="218" t="str">
        <f t="array" ref="G22">IF(
  E22 = 0, 
  "", 
  IFERROR(
    INDEX(
      'アイテム別限界値DB'!$L:$L, 
      MATCH(
        1, 
        ('アイテム別限界値DB'!$B:$B = D$10) * 
        ('アイテム別限界値DB'!$C:$C = D22) * 
        ('アイテム別限界値DB'!$F:$F = E22), 
        0
      )
    ), 
    ""
  )
)
</f>
        <v/>
      </c>
      <c r="H22" s="12"/>
      <c r="I22" s="238" t="s">
        <v>87</v>
      </c>
      <c r="J22" s="230"/>
      <c r="K22" s="231" t="str">
        <f t="array" ref="K22">IF(
  J22 = 0, 
  "", 
  IFERROR(
    INDEX(
      'アイテム別限界値DB'!$K:$K, 
      MATCH(
        1, 
        ('アイテム別限界値DB'!$B:$B = I$10) * 
        ('アイテム別限界値DB'!$F:$F = I22) * 
        ('アイテム別限界値DB'!$H:$H = J22), 
        0
      )
    ), 
    "再製作"
  )
)
</f>
        <v/>
      </c>
      <c r="L22" s="218" t="str">
        <f t="array" ref="L22">IF(
  J22 = 0, 
  "", 
  IFERROR(
    INDEX(
      'アイテム別限界値DB'!$L:$L, 
      MATCH(
        1, 
        ('アイテム別限界値DB'!$B:$B = I$10) * 
        ('アイテム別限界値DB'!$C:$C = I22) * 
        ('アイテム別限界値DB'!$F:$F = J22), 
        0
      )
    ), 
    ""
  )
)
</f>
        <v/>
      </c>
      <c r="M22" s="11"/>
      <c r="N22" s="224"/>
      <c r="O22" s="220"/>
      <c r="P22" s="220" t="str">
        <f t="array" ref="P22">IF(
  O22 = 0, 
  "", 
  IFERROR(
    INDEX(
      'アイテム別限界値DB'!$I:$I, 
      MATCH(
        1, 
        ('アイテム別限界値DB'!$B:$B = N$10) * 
        ('アイテム別限界値DB'!$C:$C = N22) * 
        ('アイテム別限界値DB'!$F:$F = O22), 
        0
      )
    ), 
    "再製作"
  )
)
</f>
        <v/>
      </c>
      <c r="Q22" s="121" t="str">
        <f t="array" ref="Q22">IF(
  O22 = 0, 
  "", 
  IFERROR(
    INDEX(
      'アイテム別限界値DB'!$L:$L, 
      MATCH(
        1, 
        ('アイテム別限界値DB'!$B:$B = N$10) * 
        ('アイテム別限界値DB'!$C:$C = N22) * 
        ('アイテム別限界値DB'!$F:$F = O22), 
        0
      )
    ), 
    ""
  )
)
</f>
        <v/>
      </c>
      <c r="R22" s="11"/>
      <c r="S22" s="238" t="s">
        <v>87</v>
      </c>
      <c r="T22" s="232"/>
      <c r="U22" s="231" t="str">
        <f t="array" ref="U22">IF(
  T22 = 0, 
  "", 
  IFERROR(
    INDEX(
      'アイテム別限界値DB'!$K:$K, 
      MATCH(
        1, 
        ('アイテム別限界値DB'!$B:$B = S$10) * 
        ('アイテム別限界値DB'!$F:$F = S22) * 
        ('アイテム別限界値DB'!$H:$H = T22), 
        0
      )
    ), 
    "再製作"
  )
)
</f>
        <v/>
      </c>
      <c r="V22" s="218" t="str">
        <f t="array" ref="V22">IF(
  T22 = 0, 
  "", 
  IFERROR(
    INDEX(
      'アイテム別限界値DB'!$L:$L, 
      MATCH(
        1, 
        ('アイテム別限界値DB'!$B:$B = S$10) * 
        ('アイテム別限界値DB'!$C:$C = S22) * 
        ('アイテム別限界値DB'!$F:$F = T22), 
        0
      )
    ), 
    ""
  )
)
</f>
        <v/>
      </c>
      <c r="W22" s="11"/>
      <c r="X22" s="238" t="s">
        <v>88</v>
      </c>
      <c r="Y22" s="230"/>
      <c r="Z22" s="231" t="str">
        <f t="array" ref="Z22">IF(
  Y22 = 0, 
  "", 
  IFERROR(
    INDEX(
      'アイテム別限界値DB'!$K:$K, 
      MATCH(
        1, 
        ('アイテム別限界値DB'!$B:$B = X$10) * 
        ('アイテム別限界値DB'!$F:$F = X22) * 
        ('アイテム別限界値DB'!$H:$H = Y22), 
        0
      )
    ), 
    "再製作"
  )
)
</f>
        <v/>
      </c>
      <c r="AA22" s="218" t="str">
        <f t="array" ref="AA22">IF(
  Y22 = 0, 
  "", 
  IFERROR(
    INDEX(
      'アイテム別限界値DB'!$L:$L, 
      MATCH(
        1, 
        ('アイテム別限界値DB'!$B:$B = X$10) * 
        ('アイテム別限界値DB'!$C:$C = X22) * 
        ('アイテム別限界値DB'!$F:$F = Y22), 
        0
      )
    ), 
    ""
  )
)
</f>
        <v/>
      </c>
      <c r="AB22" s="11"/>
      <c r="AC22" s="238" t="s">
        <v>89</v>
      </c>
      <c r="AD22" s="232"/>
      <c r="AE22" s="231" t="str">
        <f t="array" ref="AE22">IF(
  AD22 = 0, 
  "", 
  IFERROR(
    INDEX(
      'アイテム別限界値DB'!$K:$K, 
      MATCH(
        1, 
        ('アイテム別限界値DB'!$B:$B = AC$10) * 
        ('アイテム別限界値DB'!$F:$F = AC22) * 
        ('アイテム別限界値DB'!$H:$H = AD22), 
        0
      )
    ), 
    "再製作"
  )
)
</f>
        <v/>
      </c>
      <c r="AF22" s="218" t="str">
        <f t="array" ref="AF22">IF(
  AD22 = 0, 
  "", 
  IFERROR(
    INDEX(
      'アイテム別限界値DB'!$L:$L, 
      MATCH(
        1, 
        ('アイテム別限界値DB'!$B:$B = AC$10) * 
        ('アイテム別限界値DB'!$C:$C = AC22) * 
        ('アイテム別限界値DB'!$F:$F = AD22), 
        0
      )
    ), 
    ""
  )
)
</f>
        <v/>
      </c>
      <c r="AG22" s="11"/>
      <c r="AH22" s="224"/>
      <c r="AI22" s="225"/>
      <c r="AJ22" s="220" t="str">
        <f t="array" ref="AJ22">IF(
  AI22 = 0, 
  "", 
  IFERROR(
    INDEX(
      'アイテム別限界値DB'!$I:$I, 
      MATCH(
        1, 
        ('アイテム別限界値DB'!$B:$B = AH$10) * 
        ('アイテム別限界値DB'!$C:$C = AH22) * 
        ('アイテム別限界値DB'!$F:$F = AI22), 
        0
      )
    ), 
    "再製作"
  )
)
</f>
        <v/>
      </c>
      <c r="AK22" s="121" t="str">
        <f t="array" ref="AK22">IF(
  AI22 = 0, 
  "", 
  IFERROR(
    INDEX(
      'アイテム別限界値DB'!$L:$L, 
      MATCH(
        1, 
        ('アイテム別限界値DB'!$B:$B = AH$10) * 
        ('アイテム別限界値DB'!$C:$C = AH22) * 
        ('アイテム別限界値DB'!$F:$F = AI22), 
        0
      )
    ), 
    ""
  )
)
</f>
        <v/>
      </c>
      <c r="AL22" s="11"/>
      <c r="AM22" s="224"/>
      <c r="AN22" s="225"/>
      <c r="AO22" s="220" t="str">
        <f t="array" ref="AO22">IF(
  AN22 = 0, 
  "", 
  IFERROR(
    INDEX(
      'アイテム別限界値DB'!$I:$I, 
      MATCH(
        1, 
        ('アイテム別限界値DB'!$B:$B = AM$10) * 
        ('アイテム別限界値DB'!$C:$C = AM22) * 
        ('アイテム別限界値DB'!$F:$F = AN22), 
        0
      )
    ), 
    "再製作"
  )
)
</f>
        <v/>
      </c>
      <c r="AP22" s="121" t="str">
        <f t="array" ref="AP22">IF(
  AN22 = 0, 
  "", 
  IFERROR(
    INDEX(
      'アイテム別限界値DB'!$L:$L, 
      MATCH(
        1, 
        ('アイテム別限界値DB'!$B:$B = AM$10) * 
        ('アイテム別限界値DB'!$C:$C = AM22) * 
        ('アイテム別限界値DB'!$F:$F = AN22), 
        0
      )
    ), 
    ""
  )
)
</f>
        <v/>
      </c>
      <c r="AQ22" s="11"/>
      <c r="AR22" s="224"/>
      <c r="AS22" s="225"/>
      <c r="AT22" s="220" t="str">
        <f t="array" ref="AT22">IF(
  AS22 = 0, 
  "", 
  IFERROR(
    INDEX(
      'アイテム別限界値DB'!$I:$I, 
      MATCH(
        1, 
        ('アイテム別限界値DB'!$B:$B = AR$10) * 
        ('アイテム別限界値DB'!$C:$C = AR22) * 
        ('アイテム別限界値DB'!$F:$F = AS22), 
        0
      )
    ), 
    "再製作"
  )
)
</f>
        <v/>
      </c>
      <c r="AU22" s="121" t="str">
        <f t="array" ref="AU22">IF(
  AS22 = 0, 
  "", 
  IFERROR(
    INDEX(
      'アイテム別限界値DB'!$L:$L, 
      MATCH(
        1, 
        ('アイテム別限界値DB'!$B:$B = AR$10) * 
        ('アイテム別限界値DB'!$C:$C = AR22) * 
        ('アイテム別限界値DB'!$F:$F = AS22), 
        0
      )
    ), 
    ""
  )
)
</f>
        <v/>
      </c>
      <c r="AV22" s="121"/>
      <c r="AW22" s="224"/>
      <c r="AX22" s="225"/>
      <c r="AY22" s="220" t="str">
        <f t="array" ref="AY22">IF(
  AX22 = 0, 
  "", 
  IFERROR(
    INDEX(
      'アイテム別限界値DB'!$I:$I, 
      MATCH(
        1, 
        ('アイテム別限界値DB'!$B:$B = AW$10) * 
        ('アイテム別限界値DB'!$C:$C = AW22) * 
        ('アイテム別限界値DB'!$F:$F = AX22), 
        0
      )
    ), 
    "再製作"
  )
)
</f>
        <v/>
      </c>
      <c r="AZ22" s="121" t="str">
        <f t="array" ref="AZ22">IF(
  AX22 = 0, 
  "", 
  IFERROR(
    INDEX(
      'アイテム別限界値DB'!$L:$L, 
      MATCH(
        1, 
        ('アイテム別限界値DB'!$B:$B = AW$10) * 
        ('アイテム別限界値DB'!$C:$C = AW22) * 
        ('アイテム別限界値DB'!$F:$F = AX22), 
        0
      )
    ), 
    ""
  )
)
</f>
        <v/>
      </c>
      <c r="BA22" s="121"/>
      <c r="BB22" s="224"/>
      <c r="BC22" s="225"/>
      <c r="BD22" s="220" t="str">
        <f t="array" ref="BD22">IF(
  BC22 = 0, 
  "", 
  IFERROR(
    INDEX(
      'アイテム別限界値DB'!$I:$I, 
      MATCH(
        1, 
        ('アイテム別限界値DB'!$B:$B = BB$10) * 
        ('アイテム別限界値DB'!$C:$C = BB22) * 
        ('アイテム別限界値DB'!$F:$F = BC22), 
        0
      )
    ), 
    "再製作"
  )
)
</f>
        <v/>
      </c>
      <c r="BE22" s="121" t="str">
        <f t="array" ref="BE22">IF(
  BC22 = 0, 
  "", 
  IFERROR(
    INDEX(
      'アイテム別限界値DB'!$L:$L, 
      MATCH(
        1, 
        ('アイテム別限界値DB'!$B:$B = BB$10) * 
        ('アイテム別限界値DB'!$C:$C = BB22) * 
        ('アイテム別限界値DB'!$F:$F = BC22), 
        0
      )
    ), 
    ""
  )
)
</f>
        <v/>
      </c>
      <c r="BF22" s="121"/>
      <c r="BG22" s="224"/>
      <c r="BH22" s="225"/>
      <c r="BI22" s="220" t="str">
        <f t="array" ref="BI22">IF(
  BH22 = 0, 
  "", 
  IFERROR(
    INDEX(
      'アイテム別限界値DB'!$I:$I, 
      MATCH(
        1, 
        ('アイテム別限界値DB'!$B:$B = BG$10) * 
        ('アイテム別限界値DB'!$C:$C = BG22) * 
        ('アイテム別限界値DB'!$F:$F = BH22), 
        0
      )
    ), 
    "再製作"
  )
)
</f>
        <v/>
      </c>
      <c r="BJ22" s="121" t="str">
        <f t="array" ref="BJ22">IF(
  BH22 = 0, 
  "", 
  IFERROR(
    INDEX(
      'アイテム別限界値DB'!$L:$L, 
      MATCH(
        1, 
        ('アイテム別限界値DB'!$B:$B = BG$10) * 
        ('アイテム別限界値DB'!$C:$C = BG22) * 
        ('アイテム別限界値DB'!$F:$F = BH22), 
        0
      )
    ), 
    ""
  )
)
</f>
        <v/>
      </c>
      <c r="BK22" s="121"/>
      <c r="BL22" s="224" t="s">
        <v>90</v>
      </c>
      <c r="BM22" s="232"/>
      <c r="BN22" s="231" t="str">
        <f t="array" ref="BN22">IF(
  BM22 = 0, 
  "", 
  IFERROR(
    INDEX(
      'アイテム別限界値DB'!$K:$K, 
      MATCH(
        1, 
        ('アイテム別限界値DB'!$B:$B = BL$10) * 
        ('アイテム別限界値DB'!$F:$F = BL22) * 
        ('アイテム別限界値DB'!$H:$H = BM22), 
        0
      )
    ), 
    "再製作"
  )
)
</f>
        <v/>
      </c>
      <c r="BO22" s="218" t="str">
        <f t="array" ref="BO22">IF(
  BM22 = 0, 
  "", 
  IFERROR(
    INDEX(
      'アイテム別限界値DB'!$L:$L, 
      MATCH(
        1, 
        ('アイテム別限界値DB'!$B:$B = BL$10) * 
        ('アイテム別限界値DB'!$C:$C = BL22) * 
        ('アイテム別限界値DB'!$F:$F = BM22), 
        0
      )
    ), 
    ""
  )
)
</f>
        <v/>
      </c>
      <c r="BP22" s="195"/>
    </row>
    <row r="23" ht="18.75" customHeight="1">
      <c r="A23" s="237" t="s">
        <v>91</v>
      </c>
      <c r="B23" s="229"/>
      <c r="C23" s="224"/>
      <c r="D23" s="238" t="s">
        <v>92</v>
      </c>
      <c r="E23" s="230"/>
      <c r="F23" s="231" t="str">
        <f t="array" ref="F23">IF(
  E23 = 0, 
  "", 
  IFERROR(
    INDEX(
      'アイテム別限界値DB'!$K:$K, 
      MATCH(
        1, 
        ('アイテム別限界値DB'!$B:$B = D$10) * 
        ('アイテム別限界値DB'!$F:$F = D23) * 
        ('アイテム別限界値DB'!$H:$H = E23), 
        0
      )
    ), 
    "再製作"
  )
)
</f>
        <v/>
      </c>
      <c r="G23" s="218" t="str">
        <f t="array" ref="G23">IF(
  E23 = 0, 
  "", 
  IFERROR(
    INDEX(
      'アイテム別限界値DB'!$L:$L, 
      MATCH(
        1, 
        ('アイテム別限界値DB'!$B:$B = D$10) * 
        ('アイテム別限界値DB'!$C:$C = D23) * 
        ('アイテム別限界値DB'!$F:$F = E23), 
        0
      )
    ), 
    ""
  )
)
</f>
        <v/>
      </c>
      <c r="H23" s="12"/>
      <c r="I23" s="238" t="s">
        <v>93</v>
      </c>
      <c r="J23" s="230"/>
      <c r="K23" s="231" t="str">
        <f t="array" ref="K23">IF(
  J23 = 0, 
  "", 
  IFERROR(
    INDEX(
      'アイテム別限界値DB'!$K:$K, 
      MATCH(
        1, 
        ('アイテム別限界値DB'!$B:$B = I$10) * 
        ('アイテム別限界値DB'!$F:$F = I23) * 
        ('アイテム別限界値DB'!$H:$H = J23), 
        0
      )
    ), 
    "再製作"
  )
)
</f>
        <v/>
      </c>
      <c r="L23" s="218" t="str">
        <f t="array" ref="L23">IF(
  J23 = 0, 
  "", 
  IFERROR(
    INDEX(
      'アイテム別限界値DB'!$L:$L, 
      MATCH(
        1, 
        ('アイテム別限界値DB'!$B:$B = I$10) * 
        ('アイテム別限界値DB'!$C:$C = I23) * 
        ('アイテム別限界値DB'!$F:$F = J23), 
        0
      )
    ), 
    ""
  )
)
</f>
        <v/>
      </c>
      <c r="M23" s="11"/>
      <c r="N23" s="224"/>
      <c r="O23" s="220"/>
      <c r="P23" s="220" t="str">
        <f t="array" ref="P23">IF(
  O23 = 0, 
  "", 
  IFERROR(
    INDEX(
      'アイテム別限界値DB'!$I:$I, 
      MATCH(
        1, 
        ('アイテム別限界値DB'!$B:$B = N$10) * 
        ('アイテム別限界値DB'!$C:$C = N23) * 
        ('アイテム別限界値DB'!$F:$F = O23), 
        0
      )
    ), 
    "再製作"
  )
)
</f>
        <v/>
      </c>
      <c r="Q23" s="121" t="str">
        <f t="array" ref="Q23">IF(
  O23 = 0, 
  "", 
  IFERROR(
    INDEX(
      'アイテム別限界値DB'!$L:$L, 
      MATCH(
        1, 
        ('アイテム別限界値DB'!$B:$B = N$10) * 
        ('アイテム別限界値DB'!$C:$C = N23) * 
        ('アイテム別限界値DB'!$F:$F = O23), 
        0
      )
    ), 
    ""
  )
)
</f>
        <v/>
      </c>
      <c r="R23" s="11"/>
      <c r="S23" s="238" t="s">
        <v>93</v>
      </c>
      <c r="T23" s="232"/>
      <c r="U23" s="231" t="str">
        <f t="array" ref="U23">IF(
  T23 = 0, 
  "", 
  IFERROR(
    INDEX(
      'アイテム別限界値DB'!$K:$K, 
      MATCH(
        1, 
        ('アイテム別限界値DB'!$B:$B = S$10) * 
        ('アイテム別限界値DB'!$F:$F = S23) * 
        ('アイテム別限界値DB'!$H:$H = T23), 
        0
      )
    ), 
    "再製作"
  )
)
</f>
        <v/>
      </c>
      <c r="V23" s="218" t="str">
        <f t="array" ref="V23">IF(
  T23 = 0, 
  "", 
  IFERROR(
    INDEX(
      'アイテム別限界値DB'!$L:$L, 
      MATCH(
        1, 
        ('アイテム別限界値DB'!$B:$B = S$10) * 
        ('アイテム別限界値DB'!$C:$C = S23) * 
        ('アイテム別限界値DB'!$F:$F = T23), 
        0
      )
    ), 
    ""
  )
)
</f>
        <v/>
      </c>
      <c r="W23" s="11"/>
      <c r="X23" s="238" t="s">
        <v>89</v>
      </c>
      <c r="Y23" s="232"/>
      <c r="Z23" s="231" t="str">
        <f t="array" ref="Z23">IF(
  Y23 = 0, 
  "", 
  IFERROR(
    INDEX(
      'アイテム別限界値DB'!$K:$K, 
      MATCH(
        1, 
        ('アイテム別限界値DB'!$B:$B = X$10) * 
        ('アイテム別限界値DB'!$F:$F = X23) * 
        ('アイテム別限界値DB'!$H:$H = Y23), 
        0
      )
    ), 
    "再製作"
  )
)
</f>
        <v/>
      </c>
      <c r="AA23" s="218" t="str">
        <f t="array" ref="AA23">IF(
  Y23 = 0, 
  "", 
  IFERROR(
    INDEX(
      'アイテム別限界値DB'!$L:$L, 
      MATCH(
        1, 
        ('アイテム別限界値DB'!$B:$B = X$10) * 
        ('アイテム別限界値DB'!$C:$C = X23) * 
        ('アイテム別限界値DB'!$F:$F = Y23), 
        0
      )
    ), 
    ""
  )
)
</f>
        <v/>
      </c>
      <c r="AB23" s="11"/>
      <c r="AC23" s="238" t="s">
        <v>90</v>
      </c>
      <c r="AD23" s="232"/>
      <c r="AE23" s="231" t="str">
        <f t="array" ref="AE23">IF(
  AD23 = 0, 
  "", 
  IFERROR(
    INDEX(
      'アイテム別限界値DB'!$K:$K, 
      MATCH(
        1, 
        ('アイテム別限界値DB'!$B:$B = AC$10) * 
        ('アイテム別限界値DB'!$F:$F = AC23) * 
        ('アイテム別限界値DB'!$H:$H = AD23), 
        0
      )
    ), 
    "再製作"
  )
)
</f>
        <v/>
      </c>
      <c r="AF23" s="218" t="str">
        <f t="array" ref="AF23">IF(
  AD23 = 0, 
  "", 
  IFERROR(
    INDEX(
      'アイテム別限界値DB'!$L:$L, 
      MATCH(
        1, 
        ('アイテム別限界値DB'!$B:$B = AC$10) * 
        ('アイテム別限界値DB'!$C:$C = AC23) * 
        ('アイテム別限界値DB'!$F:$F = AD23), 
        0
      )
    ), 
    ""
  )
)
</f>
        <v/>
      </c>
      <c r="AG23" s="11"/>
      <c r="AH23" s="224"/>
      <c r="AI23" s="225"/>
      <c r="AJ23" s="220" t="str">
        <f t="array" ref="AJ23">IF(
  AI23 = 0, 
  "", 
  IFERROR(
    INDEX(
      'アイテム別限界値DB'!$I:$I, 
      MATCH(
        1, 
        ('アイテム別限界値DB'!$B:$B = AH$10) * 
        ('アイテム別限界値DB'!$C:$C = AH23) * 
        ('アイテム別限界値DB'!$F:$F = AI23), 
        0
      )
    ), 
    "再製作"
  )
)
</f>
        <v/>
      </c>
      <c r="AK23" s="121" t="str">
        <f t="array" ref="AK23">IF(
  AI23 = 0, 
  "", 
  IFERROR(
    INDEX(
      'アイテム別限界値DB'!$L:$L, 
      MATCH(
        1, 
        ('アイテム別限界値DB'!$B:$B = AH$10) * 
        ('アイテム別限界値DB'!$C:$C = AH23) * 
        ('アイテム別限界値DB'!$F:$F = AI23), 
        0
      )
    ), 
    ""
  )
)
</f>
        <v/>
      </c>
      <c r="AL23" s="11"/>
      <c r="AM23" s="224"/>
      <c r="AN23" s="225"/>
      <c r="AO23" s="220" t="str">
        <f t="array" ref="AO23">IF(
  AN23 = 0, 
  "", 
  IFERROR(
    INDEX(
      'アイテム別限界値DB'!$I:$I, 
      MATCH(
        1, 
        ('アイテム別限界値DB'!$B:$B = AM$10) * 
        ('アイテム別限界値DB'!$C:$C = AM23) * 
        ('アイテム別限界値DB'!$F:$F = AN23), 
        0
      )
    ), 
    "再製作"
  )
)
</f>
        <v/>
      </c>
      <c r="AP23" s="121" t="str">
        <f t="array" ref="AP23">IF(
  AN23 = 0, 
  "", 
  IFERROR(
    INDEX(
      'アイテム別限界値DB'!$L:$L, 
      MATCH(
        1, 
        ('アイテム別限界値DB'!$B:$B = AM$10) * 
        ('アイテム別限界値DB'!$C:$C = AM23) * 
        ('アイテム別限界値DB'!$F:$F = AN23), 
        0
      )
    ), 
    ""
  )
)
</f>
        <v/>
      </c>
      <c r="AQ23" s="11"/>
      <c r="AR23" s="224"/>
      <c r="AS23" s="225"/>
      <c r="AT23" s="220" t="str">
        <f t="array" ref="AT23">IF(
  AS23 = 0, 
  "", 
  IFERROR(
    INDEX(
      'アイテム別限界値DB'!$I:$I, 
      MATCH(
        1, 
        ('アイテム別限界値DB'!$B:$B = AR$10) * 
        ('アイテム別限界値DB'!$C:$C = AR23) * 
        ('アイテム別限界値DB'!$F:$F = AS23), 
        0
      )
    ), 
    "再製作"
  )
)
</f>
        <v/>
      </c>
      <c r="AU23" s="121" t="str">
        <f t="array" ref="AU23">IF(
  AS23 = 0, 
  "", 
  IFERROR(
    INDEX(
      'アイテム別限界値DB'!$L:$L, 
      MATCH(
        1, 
        ('アイテム別限界値DB'!$B:$B = AR$10) * 
        ('アイテム別限界値DB'!$C:$C = AR23) * 
        ('アイテム別限界値DB'!$F:$F = AS23), 
        0
      )
    ), 
    ""
  )
)
</f>
        <v/>
      </c>
      <c r="AV23" s="121"/>
      <c r="AW23" s="224"/>
      <c r="AX23" s="225"/>
      <c r="AY23" s="220" t="str">
        <f t="array" ref="AY23">IF(
  AX23 = 0, 
  "", 
  IFERROR(
    INDEX(
      'アイテム別限界値DB'!$I:$I, 
      MATCH(
        1, 
        ('アイテム別限界値DB'!$B:$B = AW$10) * 
        ('アイテム別限界値DB'!$C:$C = AW23) * 
        ('アイテム別限界値DB'!$F:$F = AX23), 
        0
      )
    ), 
    "再製作"
  )
)
</f>
        <v/>
      </c>
      <c r="AZ23" s="121" t="str">
        <f t="array" ref="AZ23">IF(
  AX23 = 0, 
  "", 
  IFERROR(
    INDEX(
      'アイテム別限界値DB'!$L:$L, 
      MATCH(
        1, 
        ('アイテム別限界値DB'!$B:$B = AW$10) * 
        ('アイテム別限界値DB'!$C:$C = AW23) * 
        ('アイテム別限界値DB'!$F:$F = AX23), 
        0
      )
    ), 
    ""
  )
)
</f>
        <v/>
      </c>
      <c r="BA23" s="121"/>
      <c r="BB23" s="224"/>
      <c r="BC23" s="225"/>
      <c r="BD23" s="220" t="str">
        <f t="array" ref="BD23">IF(
  BC23 = 0, 
  "", 
  IFERROR(
    INDEX(
      'アイテム別限界値DB'!$I:$I, 
      MATCH(
        1, 
        ('アイテム別限界値DB'!$B:$B = BB$10) * 
        ('アイテム別限界値DB'!$C:$C = BB23) * 
        ('アイテム別限界値DB'!$F:$F = BC23), 
        0
      )
    ), 
    "再製作"
  )
)
</f>
        <v/>
      </c>
      <c r="BE23" s="121" t="str">
        <f t="array" ref="BE23">IF(
  BC23 = 0, 
  "", 
  IFERROR(
    INDEX(
      'アイテム別限界値DB'!$L:$L, 
      MATCH(
        1, 
        ('アイテム別限界値DB'!$B:$B = BB$10) * 
        ('アイテム別限界値DB'!$C:$C = BB23) * 
        ('アイテム別限界値DB'!$F:$F = BC23), 
        0
      )
    ), 
    ""
  )
)
</f>
        <v/>
      </c>
      <c r="BF23" s="121"/>
      <c r="BG23" s="224"/>
      <c r="BH23" s="225"/>
      <c r="BI23" s="220" t="str">
        <f t="array" ref="BI23">IF(
  BH23 = 0, 
  "", 
  IFERROR(
    INDEX(
      'アイテム別限界値DB'!$I:$I, 
      MATCH(
        1, 
        ('アイテム別限界値DB'!$B:$B = BG$10) * 
        ('アイテム別限界値DB'!$C:$C = BG23) * 
        ('アイテム別限界値DB'!$F:$F = BH23), 
        0
      )
    ), 
    "再製作"
  )
)
</f>
        <v/>
      </c>
      <c r="BJ23" s="121" t="str">
        <f t="array" ref="BJ23">IF(
  BH23 = 0, 
  "", 
  IFERROR(
    INDEX(
      'アイテム別限界値DB'!$L:$L, 
      MATCH(
        1, 
        ('アイテム別限界値DB'!$B:$B = BG$10) * 
        ('アイテム別限界値DB'!$C:$C = BG23) * 
        ('アイテム別限界値DB'!$F:$F = BH23), 
        0
      )
    ), 
    ""
  )
)
</f>
        <v/>
      </c>
      <c r="BK23" s="121"/>
      <c r="BL23" s="224" t="s">
        <v>62</v>
      </c>
      <c r="BM23" s="232"/>
      <c r="BN23" s="231" t="str">
        <f t="array" ref="BN23">IF(
  BM23 = 0, 
  "", 
  IFERROR(
    INDEX(
      'アイテム別限界値DB'!$K:$K, 
      MATCH(
        1, 
        ('アイテム別限界値DB'!$B:$B = BL$10) * 
        ('アイテム別限界値DB'!$F:$F = BL23) * 
        ('アイテム別限界値DB'!$H:$H = BM23), 
        0
      )
    ), 
    "再製作"
  )
)
</f>
        <v/>
      </c>
      <c r="BO23" s="218" t="str">
        <f t="array" ref="BO23">IF(
  BM23 = 0, 
  "", 
  IFERROR(
    INDEX(
      'アイテム別限界値DB'!$L:$L, 
      MATCH(
        1, 
        ('アイテム別限界値DB'!$B:$B = BL$10) * 
        ('アイテム別限界値DB'!$C:$C = BL23) * 
        ('アイテム別限界値DB'!$F:$F = BM23), 
        0
      )
    ), 
    ""
  )
)
</f>
        <v/>
      </c>
      <c r="BP23" s="195"/>
    </row>
    <row r="24" ht="18.75" customHeight="1">
      <c r="A24" s="228" t="str">
        <f>IF($N$11="再製作", "◼︎ ベスト（対応着地：再製作）" &amp; char(10) &amp; "《修正数値》", IF($N$11&lt;&gt;"", "◼︎ ベスト（対応着地：お直し）" &amp; char(10) &amp; "《修正数値》", ""))</f>
        <v>◼︎ ベスト（対応着地：お直し）
《修正数値》</v>
      </c>
      <c r="B24" s="229"/>
      <c r="C24" s="224"/>
      <c r="D24" s="239" t="s">
        <v>94</v>
      </c>
      <c r="E24" s="232"/>
      <c r="F24" s="231" t="str">
        <f t="array" ref="F24">IF(
  E24 = 0, 
  "", 
  IFERROR(
    INDEX(
      'アイテム別限界値DB'!$K:$K, 
      MATCH(
        1, 
        ('アイテム別限界値DB'!$B:$B = D$10) * 
        ('アイテム別限界値DB'!$F:$F = D24) * 
        ('アイテム別限界値DB'!$H:$H = E24), 
        0
      )
    ), 
    "再製作"
  )
)
</f>
        <v/>
      </c>
      <c r="G24" s="218" t="str">
        <f t="array" ref="G24">IF(
  E24 = 0, 
  "", 
  IFERROR(
    INDEX(
      'アイテム別限界値DB'!$L:$L, 
      MATCH(
        1, 
        ('アイテム別限界値DB'!$B:$B = D$10) * 
        ('アイテム別限界値DB'!$C:$C = D24) * 
        ('アイテム別限界値DB'!$F:$F = E24), 
        0
      )
    ), 
    ""
  )
)
</f>
        <v/>
      </c>
      <c r="H24" s="12"/>
      <c r="I24" s="239" t="s">
        <v>95</v>
      </c>
      <c r="J24" s="232"/>
      <c r="K24" s="231" t="str">
        <f t="array" ref="K24">IF(
  J24 = 0, 
  "", 
  IFERROR(
    INDEX(
      'アイテム別限界値DB'!$K:$K, 
      MATCH(
        1, 
        ('アイテム別限界値DB'!$B:$B = I$10) * 
        ('アイテム別限界値DB'!$F:$F = I24) * 
        ('アイテム別限界値DB'!$H:$H = J24), 
        0
      )
    ), 
    "再製作"
  )
)
</f>
        <v/>
      </c>
      <c r="L24" s="218" t="str">
        <f t="array" ref="L24">IF(
  J24 = 0, 
  "", 
  IFERROR(
    INDEX(
      'アイテム別限界値DB'!$L:$L, 
      MATCH(
        1, 
        ('アイテム別限界値DB'!$B:$B = I$10) * 
        ('アイテム別限界値DB'!$C:$C = I24) * 
        ('アイテム別限界値DB'!$F:$F = J24), 
        0
      )
    ), 
    ""
  )
)
</f>
        <v/>
      </c>
      <c r="M24" s="11"/>
      <c r="N24" s="224"/>
      <c r="O24" s="220"/>
      <c r="P24" s="220" t="str">
        <f t="array" ref="P24">IF(
  O24 = 0, 
  "", 
  IFERROR(
    INDEX(
      'アイテム別限界値DB'!$I:$I, 
      MATCH(
        1, 
        ('アイテム別限界値DB'!$B:$B = N$10) * 
        ('アイテム別限界値DB'!$C:$C = N24) * 
        ('アイテム別限界値DB'!$F:$F = O24), 
        0
      )
    ), 
    "再製作"
  )
)
</f>
        <v/>
      </c>
      <c r="Q24" s="121" t="str">
        <f t="array" ref="Q24">IF(
  O24 = 0, 
  "", 
  IFERROR(
    INDEX(
      'アイテム別限界値DB'!$L:$L, 
      MATCH(
        1, 
        ('アイテム別限界値DB'!$B:$B = N$10) * 
        ('アイテム別限界値DB'!$C:$C = N24) * 
        ('アイテム別限界値DB'!$F:$F = O24), 
        0
      )
    ), 
    ""
  )
)
</f>
        <v/>
      </c>
      <c r="R24" s="11"/>
      <c r="S24" s="239" t="s">
        <v>96</v>
      </c>
      <c r="T24" s="232"/>
      <c r="U24" s="231" t="str">
        <f t="array" ref="U24">IF(
  T24 = 0, 
  "", 
  IFERROR(
    INDEX(
      'アイテム別限界値DB'!$K:$K, 
      MATCH(
        1, 
        ('アイテム別限界値DB'!$B:$B = S$10) * 
        ('アイテム別限界値DB'!$F:$F = S24) * 
        ('アイテム別限界値DB'!$H:$H = T24), 
        0
      )
    ), 
    "再製作"
  )
)
</f>
        <v/>
      </c>
      <c r="V24" s="218" t="str">
        <f t="array" ref="V24">IF(
  T24 = 0, 
  "", 
  IFERROR(
    INDEX(
      'アイテム別限界値DB'!$L:$L, 
      MATCH(
        1, 
        ('アイテム別限界値DB'!$B:$B = S$10) * 
        ('アイテム別限界値DB'!$C:$C = S24) * 
        ('アイテム別限界値DB'!$F:$F = T24), 
        0
      )
    ), 
    ""
  )
)
</f>
        <v/>
      </c>
      <c r="W24" s="11"/>
      <c r="X24" s="239" t="s">
        <v>97</v>
      </c>
      <c r="Y24" s="230"/>
      <c r="Z24" s="231" t="str">
        <f t="array" ref="Z24">IF(
  Y24 = 0, 
  "", 
  IFERROR(
    INDEX(
      'アイテム別限界値DB'!$K:$K, 
      MATCH(
        1, 
        ('アイテム別限界値DB'!$B:$B = X$10) * 
        ('アイテム別限界値DB'!$F:$F = X24) * 
        ('アイテム別限界値DB'!$H:$H = Y24), 
        0
      )
    ), 
    "再製作"
  )
)
</f>
        <v/>
      </c>
      <c r="AA24" s="218" t="str">
        <f t="array" ref="AA24">IF(
  Y24 = 0, 
  "", 
  IFERROR(
    INDEX(
      'アイテム別限界値DB'!$L:$L, 
      MATCH(
        1, 
        ('アイテム別限界値DB'!$B:$B = X$10) * 
        ('アイテム別限界値DB'!$C:$C = X24) * 
        ('アイテム別限界値DB'!$F:$F = Y24), 
        0
      )
    ), 
    ""
  )
)
</f>
        <v/>
      </c>
      <c r="AB24" s="11"/>
      <c r="AC24" s="239" t="s">
        <v>62</v>
      </c>
      <c r="AD24" s="232"/>
      <c r="AE24" s="231" t="str">
        <f t="array" ref="AE24">IF(
  AD24 = 0, 
  "", 
  IFERROR(
    INDEX(
      'アイテム別限界値DB'!$K:$K, 
      MATCH(
        1, 
        ('アイテム別限界値DB'!$B:$B = AC$10) * 
        ('アイテム別限界値DB'!$F:$F = AC24) * 
        ('アイテム別限界値DB'!$H:$H = AD24), 
        0
      )
    ), 
    "再製作"
  )
)
</f>
        <v/>
      </c>
      <c r="AF24" s="218" t="str">
        <f t="array" ref="AF24">IF(
  AD24 = 0, 
  "", 
  IFERROR(
    INDEX(
      'アイテム別限界値DB'!$L:$L, 
      MATCH(
        1, 
        ('アイテム別限界値DB'!$B:$B = AC$10) * 
        ('アイテム別限界値DB'!$C:$C = AC24) * 
        ('アイテム別限界値DB'!$F:$F = AD24), 
        0
      )
    ), 
    ""
  )
)
</f>
        <v/>
      </c>
      <c r="AG24" s="11"/>
      <c r="AH24" s="224"/>
      <c r="AI24" s="225"/>
      <c r="AJ24" s="220" t="str">
        <f t="array" ref="AJ24">IF(
  AI24 = 0, 
  "", 
  IFERROR(
    INDEX(
      'アイテム別限界値DB'!$I:$I, 
      MATCH(
        1, 
        ('アイテム別限界値DB'!$B:$B = AH$10) * 
        ('アイテム別限界値DB'!$C:$C = AH24) * 
        ('アイテム別限界値DB'!$F:$F = AI24), 
        0
      )
    ), 
    "再製作"
  )
)
</f>
        <v/>
      </c>
      <c r="AK24" s="121" t="str">
        <f t="array" ref="AK24">IF(
  AI24 = 0, 
  "", 
  IFERROR(
    INDEX(
      'アイテム別限界値DB'!$L:$L, 
      MATCH(
        1, 
        ('アイテム別限界値DB'!$B:$B = AH$10) * 
        ('アイテム別限界値DB'!$C:$C = AH24) * 
        ('アイテム別限界値DB'!$F:$F = AI24), 
        0
      )
    ), 
    ""
  )
)
</f>
        <v/>
      </c>
      <c r="AL24" s="11"/>
      <c r="AM24" s="224"/>
      <c r="AN24" s="225"/>
      <c r="AO24" s="220" t="str">
        <f t="array" ref="AO24">IF(
  AN24 = 0, 
  "", 
  IFERROR(
    INDEX(
      'アイテム別限界値DB'!$I:$I, 
      MATCH(
        1, 
        ('アイテム別限界値DB'!$B:$B = AM$10) * 
        ('アイテム別限界値DB'!$C:$C = AM24) * 
        ('アイテム別限界値DB'!$F:$F = AN24), 
        0
      )
    ), 
    "再製作"
  )
)
</f>
        <v/>
      </c>
      <c r="AP24" s="121" t="str">
        <f t="array" ref="AP24">IF(
  AN24 = 0, 
  "", 
  IFERROR(
    INDEX(
      'アイテム別限界値DB'!$L:$L, 
      MATCH(
        1, 
        ('アイテム別限界値DB'!$B:$B = AM$10) * 
        ('アイテム別限界値DB'!$C:$C = AM24) * 
        ('アイテム別限界値DB'!$F:$F = AN24), 
        0
      )
    ), 
    ""
  )
)
</f>
        <v/>
      </c>
      <c r="AQ24" s="11"/>
      <c r="AR24" s="224"/>
      <c r="AS24" s="225"/>
      <c r="AT24" s="220" t="str">
        <f t="array" ref="AT24">IF(
  AS24 = 0, 
  "", 
  IFERROR(
    INDEX(
      'アイテム別限界値DB'!$I:$I, 
      MATCH(
        1, 
        ('アイテム別限界値DB'!$B:$B = AR$10) * 
        ('アイテム別限界値DB'!$C:$C = AR24) * 
        ('アイテム別限界値DB'!$F:$F = AS24), 
        0
      )
    ), 
    "再製作"
  )
)
</f>
        <v/>
      </c>
      <c r="AU24" s="121" t="str">
        <f t="array" ref="AU24">IF(
  AS24 = 0, 
  "", 
  IFERROR(
    INDEX(
      'アイテム別限界値DB'!$L:$L, 
      MATCH(
        1, 
        ('アイテム別限界値DB'!$B:$B = AR$10) * 
        ('アイテム別限界値DB'!$C:$C = AR24) * 
        ('アイテム別限界値DB'!$F:$F = AS24), 
        0
      )
    ), 
    ""
  )
)
</f>
        <v/>
      </c>
      <c r="AV24" s="121"/>
      <c r="AW24" s="224"/>
      <c r="AX24" s="225"/>
      <c r="AY24" s="220" t="str">
        <f t="array" ref="AY24">IF(
  AX24 = 0, 
  "", 
  IFERROR(
    INDEX(
      'アイテム別限界値DB'!$I:$I, 
      MATCH(
        1, 
        ('アイテム別限界値DB'!$B:$B = AW$10) * 
        ('アイテム別限界値DB'!$C:$C = AW24) * 
        ('アイテム別限界値DB'!$F:$F = AX24), 
        0
      )
    ), 
    "再製作"
  )
)
</f>
        <v/>
      </c>
      <c r="AZ24" s="121" t="str">
        <f t="array" ref="AZ24">IF(
  AX24 = 0, 
  "", 
  IFERROR(
    INDEX(
      'アイテム別限界値DB'!$L:$L, 
      MATCH(
        1, 
        ('アイテム別限界値DB'!$B:$B = AW$10) * 
        ('アイテム別限界値DB'!$C:$C = AW24) * 
        ('アイテム別限界値DB'!$F:$F = AX24), 
        0
      )
    ), 
    ""
  )
)
</f>
        <v/>
      </c>
      <c r="BA24" s="121"/>
      <c r="BB24" s="224"/>
      <c r="BC24" s="225"/>
      <c r="BD24" s="220" t="str">
        <f t="array" ref="BD24">IF(
  BC24 = 0, 
  "", 
  IFERROR(
    INDEX(
      'アイテム別限界値DB'!$I:$I, 
      MATCH(
        1, 
        ('アイテム別限界値DB'!$B:$B = BB$10) * 
        ('アイテム別限界値DB'!$C:$C = BB24) * 
        ('アイテム別限界値DB'!$F:$F = BC24), 
        0
      )
    ), 
    "再製作"
  )
)
</f>
        <v/>
      </c>
      <c r="BE24" s="121" t="str">
        <f t="array" ref="BE24">IF(
  BC24 = 0, 
  "", 
  IFERROR(
    INDEX(
      'アイテム別限界値DB'!$L:$L, 
      MATCH(
        1, 
        ('アイテム別限界値DB'!$B:$B = BB$10) * 
        ('アイテム別限界値DB'!$C:$C = BB24) * 
        ('アイテム別限界値DB'!$F:$F = BC24), 
        0
      )
    ), 
    ""
  )
)
</f>
        <v/>
      </c>
      <c r="BF24" s="121"/>
      <c r="BG24" s="224"/>
      <c r="BH24" s="225"/>
      <c r="BI24" s="220" t="str">
        <f t="array" ref="BI24">IF(
  BH24 = 0, 
  "", 
  IFERROR(
    INDEX(
      'アイテム別限界値DB'!$I:$I, 
      MATCH(
        1, 
        ('アイテム別限界値DB'!$B:$B = BG$10) * 
        ('アイテム別限界値DB'!$C:$C = BG24) * 
        ('アイテム別限界値DB'!$F:$F = BH24), 
        0
      )
    ), 
    "再製作"
  )
)
</f>
        <v/>
      </c>
      <c r="BJ24" s="121" t="str">
        <f t="array" ref="BJ24">IF(
  BH24 = 0, 
  "", 
  IFERROR(
    INDEX(
      'アイテム別限界値DB'!$L:$L, 
      MATCH(
        1, 
        ('アイテム別限界値DB'!$B:$B = BG$10) * 
        ('アイテム別限界値DB'!$C:$C = BG24) * 
        ('アイテム別限界値DB'!$F:$F = BH24), 
        0
      )
    ), 
    ""
  )
)
</f>
        <v/>
      </c>
      <c r="BK24" s="121"/>
      <c r="BL24" s="224"/>
      <c r="BM24" s="225"/>
      <c r="BN24" s="220" t="str">
        <f t="array" ref="BN24">IF(
  BM24 = 0, 
  "", 
  IFERROR(
    INDEX(
      'アイテム別限界値DB'!$I:$I, 
      MATCH(
        1, 
        ('アイテム別限界値DB'!$B:$B = BL$10) * 
        ('アイテム別限界値DB'!$C:$C = BL24) * 
        ('アイテム別限界値DB'!$F:$F = BM24), 
        0
      )
    ), 
    "再製作"
  )
)
</f>
        <v/>
      </c>
      <c r="BO24" s="121" t="str">
        <f t="array" ref="BO24">IF(
  BM24 = 0, 
  "", 
  IFERROR(
    INDEX(
      'アイテム別限界値DB'!$L:$L, 
      MATCH(
        1, 
        ('アイテム別限界値DB'!$B:$B = BL$10) * 
        ('アイテム別限界値DB'!$C:$C = BL24) * 
        ('アイテム別限界値DB'!$F:$F = BM24), 
        0
      )
    ), 
    ""
  )
)
</f>
        <v/>
      </c>
      <c r="BP24" s="195"/>
    </row>
    <row r="25" ht="18.75" customHeight="1">
      <c r="A25" s="228" t="str">
        <f>IFERROR(__xludf.DUMMYFUNCTION("TEXTJOIN(CHAR(10),TRUE,FILTER(ARRAYFORMULA(IF(O$14:O72&lt;&gt;"""",N$14:N72 &amp;"" : ""&amp; O$14:O72 &amp;"" cm"","""")), N$14:N72 &lt;&gt;""""))"),"バスト : -2 cm")</f>
        <v>バスト : -2 cm</v>
      </c>
      <c r="B25" s="224"/>
      <c r="C25" s="224"/>
      <c r="D25" s="239" t="s">
        <v>98</v>
      </c>
      <c r="E25" s="232"/>
      <c r="F25" s="231" t="str">
        <f t="array" ref="F25">IF(
  E25 = 0, 
  "", 
  IFERROR(
    INDEX(
      'アイテム別限界値DB'!$K:$K, 
      MATCH(
        1, 
        ('アイテム別限界値DB'!$B:$B = D$10) * 
        ('アイテム別限界値DB'!$F:$F = D25) * 
        ('アイテム別限界値DB'!$H:$H = E25), 
        0
      )
    ), 
    "再製作"
  )
)
</f>
        <v/>
      </c>
      <c r="G25" s="218" t="str">
        <f t="array" ref="G25">IF(
  E25 = 0, 
  "", 
  IFERROR(
    INDEX(
      'アイテム別限界値DB'!$L:$L, 
      MATCH(
        1, 
        ('アイテム別限界値DB'!$B:$B = D$10) * 
        ('アイテム別限界値DB'!$C:$C = D25) * 
        ('アイテム別限界値DB'!$F:$F = E25), 
        0
      )
    ), 
    ""
  )
)
</f>
        <v/>
      </c>
      <c r="H25" s="12"/>
      <c r="I25" s="224" t="s">
        <v>99</v>
      </c>
      <c r="J25" s="230"/>
      <c r="K25" s="231" t="str">
        <f t="array" ref="K25">IF(
  J25 = 0, 
  "", 
  IFERROR(
    INDEX(
      'アイテム別限界値DB'!$K:$K, 
      MATCH(
        1, 
        ('アイテム別限界値DB'!$B:$B = I$10) * 
        ('アイテム別限界値DB'!$F:$F = I25) * 
        ('アイテム別限界値DB'!$H:$H = J25), 
        0
      )
    ), 
    "再製作"
  )
)
</f>
        <v/>
      </c>
      <c r="L25" s="195"/>
      <c r="M25" s="11"/>
      <c r="N25" s="11"/>
      <c r="O25" s="220"/>
      <c r="P25" s="184"/>
      <c r="Q25" s="11"/>
      <c r="R25" s="11"/>
      <c r="S25" s="186" t="s">
        <v>100</v>
      </c>
      <c r="T25" s="232"/>
      <c r="U25" s="231" t="str">
        <f t="array" ref="U25">IF(
  T25 = 0, 
  "", 
  IFERROR(
    INDEX(
      'アイテム別限界値DB'!$K:$K, 
      MATCH(
        1, 
        ('アイテム別限界値DB'!$B:$B = S$10) * 
        ('アイテム別限界値DB'!$F:$F = S25) * 
        ('アイテム別限界値DB'!$H:$H = T25), 
        0
      )
    ), 
    "再製作"
  )
)
</f>
        <v/>
      </c>
      <c r="V25" s="234"/>
      <c r="W25" s="11"/>
      <c r="X25" s="186" t="s">
        <v>101</v>
      </c>
      <c r="Y25" s="232"/>
      <c r="Z25" s="231" t="str">
        <f t="array" ref="Z25">IF(
  Y25 = 0, 
  "", 
  IFERROR(
    INDEX(
      'アイテム別限界値DB'!$K:$K, 
      MATCH(
        1, 
        ('アイテム別限界値DB'!$B:$B = X$10) * 
        ('アイテム別限界値DB'!$F:$F = X25) * 
        ('アイテム別限界値DB'!$H:$H = Y25), 
        0
      )
    ), 
    "再製作"
  )
)
</f>
        <v/>
      </c>
      <c r="AA25" s="218" t="str">
        <f t="array" ref="AA25">IF(
  Y25 = 0, 
  "", 
  IFERROR(
    INDEX(
      'アイテム別限界値DB'!$L:$L, 
      MATCH(
        1, 
        ('アイテム別限界値DB'!$B:$B = X$10) * 
        ('アイテム別限界値DB'!$C:$C = X25) * 
        ('アイテム別限界値DB'!$F:$F = Y25), 
        0
      )
    ), 
    ""
  )
)
</f>
        <v/>
      </c>
      <c r="AB25" s="11"/>
      <c r="AC25" s="186" t="s">
        <v>74</v>
      </c>
      <c r="AD25" s="232"/>
      <c r="AE25" s="231" t="str">
        <f t="array" ref="AE25">IF(
  AD25 = 0, 
  "", 
  IFERROR(
    INDEX(
      'アイテム別限界値DB'!$K:$K, 
      MATCH(
        1, 
        ('アイテム別限界値DB'!$B:$B = AC$10) * 
        ('アイテム別限界値DB'!$F:$F = AC25) * 
        ('アイテム別限界値DB'!$H:$H = AD25), 
        0
      )
    ), 
    "再製作"
  )
)
</f>
        <v/>
      </c>
      <c r="AF25" s="218" t="str">
        <f t="array" ref="AF25">IF(
  AD25 = 0, 
  "", 
  IFERROR(
    INDEX(
      'アイテム別限界値DB'!$L:$L, 
      MATCH(
        1, 
        ('アイテム別限界値DB'!$B:$B = AC$10) * 
        ('アイテム別限界値DB'!$C:$C = AC25) * 
        ('アイテム別限界値DB'!$F:$F = AD25), 
        0
      )
    ), 
    ""
  )
)
</f>
        <v/>
      </c>
      <c r="AG25" s="11"/>
      <c r="AH25" s="12"/>
      <c r="AI25" s="220"/>
      <c r="AJ25" s="220" t="str">
        <f t="array" ref="AJ25">IF(
  AI25 = 0, 
  "", 
  IFERROR(
    INDEX(
      'アイテム別限界値DB'!$I:$I, 
      MATCH(
        1, 
        ('アイテム別限界値DB'!$B:$B = AH$10) * 
        ('アイテム別限界値DB'!$C:$C = AH25) * 
        ('アイテム別限界値DB'!$F:$F = AI25), 
        0
      )
    ), 
    "再製作"
  )
)
</f>
        <v/>
      </c>
      <c r="AK25" s="195"/>
      <c r="AL25" s="11"/>
      <c r="AM25" s="12"/>
      <c r="AN25" s="220"/>
      <c r="AO25" s="220" t="str">
        <f t="array" ref="AO25">IF(
  AN25 = 0, 
  "", 
  IFERROR(
    INDEX(
      'アイテム別限界値DB'!$I:$I, 
      MATCH(
        1, 
        ('アイテム別限界値DB'!$B:$B = AM$10) * 
        ('アイテム別限界値DB'!$C:$C = AM25) * 
        ('アイテム別限界値DB'!$F:$F = AN25), 
        0
      )
    ), 
    "再製作"
  )
)
</f>
        <v/>
      </c>
      <c r="AP25" s="195"/>
      <c r="AQ25" s="11"/>
      <c r="AR25" s="12"/>
      <c r="AS25" s="220"/>
      <c r="AT25" s="220" t="str">
        <f t="array" ref="AT25">IF(
  AS25 = 0, 
  "", 
  IFERROR(
    INDEX(
      'アイテム別限界値DB'!$I:$I, 
      MATCH(
        1, 
        ('アイテム別限界値DB'!$B:$B = AR$10) * 
        ('アイテム別限界値DB'!$C:$C = AR25) * 
        ('アイテム別限界値DB'!$F:$F = AS25), 
        0
      )
    ), 
    "再製作"
  )
)
</f>
        <v/>
      </c>
      <c r="AU25" s="195"/>
      <c r="AV25" s="195"/>
      <c r="AW25" s="12"/>
      <c r="AX25" s="220"/>
      <c r="AY25" s="220" t="str">
        <f t="array" ref="AY25">IF(
  AX25 = 0, 
  "", 
  IFERROR(
    INDEX(
      'アイテム別限界値DB'!$I:$I, 
      MATCH(
        1, 
        ('アイテム別限界値DB'!$B:$B = AW$10) * 
        ('アイテム別限界値DB'!$C:$C = AW25) * 
        ('アイテム別限界値DB'!$F:$F = AX25), 
        0
      )
    ), 
    "再製作"
  )
)
</f>
        <v/>
      </c>
      <c r="AZ25" s="195"/>
      <c r="BA25" s="195"/>
      <c r="BB25" s="12"/>
      <c r="BC25" s="220"/>
      <c r="BD25" s="220" t="str">
        <f t="array" ref="BD25">IF(
  BC25 = 0, 
  "", 
  IFERROR(
    INDEX(
      'アイテム別限界値DB'!$I:$I, 
      MATCH(
        1, 
        ('アイテム別限界値DB'!$B:$B = BB$10) * 
        ('アイテム別限界値DB'!$C:$C = BB25) * 
        ('アイテム別限界値DB'!$F:$F = BC25), 
        0
      )
    ), 
    "再製作"
  )
)
</f>
        <v/>
      </c>
      <c r="BE25" s="195"/>
      <c r="BF25" s="195"/>
      <c r="BG25" s="12"/>
      <c r="BH25" s="220"/>
      <c r="BI25" s="220" t="str">
        <f t="array" ref="BI25">IF(
  BH25 = 0, 
  "", 
  IFERROR(
    INDEX(
      'アイテム別限界値DB'!$I:$I, 
      MATCH(
        1, 
        ('アイテム別限界値DB'!$B:$B = BG$10) * 
        ('アイテム別限界値DB'!$C:$C = BG25) * 
        ('アイテム別限界値DB'!$F:$F = BH25), 
        0
      )
    ), 
    "再製作"
  )
)
</f>
        <v/>
      </c>
      <c r="BJ25" s="195"/>
      <c r="BK25" s="195"/>
      <c r="BL25" s="195"/>
      <c r="BM25" s="220"/>
      <c r="BN25" s="220" t="str">
        <f t="array" ref="BN25">IF(
  BM25 = 0, 
  "", 
  IFERROR(
    INDEX(
      'アイテム別限界値DB'!$I:$I, 
      MATCH(
        1, 
        ('アイテム別限界値DB'!$B:$B = BL$10) * 
        ('アイテム別限界値DB'!$C:$C = BL25) * 
        ('アイテム別限界値DB'!$F:$F = BM25), 
        0
      )
    ), 
    "再製作"
  )
)
</f>
        <v/>
      </c>
      <c r="BO25" s="195"/>
      <c r="BP25" s="195"/>
    </row>
    <row r="26" ht="18.75" customHeight="1">
      <c r="A26" s="236" t="str">
        <f>if($A$24&lt;&gt;"", "《仕上がり数値》","")</f>
        <v>《仕上がり数値》</v>
      </c>
      <c r="B26" s="229"/>
      <c r="C26" s="224"/>
      <c r="D26" s="239" t="s">
        <v>74</v>
      </c>
      <c r="E26" s="232"/>
      <c r="F26" s="231" t="str">
        <f t="array" ref="F26">IF(
  E26 = 0, 
  "", 
  IFERROR(
    INDEX(
      'アイテム別限界値DB'!$K:$K, 
      MATCH(
        1, 
        ('アイテム別限界値DB'!$B:$B = D$10) * 
        ('アイテム別限界値DB'!$F:$F = D26) * 
        ('アイテム別限界値DB'!$H:$H = E26), 
        0
      )
    ), 
    "再製作"
  )
)
</f>
        <v/>
      </c>
      <c r="G26" s="218" t="str">
        <f t="array" ref="G26">IF(
  E26 = 0, 
  "", 
  IFERROR(
    INDEX(
      'アイテム別限界値DB'!$L:$L, 
      MATCH(
        1, 
        ('アイテム別限界値DB'!$B:$B = D$10) * 
        ('アイテム別限界値DB'!$C:$C = D26) * 
        ('アイテム別限界値DB'!$F:$F = E26), 
        0
      )
    ), 
    ""
  )
)
</f>
        <v/>
      </c>
      <c r="H26" s="12"/>
      <c r="I26" s="11" t="s">
        <v>100</v>
      </c>
      <c r="J26" s="232"/>
      <c r="K26" s="231" t="str">
        <f t="array" ref="K26">IF(
  J26 = 0, 
  "", 
  IFERROR(
    INDEX(
      'アイテム別限界値DB'!$K:$K, 
      MATCH(
        1, 
        ('アイテム別限界値DB'!$B:$B = I$10) * 
        ('アイテム別限界値DB'!$F:$F = I26) * 
        ('アイテム別限界値DB'!$H:$H = J26), 
        0
      )
    ), 
    "再製作"
  )
)
</f>
        <v/>
      </c>
      <c r="L26" s="195"/>
      <c r="M26" s="11"/>
      <c r="N26" s="11"/>
      <c r="O26" s="220"/>
      <c r="P26" s="184"/>
      <c r="Q26" s="11"/>
      <c r="R26" s="11"/>
      <c r="S26" s="12" t="s">
        <v>95</v>
      </c>
      <c r="T26" s="232"/>
      <c r="U26" s="231" t="str">
        <f t="array" ref="U26">IF(
  T26 = 0, 
  "", 
  IFERROR(
    INDEX(
      'アイテム別限界値DB'!$K:$K, 
      MATCH(
        1, 
        ('アイテム別限界値DB'!$B:$B = S$10) * 
        ('アイテム別限界値DB'!$F:$F = S26) * 
        ('アイテム別限界値DB'!$H:$H = T26), 
        0
      )
    ), 
    "再製作"
  )
)
</f>
        <v/>
      </c>
      <c r="V26" s="195"/>
      <c r="W26" s="11"/>
      <c r="X26" s="186" t="s">
        <v>62</v>
      </c>
      <c r="Y26" s="230"/>
      <c r="Z26" s="231" t="str">
        <f t="array" ref="Z26">IF(
  Y26 = 0, 
  "", 
  IFERROR(
    INDEX(
      'アイテム別限界値DB'!$K:$K, 
      MATCH(
        1, 
        ('アイテム別限界値DB'!$B:$B = X$10) * 
        ('アイテム別限界値DB'!$F:$F = X26) * 
        ('アイテム別限界値DB'!$H:$H = Y26), 
        0
      )
    ), 
    "再製作"
  )
)
</f>
        <v/>
      </c>
      <c r="AA26" s="218" t="str">
        <f t="array" ref="AA26">IF(
  Y26 = 0, 
  "", 
  IFERROR(
    INDEX(
      'アイテム別限界値DB'!$L:$L, 
      MATCH(
        1, 
        ('アイテム別限界値DB'!$B:$B = X$10) * 
        ('アイテム別限界値DB'!$C:$C = X26) * 
        ('アイテム別限界値DB'!$F:$F = Y26), 
        0
      )
    ), 
    ""
  )
)
</f>
        <v/>
      </c>
      <c r="AB26" s="11"/>
      <c r="AC26" s="186" t="s">
        <v>67</v>
      </c>
      <c r="AD26" s="232"/>
      <c r="AE26" s="231" t="str">
        <f t="array" ref="AE26">IF(
  AD26 = 0, 
  "", 
  IFERROR(
    INDEX(
      'アイテム別限界値DB'!$K:$K, 
      MATCH(
        1, 
        ('アイテム別限界値DB'!$B:$B = AC$10) * 
        ('アイテム別限界値DB'!$F:$F = AC26) * 
        ('アイテム別限界値DB'!$H:$H = AD26), 
        0
      )
    ), 
    "再製作"
  )
)
</f>
        <v/>
      </c>
      <c r="AF26" s="218" t="str">
        <f t="array" ref="AF26">IF(
  AD26 = 0, 
  "", 
  IFERROR(
    INDEX(
      'アイテム別限界値DB'!$L:$L, 
      MATCH(
        1, 
        ('アイテム別限界値DB'!$B:$B = AC$10) * 
        ('アイテム別限界値DB'!$C:$C = AC26) * 
        ('アイテム別限界値DB'!$F:$F = AD26), 
        0
      )
    ), 
    ""
  )
)
</f>
        <v/>
      </c>
      <c r="AG26" s="11"/>
      <c r="AH26" s="12"/>
      <c r="AI26" s="220"/>
      <c r="AJ26" s="220" t="str">
        <f t="array" ref="AJ26">IF(
  AI26 = 0, 
  "", 
  IFERROR(
    INDEX(
      'アイテム別限界値DB'!$I:$I, 
      MATCH(
        1, 
        ('アイテム別限界値DB'!$B:$B = AH$10) * 
        ('アイテム別限界値DB'!$C:$C = AH26) * 
        ('アイテム別限界値DB'!$F:$F = AI26), 
        0
      )
    ), 
    "再製作"
  )
)
</f>
        <v/>
      </c>
      <c r="AK26" s="195"/>
      <c r="AL26" s="11"/>
      <c r="AM26" s="12"/>
      <c r="AN26" s="220"/>
      <c r="AO26" s="220" t="str">
        <f t="array" ref="AO26">IF(
  AN26 = 0, 
  "", 
  IFERROR(
    INDEX(
      'アイテム別限界値DB'!$I:$I, 
      MATCH(
        1, 
        ('アイテム別限界値DB'!$B:$B = AM$10) * 
        ('アイテム別限界値DB'!$C:$C = AM26) * 
        ('アイテム別限界値DB'!$F:$F = AN26), 
        0
      )
    ), 
    "再製作"
  )
)
</f>
        <v/>
      </c>
      <c r="AP26" s="195"/>
      <c r="AQ26" s="11"/>
      <c r="AR26" s="12"/>
      <c r="AS26" s="220"/>
      <c r="AT26" s="220" t="str">
        <f t="array" ref="AT26">IF(
  AS26 = 0, 
  "", 
  IFERROR(
    INDEX(
      'アイテム別限界値DB'!$I:$I, 
      MATCH(
        1, 
        ('アイテム別限界値DB'!$B:$B = AR$10) * 
        ('アイテム別限界値DB'!$C:$C = AR26) * 
        ('アイテム別限界値DB'!$F:$F = AS26), 
        0
      )
    ), 
    "再製作"
  )
)
</f>
        <v/>
      </c>
      <c r="AU26" s="195"/>
      <c r="AV26" s="195"/>
      <c r="AW26" s="12"/>
      <c r="AX26" s="220"/>
      <c r="AY26" s="220" t="str">
        <f t="array" ref="AY26">IF(
  AX26 = 0, 
  "", 
  IFERROR(
    INDEX(
      'アイテム別限界値DB'!$I:$I, 
      MATCH(
        1, 
        ('アイテム別限界値DB'!$B:$B = AW$10) * 
        ('アイテム別限界値DB'!$C:$C = AW26) * 
        ('アイテム別限界値DB'!$F:$F = AX26), 
        0
      )
    ), 
    "再製作"
  )
)
</f>
        <v/>
      </c>
      <c r="AZ26" s="195"/>
      <c r="BA26" s="195"/>
      <c r="BB26" s="12"/>
      <c r="BC26" s="220"/>
      <c r="BD26" s="220" t="str">
        <f t="array" ref="BD26">IF(
  BC26 = 0, 
  "", 
  IFERROR(
    INDEX(
      'アイテム別限界値DB'!$I:$I, 
      MATCH(
        1, 
        ('アイテム別限界値DB'!$B:$B = BB$10) * 
        ('アイテム別限界値DB'!$C:$C = BB26) * 
        ('アイテム別限界値DB'!$F:$F = BC26), 
        0
      )
    ), 
    "再製作"
  )
)
</f>
        <v/>
      </c>
      <c r="BE26" s="195"/>
      <c r="BF26" s="195"/>
      <c r="BG26" s="12"/>
      <c r="BH26" s="220"/>
      <c r="BI26" s="220" t="str">
        <f t="array" ref="BI26">IF(
  BH26 = 0, 
  "", 
  IFERROR(
    INDEX(
      'アイテム別限界値DB'!$I:$I, 
      MATCH(
        1, 
        ('アイテム別限界値DB'!$B:$B = BG$10) * 
        ('アイテム別限界値DB'!$C:$C = BG26) * 
        ('アイテム別限界値DB'!$F:$F = BH26), 
        0
      )
    ), 
    "再製作"
  )
)
</f>
        <v/>
      </c>
      <c r="BJ26" s="195"/>
      <c r="BK26" s="195"/>
      <c r="BL26" s="195"/>
      <c r="BM26" s="220"/>
      <c r="BN26" s="220" t="str">
        <f t="array" ref="BN26">IF(
  BM26 = 0, 
  "", 
  IFERROR(
    INDEX(
      'アイテム別限界値DB'!$I:$I, 
      MATCH(
        1, 
        ('アイテム別限界値DB'!$B:$B = BL$10) * 
        ('アイテム別限界値DB'!$C:$C = BL26) * 
        ('アイテム別限界値DB'!$F:$F = BM26), 
        0
      )
    ), 
    "再製作"
  )
)
</f>
        <v/>
      </c>
      <c r="BO26" s="195"/>
      <c r="BP26" s="195"/>
    </row>
    <row r="27" ht="18.75" customHeight="1">
      <c r="A27" s="228" t="str">
        <f>IFERROR(__xludf.DUMMYFUNCTION("TEXTJOIN(CHAR(10),TRUE,FILTER(ARRAYFORMULA(IF(O$14:O72&lt;&gt;"""",N$14:N72 &amp;"" :  cm"","""")), N$14:N72 &lt;&gt;""""))"),"バスト :  cm")</f>
        <v>バスト :  cm</v>
      </c>
      <c r="B27" s="229"/>
      <c r="C27" s="224"/>
      <c r="D27" s="239" t="s">
        <v>67</v>
      </c>
      <c r="E27" s="232"/>
      <c r="F27" s="231" t="str">
        <f t="array" ref="F27">IF(
  E27 = 0, 
  "", 
  IFERROR(
    INDEX(
      'アイテム別限界値DB'!$K:$K, 
      MATCH(
        1, 
        ('アイテム別限界値DB'!$B:$B = D$10) * 
        ('アイテム別限界値DB'!$F:$F = D27) * 
        ('アイテム別限界値DB'!$H:$H = E27), 
        0
      )
    ), 
    "再製作"
  )
)
</f>
        <v/>
      </c>
      <c r="G27" s="218" t="str">
        <f t="array" ref="G27">IF(
  E27 = 0, 
  "", 
  IFERROR(
    INDEX(
      'アイテム別限界値DB'!$L:$L, 
      MATCH(
        1, 
        ('アイテム別限界値DB'!$B:$B = D$10) * 
        ('アイテム別限界値DB'!$C:$C = D27) * 
        ('アイテム別限界値DB'!$F:$F = E27), 
        0
      )
    ), 
    ""
  )
)
</f>
        <v/>
      </c>
      <c r="H27" s="12"/>
      <c r="I27" s="11" t="s">
        <v>103</v>
      </c>
      <c r="J27" s="232"/>
      <c r="K27" s="231" t="str">
        <f t="array" ref="K27">IF(
  J27 = 0, 
  "", 
  IFERROR(
    INDEX(
      'アイテム別限界値DB'!$K:$K, 
      MATCH(
        1, 
        ('アイテム別限界値DB'!$B:$B = I$10) * 
        ('アイテム別限界値DB'!$F:$F = I27) * 
        ('アイテム別限界値DB'!$H:$H = J27), 
        0
      )
    ), 
    "再製作"
  )
)
</f>
        <v/>
      </c>
      <c r="L27" s="11"/>
      <c r="M27" s="11"/>
      <c r="N27" s="11"/>
      <c r="O27" s="220"/>
      <c r="P27" s="184"/>
      <c r="Q27" s="11"/>
      <c r="R27" s="11"/>
      <c r="S27" s="12" t="s">
        <v>99</v>
      </c>
      <c r="T27" s="232"/>
      <c r="U27" s="231" t="str">
        <f t="array" ref="U27">IF(
  T27 = 0, 
  "", 
  IFERROR(
    INDEX(
      'アイテム別限界値DB'!$K:$K, 
      MATCH(
        1, 
        ('アイテム別限界値DB'!$B:$B = S$10) * 
        ('アイテム別限界値DB'!$F:$F = S27) * 
        ('アイテム別限界値DB'!$H:$H = T27), 
        0
      )
    ), 
    "再製作"
  )
)
</f>
        <v/>
      </c>
      <c r="V27" s="12"/>
      <c r="W27" s="11"/>
      <c r="X27" s="240" t="s">
        <v>74</v>
      </c>
      <c r="Y27" s="232"/>
      <c r="Z27" s="231" t="str">
        <f t="array" ref="Z27">IF(
  Y27 = 0, 
  "", 
  IFERROR(
    INDEX(
      'アイテム別限界値DB'!$K:$K, 
      MATCH(
        1, 
        ('アイテム別限界値DB'!$B:$B = X$10) * 
        ('アイテム別限界値DB'!$F:$F = X27) * 
        ('アイテム別限界値DB'!$H:$H = Y27), 
        0
      )
    ), 
    "再製作"
  )
)
</f>
        <v/>
      </c>
      <c r="AA27" s="218" t="str">
        <f t="array" ref="AA27">IF(
  Y27 = 0, 
  "", 
  IFERROR(
    INDEX(
      'アイテム別限界値DB'!$L:$L, 
      MATCH(
        1, 
        ('アイテム別限界値DB'!$B:$B = X$10) * 
        ('アイテム別限界値DB'!$C:$C = X27) * 
        ('アイテム別限界値DB'!$F:$F = Y27), 
        0
      )
    ), 
    ""
  )
)
</f>
        <v/>
      </c>
      <c r="AB27" s="11"/>
      <c r="AC27" s="240" t="s">
        <v>79</v>
      </c>
      <c r="AD27" s="232"/>
      <c r="AE27" s="231" t="str">
        <f t="array" ref="AE27">IF(
  AD27 = 0, 
  "", 
  IFERROR(
    INDEX(
      'アイテム別限界値DB'!$K:$K, 
      MATCH(
        1, 
        ('アイテム別限界値DB'!$B:$B = AC$10) * 
        ('アイテム別限界値DB'!$F:$F = AC27) * 
        ('アイテム別限界値DB'!$H:$H = AD27), 
        0
      )
    ), 
    "再製作"
  )
)
</f>
        <v/>
      </c>
      <c r="AF27" s="218" t="str">
        <f t="array" ref="AF27">IF(
  AD27 = 0, 
  "", 
  IFERROR(
    INDEX(
      'アイテム別限界値DB'!$L:$L, 
      MATCH(
        1, 
        ('アイテム別限界値DB'!$B:$B = AC$10) * 
        ('アイテム別限界値DB'!$C:$C = AC27) * 
        ('アイテム別限界値DB'!$F:$F = AD27), 
        0
      )
    ), 
    ""
  )
)
</f>
        <v/>
      </c>
      <c r="AG27" s="11"/>
      <c r="AH27" s="11"/>
      <c r="AI27" s="220"/>
      <c r="AJ27" s="184"/>
      <c r="AK27" s="11"/>
      <c r="AL27" s="11"/>
      <c r="AM27" s="11"/>
      <c r="AN27" s="220"/>
      <c r="AO27" s="184"/>
      <c r="AP27" s="11"/>
      <c r="AQ27" s="11"/>
      <c r="AR27" s="11"/>
      <c r="AS27" s="220"/>
      <c r="AT27" s="184"/>
      <c r="AU27" s="11"/>
      <c r="AV27" s="11"/>
      <c r="AW27" s="11"/>
      <c r="AX27" s="220"/>
      <c r="AY27" s="184"/>
      <c r="AZ27" s="11"/>
      <c r="BA27" s="11"/>
      <c r="BB27" s="11"/>
      <c r="BC27" s="220"/>
      <c r="BD27" s="184"/>
      <c r="BE27" s="11"/>
      <c r="BF27" s="11"/>
      <c r="BG27" s="11"/>
      <c r="BH27" s="220"/>
      <c r="BI27" s="184"/>
      <c r="BJ27" s="11"/>
      <c r="BK27" s="11"/>
      <c r="BL27" s="11"/>
      <c r="BM27" s="220"/>
      <c r="BN27" s="184"/>
      <c r="BO27" s="11"/>
      <c r="BP27" s="11"/>
    </row>
    <row r="28" ht="15.75" customHeight="1">
      <c r="A28" s="237" t="s">
        <v>104</v>
      </c>
      <c r="B28" s="11"/>
      <c r="C28" s="11"/>
      <c r="D28" s="11" t="s">
        <v>79</v>
      </c>
      <c r="E28" s="232"/>
      <c r="F28" s="231" t="str">
        <f t="array" ref="F28">IF(
  E28 = 0, 
  "", 
  IFERROR(
    INDEX(
      'アイテム別限界値DB'!$K:$K, 
      MATCH(
        1, 
        ('アイテム別限界値DB'!$B:$B = D$10) * 
        ('アイテム別限界値DB'!$F:$F = D28) * 
        ('アイテム別限界値DB'!$H:$H = E28), 
        0
      )
    ), 
    "再製作"
  )
)
</f>
        <v/>
      </c>
      <c r="G28" s="218" t="str">
        <f t="array" ref="G28">IF(
  E28 = 0, 
  "", 
  IFERROR(
    INDEX(
      'アイテム別限界値DB'!$L:$L, 
      MATCH(
        1, 
        ('アイテム別限界値DB'!$B:$B = D$10) * 
        ('アイテム別限界値DB'!$C:$C = D28) * 
        ('アイテム別限界値DB'!$F:$F = E28), 
        0
      )
    ), 
    ""
  )
)
</f>
        <v/>
      </c>
      <c r="H28" s="11"/>
      <c r="I28" s="11"/>
      <c r="J28" s="220"/>
      <c r="K28" s="184"/>
      <c r="L28" s="11"/>
      <c r="M28" s="11"/>
      <c r="N28" s="11"/>
      <c r="O28" s="220"/>
      <c r="P28" s="184"/>
      <c r="Q28" s="11"/>
      <c r="R28" s="12"/>
      <c r="S28" s="11" t="s">
        <v>103</v>
      </c>
      <c r="T28" s="232"/>
      <c r="U28" s="231" t="str">
        <f t="array" ref="U28">IF(
  T28 = 0, 
  "", 
  IFERROR(
    INDEX(
      'アイテム別限界値DB'!$K:$K, 
      MATCH(
        1, 
        ('アイテム別限界値DB'!$B:$B = S$10) * 
        ('アイテム別限界値DB'!$F:$F = S28) * 
        ('アイテム別限界値DB'!$H:$H = T28), 
        0
      )
    ), 
    "再製作"
  )
)
</f>
        <v/>
      </c>
      <c r="V28" s="11"/>
      <c r="W28" s="11"/>
      <c r="X28" s="11" t="s">
        <v>67</v>
      </c>
      <c r="Y28" s="241"/>
      <c r="Z28" s="231" t="str">
        <f t="array" ref="Z28">IF(
  Y28 = 0, 
  "", 
  IFERROR(
    INDEX(
      'アイテム別限界値DB'!$K:$K, 
      MATCH(
        1, 
        ('アイテム別限界値DB'!$B:$B = X$10) * 
        ('アイテム別限界値DB'!$F:$F = X28) * 
        ('アイテム別限界値DB'!$H:$H = Y28), 
        0
      )
    ), 
    "再製作"
  )
)
</f>
        <v/>
      </c>
      <c r="AA28" s="218" t="str">
        <f t="array" ref="AA28">IF(
  Y28 = 0, 
  "", 
  IFERROR(
    INDEX(
      'アイテム別限界値DB'!$L:$L, 
      MATCH(
        1, 
        ('アイテム別限界値DB'!$B:$B = X$10) * 
        ('アイテム別限界値DB'!$C:$C = X28) * 
        ('アイテム別限界値DB'!$F:$F = Y28), 
        0
      )
    ), 
    ""
  )
)
</f>
        <v/>
      </c>
      <c r="AB28" s="11"/>
      <c r="AC28" s="11" t="s">
        <v>83</v>
      </c>
      <c r="AD28" s="232"/>
      <c r="AE28" s="231" t="str">
        <f t="array" ref="AE28">IF(
  AD28 = 0, 
  "", 
  IFERROR(
    INDEX(
      'アイテム別限界値DB'!$K:$K, 
      MATCH(
        1, 
        ('アイテム別限界値DB'!$B:$B = AC$10) * 
        ('アイテム別限界値DB'!$F:$F = AC28) * 
        ('アイテム別限界値DB'!$H:$H = AD28), 
        0
      )
    ), 
    "再製作"
  )
)
</f>
        <v/>
      </c>
      <c r="AF28" s="218" t="str">
        <f t="array" ref="AF28">IF(
  AD28 = 0, 
  "", 
  IFERROR(
    INDEX(
      'アイテム別限界値DB'!$L:$L, 
      MATCH(
        1, 
        ('アイテム別限界値DB'!$B:$B = AC$10) * 
        ('アイテム別限界値DB'!$C:$C = AC28) * 
        ('アイテム別限界値DB'!$F:$F = AD28), 
        0
      )
    ), 
    ""
  )
)
</f>
        <v/>
      </c>
      <c r="AG28" s="11"/>
      <c r="AH28" s="11"/>
      <c r="AI28" s="220"/>
      <c r="AJ28" s="184"/>
      <c r="AK28" s="11"/>
      <c r="AL28" s="11"/>
      <c r="AM28" s="11"/>
      <c r="AN28" s="220"/>
      <c r="AO28" s="184"/>
      <c r="AP28" s="11"/>
      <c r="AQ28" s="11"/>
      <c r="AR28" s="11"/>
      <c r="AS28" s="220"/>
      <c r="AT28" s="184"/>
      <c r="AU28" s="11"/>
      <c r="AV28" s="11"/>
      <c r="AW28" s="11"/>
      <c r="AX28" s="220"/>
      <c r="AY28" s="184"/>
      <c r="AZ28" s="11"/>
      <c r="BA28" s="11"/>
      <c r="BB28" s="11"/>
      <c r="BC28" s="220"/>
      <c r="BD28" s="184"/>
      <c r="BE28" s="11"/>
      <c r="BF28" s="11"/>
      <c r="BG28" s="11"/>
      <c r="BH28" s="220"/>
      <c r="BI28" s="184"/>
      <c r="BJ28" s="11"/>
      <c r="BK28" s="11"/>
      <c r="BL28" s="11"/>
      <c r="BM28" s="220"/>
      <c r="BN28" s="184"/>
      <c r="BO28" s="11"/>
      <c r="BP28" s="11"/>
    </row>
    <row r="29" ht="15.75" customHeight="1">
      <c r="A29" s="228" t="str">
        <f>IF($S$11="再製作", "◼︎ チノ（対応着地：再製作）" &amp; char(10) &amp; "《修正数値》", IF($S$11&lt;&gt;"", "◼︎ チノ（対応着地：お直し）" &amp; char(10) &amp; "《修正数値》", ""))</f>
        <v/>
      </c>
      <c r="B29" s="160"/>
      <c r="C29" s="11"/>
      <c r="D29" s="11" t="s">
        <v>83</v>
      </c>
      <c r="E29" s="232"/>
      <c r="F29" s="231" t="str">
        <f t="array" ref="F29">IF(
  E29 = 0, 
  "", 
  IFERROR(
    INDEX(
      'アイテム別限界値DB'!$K:$K, 
      MATCH(
        1, 
        ('アイテム別限界値DB'!$B:$B = D$10) * 
        ('アイテム別限界値DB'!$F:$F = D29) * 
        ('アイテム別限界値DB'!$H:$H = E29), 
        0
      )
    ), 
    "再製作"
  )
)
</f>
        <v/>
      </c>
      <c r="G29" s="218" t="str">
        <f t="array" ref="G29">IF(
  E29 = 0, 
  "", 
  IFERROR(
    INDEX(
      'アイテム別限界値DB'!$L:$L, 
      MATCH(
        1, 
        ('アイテム別限界値DB'!$B:$B = D$10) * 
        ('アイテム別限界値DB'!$C:$C = D29) * 
        ('アイテム別限界値DB'!$F:$F = E29), 
        0
      )
    ), 
    ""
  )
)
</f>
        <v/>
      </c>
      <c r="H29" s="11"/>
      <c r="I29" s="11"/>
      <c r="J29" s="220"/>
      <c r="K29" s="184"/>
      <c r="L29" s="11"/>
      <c r="M29" s="11"/>
      <c r="N29" s="11"/>
      <c r="O29" s="220"/>
      <c r="P29" s="184"/>
      <c r="Q29" s="11"/>
      <c r="R29" s="12"/>
      <c r="S29" s="11"/>
      <c r="T29" s="220"/>
      <c r="U29" s="184"/>
      <c r="V29" s="11"/>
      <c r="W29" s="11"/>
      <c r="X29" s="11" t="s">
        <v>79</v>
      </c>
      <c r="Y29" s="232"/>
      <c r="Z29" s="231" t="str">
        <f t="array" ref="Z29">IF(
  Y29 = 0, 
  "", 
  IFERROR(
    INDEX(
      'アイテム別限界値DB'!$K:$K, 
      MATCH(
        1, 
        ('アイテム別限界値DB'!$B:$B = X$10) * 
        ('アイテム別限界値DB'!$F:$F = X29) * 
        ('アイテム別限界値DB'!$H:$H = Y29), 
        0
      )
    ), 
    "再製作"
  )
)
</f>
        <v/>
      </c>
      <c r="AA29" s="11"/>
      <c r="AB29" s="11"/>
      <c r="AC29" s="11" t="s">
        <v>105</v>
      </c>
      <c r="AD29" s="232"/>
      <c r="AE29" s="231" t="str">
        <f t="array" ref="AE29">IF(
  AD29 = 0, 
  "", 
  IFERROR(
    INDEX(
      'アイテム別限界値DB'!$K:$K, 
      MATCH(
        1, 
        ('アイテム別限界値DB'!$B:$B = AC$10) * 
        ('アイテム別限界値DB'!$F:$F = AC29) * 
        ('アイテム別限界値DB'!$H:$H = AD29), 
        0
      )
    ), 
    "再製作"
  )
)
</f>
        <v/>
      </c>
      <c r="AF29" s="11"/>
      <c r="AG29" s="11"/>
      <c r="AH29" s="11"/>
      <c r="AI29" s="220"/>
      <c r="AJ29" s="184"/>
      <c r="AK29" s="11"/>
      <c r="AL29" s="11"/>
      <c r="AM29" s="11"/>
      <c r="AN29" s="220"/>
      <c r="AO29" s="184"/>
      <c r="AP29" s="11"/>
      <c r="AQ29" s="11"/>
      <c r="AR29" s="11"/>
      <c r="AS29" s="220"/>
      <c r="AT29" s="184"/>
      <c r="AU29" s="11"/>
      <c r="AV29" s="11"/>
      <c r="AW29" s="11"/>
      <c r="AX29" s="220"/>
      <c r="AY29" s="184"/>
      <c r="AZ29" s="11"/>
      <c r="BA29" s="11"/>
      <c r="BB29" s="11"/>
      <c r="BC29" s="220"/>
      <c r="BD29" s="184"/>
      <c r="BE29" s="11"/>
      <c r="BF29" s="11"/>
      <c r="BG29" s="11"/>
      <c r="BH29" s="220"/>
      <c r="BI29" s="184"/>
      <c r="BJ29" s="11"/>
      <c r="BK29" s="11"/>
      <c r="BL29" s="11"/>
      <c r="BM29" s="220"/>
      <c r="BN29" s="184"/>
      <c r="BO29" s="11"/>
      <c r="BP29" s="11"/>
    </row>
    <row r="30" ht="15.75" customHeight="1">
      <c r="A30" s="228" t="str">
        <f>IFERROR(__xludf.DUMMYFUNCTION("TEXTJOIN(CHAR(10),TRUE,FILTER(ARRAYFORMULA(IF(T$14:T72&lt;&gt;"""", S$14:S72 &amp;"" : ""&amp; T$14:T72 &amp;"" cm"","""")), S$14:S72 &lt;&gt;""""))"),"")</f>
        <v/>
      </c>
      <c r="B30" s="229"/>
      <c r="C30" s="11"/>
      <c r="D30" s="11" t="s">
        <v>106</v>
      </c>
      <c r="E30" s="232"/>
      <c r="F30" s="231" t="str">
        <f t="array" ref="F30">IF(
  E30 = 0, 
  "", 
  IFERROR(
    INDEX(
      'アイテム別限界値DB'!$K:$K, 
      MATCH(
        1, 
        ('アイテム別限界値DB'!$B:$B = D$10) * 
        ('アイテム別限界値DB'!$F:$F = D30) * 
        ('アイテム別限界値DB'!$H:$H = E30), 
        0
      )
    ), 
    "再製作"
  )
)
</f>
        <v/>
      </c>
      <c r="G30" s="218" t="str">
        <f t="array" ref="G30">IF(
  E30 = 0, 
  "", 
  IFERROR(
    INDEX(
      'アイテム別限界値DB'!$L:$L, 
      MATCH(
        1, 
        ('アイテム別限界値DB'!$B:$B = D$10) * 
        ('アイテム別限界値DB'!$C:$C = D30) * 
        ('アイテム別限界値DB'!$F:$F = E30), 
        0
      )
    ), 
    ""
  )
)
</f>
        <v/>
      </c>
      <c r="H30" s="11"/>
      <c r="I30" s="11"/>
      <c r="J30" s="220"/>
      <c r="K30" s="184"/>
      <c r="L30" s="11"/>
      <c r="M30" s="11"/>
      <c r="N30" s="11"/>
      <c r="O30" s="220"/>
      <c r="P30" s="184"/>
      <c r="Q30" s="11"/>
      <c r="R30" s="12"/>
      <c r="S30" s="11"/>
      <c r="T30" s="220"/>
      <c r="U30" s="184"/>
      <c r="V30" s="11"/>
      <c r="W30" s="11"/>
      <c r="X30" s="11" t="s">
        <v>83</v>
      </c>
      <c r="Y30" s="232"/>
      <c r="Z30" s="231" t="str">
        <f t="array" ref="Z30">IF(
  Y30 = 0, 
  "", 
  IFERROR(
    INDEX(
      'アイテム別限界値DB'!$K:$K, 
      MATCH(
        1, 
        ('アイテム別限界値DB'!$B:$B = X$10) * 
        ('アイテム別限界値DB'!$F:$F = X30) * 
        ('アイテム別限界値DB'!$H:$H = Y30), 
        0
      )
    ), 
    "再製作"
  )
)
</f>
        <v/>
      </c>
      <c r="AA30" s="11"/>
      <c r="AB30" s="11"/>
      <c r="AC30" s="11"/>
      <c r="AD30" s="220"/>
      <c r="AE30" s="184"/>
      <c r="AF30" s="11"/>
      <c r="AG30" s="11"/>
      <c r="AH30" s="11"/>
      <c r="AI30" s="220"/>
      <c r="AJ30" s="184"/>
      <c r="AK30" s="11"/>
      <c r="AL30" s="11"/>
      <c r="AM30" s="11"/>
      <c r="AN30" s="220"/>
      <c r="AO30" s="184"/>
      <c r="AP30" s="11"/>
      <c r="AQ30" s="11"/>
      <c r="AR30" s="11"/>
      <c r="AS30" s="220"/>
      <c r="AT30" s="184"/>
      <c r="AU30" s="11"/>
      <c r="AV30" s="11"/>
      <c r="AW30" s="11"/>
      <c r="AX30" s="220"/>
      <c r="AY30" s="184"/>
      <c r="AZ30" s="11"/>
      <c r="BA30" s="11"/>
      <c r="BB30" s="11"/>
      <c r="BC30" s="220"/>
      <c r="BD30" s="184"/>
      <c r="BE30" s="11"/>
      <c r="BF30" s="11"/>
      <c r="BG30" s="11"/>
      <c r="BH30" s="220"/>
      <c r="BI30" s="184"/>
      <c r="BJ30" s="11"/>
      <c r="BK30" s="11"/>
      <c r="BL30" s="11"/>
      <c r="BM30" s="220"/>
      <c r="BN30" s="184"/>
      <c r="BO30" s="11"/>
      <c r="BP30" s="11"/>
    </row>
    <row r="31" ht="15.75" customHeight="1">
      <c r="A31" s="242" t="str">
        <f>if($A$29&lt;&gt;"", "《仕上がり数値》","")</f>
        <v/>
      </c>
      <c r="B31" s="12"/>
      <c r="C31" s="11"/>
      <c r="D31" s="11" t="s">
        <v>107</v>
      </c>
      <c r="E31" s="232"/>
      <c r="F31" s="231" t="str">
        <f t="array" ref="F31">IF(
  E31 = 0, 
  "", 
  IFERROR(
    INDEX(
      'アイテム別限界値DB'!$K:$K, 
      MATCH(
        1, 
        ('アイテム別限界値DB'!$B:$B = D$10) * 
        ('アイテム別限界値DB'!$F:$F = D31) * 
        ('アイテム別限界値DB'!$H:$H = E31), 
        0
      )
    ), 
    "再製作"
  )
)
</f>
        <v/>
      </c>
      <c r="G31" s="218" t="str">
        <f t="array" ref="G31">IF(
  E31 = 0, 
  "", 
  IFERROR(
    INDEX(
      'アイテム別限界値DB'!$L:$L, 
      MATCH(
        1, 
        ('アイテム別限界値DB'!$B:$B = D$10) * 
        ('アイテム別限界値DB'!$C:$C = D31) * 
        ('アイテム別限界値DB'!$F:$F = E31), 
        0
      )
    ), 
    ""
  )
)
</f>
        <v/>
      </c>
      <c r="H31" s="11"/>
      <c r="I31" s="11"/>
      <c r="J31" s="220"/>
      <c r="K31" s="184"/>
      <c r="L31" s="11"/>
      <c r="M31" s="11"/>
      <c r="N31" s="11"/>
      <c r="O31" s="220"/>
      <c r="P31" s="184"/>
      <c r="Q31" s="11"/>
      <c r="R31" s="12"/>
      <c r="S31" s="11"/>
      <c r="T31" s="220"/>
      <c r="U31" s="184"/>
      <c r="V31" s="11"/>
      <c r="W31" s="11"/>
      <c r="X31" s="11" t="s">
        <v>105</v>
      </c>
      <c r="Y31" s="232"/>
      <c r="Z31" s="231" t="str">
        <f t="array" ref="Z31">IF(
  Y31 = 0, 
  "", 
  IFERROR(
    INDEX(
      'アイテム別限界値DB'!$K:$K, 
      MATCH(
        1, 
        ('アイテム別限界値DB'!$B:$B = X$10) * 
        ('アイテム別限界値DB'!$F:$F = X31) * 
        ('アイテム別限界値DB'!$H:$H = Y31), 
        0
      )
    ), 
    "再製作"
  )
)
</f>
        <v/>
      </c>
      <c r="AA31" s="11"/>
      <c r="AB31" s="11"/>
      <c r="AC31" s="11"/>
      <c r="AD31" s="220"/>
      <c r="AE31" s="184"/>
      <c r="AF31" s="11"/>
      <c r="AG31" s="11"/>
      <c r="AH31" s="11"/>
      <c r="AI31" s="220"/>
      <c r="AJ31" s="184"/>
      <c r="AK31" s="11"/>
      <c r="AL31" s="11"/>
      <c r="AM31" s="11"/>
      <c r="AN31" s="220"/>
      <c r="AO31" s="184"/>
      <c r="AP31" s="11"/>
      <c r="AQ31" s="11"/>
      <c r="AR31" s="11"/>
      <c r="AS31" s="220"/>
      <c r="AT31" s="184"/>
      <c r="AU31" s="11"/>
      <c r="AV31" s="11"/>
      <c r="AW31" s="11"/>
      <c r="AX31" s="220"/>
      <c r="AY31" s="184"/>
      <c r="AZ31" s="11"/>
      <c r="BA31" s="11"/>
      <c r="BB31" s="11"/>
      <c r="BC31" s="220"/>
      <c r="BD31" s="184"/>
      <c r="BE31" s="11"/>
      <c r="BF31" s="11"/>
      <c r="BG31" s="11"/>
      <c r="BH31" s="220"/>
      <c r="BI31" s="184"/>
      <c r="BJ31" s="11"/>
      <c r="BK31" s="11"/>
      <c r="BL31" s="11"/>
      <c r="BM31" s="220"/>
      <c r="BN31" s="184"/>
      <c r="BO31" s="11"/>
      <c r="BP31" s="11"/>
    </row>
    <row r="32" ht="15.75" customHeight="1">
      <c r="A32" s="228" t="str">
        <f>IFERROR(__xludf.DUMMYFUNCTION("TEXTJOIN(CHAR(10),TRUE,FILTER(ARRAYFORMULA(IF(T$14:T72&lt;&gt;"""", S$14:S72 &amp;"" :  cm"","""")), S$14:S72 &lt;&gt;""""))"),"")</f>
        <v/>
      </c>
      <c r="B32" s="160"/>
      <c r="C32" s="11"/>
      <c r="D32" s="11" t="s">
        <v>108</v>
      </c>
      <c r="E32" s="232"/>
      <c r="F32" s="231" t="str">
        <f t="array" ref="F32">IF(
  E32 = 0, 
  "", 
  IFERROR(
    INDEX(
      'アイテム別限界値DB'!$K:$K, 
      MATCH(
        1, 
        ('アイテム別限界値DB'!$B:$B = D$10) * 
        ('アイテム別限界値DB'!$F:$F = D32) * 
        ('アイテム別限界値DB'!$H:$H = E32), 
        0
      )
    ), 
    "再製作"
  )
)
</f>
        <v/>
      </c>
      <c r="G32" s="218" t="str">
        <f t="array" ref="G32">IF(
  E32 = 0, 
  "", 
  IFERROR(
    INDEX(
      'アイテム別限界値DB'!$L:$L, 
      MATCH(
        1, 
        ('アイテム別限界値DB'!$B:$B = D$10) * 
        ('アイテム別限界値DB'!$C:$C = D32) * 
        ('アイテム別限界値DB'!$F:$F = E32), 
        0
      )
    ), 
    ""
  )
)
</f>
        <v/>
      </c>
      <c r="H32" s="11"/>
      <c r="I32" s="11"/>
      <c r="J32" s="220"/>
      <c r="K32" s="184"/>
      <c r="L32" s="11"/>
      <c r="M32" s="11"/>
      <c r="N32" s="11"/>
      <c r="O32" s="220"/>
      <c r="P32" s="184"/>
      <c r="Q32" s="11"/>
      <c r="R32" s="12"/>
      <c r="S32" s="11"/>
      <c r="T32" s="220"/>
      <c r="U32" s="184"/>
      <c r="V32" s="11"/>
      <c r="W32" s="11"/>
      <c r="X32" s="11"/>
      <c r="Y32" s="220"/>
      <c r="Z32" s="184"/>
      <c r="AA32" s="11"/>
      <c r="AB32" s="11"/>
      <c r="AC32" s="11"/>
      <c r="AD32" s="220"/>
      <c r="AE32" s="184"/>
      <c r="AF32" s="11"/>
      <c r="AG32" s="11"/>
      <c r="AH32" s="11"/>
      <c r="AI32" s="220"/>
      <c r="AJ32" s="184"/>
      <c r="AK32" s="11"/>
      <c r="AL32" s="11"/>
      <c r="AM32" s="11"/>
      <c r="AN32" s="220"/>
      <c r="AO32" s="184"/>
      <c r="AP32" s="11"/>
      <c r="AQ32" s="11"/>
      <c r="AR32" s="11"/>
      <c r="AS32" s="220"/>
      <c r="AT32" s="184"/>
      <c r="AU32" s="11"/>
      <c r="AV32" s="11"/>
      <c r="AW32" s="11"/>
      <c r="AX32" s="220"/>
      <c r="AY32" s="184"/>
      <c r="AZ32" s="11"/>
      <c r="BA32" s="11"/>
      <c r="BB32" s="11"/>
      <c r="BC32" s="220"/>
      <c r="BD32" s="184"/>
      <c r="BE32" s="11"/>
      <c r="BF32" s="11"/>
      <c r="BG32" s="11"/>
      <c r="BH32" s="220"/>
      <c r="BI32" s="184"/>
      <c r="BJ32" s="11"/>
      <c r="BK32" s="11"/>
      <c r="BL32" s="11"/>
      <c r="BM32" s="220"/>
      <c r="BN32" s="184"/>
      <c r="BO32" s="11"/>
      <c r="BP32" s="11"/>
    </row>
    <row r="33" ht="15.75" customHeight="1">
      <c r="A33" s="237" t="s">
        <v>109</v>
      </c>
      <c r="B33" s="229"/>
      <c r="C33" s="11"/>
      <c r="D33" s="11" t="s">
        <v>110</v>
      </c>
      <c r="E33" s="232"/>
      <c r="F33" s="231" t="str">
        <f t="array" ref="F33">IF(
  E33 = 0, 
  "", 
  IFERROR(
    INDEX(
      'アイテム別限界値DB'!$K:$K, 
      MATCH(
        1, 
        ('アイテム別限界値DB'!$B:$B = D$10) * 
        ('アイテム別限界値DB'!$F:$F = D33) * 
        ('アイテム別限界値DB'!$H:$H = E33), 
        0
      )
    ), 
    "再製作"
  )
)
</f>
        <v/>
      </c>
      <c r="G33" s="218" t="str">
        <f t="array" ref="G33">IF(
  E33 = 0, 
  "", 
  IFERROR(
    INDEX(
      'アイテム別限界値DB'!$L:$L, 
      MATCH(
        1, 
        ('アイテム別限界値DB'!$B:$B = D$10) * 
        ('アイテム別限界値DB'!$C:$C = D33) * 
        ('アイテム別限界値DB'!$F:$F = E33), 
        0
      )
    ), 
    ""
  )
)
</f>
        <v/>
      </c>
      <c r="H33" s="11"/>
      <c r="I33" s="11"/>
      <c r="J33" s="220"/>
      <c r="K33" s="184"/>
      <c r="L33" s="11"/>
      <c r="M33" s="11"/>
      <c r="N33" s="11"/>
      <c r="O33" s="220"/>
      <c r="P33" s="184"/>
      <c r="Q33" s="11"/>
      <c r="R33" s="12"/>
      <c r="S33" s="11"/>
      <c r="T33" s="220"/>
      <c r="U33" s="184"/>
      <c r="V33" s="11"/>
      <c r="W33" s="11"/>
      <c r="X33" s="11"/>
      <c r="Y33" s="220"/>
      <c r="Z33" s="184"/>
      <c r="AA33" s="11"/>
      <c r="AB33" s="11"/>
      <c r="AC33" s="11"/>
      <c r="AD33" s="220"/>
      <c r="AE33" s="184"/>
      <c r="AF33" s="11"/>
      <c r="AG33" s="11"/>
      <c r="AH33" s="11"/>
      <c r="AI33" s="220"/>
      <c r="AJ33" s="184"/>
      <c r="AK33" s="11"/>
      <c r="AL33" s="11"/>
      <c r="AM33" s="11"/>
      <c r="AN33" s="220"/>
      <c r="AO33" s="184"/>
      <c r="AP33" s="11"/>
      <c r="AQ33" s="11"/>
      <c r="AR33" s="11"/>
      <c r="AS33" s="220"/>
      <c r="AT33" s="184"/>
      <c r="AU33" s="11"/>
      <c r="AV33" s="11"/>
      <c r="AW33" s="11"/>
      <c r="AX33" s="220"/>
      <c r="AY33" s="184"/>
      <c r="AZ33" s="11"/>
      <c r="BA33" s="11"/>
      <c r="BB33" s="11"/>
      <c r="BC33" s="220"/>
      <c r="BD33" s="184"/>
      <c r="BE33" s="11"/>
      <c r="BF33" s="11"/>
      <c r="BG33" s="11"/>
      <c r="BH33" s="220"/>
      <c r="BI33" s="184"/>
      <c r="BJ33" s="11"/>
      <c r="BK33" s="11"/>
      <c r="BL33" s="11"/>
      <c r="BM33" s="220"/>
      <c r="BN33" s="184"/>
      <c r="BO33" s="11"/>
      <c r="BP33" s="11"/>
    </row>
    <row r="34" ht="15.75" customHeight="1">
      <c r="A34" s="228" t="str">
        <f>IF($X$11="再製作", "◼︎ シャツ（対応着地：再製作）" &amp; char(10) &amp; "《修正数値》" , IF($X$11&lt;&gt;"", "◼︎ シャツ（対応着地：お直し）" &amp; char(10) &amp; "《修正数値》", ""))</f>
        <v/>
      </c>
      <c r="B34" s="12"/>
      <c r="C34" s="11"/>
      <c r="D34" s="11" t="s">
        <v>111</v>
      </c>
      <c r="E34" s="232"/>
      <c r="F34" s="231" t="str">
        <f t="array" ref="F34">IF(
  E34 = 0, 
  "", 
  IFERROR(
    INDEX(
      'アイテム別限界値DB'!$K:$K, 
      MATCH(
        1, 
        ('アイテム別限界値DB'!$B:$B = D$10) * 
        ('アイテム別限界値DB'!$F:$F = D34) * 
        ('アイテム別限界値DB'!$H:$H = E34), 
        0
      )
    ), 
    "再製作"
  )
)
</f>
        <v/>
      </c>
      <c r="G34" s="218" t="str">
        <f t="array" ref="G34">IF(
  E34 = 0, 
  "", 
  IFERROR(
    INDEX(
      'アイテム別限界値DB'!$L:$L, 
      MATCH(
        1, 
        ('アイテム別限界値DB'!$B:$B = D$10) * 
        ('アイテム別限界値DB'!$C:$C = D34) * 
        ('アイテム別限界値DB'!$F:$F = E34), 
        0
      )
    ), 
    ""
  )
)
</f>
        <v/>
      </c>
      <c r="H34" s="11"/>
      <c r="I34" s="11"/>
      <c r="J34" s="220"/>
      <c r="K34" s="184"/>
      <c r="L34" s="11"/>
      <c r="M34" s="11"/>
      <c r="N34" s="11"/>
      <c r="O34" s="220"/>
      <c r="P34" s="184"/>
      <c r="Q34" s="11"/>
      <c r="R34" s="12"/>
      <c r="S34" s="11"/>
      <c r="T34" s="220"/>
      <c r="U34" s="184"/>
      <c r="V34" s="11"/>
      <c r="W34" s="11"/>
      <c r="X34" s="11"/>
      <c r="Y34" s="220"/>
      <c r="Z34" s="184"/>
      <c r="AA34" s="11"/>
      <c r="AB34" s="11"/>
      <c r="AC34" s="11"/>
      <c r="AD34" s="220"/>
      <c r="AE34" s="184"/>
      <c r="AF34" s="11"/>
      <c r="AG34" s="11"/>
      <c r="AH34" s="11"/>
      <c r="AI34" s="220"/>
      <c r="AJ34" s="184"/>
      <c r="AK34" s="11"/>
      <c r="AL34" s="11"/>
      <c r="AM34" s="11"/>
      <c r="AN34" s="220"/>
      <c r="AO34" s="184"/>
      <c r="AP34" s="11"/>
      <c r="AQ34" s="11"/>
      <c r="AR34" s="11"/>
      <c r="AS34" s="220"/>
      <c r="AT34" s="184"/>
      <c r="AU34" s="11"/>
      <c r="AV34" s="11"/>
      <c r="AW34" s="11"/>
      <c r="AX34" s="220"/>
      <c r="AY34" s="184"/>
      <c r="AZ34" s="11"/>
      <c r="BA34" s="11"/>
      <c r="BB34" s="11"/>
      <c r="BC34" s="220"/>
      <c r="BD34" s="184"/>
      <c r="BE34" s="11"/>
      <c r="BF34" s="11"/>
      <c r="BG34" s="11"/>
      <c r="BH34" s="220"/>
      <c r="BI34" s="184"/>
      <c r="BJ34" s="11"/>
      <c r="BK34" s="11"/>
      <c r="BL34" s="11"/>
      <c r="BM34" s="220"/>
      <c r="BN34" s="184"/>
      <c r="BO34" s="11"/>
      <c r="BP34" s="11"/>
    </row>
    <row r="35" ht="15.75" customHeight="1">
      <c r="A35" s="228" t="str">
        <f>IFERROR(__xludf.DUMMYFUNCTION("TEXTJOIN(CHAR(10),TRUE,FILTER(ARRAYFORMULA(IF(Y$14:Y72&lt;&gt;"""", X$14:X72 &amp;"" : ""&amp; Y$14:Y72 &amp;"" cm"","""")), X$14:X72 &lt;&gt;""""))"),"")</f>
        <v/>
      </c>
      <c r="B35" s="160"/>
      <c r="C35" s="11"/>
      <c r="D35" s="11" t="s">
        <v>112</v>
      </c>
      <c r="E35" s="232"/>
      <c r="F35" s="231" t="str">
        <f t="array" ref="F35">IF(
  E35 = 0, 
  "", 
  IFERROR(
    INDEX(
      'アイテム別限界値DB'!$K:$K, 
      MATCH(
        1, 
        ('アイテム別限界値DB'!$B:$B = D$10) * 
        ('アイテム別限界値DB'!$F:$F = D35) * 
        ('アイテム別限界値DB'!$H:$H = E35), 
        0
      )
    ), 
    "再製作"
  )
)
</f>
        <v/>
      </c>
      <c r="G35" s="218" t="str">
        <f t="array" ref="G35">IF(
  E35 = 0, 
  "", 
  IFERROR(
    INDEX(
      'アイテム別限界値DB'!$L:$L, 
      MATCH(
        1, 
        ('アイテム別限界値DB'!$B:$B = D$10) * 
        ('アイテム別限界値DB'!$C:$C = D35) * 
        ('アイテム別限界値DB'!$F:$F = E35), 
        0
      )
    ), 
    ""
  )
)
</f>
        <v/>
      </c>
      <c r="H35" s="11"/>
      <c r="I35" s="11"/>
      <c r="J35" s="220"/>
      <c r="K35" s="184"/>
      <c r="L35" s="11"/>
      <c r="M35" s="11"/>
      <c r="N35" s="11"/>
      <c r="O35" s="220"/>
      <c r="P35" s="184"/>
      <c r="Q35" s="11"/>
      <c r="R35" s="12"/>
      <c r="S35" s="11"/>
      <c r="T35" s="220"/>
      <c r="U35" s="184"/>
      <c r="V35" s="11"/>
      <c r="W35" s="11"/>
      <c r="X35" s="11"/>
      <c r="Y35" s="220"/>
      <c r="Z35" s="184"/>
      <c r="AA35" s="11"/>
      <c r="AB35" s="11"/>
      <c r="AC35" s="11"/>
      <c r="AD35" s="220"/>
      <c r="AE35" s="184"/>
      <c r="AF35" s="11"/>
      <c r="AG35" s="11"/>
      <c r="AH35" s="11"/>
      <c r="AI35" s="220"/>
      <c r="AJ35" s="184"/>
      <c r="AK35" s="11"/>
      <c r="AL35" s="11"/>
      <c r="AM35" s="11"/>
      <c r="AN35" s="220"/>
      <c r="AO35" s="184"/>
      <c r="AP35" s="11"/>
      <c r="AQ35" s="11"/>
      <c r="AR35" s="11"/>
      <c r="AS35" s="220"/>
      <c r="AT35" s="184"/>
      <c r="AU35" s="11"/>
      <c r="AV35" s="11"/>
      <c r="AW35" s="11"/>
      <c r="AX35" s="220"/>
      <c r="AY35" s="184"/>
      <c r="AZ35" s="11"/>
      <c r="BA35" s="11"/>
      <c r="BB35" s="11"/>
      <c r="BC35" s="220"/>
      <c r="BD35" s="184"/>
      <c r="BE35" s="11"/>
      <c r="BF35" s="11"/>
      <c r="BG35" s="11"/>
      <c r="BH35" s="220"/>
      <c r="BI35" s="184"/>
      <c r="BJ35" s="11"/>
      <c r="BK35" s="11"/>
      <c r="BL35" s="11"/>
      <c r="BM35" s="220"/>
      <c r="BN35" s="184"/>
      <c r="BO35" s="11"/>
      <c r="BP35" s="11"/>
    </row>
    <row r="36" ht="15.75" customHeight="1">
      <c r="A36" s="236" t="str">
        <f>if($A$34&lt;&gt;"", "《仕上がり数値》","")</f>
        <v/>
      </c>
      <c r="B36" s="229"/>
      <c r="C36" s="11"/>
      <c r="D36" s="11" t="s">
        <v>113</v>
      </c>
      <c r="E36" s="232"/>
      <c r="F36" s="231" t="str">
        <f t="array" ref="F36">IF(
  E36 = 0, 
  "", 
  IFERROR(
    INDEX(
      'アイテム別限界値DB'!$K:$K, 
      MATCH(
        1, 
        ('アイテム別限界値DB'!$B:$B = D$10) * 
        ('アイテム別限界値DB'!$F:$F = D36) * 
        ('アイテム別限界値DB'!$H:$H = E36), 
        0
      )
    ), 
    "再製作"
  )
)
</f>
        <v/>
      </c>
      <c r="G36" s="218" t="str">
        <f t="array" ref="G36">IF(
  E36 = 0, 
  "", 
  IFERROR(
    INDEX(
      'アイテム別限界値DB'!$L:$L, 
      MATCH(
        1, 
        ('アイテム別限界値DB'!$B:$B = D$10) * 
        ('アイテム別限界値DB'!$C:$C = D36) * 
        ('アイテム別限界値DB'!$F:$F = E36), 
        0
      )
    ), 
    ""
  )
)
</f>
        <v/>
      </c>
      <c r="H36" s="11"/>
      <c r="I36" s="11"/>
      <c r="J36" s="220"/>
      <c r="K36" s="184"/>
      <c r="L36" s="11"/>
      <c r="M36" s="11"/>
      <c r="N36" s="11"/>
      <c r="O36" s="220"/>
      <c r="P36" s="184"/>
      <c r="Q36" s="11"/>
      <c r="R36" s="12"/>
      <c r="S36" s="11"/>
      <c r="T36" s="220"/>
      <c r="U36" s="184"/>
      <c r="V36" s="11"/>
      <c r="W36" s="11"/>
      <c r="X36" s="11"/>
      <c r="Y36" s="220"/>
      <c r="Z36" s="184"/>
      <c r="AA36" s="11"/>
      <c r="AB36" s="11"/>
      <c r="AC36" s="11"/>
      <c r="AD36" s="220"/>
      <c r="AE36" s="184"/>
      <c r="AF36" s="11"/>
      <c r="AG36" s="11"/>
      <c r="AH36" s="11"/>
      <c r="AI36" s="220"/>
      <c r="AJ36" s="184"/>
      <c r="AK36" s="11"/>
      <c r="AL36" s="11"/>
      <c r="AM36" s="11"/>
      <c r="AN36" s="220"/>
      <c r="AO36" s="184"/>
      <c r="AP36" s="11"/>
      <c r="AQ36" s="11"/>
      <c r="AR36" s="11"/>
      <c r="AS36" s="220"/>
      <c r="AT36" s="184"/>
      <c r="AU36" s="11"/>
      <c r="AV36" s="11"/>
      <c r="AW36" s="11"/>
      <c r="AX36" s="220"/>
      <c r="AY36" s="184"/>
      <c r="AZ36" s="11"/>
      <c r="BA36" s="11"/>
      <c r="BB36" s="11"/>
      <c r="BC36" s="220"/>
      <c r="BD36" s="184"/>
      <c r="BE36" s="11"/>
      <c r="BF36" s="11"/>
      <c r="BG36" s="11"/>
      <c r="BH36" s="220"/>
      <c r="BI36" s="184"/>
      <c r="BJ36" s="11"/>
      <c r="BK36" s="11"/>
      <c r="BL36" s="11"/>
      <c r="BM36" s="220"/>
      <c r="BN36" s="184"/>
      <c r="BO36" s="11"/>
      <c r="BP36" s="11"/>
    </row>
    <row r="37">
      <c r="A37" s="228" t="str">
        <f>IFERROR(__xludf.DUMMYFUNCTION("TEXTJOIN(CHAR(10),TRUE,FILTER(ARRAYFORMULA(IF(Y$14:Y72&lt;&gt;"""", X$14:X72 &amp;"" :  cm"","""")), X$14:X72 &lt;&gt;""""))"),"")</f>
        <v/>
      </c>
      <c r="B37" s="12"/>
      <c r="C37" s="11"/>
      <c r="D37" s="11" t="s">
        <v>114</v>
      </c>
      <c r="E37" s="232"/>
      <c r="F37" s="231" t="str">
        <f t="array" ref="F37">IF(
  E37 = 0, 
  "", 
  IFERROR(
    INDEX(
      'アイテム別限界値DB'!$K:$K, 
      MATCH(
        1, 
        ('アイテム別限界値DB'!$B:$B = D$10) * 
        ('アイテム別限界値DB'!$F:$F = D37) * 
        ('アイテム別限界値DB'!$H:$H = E37), 
        0
      )
    ), 
    "再製作"
  )
)
</f>
        <v/>
      </c>
      <c r="G37" s="218" t="str">
        <f t="array" ref="G37">IF(
  E37 = 0, 
  "", 
  IFERROR(
    INDEX(
      'アイテム別限界値DB'!$L:$L, 
      MATCH(
        1, 
        ('アイテム別限界値DB'!$B:$B = D$10) * 
        ('アイテム別限界値DB'!$C:$C = D37) * 
        ('アイテム別限界値DB'!$F:$F = E37), 
        0
      )
    ), 
    ""
  )
)
</f>
        <v/>
      </c>
      <c r="H37" s="11"/>
      <c r="I37" s="11"/>
      <c r="J37" s="220"/>
      <c r="K37" s="184"/>
      <c r="L37" s="11"/>
      <c r="M37" s="11"/>
      <c r="N37" s="11"/>
      <c r="O37" s="220"/>
      <c r="P37" s="184"/>
      <c r="Q37" s="11"/>
      <c r="R37" s="12"/>
      <c r="S37" s="11"/>
      <c r="T37" s="220"/>
      <c r="U37" s="184"/>
      <c r="V37" s="11"/>
      <c r="W37" s="11"/>
      <c r="X37" s="11"/>
      <c r="Y37" s="220"/>
      <c r="Z37" s="184"/>
      <c r="AA37" s="11"/>
      <c r="AB37" s="11"/>
      <c r="AC37" s="11"/>
      <c r="AD37" s="220"/>
      <c r="AE37" s="184"/>
      <c r="AF37" s="11"/>
      <c r="AG37" s="11"/>
      <c r="AH37" s="11"/>
      <c r="AI37" s="220"/>
      <c r="AJ37" s="184"/>
      <c r="AK37" s="11"/>
      <c r="AL37" s="11"/>
      <c r="AM37" s="11"/>
      <c r="AN37" s="220"/>
      <c r="AO37" s="184"/>
      <c r="AP37" s="11"/>
      <c r="AQ37" s="11"/>
      <c r="AR37" s="11"/>
      <c r="AS37" s="220"/>
      <c r="AT37" s="184"/>
      <c r="AU37" s="11"/>
      <c r="AV37" s="11"/>
      <c r="AW37" s="11"/>
      <c r="AX37" s="220"/>
      <c r="AY37" s="184"/>
      <c r="AZ37" s="11"/>
      <c r="BA37" s="11"/>
      <c r="BB37" s="11"/>
      <c r="BC37" s="220"/>
      <c r="BD37" s="184"/>
      <c r="BE37" s="11"/>
      <c r="BF37" s="11"/>
      <c r="BG37" s="11"/>
      <c r="BH37" s="220"/>
      <c r="BI37" s="184"/>
      <c r="BJ37" s="11"/>
      <c r="BK37" s="11"/>
      <c r="BL37" s="11"/>
      <c r="BM37" s="220"/>
      <c r="BN37" s="184"/>
      <c r="BO37" s="11"/>
      <c r="BP37" s="11"/>
    </row>
    <row r="38">
      <c r="A38" s="243" t="s">
        <v>115</v>
      </c>
      <c r="B38" s="160"/>
      <c r="C38" s="11"/>
      <c r="D38" s="11" t="s">
        <v>116</v>
      </c>
      <c r="E38" s="230"/>
      <c r="F38" s="231" t="str">
        <f t="array" ref="F38">IF(
  E38 = 0, 
  "", 
  IFERROR(
    INDEX(
      'アイテム別限界値DB'!$K:$K, 
      MATCH(
        1, 
        ('アイテム別限界値DB'!$B:$B = D$10) * 
        ('アイテム別限界値DB'!$F:$F = D38) * 
        ('アイテム別限界値DB'!$H:$H = E38), 
        0
      )
    ), 
    "再製作"
  )
)
</f>
        <v/>
      </c>
      <c r="G38" s="218" t="str">
        <f t="array" ref="G38">IF(
  E38 = 0, 
  "", 
  IFERROR(
    INDEX(
      'アイテム別限界値DB'!$L:$L, 
      MATCH(
        1, 
        ('アイテム別限界値DB'!$B:$B = D$10) * 
        ('アイテム別限界値DB'!$C:$C = D38) * 
        ('アイテム別限界値DB'!$F:$F = E38), 
        0
      )
    ), 
    ""
  )
)
</f>
        <v/>
      </c>
      <c r="H38" s="11"/>
      <c r="I38" s="11"/>
      <c r="J38" s="220"/>
      <c r="K38" s="184"/>
      <c r="L38" s="11"/>
      <c r="M38" s="11"/>
      <c r="N38" s="11"/>
      <c r="O38" s="220"/>
      <c r="P38" s="184"/>
      <c r="Q38" s="11"/>
      <c r="R38" s="12"/>
      <c r="S38" s="11"/>
      <c r="T38" s="220"/>
      <c r="U38" s="184"/>
      <c r="V38" s="11"/>
      <c r="W38" s="11"/>
      <c r="X38" s="11"/>
      <c r="Y38" s="220"/>
      <c r="Z38" s="184"/>
      <c r="AA38" s="11"/>
      <c r="AB38" s="11"/>
      <c r="AC38" s="11"/>
      <c r="AD38" s="220"/>
      <c r="AE38" s="184"/>
      <c r="AF38" s="11"/>
      <c r="AG38" s="11"/>
      <c r="AH38" s="11"/>
      <c r="AI38" s="220"/>
      <c r="AJ38" s="184"/>
      <c r="AK38" s="11"/>
      <c r="AL38" s="11"/>
      <c r="AM38" s="11"/>
      <c r="AN38" s="220"/>
      <c r="AO38" s="184"/>
      <c r="AP38" s="11"/>
      <c r="AQ38" s="11"/>
      <c r="AR38" s="11"/>
      <c r="AS38" s="220"/>
      <c r="AT38" s="184"/>
      <c r="AU38" s="11"/>
      <c r="AV38" s="11"/>
      <c r="AW38" s="11"/>
      <c r="AX38" s="220"/>
      <c r="AY38" s="184"/>
      <c r="AZ38" s="11"/>
      <c r="BA38" s="11"/>
      <c r="BB38" s="11"/>
      <c r="BC38" s="220"/>
      <c r="BD38" s="184"/>
      <c r="BE38" s="11"/>
      <c r="BF38" s="11"/>
      <c r="BG38" s="11"/>
      <c r="BH38" s="220"/>
      <c r="BI38" s="184"/>
      <c r="BJ38" s="11"/>
      <c r="BK38" s="11"/>
      <c r="BL38" s="11"/>
      <c r="BM38" s="220"/>
      <c r="BN38" s="184"/>
      <c r="BO38" s="11"/>
      <c r="BP38" s="11"/>
    </row>
    <row r="39">
      <c r="A39" s="228" t="str">
        <f>IF( $AC$11 = "再製作", "◼︎ ポロシャツ（対応着地：再製作）" &amp; char(10) &amp; "《修正数値》" , IF($AC$11 &lt;&gt; "", "◼︎ ポロシャツ（対応着地：お直し）" &amp; char(10) &amp; "《修正数値》" , ""))</f>
        <v/>
      </c>
      <c r="B39" s="229"/>
      <c r="C39" s="11"/>
      <c r="D39" s="11" t="s">
        <v>117</v>
      </c>
      <c r="E39" s="230"/>
      <c r="F39" s="231" t="str">
        <f t="array" ref="F39">IF(
  E39 = 0, 
  "", 
  IFERROR(
    INDEX(
      'アイテム別限界値DB'!$I:$I, 
      MATCH(
        1, 
        ('アイテム別限界値DB'!$B:$B = D$10) * 
        ('アイテム別限界値DB'!$C:$C = D39) * 
        ('アイテム別限界値DB'!$F:$F = E39), 
        0
      )
    ), 
    "再製作"
  )
)
</f>
        <v/>
      </c>
      <c r="G39" s="218" t="str">
        <f t="array" ref="G39">IF(
  E39 = 0, 
  "", 
  IFERROR(
    INDEX(
      'アイテム別限界値DB'!$L:$L, 
      MATCH(
        1, 
        ('アイテム別限界値DB'!$B:$B = D$10) * 
        ('アイテム別限界値DB'!$C:$C = D39) * 
        ('アイテム別限界値DB'!$F:$F = E39), 
        0
      )
    ), 
    ""
  )
)
</f>
        <v/>
      </c>
      <c r="H39" s="11"/>
      <c r="I39" s="11"/>
      <c r="J39" s="220"/>
      <c r="K39" s="184"/>
      <c r="L39" s="11"/>
      <c r="M39" s="11"/>
      <c r="N39" s="11"/>
      <c r="O39" s="220"/>
      <c r="P39" s="184"/>
      <c r="Q39" s="11"/>
      <c r="R39" s="12"/>
      <c r="S39" s="11"/>
      <c r="T39" s="220"/>
      <c r="U39" s="184"/>
      <c r="V39" s="11"/>
      <c r="W39" s="11"/>
      <c r="X39" s="11"/>
      <c r="Y39" s="220"/>
      <c r="Z39" s="184"/>
      <c r="AA39" s="11"/>
      <c r="AB39" s="11"/>
      <c r="AC39" s="11"/>
      <c r="AD39" s="220"/>
      <c r="AE39" s="184"/>
      <c r="AF39" s="11"/>
      <c r="AG39" s="11"/>
      <c r="AH39" s="11"/>
      <c r="AI39" s="220"/>
      <c r="AJ39" s="184"/>
      <c r="AK39" s="11"/>
      <c r="AL39" s="11"/>
      <c r="AM39" s="11"/>
      <c r="AN39" s="220"/>
      <c r="AO39" s="184"/>
      <c r="AP39" s="11"/>
      <c r="AQ39" s="11"/>
      <c r="AR39" s="11"/>
      <c r="AS39" s="220"/>
      <c r="AT39" s="184"/>
      <c r="AU39" s="11"/>
      <c r="AV39" s="11"/>
      <c r="AW39" s="11"/>
      <c r="AX39" s="220"/>
      <c r="AY39" s="184"/>
      <c r="AZ39" s="11"/>
      <c r="BA39" s="11"/>
      <c r="BB39" s="11"/>
      <c r="BC39" s="220"/>
      <c r="BD39" s="184"/>
      <c r="BE39" s="11"/>
      <c r="BF39" s="11"/>
      <c r="BG39" s="11"/>
      <c r="BH39" s="220"/>
      <c r="BI39" s="184"/>
      <c r="BJ39" s="11"/>
      <c r="BK39" s="11"/>
      <c r="BL39" s="11"/>
      <c r="BM39" s="220"/>
      <c r="BN39" s="184"/>
      <c r="BO39" s="11"/>
      <c r="BP39" s="11"/>
    </row>
    <row r="40">
      <c r="A40" s="228" t="str">
        <f>IFERROR(__xludf.DUMMYFUNCTION("TEXTJOIN(CHAR(10),TRUE,FILTER(ARRAYFORMULA(IF(AD$14:AD72&lt;&gt;"""",AC$14:AC72&amp;"" : ""&amp; AD$14:AD72 &amp;"" cm"","""")), AC$14:AC72 &lt;&gt;""""))"),"")</f>
        <v/>
      </c>
      <c r="B40" s="12"/>
      <c r="C40" s="11"/>
      <c r="D40" s="11" t="s">
        <v>118</v>
      </c>
      <c r="E40" s="232"/>
      <c r="F40" s="231" t="str">
        <f t="array" ref="F40">IF(
  E40 = 0, 
  "", 
  IFERROR(
    INDEX(
      'アイテム別限界値DB'!$I:$I, 
      MATCH(
        1, 
        ('アイテム別限界値DB'!$B:$B = D$10) * 
        ('アイテム別限界値DB'!$C:$C = D40) * 
        ('アイテム別限界値DB'!$F:$F = E40), 
        0
      )
    ), 
    "再製作"
  )
)
</f>
        <v/>
      </c>
      <c r="G40" s="121"/>
      <c r="H40" s="11"/>
      <c r="I40" s="11"/>
      <c r="J40" s="220"/>
      <c r="K40" s="184"/>
      <c r="L40" s="11"/>
      <c r="M40" s="11"/>
      <c r="N40" s="11"/>
      <c r="O40" s="220"/>
      <c r="P40" s="184"/>
      <c r="Q40" s="11"/>
      <c r="R40" s="12"/>
      <c r="S40" s="11"/>
      <c r="T40" s="220"/>
      <c r="U40" s="184"/>
      <c r="V40" s="11"/>
      <c r="W40" s="11"/>
      <c r="X40" s="11"/>
      <c r="Y40" s="220"/>
      <c r="Z40" s="184"/>
      <c r="AA40" s="11"/>
      <c r="AB40" s="11"/>
      <c r="AC40" s="11"/>
      <c r="AD40" s="220"/>
      <c r="AE40" s="184"/>
      <c r="AF40" s="11"/>
      <c r="AG40" s="11"/>
      <c r="AH40" s="11"/>
      <c r="AI40" s="220"/>
      <c r="AJ40" s="184"/>
      <c r="AK40" s="11"/>
      <c r="AL40" s="11"/>
      <c r="AM40" s="11"/>
      <c r="AN40" s="220"/>
      <c r="AO40" s="184"/>
      <c r="AP40" s="11"/>
      <c r="AQ40" s="11"/>
      <c r="AR40" s="11"/>
      <c r="AS40" s="220"/>
      <c r="AT40" s="184"/>
      <c r="AU40" s="11"/>
      <c r="AV40" s="11"/>
      <c r="AW40" s="11"/>
      <c r="AX40" s="220"/>
      <c r="AY40" s="184"/>
      <c r="AZ40" s="11"/>
      <c r="BA40" s="11"/>
      <c r="BB40" s="11"/>
      <c r="BC40" s="220"/>
      <c r="BD40" s="184"/>
      <c r="BE40" s="11"/>
      <c r="BF40" s="11"/>
      <c r="BG40" s="11"/>
      <c r="BH40" s="220"/>
      <c r="BI40" s="184"/>
      <c r="BJ40" s="11"/>
      <c r="BK40" s="11"/>
      <c r="BL40" s="11"/>
      <c r="BM40" s="220"/>
      <c r="BN40" s="184"/>
      <c r="BO40" s="11"/>
      <c r="BP40" s="11"/>
    </row>
    <row r="41">
      <c r="A41" s="244" t="str">
        <f>if($A$39&lt;&gt;"", "《仕上がり数値》","")</f>
        <v/>
      </c>
      <c r="B41" s="160"/>
      <c r="C41" s="11"/>
      <c r="D41" s="11" t="s">
        <v>119</v>
      </c>
      <c r="E41" s="232"/>
      <c r="F41" s="231" t="str">
        <f t="array" ref="F41">IF(
  E41 = 0, 
  "", 
  IFERROR(
    INDEX(
      'アイテム別限界値DB'!$I:$I, 
      MATCH(
        1, 
        ('アイテム別限界値DB'!$B:$B = D$10) * 
        ('アイテム別限界値DB'!$C:$C = D41) * 
        ('アイテム別限界値DB'!$F:$F = E41), 
        0
      )
    ), 
    "再製作"
  )
)
</f>
        <v/>
      </c>
      <c r="G41" s="195"/>
      <c r="H41" s="11"/>
      <c r="I41" s="11"/>
      <c r="J41" s="220"/>
      <c r="K41" s="184"/>
      <c r="L41" s="11"/>
      <c r="M41" s="11"/>
      <c r="N41" s="11"/>
      <c r="O41" s="220"/>
      <c r="P41" s="184"/>
      <c r="Q41" s="11"/>
      <c r="R41" s="12"/>
      <c r="S41" s="11"/>
      <c r="T41" s="220"/>
      <c r="U41" s="184"/>
      <c r="V41" s="11"/>
      <c r="W41" s="11"/>
      <c r="X41" s="11"/>
      <c r="Y41" s="220"/>
      <c r="Z41" s="184"/>
      <c r="AA41" s="11"/>
      <c r="AB41" s="11"/>
      <c r="AC41" s="11"/>
      <c r="AD41" s="220"/>
      <c r="AE41" s="184"/>
      <c r="AF41" s="11"/>
      <c r="AG41" s="11"/>
      <c r="AH41" s="11"/>
      <c r="AI41" s="220"/>
      <c r="AJ41" s="184"/>
      <c r="AK41" s="11"/>
      <c r="AL41" s="11"/>
      <c r="AM41" s="11"/>
      <c r="AN41" s="220"/>
      <c r="AO41" s="184"/>
      <c r="AP41" s="11"/>
      <c r="AQ41" s="11"/>
      <c r="AR41" s="11"/>
      <c r="AS41" s="220"/>
      <c r="AT41" s="184"/>
      <c r="AU41" s="11"/>
      <c r="AV41" s="11"/>
      <c r="AW41" s="11"/>
      <c r="AX41" s="220"/>
      <c r="AY41" s="184"/>
      <c r="AZ41" s="11"/>
      <c r="BA41" s="11"/>
      <c r="BB41" s="11"/>
      <c r="BC41" s="220"/>
      <c r="BD41" s="184"/>
      <c r="BE41" s="11"/>
      <c r="BF41" s="11"/>
      <c r="BG41" s="11"/>
      <c r="BH41" s="220"/>
      <c r="BI41" s="184"/>
      <c r="BJ41" s="11"/>
      <c r="BK41" s="11"/>
      <c r="BL41" s="11"/>
      <c r="BM41" s="220"/>
      <c r="BN41" s="184"/>
      <c r="BO41" s="11"/>
      <c r="BP41" s="11"/>
    </row>
    <row r="42">
      <c r="A42" s="228" t="str">
        <f>IFERROR(__xludf.DUMMYFUNCTION("TEXTJOIN(CHAR(10),TRUE,FILTER(ARRAYFORMULA(IF(AD$14:AD72&lt;&gt;"""",AC$14:AC72&amp;"" :  cm"","""")), AC$14:AC72 &lt;&gt;""""))"),"")</f>
        <v/>
      </c>
      <c r="B42" s="229"/>
      <c r="C42" s="11"/>
      <c r="D42" s="11" t="s">
        <v>120</v>
      </c>
      <c r="E42" s="232"/>
      <c r="F42" s="231" t="str">
        <f t="array" ref="F42">IF(
  E42 = 0, 
  "", 
  IFERROR(
    INDEX(
      'アイテム別限界値DB'!$I:$I, 
      MATCH(
        1, 
        ('アイテム別限界値DB'!$B:$B = D$10) * 
        ('アイテム別限界値DB'!$C:$C = D42) * 
        ('アイテム別限界値DB'!$F:$F = E42), 
        0
      )
    ), 
    "再製作"
  )
)
</f>
        <v/>
      </c>
      <c r="G42" s="195"/>
      <c r="H42" s="11"/>
      <c r="I42" s="11"/>
      <c r="J42" s="220"/>
      <c r="K42" s="184"/>
      <c r="L42" s="11"/>
      <c r="M42" s="11"/>
      <c r="N42" s="11"/>
      <c r="O42" s="220"/>
      <c r="P42" s="184"/>
      <c r="Q42" s="11"/>
      <c r="R42" s="12"/>
      <c r="S42" s="11"/>
      <c r="T42" s="220"/>
      <c r="U42" s="184"/>
      <c r="V42" s="11"/>
      <c r="W42" s="11"/>
      <c r="X42" s="11"/>
      <c r="Y42" s="220"/>
      <c r="Z42" s="184"/>
      <c r="AA42" s="11"/>
      <c r="AB42" s="11"/>
      <c r="AC42" s="11"/>
      <c r="AD42" s="220"/>
      <c r="AE42" s="184"/>
      <c r="AF42" s="11"/>
      <c r="AG42" s="11"/>
      <c r="AH42" s="11"/>
      <c r="AI42" s="220"/>
      <c r="AJ42" s="184"/>
      <c r="AK42" s="11"/>
      <c r="AL42" s="11"/>
      <c r="AM42" s="11"/>
      <c r="AN42" s="220"/>
      <c r="AO42" s="184"/>
      <c r="AP42" s="11"/>
      <c r="AQ42" s="11"/>
      <c r="AR42" s="11"/>
      <c r="AS42" s="220"/>
      <c r="AT42" s="184"/>
      <c r="AU42" s="11"/>
      <c r="AV42" s="11"/>
      <c r="AW42" s="11"/>
      <c r="AX42" s="220"/>
      <c r="AY42" s="184"/>
      <c r="AZ42" s="11"/>
      <c r="BA42" s="11"/>
      <c r="BB42" s="11"/>
      <c r="BC42" s="220"/>
      <c r="BD42" s="184"/>
      <c r="BE42" s="11"/>
      <c r="BF42" s="11"/>
      <c r="BG42" s="11"/>
      <c r="BH42" s="220"/>
      <c r="BI42" s="184"/>
      <c r="BJ42" s="11"/>
      <c r="BK42" s="11"/>
      <c r="BL42" s="11"/>
      <c r="BM42" s="220"/>
      <c r="BN42" s="184"/>
      <c r="BO42" s="11"/>
      <c r="BP42" s="11"/>
    </row>
    <row r="43">
      <c r="A43" s="222" t="s">
        <v>121</v>
      </c>
      <c r="B43" s="185"/>
      <c r="C43" s="11"/>
      <c r="D43" s="11"/>
      <c r="E43" s="220"/>
      <c r="F43" s="220"/>
      <c r="G43" s="220"/>
      <c r="H43" s="11"/>
      <c r="I43" s="11"/>
      <c r="J43" s="220"/>
      <c r="K43" s="184"/>
      <c r="L43" s="184"/>
      <c r="M43" s="11"/>
      <c r="N43" s="11"/>
      <c r="O43" s="195"/>
      <c r="P43" s="11"/>
      <c r="Q43" s="11"/>
      <c r="R43" s="12"/>
      <c r="S43" s="11"/>
      <c r="T43" s="220"/>
      <c r="U43" s="184"/>
      <c r="V43" s="184"/>
      <c r="W43" s="11"/>
      <c r="X43" s="11"/>
      <c r="Y43" s="220"/>
      <c r="Z43" s="184"/>
      <c r="AA43" s="184"/>
      <c r="AB43" s="11"/>
      <c r="AC43" s="11"/>
      <c r="AD43" s="220"/>
      <c r="AE43" s="184"/>
      <c r="AF43" s="184"/>
      <c r="AG43" s="11"/>
      <c r="AH43" s="11"/>
      <c r="AI43" s="220"/>
      <c r="AJ43" s="184"/>
      <c r="AK43" s="184"/>
      <c r="AL43" s="11"/>
      <c r="AM43" s="11"/>
      <c r="AN43" s="220"/>
      <c r="AO43" s="184"/>
      <c r="AP43" s="184"/>
      <c r="AQ43" s="11"/>
      <c r="AR43" s="11"/>
      <c r="AS43" s="220"/>
      <c r="AT43" s="184"/>
      <c r="AU43" s="184"/>
      <c r="AV43" s="11"/>
      <c r="AW43" s="11"/>
      <c r="AX43" s="220"/>
      <c r="AY43" s="184"/>
      <c r="AZ43" s="184"/>
      <c r="BA43" s="11"/>
      <c r="BB43" s="11"/>
      <c r="BC43" s="220"/>
      <c r="BD43" s="184"/>
      <c r="BE43" s="184"/>
      <c r="BF43" s="11"/>
      <c r="BG43" s="11"/>
      <c r="BH43" s="220"/>
      <c r="BI43" s="184"/>
      <c r="BJ43" s="184"/>
      <c r="BK43" s="184"/>
      <c r="BL43" s="184"/>
      <c r="BM43" s="184"/>
      <c r="BN43" s="184"/>
      <c r="BO43" s="184"/>
      <c r="BP43" s="184"/>
    </row>
    <row r="44">
      <c r="A44" s="245" t="str">
        <f>IF( $AH$11 = "再製作", "◼︎ アルスターコート（対応着地：再製作）" &amp; char(10) &amp; "《修正数値》", IF($AH$11 &lt;&gt; "", "◼︎ アルスターコート（対応着地：お直し）" &amp; char(10) &amp; "《修正数値》", ""))</f>
        <v/>
      </c>
      <c r="B44" s="187"/>
      <c r="C44" s="11"/>
      <c r="D44" s="11"/>
      <c r="E44" s="220"/>
      <c r="F44" s="220"/>
      <c r="G44" s="220"/>
      <c r="H44" s="11"/>
      <c r="I44" s="11"/>
      <c r="J44" s="220"/>
      <c r="K44" s="184"/>
      <c r="L44" s="184"/>
      <c r="M44" s="11"/>
      <c r="N44" s="11"/>
      <c r="O44" s="195"/>
      <c r="P44" s="11"/>
      <c r="Q44" s="11"/>
      <c r="R44" s="12"/>
      <c r="S44" s="11"/>
      <c r="T44" s="220"/>
      <c r="U44" s="184"/>
      <c r="V44" s="184"/>
      <c r="W44" s="11"/>
      <c r="X44" s="11"/>
      <c r="Y44" s="220"/>
      <c r="Z44" s="184"/>
      <c r="AA44" s="184"/>
      <c r="AB44" s="11"/>
      <c r="AC44" s="11"/>
      <c r="AD44" s="220"/>
      <c r="AE44" s="184"/>
      <c r="AF44" s="184"/>
      <c r="AG44" s="11"/>
      <c r="AH44" s="11"/>
      <c r="AI44" s="220"/>
      <c r="AJ44" s="184"/>
      <c r="AK44" s="184"/>
      <c r="AL44" s="11"/>
      <c r="AM44" s="11"/>
      <c r="AN44" s="220"/>
      <c r="AO44" s="184"/>
      <c r="AP44" s="184"/>
      <c r="AQ44" s="11"/>
      <c r="AR44" s="11"/>
      <c r="AS44" s="220"/>
      <c r="AT44" s="184"/>
      <c r="AU44" s="184"/>
      <c r="AV44" s="11"/>
      <c r="AW44" s="11"/>
      <c r="AX44" s="220"/>
      <c r="AY44" s="184"/>
      <c r="AZ44" s="184"/>
      <c r="BA44" s="11"/>
      <c r="BB44" s="11"/>
      <c r="BC44" s="220"/>
      <c r="BD44" s="184"/>
      <c r="BE44" s="184"/>
      <c r="BF44" s="11"/>
      <c r="BG44" s="11"/>
      <c r="BH44" s="220"/>
      <c r="BI44" s="184"/>
      <c r="BJ44" s="184"/>
      <c r="BK44" s="184"/>
      <c r="BL44" s="184"/>
      <c r="BM44" s="184"/>
      <c r="BN44" s="184"/>
      <c r="BO44" s="184"/>
      <c r="BP44" s="184"/>
    </row>
    <row r="45">
      <c r="A45" s="228" t="str">
        <f>IFERROR(__xludf.DUMMYFUNCTION("TEXTJOIN(CHAR(10),TRUE,FILTER(ARRAYFORMULA(IF($AI$14:$AI72&lt;&gt;"""",AH$14:AH72&amp;"" : ""&amp; AI$14:AI72 &amp;"" cm"","""")), AH$14:AH72 &lt;&gt;""""))"),"")</f>
        <v/>
      </c>
      <c r="B45" s="246"/>
      <c r="C45" s="11"/>
      <c r="D45" s="11"/>
      <c r="E45" s="220"/>
      <c r="F45" s="220"/>
      <c r="G45" s="220"/>
      <c r="H45" s="11"/>
      <c r="I45" s="11"/>
      <c r="J45" s="220"/>
      <c r="K45" s="184"/>
      <c r="L45" s="184"/>
      <c r="M45" s="11"/>
      <c r="N45" s="11"/>
      <c r="O45" s="195"/>
      <c r="P45" s="11"/>
      <c r="Q45" s="11"/>
      <c r="R45" s="12"/>
      <c r="S45" s="11"/>
      <c r="T45" s="220"/>
      <c r="U45" s="184"/>
      <c r="V45" s="184"/>
      <c r="W45" s="11"/>
      <c r="X45" s="11"/>
      <c r="Y45" s="220"/>
      <c r="Z45" s="184"/>
      <c r="AA45" s="184"/>
      <c r="AB45" s="11"/>
      <c r="AC45" s="11"/>
      <c r="AD45" s="220"/>
      <c r="AE45" s="184"/>
      <c r="AF45" s="184"/>
      <c r="AG45" s="11"/>
      <c r="AH45" s="11"/>
      <c r="AI45" s="220"/>
      <c r="AJ45" s="184"/>
      <c r="AK45" s="184"/>
      <c r="AL45" s="11"/>
      <c r="AM45" s="11"/>
      <c r="AN45" s="220"/>
      <c r="AO45" s="184"/>
      <c r="AP45" s="184"/>
      <c r="AQ45" s="11"/>
      <c r="AR45" s="11"/>
      <c r="AS45" s="220"/>
      <c r="AT45" s="184"/>
      <c r="AU45" s="184"/>
      <c r="AV45" s="11"/>
      <c r="AW45" s="11"/>
      <c r="AX45" s="220"/>
      <c r="AY45" s="184"/>
      <c r="AZ45" s="184"/>
      <c r="BA45" s="11"/>
      <c r="BB45" s="11"/>
      <c r="BC45" s="220"/>
      <c r="BD45" s="184"/>
      <c r="BE45" s="184"/>
      <c r="BF45" s="11"/>
      <c r="BG45" s="11"/>
      <c r="BH45" s="220"/>
      <c r="BI45" s="184"/>
      <c r="BJ45" s="184"/>
      <c r="BK45" s="184"/>
      <c r="BL45" s="184"/>
      <c r="BM45" s="184"/>
      <c r="BN45" s="184"/>
      <c r="BO45" s="184"/>
      <c r="BP45" s="184"/>
    </row>
    <row r="46">
      <c r="A46" s="242" t="str">
        <f>if($A$44&lt;&gt;"", "《仕上がり数値》","")</f>
        <v/>
      </c>
      <c r="B46" s="240"/>
      <c r="C46" s="11"/>
      <c r="D46" s="11"/>
      <c r="E46" s="220"/>
      <c r="F46" s="220"/>
      <c r="G46" s="220"/>
      <c r="H46" s="11"/>
      <c r="I46" s="11"/>
      <c r="J46" s="220"/>
      <c r="K46" s="184"/>
      <c r="L46" s="184"/>
      <c r="M46" s="11"/>
      <c r="N46" s="11"/>
      <c r="O46" s="195"/>
      <c r="P46" s="11"/>
      <c r="Q46" s="11"/>
      <c r="R46" s="12"/>
      <c r="S46" s="11"/>
      <c r="T46" s="220"/>
      <c r="U46" s="184"/>
      <c r="V46" s="184"/>
      <c r="W46" s="11"/>
      <c r="X46" s="11"/>
      <c r="Y46" s="220"/>
      <c r="Z46" s="184"/>
      <c r="AA46" s="184"/>
      <c r="AB46" s="11"/>
      <c r="AC46" s="11"/>
      <c r="AD46" s="220"/>
      <c r="AE46" s="184"/>
      <c r="AF46" s="184"/>
      <c r="AG46" s="11"/>
      <c r="AH46" s="11"/>
      <c r="AI46" s="220"/>
      <c r="AJ46" s="184"/>
      <c r="AK46" s="184"/>
      <c r="AL46" s="11"/>
      <c r="AM46" s="11"/>
      <c r="AN46" s="220"/>
      <c r="AO46" s="184"/>
      <c r="AP46" s="184"/>
      <c r="AQ46" s="11"/>
      <c r="AR46" s="11"/>
      <c r="AS46" s="220"/>
      <c r="AT46" s="184"/>
      <c r="AU46" s="184"/>
      <c r="AV46" s="11"/>
      <c r="AW46" s="11"/>
      <c r="AX46" s="220"/>
      <c r="AY46" s="184"/>
      <c r="AZ46" s="184"/>
      <c r="BA46" s="11"/>
      <c r="BB46" s="11"/>
      <c r="BC46" s="220"/>
      <c r="BD46" s="184"/>
      <c r="BE46" s="184"/>
      <c r="BF46" s="11"/>
      <c r="BG46" s="11"/>
      <c r="BH46" s="220"/>
      <c r="BI46" s="184"/>
      <c r="BJ46" s="184"/>
      <c r="BK46" s="184"/>
      <c r="BL46" s="184"/>
      <c r="BM46" s="184"/>
      <c r="BN46" s="184"/>
      <c r="BO46" s="184"/>
      <c r="BP46" s="184"/>
    </row>
    <row r="47">
      <c r="A47" s="228" t="str">
        <f>IFERROR(__xludf.DUMMYFUNCTION("TEXTJOIN(CHAR(10),TRUE,FILTER(ARRAYFORMULA(IF($AI$14:$AI72&lt;&gt;"""",AH$14:AH72&amp;"" :  cm"","""")), AH$14:AH72 &lt;&gt;""""))"),"")</f>
        <v/>
      </c>
      <c r="B47" s="240"/>
      <c r="C47" s="11"/>
      <c r="D47" s="11"/>
      <c r="E47" s="220"/>
      <c r="F47" s="220"/>
      <c r="G47" s="220"/>
      <c r="H47" s="11"/>
      <c r="I47" s="11"/>
      <c r="J47" s="220"/>
      <c r="K47" s="184"/>
      <c r="L47" s="184"/>
      <c r="M47" s="11"/>
      <c r="N47" s="11"/>
      <c r="O47" s="195"/>
      <c r="P47" s="11"/>
      <c r="Q47" s="11"/>
      <c r="R47" s="12"/>
      <c r="S47" s="11"/>
      <c r="T47" s="220"/>
      <c r="U47" s="184"/>
      <c r="V47" s="184"/>
      <c r="W47" s="11"/>
      <c r="X47" s="11"/>
      <c r="Y47" s="220"/>
      <c r="Z47" s="184"/>
      <c r="AA47" s="184"/>
      <c r="AB47" s="11"/>
      <c r="AC47" s="11"/>
      <c r="AD47" s="220"/>
      <c r="AE47" s="184"/>
      <c r="AF47" s="184"/>
      <c r="AG47" s="11"/>
      <c r="AH47" s="11"/>
      <c r="AI47" s="220"/>
      <c r="AJ47" s="184"/>
      <c r="AK47" s="184"/>
      <c r="AL47" s="11"/>
      <c r="AM47" s="11"/>
      <c r="AN47" s="220"/>
      <c r="AO47" s="184"/>
      <c r="AP47" s="184"/>
      <c r="AQ47" s="11"/>
      <c r="AR47" s="11"/>
      <c r="AS47" s="220"/>
      <c r="AT47" s="184"/>
      <c r="AU47" s="184"/>
      <c r="AV47" s="11"/>
      <c r="AW47" s="11"/>
      <c r="AX47" s="220"/>
      <c r="AY47" s="184"/>
      <c r="AZ47" s="184"/>
      <c r="BA47" s="11"/>
      <c r="BB47" s="11"/>
      <c r="BC47" s="220"/>
      <c r="BD47" s="184"/>
      <c r="BE47" s="184"/>
      <c r="BF47" s="11"/>
      <c r="BG47" s="11"/>
      <c r="BH47" s="220"/>
      <c r="BI47" s="184"/>
      <c r="BJ47" s="184"/>
      <c r="BK47" s="184"/>
      <c r="BL47" s="184"/>
      <c r="BM47" s="184"/>
      <c r="BN47" s="184"/>
      <c r="BO47" s="184"/>
      <c r="BP47" s="184"/>
    </row>
    <row r="48">
      <c r="A48" s="237" t="s">
        <v>122</v>
      </c>
      <c r="B48" s="240"/>
      <c r="C48" s="11"/>
      <c r="D48" s="11"/>
      <c r="E48" s="220"/>
      <c r="F48" s="220"/>
      <c r="G48" s="220"/>
      <c r="H48" s="11"/>
      <c r="I48" s="11"/>
      <c r="J48" s="220"/>
      <c r="K48" s="184"/>
      <c r="L48" s="184"/>
      <c r="M48" s="11"/>
      <c r="N48" s="11"/>
      <c r="O48" s="195"/>
      <c r="P48" s="11"/>
      <c r="Q48" s="11"/>
      <c r="R48" s="12"/>
      <c r="S48" s="11"/>
      <c r="T48" s="220"/>
      <c r="U48" s="184"/>
      <c r="V48" s="184"/>
      <c r="W48" s="11"/>
      <c r="X48" s="11"/>
      <c r="Y48" s="220"/>
      <c r="Z48" s="184"/>
      <c r="AA48" s="184"/>
      <c r="AB48" s="11"/>
      <c r="AC48" s="11"/>
      <c r="AD48" s="220"/>
      <c r="AE48" s="184"/>
      <c r="AF48" s="184"/>
      <c r="AG48" s="11"/>
      <c r="AH48" s="11"/>
      <c r="AI48" s="220"/>
      <c r="AJ48" s="184"/>
      <c r="AK48" s="184"/>
      <c r="AL48" s="11"/>
      <c r="AM48" s="11"/>
      <c r="AN48" s="220"/>
      <c r="AO48" s="184"/>
      <c r="AP48" s="184"/>
      <c r="AQ48" s="11"/>
      <c r="AR48" s="11"/>
      <c r="AS48" s="220"/>
      <c r="AT48" s="184"/>
      <c r="AU48" s="184"/>
      <c r="AV48" s="11"/>
      <c r="AW48" s="11"/>
      <c r="AX48" s="220"/>
      <c r="AY48" s="184"/>
      <c r="AZ48" s="184"/>
      <c r="BA48" s="11"/>
      <c r="BB48" s="11"/>
      <c r="BC48" s="220"/>
      <c r="BD48" s="184"/>
      <c r="BE48" s="184"/>
      <c r="BF48" s="11"/>
      <c r="BG48" s="11"/>
      <c r="BH48" s="220"/>
      <c r="BI48" s="184"/>
      <c r="BJ48" s="184"/>
      <c r="BK48" s="184"/>
      <c r="BL48" s="184"/>
      <c r="BM48" s="184"/>
      <c r="BN48" s="184"/>
      <c r="BO48" s="184"/>
      <c r="BP48" s="184"/>
    </row>
    <row r="49">
      <c r="A49" s="245" t="str">
        <f>IF( $AM$11 = "再製作", "◼︎ ショートステンカラーコート（対応着地：再製作）" &amp; char(10) &amp; "《修正数値》", IF($AM$11 &lt;&gt; "", "◼︎ ショートステンカラーコート（対応着地：お直し）"  &amp; char(10) &amp; "《修正数値》", ""))</f>
        <v/>
      </c>
      <c r="B49" s="240"/>
      <c r="C49" s="11"/>
      <c r="D49" s="11"/>
      <c r="E49" s="220"/>
      <c r="F49" s="220"/>
      <c r="G49" s="220"/>
      <c r="H49" s="11"/>
      <c r="I49" s="11"/>
      <c r="J49" s="220"/>
      <c r="K49" s="184"/>
      <c r="L49" s="184"/>
      <c r="M49" s="11"/>
      <c r="N49" s="11"/>
      <c r="O49" s="195"/>
      <c r="P49" s="11"/>
      <c r="Q49" s="11"/>
      <c r="R49" s="12"/>
      <c r="S49" s="11"/>
      <c r="T49" s="220"/>
      <c r="U49" s="184"/>
      <c r="V49" s="184"/>
      <c r="W49" s="11"/>
      <c r="X49" s="11"/>
      <c r="Y49" s="220"/>
      <c r="Z49" s="184"/>
      <c r="AA49" s="184"/>
      <c r="AB49" s="11"/>
      <c r="AC49" s="11"/>
      <c r="AD49" s="220"/>
      <c r="AE49" s="184"/>
      <c r="AF49" s="184"/>
      <c r="AG49" s="11"/>
      <c r="AH49" s="11"/>
      <c r="AI49" s="220"/>
      <c r="AJ49" s="184"/>
      <c r="AK49" s="184"/>
      <c r="AL49" s="11"/>
      <c r="AM49" s="11"/>
      <c r="AN49" s="220"/>
      <c r="AO49" s="184"/>
      <c r="AP49" s="184"/>
      <c r="AQ49" s="11"/>
      <c r="AR49" s="11"/>
      <c r="AS49" s="220"/>
      <c r="AT49" s="184"/>
      <c r="AU49" s="184"/>
      <c r="AV49" s="11"/>
      <c r="AW49" s="11"/>
      <c r="AX49" s="220"/>
      <c r="AY49" s="184"/>
      <c r="AZ49" s="184"/>
      <c r="BA49" s="11"/>
      <c r="BB49" s="11"/>
      <c r="BC49" s="220"/>
      <c r="BD49" s="184"/>
      <c r="BE49" s="184"/>
      <c r="BF49" s="11"/>
      <c r="BG49" s="11"/>
      <c r="BH49" s="220"/>
      <c r="BI49" s="184"/>
      <c r="BJ49" s="184"/>
      <c r="BK49" s="184"/>
      <c r="BL49" s="184"/>
      <c r="BM49" s="184"/>
      <c r="BN49" s="184"/>
      <c r="BO49" s="184"/>
      <c r="BP49" s="184"/>
    </row>
    <row r="50">
      <c r="A50" s="228" t="str">
        <f>IFERROR(__xludf.DUMMYFUNCTION("TEXTJOIN(CHAR(10),TRUE,FILTER(ARRAYFORMULA(IF(AN$14:AN72&lt;&gt;"""",AM$14:AM72&amp;"" : ""&amp; AN$14:AN72 &amp;"" cm"" &amp; ""（仕上がり寸：cm）"","""")), AM$14:AM72 &lt;&gt;""""))"),"")</f>
        <v/>
      </c>
      <c r="B50" s="240"/>
      <c r="C50" s="11"/>
      <c r="D50" s="11"/>
      <c r="E50" s="220"/>
      <c r="F50" s="220"/>
      <c r="G50" s="220"/>
      <c r="H50" s="11"/>
      <c r="I50" s="11"/>
      <c r="J50" s="220"/>
      <c r="K50" s="184"/>
      <c r="L50" s="184"/>
      <c r="M50" s="11"/>
      <c r="N50" s="11"/>
      <c r="O50" s="195"/>
      <c r="P50" s="11"/>
      <c r="Q50" s="11"/>
      <c r="R50" s="12"/>
      <c r="S50" s="11"/>
      <c r="T50" s="220"/>
      <c r="U50" s="184"/>
      <c r="V50" s="184"/>
      <c r="W50" s="11"/>
      <c r="X50" s="11"/>
      <c r="Y50" s="220"/>
      <c r="Z50" s="184"/>
      <c r="AA50" s="184"/>
      <c r="AB50" s="11"/>
      <c r="AC50" s="11"/>
      <c r="AD50" s="220"/>
      <c r="AE50" s="184"/>
      <c r="AF50" s="184"/>
      <c r="AG50" s="11"/>
      <c r="AH50" s="11"/>
      <c r="AI50" s="220"/>
      <c r="AJ50" s="184"/>
      <c r="AK50" s="184"/>
      <c r="AL50" s="11"/>
      <c r="AM50" s="11"/>
      <c r="AN50" s="220"/>
      <c r="AO50" s="184"/>
      <c r="AP50" s="184"/>
      <c r="AQ50" s="11"/>
      <c r="AR50" s="11"/>
      <c r="AS50" s="220"/>
      <c r="AT50" s="184"/>
      <c r="AU50" s="184"/>
      <c r="AV50" s="11"/>
      <c r="AW50" s="11"/>
      <c r="AX50" s="220"/>
      <c r="AY50" s="184"/>
      <c r="AZ50" s="184"/>
      <c r="BA50" s="11"/>
      <c r="BB50" s="11"/>
      <c r="BC50" s="220"/>
      <c r="BD50" s="184"/>
      <c r="BE50" s="184"/>
      <c r="BF50" s="11"/>
      <c r="BG50" s="11"/>
      <c r="BH50" s="220"/>
      <c r="BI50" s="184"/>
      <c r="BJ50" s="184"/>
      <c r="BK50" s="184"/>
      <c r="BL50" s="184"/>
      <c r="BM50" s="184"/>
      <c r="BN50" s="184"/>
      <c r="BO50" s="184"/>
      <c r="BP50" s="184"/>
    </row>
    <row r="51">
      <c r="A51" s="244" t="str">
        <f>if($A$49&lt;&gt;"", "《仕上がり数値》","")</f>
        <v/>
      </c>
      <c r="B51" s="240"/>
      <c r="C51" s="11"/>
      <c r="D51" s="11"/>
      <c r="E51" s="220"/>
      <c r="F51" s="220"/>
      <c r="G51" s="220"/>
      <c r="H51" s="11"/>
      <c r="I51" s="11"/>
      <c r="J51" s="220"/>
      <c r="K51" s="184"/>
      <c r="L51" s="184"/>
      <c r="M51" s="11"/>
      <c r="N51" s="11"/>
      <c r="O51" s="195"/>
      <c r="P51" s="11"/>
      <c r="Q51" s="11"/>
      <c r="R51" s="12"/>
      <c r="S51" s="11"/>
      <c r="T51" s="220"/>
      <c r="U51" s="184"/>
      <c r="V51" s="184"/>
      <c r="W51" s="11"/>
      <c r="X51" s="11"/>
      <c r="Y51" s="220"/>
      <c r="Z51" s="184"/>
      <c r="AA51" s="184"/>
      <c r="AB51" s="11"/>
      <c r="AC51" s="11"/>
      <c r="AD51" s="220"/>
      <c r="AE51" s="184"/>
      <c r="AF51" s="184"/>
      <c r="AG51" s="11"/>
      <c r="AH51" s="11"/>
      <c r="AI51" s="220"/>
      <c r="AJ51" s="184"/>
      <c r="AK51" s="184"/>
      <c r="AL51" s="11"/>
      <c r="AM51" s="11"/>
      <c r="AN51" s="220"/>
      <c r="AO51" s="184"/>
      <c r="AP51" s="184"/>
      <c r="AQ51" s="11"/>
      <c r="AR51" s="11"/>
      <c r="AS51" s="220"/>
      <c r="AT51" s="184"/>
      <c r="AU51" s="184"/>
      <c r="AV51" s="11"/>
      <c r="AW51" s="11"/>
      <c r="AX51" s="220"/>
      <c r="AY51" s="184"/>
      <c r="AZ51" s="184"/>
      <c r="BA51" s="11"/>
      <c r="BB51" s="11"/>
      <c r="BC51" s="220"/>
      <c r="BD51" s="184"/>
      <c r="BE51" s="184"/>
      <c r="BF51" s="11"/>
      <c r="BG51" s="11"/>
      <c r="BH51" s="220"/>
      <c r="BI51" s="184"/>
      <c r="BJ51" s="184"/>
      <c r="BK51" s="184"/>
      <c r="BL51" s="184"/>
      <c r="BM51" s="184"/>
      <c r="BN51" s="184"/>
      <c r="BO51" s="184"/>
      <c r="BP51" s="184"/>
    </row>
    <row r="52">
      <c r="A52" s="228" t="str">
        <f>IFERROR(__xludf.DUMMYFUNCTION("TEXTJOIN(CHAR(10),TRUE,FILTER(ARRAYFORMULA(IF(AN$14:AN72&lt;&gt;"""",AM$14:AM72&amp;"" : ""&amp; AN$14:AN72 &amp;"" cm"" &amp; ""（仕上がり寸：cm）"","""")), AM$14:AM72 &lt;&gt;""""))"),"")</f>
        <v/>
      </c>
      <c r="B52" s="240"/>
      <c r="C52" s="11"/>
      <c r="D52" s="11"/>
      <c r="E52" s="220"/>
      <c r="F52" s="220"/>
      <c r="G52" s="220"/>
      <c r="H52" s="11"/>
      <c r="I52" s="11"/>
      <c r="J52" s="220"/>
      <c r="K52" s="184"/>
      <c r="L52" s="184"/>
      <c r="M52" s="11"/>
      <c r="N52" s="11"/>
      <c r="O52" s="195"/>
      <c r="P52" s="11"/>
      <c r="Q52" s="11"/>
      <c r="R52" s="12"/>
      <c r="S52" s="11"/>
      <c r="T52" s="220"/>
      <c r="U52" s="184"/>
      <c r="V52" s="184"/>
      <c r="W52" s="11"/>
      <c r="X52" s="11"/>
      <c r="Y52" s="220"/>
      <c r="Z52" s="184"/>
      <c r="AA52" s="184"/>
      <c r="AB52" s="11"/>
      <c r="AC52" s="11"/>
      <c r="AD52" s="220"/>
      <c r="AE52" s="184"/>
      <c r="AF52" s="184"/>
      <c r="AG52" s="11"/>
      <c r="AH52" s="11"/>
      <c r="AI52" s="220"/>
      <c r="AJ52" s="184"/>
      <c r="AK52" s="184"/>
      <c r="AL52" s="11"/>
      <c r="AM52" s="11"/>
      <c r="AN52" s="220"/>
      <c r="AO52" s="184"/>
      <c r="AP52" s="184"/>
      <c r="AQ52" s="11"/>
      <c r="AR52" s="11"/>
      <c r="AS52" s="220"/>
      <c r="AT52" s="184"/>
      <c r="AU52" s="184"/>
      <c r="AV52" s="11"/>
      <c r="AW52" s="11"/>
      <c r="AX52" s="220"/>
      <c r="AY52" s="184"/>
      <c r="AZ52" s="184"/>
      <c r="BA52" s="11"/>
      <c r="BB52" s="11"/>
      <c r="BC52" s="220"/>
      <c r="BD52" s="184"/>
      <c r="BE52" s="184"/>
      <c r="BF52" s="11"/>
      <c r="BG52" s="11"/>
      <c r="BH52" s="220"/>
      <c r="BI52" s="184"/>
      <c r="BJ52" s="184"/>
      <c r="BK52" s="184"/>
      <c r="BL52" s="184"/>
      <c r="BM52" s="184"/>
      <c r="BN52" s="184"/>
      <c r="BO52" s="184"/>
      <c r="BP52" s="184"/>
    </row>
    <row r="53">
      <c r="A53" s="243" t="s">
        <v>123</v>
      </c>
      <c r="B53" s="240"/>
      <c r="C53" s="11"/>
      <c r="D53" s="11"/>
      <c r="E53" s="220"/>
      <c r="F53" s="220"/>
      <c r="G53" s="220"/>
      <c r="H53" s="11"/>
      <c r="I53" s="11"/>
      <c r="J53" s="220"/>
      <c r="K53" s="184"/>
      <c r="L53" s="184"/>
      <c r="M53" s="11"/>
      <c r="N53" s="11"/>
      <c r="O53" s="195"/>
      <c r="P53" s="11"/>
      <c r="Q53" s="11"/>
      <c r="R53" s="12"/>
      <c r="S53" s="11"/>
      <c r="T53" s="220"/>
      <c r="U53" s="184"/>
      <c r="V53" s="184"/>
      <c r="W53" s="11"/>
      <c r="X53" s="11"/>
      <c r="Y53" s="220"/>
      <c r="Z53" s="184"/>
      <c r="AA53" s="184"/>
      <c r="AB53" s="11"/>
      <c r="AC53" s="11"/>
      <c r="AD53" s="220"/>
      <c r="AE53" s="184"/>
      <c r="AF53" s="184"/>
      <c r="AG53" s="11"/>
      <c r="AH53" s="11"/>
      <c r="AI53" s="220"/>
      <c r="AJ53" s="184"/>
      <c r="AK53" s="184"/>
      <c r="AL53" s="11"/>
      <c r="AM53" s="11"/>
      <c r="AN53" s="220"/>
      <c r="AO53" s="184"/>
      <c r="AP53" s="184"/>
      <c r="AQ53" s="11"/>
      <c r="AR53" s="11"/>
      <c r="AS53" s="220"/>
      <c r="AT53" s="184"/>
      <c r="AU53" s="184"/>
      <c r="AV53" s="11"/>
      <c r="AW53" s="11"/>
      <c r="AX53" s="220"/>
      <c r="AY53" s="184"/>
      <c r="AZ53" s="184"/>
      <c r="BA53" s="11"/>
      <c r="BB53" s="11"/>
      <c r="BC53" s="220"/>
      <c r="BD53" s="184"/>
      <c r="BE53" s="184"/>
      <c r="BF53" s="11"/>
      <c r="BG53" s="11"/>
      <c r="BH53" s="220"/>
      <c r="BI53" s="184"/>
      <c r="BJ53" s="184"/>
      <c r="BK53" s="184"/>
      <c r="BL53" s="184"/>
      <c r="BM53" s="184"/>
      <c r="BN53" s="184"/>
      <c r="BO53" s="184"/>
      <c r="BP53" s="184"/>
    </row>
    <row r="54">
      <c r="A54" s="245" t="str">
        <f>IF( $AR$11 = "再製作", "◼︎ ステンカラーコート（対応着地：再製作）" &amp;char(10)&amp; "《修正数値》", IF($AR$11 &lt;&gt; "", "◼︎ ステンカラーコート（対応着地：お直し）" &amp;char(10)&amp; "《修正数値》", ""))</f>
        <v/>
      </c>
      <c r="B54" s="240"/>
      <c r="C54" s="11"/>
      <c r="D54" s="11"/>
      <c r="E54" s="220"/>
      <c r="F54" s="220"/>
      <c r="G54" s="220"/>
      <c r="H54" s="11"/>
      <c r="I54" s="11"/>
      <c r="J54" s="220"/>
      <c r="K54" s="184"/>
      <c r="L54" s="184"/>
      <c r="M54" s="11"/>
      <c r="N54" s="11"/>
      <c r="O54" s="195"/>
      <c r="P54" s="11"/>
      <c r="Q54" s="11"/>
      <c r="R54" s="12"/>
      <c r="S54" s="11"/>
      <c r="T54" s="220"/>
      <c r="U54" s="184"/>
      <c r="V54" s="184"/>
      <c r="W54" s="11"/>
      <c r="X54" s="11"/>
      <c r="Y54" s="220"/>
      <c r="Z54" s="184"/>
      <c r="AA54" s="184"/>
      <c r="AB54" s="11"/>
      <c r="AC54" s="11"/>
      <c r="AD54" s="220"/>
      <c r="AE54" s="184"/>
      <c r="AF54" s="184"/>
      <c r="AG54" s="11"/>
      <c r="AH54" s="11"/>
      <c r="AI54" s="220"/>
      <c r="AJ54" s="184"/>
      <c r="AK54" s="184"/>
      <c r="AL54" s="11"/>
      <c r="AM54" s="11"/>
      <c r="AN54" s="220"/>
      <c r="AO54" s="184"/>
      <c r="AP54" s="184"/>
      <c r="AQ54" s="11"/>
      <c r="AR54" s="11"/>
      <c r="AS54" s="220"/>
      <c r="AT54" s="184"/>
      <c r="AU54" s="184"/>
      <c r="AV54" s="11"/>
      <c r="AW54" s="11"/>
      <c r="AX54" s="220"/>
      <c r="AY54" s="184"/>
      <c r="AZ54" s="184"/>
      <c r="BA54" s="11"/>
      <c r="BB54" s="11"/>
      <c r="BC54" s="220"/>
      <c r="BD54" s="184"/>
      <c r="BE54" s="184"/>
      <c r="BF54" s="11"/>
      <c r="BG54" s="11"/>
      <c r="BH54" s="220"/>
      <c r="BI54" s="184"/>
      <c r="BJ54" s="184"/>
      <c r="BK54" s="184"/>
      <c r="BL54" s="184"/>
      <c r="BM54" s="184"/>
      <c r="BN54" s="184"/>
      <c r="BO54" s="184"/>
      <c r="BP54" s="184"/>
    </row>
    <row r="55">
      <c r="A55" s="228" t="str">
        <f>IFERROR(__xludf.DUMMYFUNCTION("TEXTJOIN(CHAR(10),TRUE,FILTER(ARRAYFORMULA(IF(AS$14:AS72&lt;&gt;"""",AR$14:AR72&amp;"" : ""&amp; AS$14:AS72 &amp;"" cm"","""")), AR$14:AR72 &lt;&gt;""""))"),"")</f>
        <v/>
      </c>
      <c r="B55" s="240"/>
      <c r="C55" s="11"/>
      <c r="D55" s="11"/>
      <c r="E55" s="220"/>
      <c r="F55" s="220"/>
      <c r="G55" s="220"/>
      <c r="H55" s="11"/>
      <c r="I55" s="11"/>
      <c r="J55" s="220"/>
      <c r="K55" s="184"/>
      <c r="L55" s="184"/>
      <c r="M55" s="11"/>
      <c r="N55" s="11"/>
      <c r="O55" s="195"/>
      <c r="P55" s="11"/>
      <c r="Q55" s="11"/>
      <c r="R55" s="12"/>
      <c r="S55" s="11"/>
      <c r="T55" s="220"/>
      <c r="U55" s="184"/>
      <c r="V55" s="184"/>
      <c r="W55" s="11"/>
      <c r="X55" s="11"/>
      <c r="Y55" s="220"/>
      <c r="Z55" s="184"/>
      <c r="AA55" s="184"/>
      <c r="AB55" s="11"/>
      <c r="AC55" s="11"/>
      <c r="AD55" s="220"/>
      <c r="AE55" s="184"/>
      <c r="AF55" s="184"/>
      <c r="AG55" s="11"/>
      <c r="AH55" s="11"/>
      <c r="AI55" s="220"/>
      <c r="AJ55" s="184"/>
      <c r="AK55" s="184"/>
      <c r="AL55" s="11"/>
      <c r="AM55" s="11"/>
      <c r="AN55" s="220"/>
      <c r="AO55" s="184"/>
      <c r="AP55" s="184"/>
      <c r="AQ55" s="11"/>
      <c r="AR55" s="11"/>
      <c r="AS55" s="220"/>
      <c r="AT55" s="184"/>
      <c r="AU55" s="184"/>
      <c r="AV55" s="11"/>
      <c r="AW55" s="11"/>
      <c r="AX55" s="220"/>
      <c r="AY55" s="184"/>
      <c r="AZ55" s="184"/>
      <c r="BA55" s="11"/>
      <c r="BB55" s="11"/>
      <c r="BC55" s="220"/>
      <c r="BD55" s="184"/>
      <c r="BE55" s="184"/>
      <c r="BF55" s="11"/>
      <c r="BG55" s="11"/>
      <c r="BH55" s="220"/>
      <c r="BI55" s="184"/>
      <c r="BJ55" s="184"/>
      <c r="BK55" s="184"/>
      <c r="BL55" s="184"/>
      <c r="BM55" s="184"/>
      <c r="BN55" s="184"/>
      <c r="BO55" s="184"/>
      <c r="BP55" s="184"/>
    </row>
    <row r="56">
      <c r="A56" s="244" t="str">
        <f>if($A$54&lt;&gt;"", "《仕上がり数値》","")</f>
        <v/>
      </c>
      <c r="B56" s="240"/>
      <c r="C56" s="11"/>
      <c r="D56" s="11"/>
      <c r="E56" s="220"/>
      <c r="F56" s="220"/>
      <c r="G56" s="220"/>
      <c r="H56" s="11"/>
      <c r="I56" s="11"/>
      <c r="J56" s="220"/>
      <c r="K56" s="184"/>
      <c r="L56" s="184"/>
      <c r="M56" s="11"/>
      <c r="N56" s="11"/>
      <c r="O56" s="195"/>
      <c r="P56" s="11"/>
      <c r="Q56" s="11"/>
      <c r="R56" s="12"/>
      <c r="S56" s="11"/>
      <c r="T56" s="220"/>
      <c r="U56" s="184"/>
      <c r="V56" s="184"/>
      <c r="W56" s="11"/>
      <c r="X56" s="11"/>
      <c r="Y56" s="220"/>
      <c r="Z56" s="184"/>
      <c r="AA56" s="184"/>
      <c r="AB56" s="11"/>
      <c r="AC56" s="11"/>
      <c r="AD56" s="220"/>
      <c r="AE56" s="184"/>
      <c r="AF56" s="184"/>
      <c r="AG56" s="11"/>
      <c r="AH56" s="11"/>
      <c r="AI56" s="220"/>
      <c r="AJ56" s="184"/>
      <c r="AK56" s="184"/>
      <c r="AL56" s="11"/>
      <c r="AM56" s="11"/>
      <c r="AN56" s="220"/>
      <c r="AO56" s="184"/>
      <c r="AP56" s="184"/>
      <c r="AQ56" s="11"/>
      <c r="AR56" s="11"/>
      <c r="AS56" s="220"/>
      <c r="AT56" s="184"/>
      <c r="AU56" s="184"/>
      <c r="AV56" s="11"/>
      <c r="AW56" s="11"/>
      <c r="AX56" s="220"/>
      <c r="AY56" s="184"/>
      <c r="AZ56" s="184"/>
      <c r="BA56" s="11"/>
      <c r="BB56" s="11"/>
      <c r="BC56" s="220"/>
      <c r="BD56" s="184"/>
      <c r="BE56" s="184"/>
      <c r="BF56" s="11"/>
      <c r="BG56" s="11"/>
      <c r="BH56" s="220"/>
      <c r="BI56" s="184"/>
      <c r="BJ56" s="184"/>
      <c r="BK56" s="184"/>
      <c r="BL56" s="184"/>
      <c r="BM56" s="184"/>
      <c r="BN56" s="184"/>
      <c r="BO56" s="184"/>
      <c r="BP56" s="184"/>
    </row>
    <row r="57">
      <c r="A57" s="228" t="str">
        <f>IFERROR(__xludf.DUMMYFUNCTION("TEXTJOIN(CHAR(10),TRUE,FILTER(ARRAYFORMULA(IF(AS$14:AS72&lt;&gt;"""",AR$14:AR72&amp;"" :  cm"","""")), AR$14:AR72 &lt;&gt;""""))"),"")</f>
        <v/>
      </c>
      <c r="B57" s="240"/>
      <c r="C57" s="11"/>
      <c r="D57" s="11"/>
      <c r="E57" s="220"/>
      <c r="F57" s="220"/>
      <c r="G57" s="220"/>
      <c r="H57" s="11"/>
      <c r="I57" s="11"/>
      <c r="J57" s="220"/>
      <c r="K57" s="184"/>
      <c r="L57" s="184"/>
      <c r="M57" s="11"/>
      <c r="N57" s="11"/>
      <c r="O57" s="195"/>
      <c r="P57" s="11"/>
      <c r="Q57" s="11"/>
      <c r="R57" s="12"/>
      <c r="S57" s="11"/>
      <c r="T57" s="220"/>
      <c r="U57" s="184"/>
      <c r="V57" s="184"/>
      <c r="W57" s="11"/>
      <c r="X57" s="11"/>
      <c r="Y57" s="220"/>
      <c r="Z57" s="184"/>
      <c r="AA57" s="184"/>
      <c r="AB57" s="11"/>
      <c r="AC57" s="11"/>
      <c r="AD57" s="220"/>
      <c r="AE57" s="184"/>
      <c r="AF57" s="184"/>
      <c r="AG57" s="11"/>
      <c r="AH57" s="11"/>
      <c r="AI57" s="220"/>
      <c r="AJ57" s="184"/>
      <c r="AK57" s="184"/>
      <c r="AL57" s="11"/>
      <c r="AM57" s="11"/>
      <c r="AN57" s="220"/>
      <c r="AO57" s="184"/>
      <c r="AP57" s="184"/>
      <c r="AQ57" s="11"/>
      <c r="AR57" s="11"/>
      <c r="AS57" s="220"/>
      <c r="AT57" s="184"/>
      <c r="AU57" s="184"/>
      <c r="AV57" s="11"/>
      <c r="AW57" s="11"/>
      <c r="AX57" s="220"/>
      <c r="AY57" s="184"/>
      <c r="AZ57" s="184"/>
      <c r="BA57" s="11"/>
      <c r="BB57" s="11"/>
      <c r="BC57" s="220"/>
      <c r="BD57" s="184"/>
      <c r="BE57" s="184"/>
      <c r="BF57" s="11"/>
      <c r="BG57" s="11"/>
      <c r="BH57" s="220"/>
      <c r="BI57" s="184"/>
      <c r="BJ57" s="184"/>
      <c r="BK57" s="184"/>
      <c r="BL57" s="184"/>
      <c r="BM57" s="184"/>
      <c r="BN57" s="184"/>
      <c r="BO57" s="184"/>
      <c r="BP57" s="184"/>
    </row>
    <row r="58">
      <c r="A58" s="243" t="s">
        <v>124</v>
      </c>
      <c r="B58" s="240"/>
      <c r="C58" s="11"/>
      <c r="D58" s="11"/>
      <c r="E58" s="220"/>
      <c r="F58" s="220"/>
      <c r="G58" s="220"/>
      <c r="H58" s="11"/>
      <c r="I58" s="11"/>
      <c r="J58" s="220"/>
      <c r="K58" s="184"/>
      <c r="L58" s="184"/>
      <c r="M58" s="11"/>
      <c r="N58" s="11"/>
      <c r="O58" s="195"/>
      <c r="P58" s="11"/>
      <c r="Q58" s="11"/>
      <c r="R58" s="12"/>
      <c r="S58" s="11"/>
      <c r="T58" s="220"/>
      <c r="U58" s="184"/>
      <c r="V58" s="184"/>
      <c r="W58" s="11"/>
      <c r="X58" s="11"/>
      <c r="Y58" s="220"/>
      <c r="Z58" s="184"/>
      <c r="AA58" s="184"/>
      <c r="AB58" s="11"/>
      <c r="AC58" s="11"/>
      <c r="AD58" s="220"/>
      <c r="AE58" s="184"/>
      <c r="AF58" s="184"/>
      <c r="AG58" s="11"/>
      <c r="AH58" s="11"/>
      <c r="AI58" s="220"/>
      <c r="AJ58" s="184"/>
      <c r="AK58" s="184"/>
      <c r="AL58" s="11"/>
      <c r="AM58" s="11"/>
      <c r="AN58" s="220"/>
      <c r="AO58" s="184"/>
      <c r="AP58" s="184"/>
      <c r="AQ58" s="11"/>
      <c r="AR58" s="11"/>
      <c r="AS58" s="220"/>
      <c r="AT58" s="184"/>
      <c r="AU58" s="184"/>
      <c r="AV58" s="11"/>
      <c r="AW58" s="11"/>
      <c r="AX58" s="220"/>
      <c r="AY58" s="184"/>
      <c r="AZ58" s="184"/>
      <c r="BA58" s="11"/>
      <c r="BB58" s="11"/>
      <c r="BC58" s="220"/>
      <c r="BD58" s="184"/>
      <c r="BE58" s="184"/>
      <c r="BF58" s="11"/>
      <c r="BG58" s="11"/>
      <c r="BH58" s="220"/>
      <c r="BI58" s="184"/>
      <c r="BJ58" s="184"/>
      <c r="BK58" s="184"/>
      <c r="BL58" s="184"/>
      <c r="BM58" s="184"/>
      <c r="BN58" s="184"/>
      <c r="BO58" s="184"/>
      <c r="BP58" s="184"/>
    </row>
    <row r="59">
      <c r="A59" s="245" t="str">
        <f>IF( $AW$11 = "再製作", "◼︎ チェスターコート（対応着地：再製作）" &amp;char(10)&amp;"《修正数値》", IF($AW$11 &lt;&gt; "", "◼︎ チェスターコート（対応着地：お直し）" &amp;char(10)&amp;"《修正数値》", ""))</f>
        <v/>
      </c>
      <c r="B59" s="240"/>
      <c r="C59" s="11"/>
      <c r="D59" s="11"/>
      <c r="E59" s="220"/>
      <c r="F59" s="220"/>
      <c r="G59" s="220"/>
      <c r="H59" s="11"/>
      <c r="I59" s="11"/>
      <c r="J59" s="220"/>
      <c r="K59" s="184"/>
      <c r="L59" s="184"/>
      <c r="M59" s="11"/>
      <c r="N59" s="11"/>
      <c r="O59" s="195"/>
      <c r="P59" s="11"/>
      <c r="Q59" s="11"/>
      <c r="R59" s="12"/>
      <c r="S59" s="11"/>
      <c r="T59" s="220"/>
      <c r="U59" s="184"/>
      <c r="V59" s="184"/>
      <c r="W59" s="11"/>
      <c r="X59" s="11"/>
      <c r="Y59" s="220"/>
      <c r="Z59" s="184"/>
      <c r="AA59" s="184"/>
      <c r="AB59" s="11"/>
      <c r="AC59" s="11"/>
      <c r="AD59" s="220"/>
      <c r="AE59" s="184"/>
      <c r="AF59" s="184"/>
      <c r="AG59" s="11"/>
      <c r="AH59" s="11"/>
      <c r="AI59" s="220"/>
      <c r="AJ59" s="184"/>
      <c r="AK59" s="184"/>
      <c r="AL59" s="11"/>
      <c r="AM59" s="11"/>
      <c r="AN59" s="220"/>
      <c r="AO59" s="184"/>
      <c r="AP59" s="184"/>
      <c r="AQ59" s="11"/>
      <c r="AR59" s="11"/>
      <c r="AS59" s="220"/>
      <c r="AT59" s="184"/>
      <c r="AU59" s="184"/>
      <c r="AV59" s="11"/>
      <c r="AW59" s="11"/>
      <c r="AX59" s="220"/>
      <c r="AY59" s="184"/>
      <c r="AZ59" s="184"/>
      <c r="BA59" s="11"/>
      <c r="BB59" s="11"/>
      <c r="BC59" s="220"/>
      <c r="BD59" s="184"/>
      <c r="BE59" s="184"/>
      <c r="BF59" s="11"/>
      <c r="BG59" s="11"/>
      <c r="BH59" s="220"/>
      <c r="BI59" s="184"/>
      <c r="BJ59" s="184"/>
      <c r="BK59" s="184"/>
      <c r="BL59" s="184"/>
      <c r="BM59" s="184"/>
      <c r="BN59" s="184"/>
      <c r="BO59" s="184"/>
      <c r="BP59" s="184"/>
    </row>
    <row r="60">
      <c r="A60" s="228" t="str">
        <f>IFERROR(__xludf.DUMMYFUNCTION("TEXTJOIN(CHAR(10),TRUE,FILTER(ARRAYFORMULA(IF(AX$14:AX72&lt;&gt;"""",AW$14:AW72&amp;"" : ""&amp; AX$14:AX72 &amp;"" cm"","""")), AC$14:AC72 &lt;&gt;""""))"),"")</f>
        <v/>
      </c>
      <c r="B60" s="240"/>
      <c r="C60" s="11"/>
      <c r="D60" s="11"/>
      <c r="E60" s="220"/>
      <c r="F60" s="220"/>
      <c r="G60" s="220"/>
      <c r="H60" s="11"/>
      <c r="I60" s="11"/>
      <c r="J60" s="220"/>
      <c r="K60" s="184"/>
      <c r="L60" s="184"/>
      <c r="M60" s="11"/>
      <c r="N60" s="11"/>
      <c r="O60" s="195"/>
      <c r="P60" s="11"/>
      <c r="Q60" s="11"/>
      <c r="R60" s="12"/>
      <c r="S60" s="11"/>
      <c r="T60" s="220"/>
      <c r="U60" s="184"/>
      <c r="V60" s="184"/>
      <c r="W60" s="11"/>
      <c r="X60" s="11"/>
      <c r="Y60" s="220"/>
      <c r="Z60" s="184"/>
      <c r="AA60" s="184"/>
      <c r="AB60" s="11"/>
      <c r="AC60" s="11"/>
      <c r="AD60" s="220"/>
      <c r="AE60" s="184"/>
      <c r="AF60" s="184"/>
      <c r="AG60" s="11"/>
      <c r="AH60" s="11"/>
      <c r="AI60" s="220"/>
      <c r="AJ60" s="184"/>
      <c r="AK60" s="184"/>
      <c r="AL60" s="11"/>
      <c r="AM60" s="11"/>
      <c r="AN60" s="220"/>
      <c r="AO60" s="184"/>
      <c r="AP60" s="184"/>
      <c r="AQ60" s="11"/>
      <c r="AR60" s="11"/>
      <c r="AS60" s="220"/>
      <c r="AT60" s="184"/>
      <c r="AU60" s="184"/>
      <c r="AV60" s="11"/>
      <c r="AW60" s="11"/>
      <c r="AX60" s="220"/>
      <c r="AY60" s="184"/>
      <c r="AZ60" s="184"/>
      <c r="BA60" s="11"/>
      <c r="BB60" s="11"/>
      <c r="BC60" s="220"/>
      <c r="BD60" s="184"/>
      <c r="BE60" s="184"/>
      <c r="BF60" s="11"/>
      <c r="BG60" s="11"/>
      <c r="BH60" s="220"/>
      <c r="BI60" s="184"/>
      <c r="BJ60" s="184"/>
      <c r="BK60" s="184"/>
      <c r="BL60" s="184"/>
      <c r="BM60" s="184"/>
      <c r="BN60" s="184"/>
      <c r="BO60" s="184"/>
      <c r="BP60" s="184"/>
    </row>
    <row r="61">
      <c r="A61" s="244" t="str">
        <f>if($A$59&lt;&gt;"", "《仕上がり数値》","")</f>
        <v/>
      </c>
      <c r="B61" s="240"/>
      <c r="C61" s="11"/>
      <c r="D61" s="11"/>
      <c r="E61" s="220"/>
      <c r="F61" s="220"/>
      <c r="G61" s="220"/>
      <c r="H61" s="11"/>
      <c r="I61" s="11"/>
      <c r="J61" s="220"/>
      <c r="K61" s="184"/>
      <c r="L61" s="184"/>
      <c r="M61" s="11"/>
      <c r="N61" s="11"/>
      <c r="O61" s="195"/>
      <c r="P61" s="11"/>
      <c r="Q61" s="11"/>
      <c r="R61" s="12"/>
      <c r="S61" s="11"/>
      <c r="T61" s="220"/>
      <c r="U61" s="184"/>
      <c r="V61" s="184"/>
      <c r="W61" s="11"/>
      <c r="X61" s="11"/>
      <c r="Y61" s="220"/>
      <c r="Z61" s="184"/>
      <c r="AA61" s="184"/>
      <c r="AB61" s="11"/>
      <c r="AC61" s="11"/>
      <c r="AD61" s="220"/>
      <c r="AE61" s="184"/>
      <c r="AF61" s="184"/>
      <c r="AG61" s="11"/>
      <c r="AH61" s="11"/>
      <c r="AI61" s="220"/>
      <c r="AJ61" s="184"/>
      <c r="AK61" s="184"/>
      <c r="AL61" s="11"/>
      <c r="AM61" s="11"/>
      <c r="AN61" s="220"/>
      <c r="AO61" s="184"/>
      <c r="AP61" s="184"/>
      <c r="AQ61" s="11"/>
      <c r="AR61" s="11"/>
      <c r="AS61" s="220"/>
      <c r="AT61" s="184"/>
      <c r="AU61" s="184"/>
      <c r="AV61" s="11"/>
      <c r="AW61" s="11"/>
      <c r="AX61" s="220"/>
      <c r="AY61" s="184"/>
      <c r="AZ61" s="184"/>
      <c r="BA61" s="11"/>
      <c r="BB61" s="11"/>
      <c r="BC61" s="220"/>
      <c r="BD61" s="184"/>
      <c r="BE61" s="184"/>
      <c r="BF61" s="11"/>
      <c r="BG61" s="11"/>
      <c r="BH61" s="220"/>
      <c r="BI61" s="184"/>
      <c r="BJ61" s="184"/>
      <c r="BK61" s="184"/>
      <c r="BL61" s="184"/>
      <c r="BM61" s="184"/>
      <c r="BN61" s="184"/>
      <c r="BO61" s="184"/>
      <c r="BP61" s="184"/>
    </row>
    <row r="62">
      <c r="A62" s="228" t="str">
        <f>IFERROR(__xludf.DUMMYFUNCTION("TEXTJOIN(CHAR(10),TRUE,FILTER(ARRAYFORMULA(IF(AX$14:AX72&lt;&gt;"""",AW$14:AW72&amp;"" :  cm"","""")), AC$14:AC72 &lt;&gt;""""))"),"")</f>
        <v/>
      </c>
      <c r="B62" s="240"/>
      <c r="C62" s="11"/>
      <c r="D62" s="11"/>
      <c r="E62" s="220"/>
      <c r="F62" s="220"/>
      <c r="G62" s="220"/>
      <c r="H62" s="11"/>
      <c r="I62" s="11"/>
      <c r="J62" s="220"/>
      <c r="K62" s="184"/>
      <c r="L62" s="184"/>
      <c r="M62" s="11"/>
      <c r="N62" s="11"/>
      <c r="O62" s="195"/>
      <c r="P62" s="11"/>
      <c r="Q62" s="11"/>
      <c r="R62" s="12"/>
      <c r="S62" s="11"/>
      <c r="T62" s="220"/>
      <c r="U62" s="184"/>
      <c r="V62" s="184"/>
      <c r="W62" s="11"/>
      <c r="X62" s="11"/>
      <c r="Y62" s="220"/>
      <c r="Z62" s="184"/>
      <c r="AA62" s="184"/>
      <c r="AB62" s="11"/>
      <c r="AC62" s="11"/>
      <c r="AD62" s="220"/>
      <c r="AE62" s="184"/>
      <c r="AF62" s="184"/>
      <c r="AG62" s="11"/>
      <c r="AH62" s="11"/>
      <c r="AI62" s="220"/>
      <c r="AJ62" s="184"/>
      <c r="AK62" s="184"/>
      <c r="AL62" s="11"/>
      <c r="AM62" s="11"/>
      <c r="AN62" s="220"/>
      <c r="AO62" s="184"/>
      <c r="AP62" s="184"/>
      <c r="AQ62" s="11"/>
      <c r="AR62" s="11"/>
      <c r="AS62" s="220"/>
      <c r="AT62" s="184"/>
      <c r="AU62" s="184"/>
      <c r="AV62" s="11"/>
      <c r="AW62" s="11"/>
      <c r="AX62" s="220"/>
      <c r="AY62" s="184"/>
      <c r="AZ62" s="184"/>
      <c r="BA62" s="11"/>
      <c r="BB62" s="11"/>
      <c r="BC62" s="220"/>
      <c r="BD62" s="184"/>
      <c r="BE62" s="184"/>
      <c r="BF62" s="11"/>
      <c r="BG62" s="11"/>
      <c r="BH62" s="220"/>
      <c r="BI62" s="184"/>
      <c r="BJ62" s="184"/>
      <c r="BK62" s="184"/>
      <c r="BL62" s="184"/>
      <c r="BM62" s="184"/>
      <c r="BN62" s="184"/>
      <c r="BO62" s="184"/>
      <c r="BP62" s="184"/>
    </row>
    <row r="63">
      <c r="A63" s="243" t="s">
        <v>125</v>
      </c>
      <c r="B63" s="240"/>
      <c r="C63" s="11"/>
      <c r="D63" s="11"/>
      <c r="E63" s="220"/>
      <c r="F63" s="220"/>
      <c r="G63" s="220"/>
      <c r="H63" s="11"/>
      <c r="I63" s="11"/>
      <c r="J63" s="220"/>
      <c r="K63" s="184"/>
      <c r="L63" s="184"/>
      <c r="M63" s="11"/>
      <c r="N63" s="11"/>
      <c r="O63" s="195"/>
      <c r="P63" s="11"/>
      <c r="Q63" s="11"/>
      <c r="R63" s="12"/>
      <c r="S63" s="11"/>
      <c r="T63" s="220"/>
      <c r="U63" s="184"/>
      <c r="V63" s="184"/>
      <c r="W63" s="11"/>
      <c r="X63" s="11"/>
      <c r="Y63" s="220"/>
      <c r="Z63" s="184"/>
      <c r="AA63" s="184"/>
      <c r="AB63" s="11"/>
      <c r="AC63" s="11"/>
      <c r="AD63" s="220"/>
      <c r="AE63" s="184"/>
      <c r="AF63" s="184"/>
      <c r="AG63" s="11"/>
      <c r="AH63" s="11"/>
      <c r="AI63" s="220"/>
      <c r="AJ63" s="184"/>
      <c r="AK63" s="184"/>
      <c r="AL63" s="11"/>
      <c r="AM63" s="11"/>
      <c r="AN63" s="220"/>
      <c r="AO63" s="184"/>
      <c r="AP63" s="184"/>
      <c r="AQ63" s="11"/>
      <c r="AR63" s="11"/>
      <c r="AS63" s="220"/>
      <c r="AT63" s="184"/>
      <c r="AU63" s="184"/>
      <c r="AV63" s="11"/>
      <c r="AW63" s="11"/>
      <c r="AX63" s="220"/>
      <c r="AY63" s="184"/>
      <c r="AZ63" s="184"/>
      <c r="BA63" s="11"/>
      <c r="BB63" s="11"/>
      <c r="BC63" s="220"/>
      <c r="BD63" s="184"/>
      <c r="BE63" s="184"/>
      <c r="BF63" s="11"/>
      <c r="BG63" s="11"/>
      <c r="BH63" s="220"/>
      <c r="BI63" s="184"/>
      <c r="BJ63" s="184"/>
      <c r="BK63" s="184"/>
      <c r="BL63" s="184"/>
      <c r="BM63" s="184"/>
      <c r="BN63" s="184"/>
      <c r="BO63" s="184"/>
      <c r="BP63" s="184"/>
    </row>
    <row r="64">
      <c r="A64" s="245" t="str">
        <f>IF( $BB$11 = "再製作", "◼︎ トレンチコート（対応着地：再製作）" &amp;char(10)&amp; "《修正数値》", IF($BB$11 &lt;&gt; "", "◼︎ トレンチコート（対応着地：お直し）" &amp;char(10)&amp; "《修正数値》", ""))</f>
        <v/>
      </c>
      <c r="B64" s="240"/>
      <c r="C64" s="11"/>
      <c r="D64" s="11"/>
      <c r="E64" s="220"/>
      <c r="F64" s="220"/>
      <c r="G64" s="220"/>
      <c r="H64" s="11"/>
      <c r="I64" s="11"/>
      <c r="J64" s="220"/>
      <c r="K64" s="184"/>
      <c r="L64" s="184"/>
      <c r="M64" s="11"/>
      <c r="N64" s="11"/>
      <c r="O64" s="195"/>
      <c r="P64" s="11"/>
      <c r="Q64" s="11"/>
      <c r="R64" s="12"/>
      <c r="S64" s="11"/>
      <c r="T64" s="220"/>
      <c r="U64" s="184"/>
      <c r="V64" s="184"/>
      <c r="W64" s="11"/>
      <c r="X64" s="11"/>
      <c r="Y64" s="220"/>
      <c r="Z64" s="184"/>
      <c r="AA64" s="184"/>
      <c r="AB64" s="11"/>
      <c r="AC64" s="11"/>
      <c r="AD64" s="220"/>
      <c r="AE64" s="184"/>
      <c r="AF64" s="184"/>
      <c r="AG64" s="11"/>
      <c r="AH64" s="11"/>
      <c r="AI64" s="220"/>
      <c r="AJ64" s="184"/>
      <c r="AK64" s="184"/>
      <c r="AL64" s="11"/>
      <c r="AM64" s="11"/>
      <c r="AN64" s="220"/>
      <c r="AO64" s="184"/>
      <c r="AP64" s="184"/>
      <c r="AQ64" s="11"/>
      <c r="AR64" s="11"/>
      <c r="AS64" s="220"/>
      <c r="AT64" s="184"/>
      <c r="AU64" s="184"/>
      <c r="AV64" s="11"/>
      <c r="AW64" s="11"/>
      <c r="AX64" s="220"/>
      <c r="AY64" s="184"/>
      <c r="AZ64" s="184"/>
      <c r="BA64" s="11"/>
      <c r="BB64" s="11"/>
      <c r="BC64" s="220"/>
      <c r="BD64" s="184"/>
      <c r="BE64" s="184"/>
      <c r="BF64" s="11"/>
      <c r="BG64" s="11"/>
      <c r="BH64" s="220"/>
      <c r="BI64" s="184"/>
      <c r="BJ64" s="184"/>
      <c r="BK64" s="184"/>
      <c r="BL64" s="184"/>
      <c r="BM64" s="184"/>
      <c r="BN64" s="184"/>
      <c r="BO64" s="184"/>
      <c r="BP64" s="184"/>
    </row>
    <row r="65">
      <c r="A65" s="228" t="str">
        <f>IFERROR(__xludf.DUMMYFUNCTION("TEXTJOIN(CHAR(10),TRUE,FILTER(ARRAYFORMULA(IF(BC$14:BC72&lt;&gt;"""",BB$14:BB72&amp;"" : ""&amp; BC$14:BC72 &amp;"" cm"","""")), BB$14:BB72 &lt;&gt;""""))"),"")</f>
        <v/>
      </c>
      <c r="B65" s="240"/>
      <c r="C65" s="11"/>
      <c r="D65" s="11"/>
      <c r="E65" s="220"/>
      <c r="F65" s="220"/>
      <c r="G65" s="220"/>
      <c r="H65" s="11"/>
      <c r="I65" s="11"/>
      <c r="J65" s="220"/>
      <c r="K65" s="184"/>
      <c r="L65" s="184"/>
      <c r="M65" s="11"/>
      <c r="N65" s="11"/>
      <c r="O65" s="195"/>
      <c r="P65" s="11"/>
      <c r="Q65" s="11"/>
      <c r="R65" s="12"/>
      <c r="S65" s="11"/>
      <c r="T65" s="220"/>
      <c r="U65" s="184"/>
      <c r="V65" s="184"/>
      <c r="W65" s="11"/>
      <c r="X65" s="11"/>
      <c r="Y65" s="220"/>
      <c r="Z65" s="184"/>
      <c r="AA65" s="184"/>
      <c r="AB65" s="11"/>
      <c r="AC65" s="11"/>
      <c r="AD65" s="220"/>
      <c r="AE65" s="184"/>
      <c r="AF65" s="184"/>
      <c r="AG65" s="11"/>
      <c r="AH65" s="11"/>
      <c r="AI65" s="220"/>
      <c r="AJ65" s="184"/>
      <c r="AK65" s="184"/>
      <c r="AL65" s="11"/>
      <c r="AM65" s="11"/>
      <c r="AN65" s="220"/>
      <c r="AO65" s="184"/>
      <c r="AP65" s="184"/>
      <c r="AQ65" s="11"/>
      <c r="AR65" s="11"/>
      <c r="AS65" s="220"/>
      <c r="AT65" s="184"/>
      <c r="AU65" s="184"/>
      <c r="AV65" s="11"/>
      <c r="AW65" s="11"/>
      <c r="AX65" s="220"/>
      <c r="AY65" s="184"/>
      <c r="AZ65" s="184"/>
      <c r="BA65" s="11"/>
      <c r="BB65" s="11"/>
      <c r="BC65" s="220"/>
      <c r="BD65" s="184"/>
      <c r="BE65" s="184"/>
      <c r="BF65" s="11"/>
      <c r="BG65" s="11"/>
      <c r="BH65" s="220"/>
      <c r="BI65" s="184"/>
      <c r="BJ65" s="184"/>
      <c r="BK65" s="184"/>
      <c r="BL65" s="184"/>
      <c r="BM65" s="184"/>
      <c r="BN65" s="184"/>
      <c r="BO65" s="184"/>
      <c r="BP65" s="184"/>
    </row>
    <row r="66">
      <c r="A66" s="244" t="str">
        <f>if($A$64&lt;&gt;"", "《仕上がり数値》","")</f>
        <v/>
      </c>
      <c r="B66" s="240"/>
      <c r="C66" s="11"/>
      <c r="D66" s="11"/>
      <c r="E66" s="220"/>
      <c r="F66" s="220"/>
      <c r="G66" s="220"/>
      <c r="H66" s="11"/>
      <c r="I66" s="11"/>
      <c r="J66" s="220"/>
      <c r="K66" s="184"/>
      <c r="L66" s="184"/>
      <c r="M66" s="11"/>
      <c r="N66" s="11"/>
      <c r="O66" s="195"/>
      <c r="P66" s="11"/>
      <c r="Q66" s="11"/>
      <c r="R66" s="12"/>
      <c r="S66" s="11"/>
      <c r="T66" s="220"/>
      <c r="U66" s="184"/>
      <c r="V66" s="184"/>
      <c r="W66" s="11"/>
      <c r="X66" s="11"/>
      <c r="Y66" s="220"/>
      <c r="Z66" s="184"/>
      <c r="AA66" s="184"/>
      <c r="AB66" s="11"/>
      <c r="AC66" s="11"/>
      <c r="AD66" s="220"/>
      <c r="AE66" s="184"/>
      <c r="AF66" s="184"/>
      <c r="AG66" s="11"/>
      <c r="AH66" s="11"/>
      <c r="AI66" s="220"/>
      <c r="AJ66" s="184"/>
      <c r="AK66" s="184"/>
      <c r="AL66" s="11"/>
      <c r="AM66" s="11"/>
      <c r="AN66" s="220"/>
      <c r="AO66" s="184"/>
      <c r="AP66" s="184"/>
      <c r="AQ66" s="11"/>
      <c r="AR66" s="11"/>
      <c r="AS66" s="220"/>
      <c r="AT66" s="184"/>
      <c r="AU66" s="184"/>
      <c r="AV66" s="11"/>
      <c r="AW66" s="11"/>
      <c r="AX66" s="220"/>
      <c r="AY66" s="184"/>
      <c r="AZ66" s="184"/>
      <c r="BA66" s="11"/>
      <c r="BB66" s="11"/>
      <c r="BC66" s="220"/>
      <c r="BD66" s="184"/>
      <c r="BE66" s="184"/>
      <c r="BF66" s="11"/>
      <c r="BG66" s="11"/>
      <c r="BH66" s="220"/>
      <c r="BI66" s="184"/>
      <c r="BJ66" s="184"/>
      <c r="BK66" s="184"/>
      <c r="BL66" s="184"/>
      <c r="BM66" s="184"/>
      <c r="BN66" s="184"/>
      <c r="BO66" s="184"/>
      <c r="BP66" s="184"/>
    </row>
    <row r="67">
      <c r="A67" s="228" t="str">
        <f>IFERROR(__xludf.DUMMYFUNCTION("TEXTJOIN(CHAR(10),TRUE,FILTER(ARRAYFORMULA(IF(BC$14:BC72&lt;&gt;"""",BB$14:BB72&amp;"" :  cm"","""")), BB$14:BB72 &lt;&gt;""""))"),"")</f>
        <v/>
      </c>
      <c r="B67" s="240"/>
      <c r="C67" s="11"/>
      <c r="D67" s="11"/>
      <c r="E67" s="220"/>
      <c r="F67" s="220"/>
      <c r="G67" s="220"/>
      <c r="H67" s="11"/>
      <c r="I67" s="11"/>
      <c r="J67" s="220"/>
      <c r="K67" s="184"/>
      <c r="L67" s="184"/>
      <c r="M67" s="11"/>
      <c r="N67" s="11"/>
      <c r="O67" s="195"/>
      <c r="P67" s="11"/>
      <c r="Q67" s="11"/>
      <c r="R67" s="12"/>
      <c r="S67" s="11"/>
      <c r="T67" s="220"/>
      <c r="U67" s="184"/>
      <c r="V67" s="184"/>
      <c r="W67" s="11"/>
      <c r="X67" s="11"/>
      <c r="Y67" s="220"/>
      <c r="Z67" s="184"/>
      <c r="AA67" s="184"/>
      <c r="AB67" s="11"/>
      <c r="AC67" s="11"/>
      <c r="AD67" s="220"/>
      <c r="AE67" s="184"/>
      <c r="AF67" s="184"/>
      <c r="AG67" s="11"/>
      <c r="AH67" s="11"/>
      <c r="AI67" s="220"/>
      <c r="AJ67" s="184"/>
      <c r="AK67" s="184"/>
      <c r="AL67" s="11"/>
      <c r="AM67" s="11"/>
      <c r="AN67" s="220"/>
      <c r="AO67" s="184"/>
      <c r="AP67" s="184"/>
      <c r="AQ67" s="11"/>
      <c r="AR67" s="11"/>
      <c r="AS67" s="220"/>
      <c r="AT67" s="184"/>
      <c r="AU67" s="184"/>
      <c r="AV67" s="11"/>
      <c r="AW67" s="11"/>
      <c r="AX67" s="220"/>
      <c r="AY67" s="184"/>
      <c r="AZ67" s="184"/>
      <c r="BA67" s="11"/>
      <c r="BB67" s="11"/>
      <c r="BC67" s="220"/>
      <c r="BD67" s="184"/>
      <c r="BE67" s="184"/>
      <c r="BF67" s="11"/>
      <c r="BG67" s="11"/>
      <c r="BH67" s="220"/>
      <c r="BI67" s="184"/>
      <c r="BJ67" s="184"/>
      <c r="BK67" s="184"/>
      <c r="BL67" s="184"/>
      <c r="BM67" s="184"/>
      <c r="BN67" s="184"/>
      <c r="BO67" s="184"/>
      <c r="BP67" s="184"/>
    </row>
    <row r="68">
      <c r="A68" s="243" t="s">
        <v>126</v>
      </c>
      <c r="B68" s="240"/>
      <c r="C68" s="11"/>
      <c r="D68" s="11"/>
      <c r="E68" s="220"/>
      <c r="F68" s="220"/>
      <c r="G68" s="220"/>
      <c r="H68" s="11"/>
      <c r="I68" s="11"/>
      <c r="J68" s="220"/>
      <c r="K68" s="184"/>
      <c r="L68" s="184"/>
      <c r="M68" s="11"/>
      <c r="N68" s="11"/>
      <c r="O68" s="195"/>
      <c r="P68" s="11"/>
      <c r="Q68" s="11"/>
      <c r="R68" s="12"/>
      <c r="S68" s="11"/>
      <c r="T68" s="220"/>
      <c r="U68" s="184"/>
      <c r="V68" s="184"/>
      <c r="W68" s="11"/>
      <c r="X68" s="11"/>
      <c r="Y68" s="220"/>
      <c r="Z68" s="184"/>
      <c r="AA68" s="184"/>
      <c r="AB68" s="11"/>
      <c r="AC68" s="11"/>
      <c r="AD68" s="220"/>
      <c r="AE68" s="184"/>
      <c r="AF68" s="184"/>
      <c r="AG68" s="11"/>
      <c r="AH68" s="11"/>
      <c r="AI68" s="220"/>
      <c r="AJ68" s="184"/>
      <c r="AK68" s="184"/>
      <c r="AL68" s="11"/>
      <c r="AM68" s="11"/>
      <c r="AN68" s="220"/>
      <c r="AO68" s="184"/>
      <c r="AP68" s="184"/>
      <c r="AQ68" s="11"/>
      <c r="AR68" s="11"/>
      <c r="AS68" s="220"/>
      <c r="AT68" s="184"/>
      <c r="AU68" s="184"/>
      <c r="AV68" s="11"/>
      <c r="AW68" s="11"/>
      <c r="AX68" s="220"/>
      <c r="AY68" s="184"/>
      <c r="AZ68" s="184"/>
      <c r="BA68" s="11"/>
      <c r="BB68" s="11"/>
      <c r="BC68" s="220"/>
      <c r="BD68" s="184"/>
      <c r="BE68" s="184"/>
      <c r="BF68" s="11"/>
      <c r="BG68" s="11"/>
      <c r="BH68" s="220"/>
      <c r="BI68" s="184"/>
      <c r="BJ68" s="184"/>
      <c r="BK68" s="184"/>
      <c r="BL68" s="184"/>
      <c r="BM68" s="184"/>
      <c r="BN68" s="184"/>
      <c r="BO68" s="184"/>
      <c r="BP68" s="184"/>
    </row>
    <row r="69">
      <c r="A69" s="245" t="str">
        <f>IF( $BG$11 = "再製作", "◼︎ フーデッドコート（対応着地：再製作）"&amp;char(10)&amp;"《修正数値》", IF($BG$11 &lt;&gt; "", "◼︎ フーデッドコート（対応着地：お直し）"&amp;char(10)&amp;"《修正数値》", ""))</f>
        <v/>
      </c>
      <c r="B69" s="240"/>
      <c r="C69" s="11"/>
      <c r="D69" s="11"/>
      <c r="E69" s="220"/>
      <c r="F69" s="220"/>
      <c r="G69" s="220"/>
      <c r="H69" s="11"/>
      <c r="I69" s="11"/>
      <c r="J69" s="220"/>
      <c r="K69" s="184"/>
      <c r="L69" s="184"/>
      <c r="M69" s="11"/>
      <c r="N69" s="11"/>
      <c r="O69" s="195"/>
      <c r="P69" s="11"/>
      <c r="Q69" s="11"/>
      <c r="R69" s="12"/>
      <c r="S69" s="11"/>
      <c r="T69" s="220"/>
      <c r="U69" s="184"/>
      <c r="V69" s="184"/>
      <c r="W69" s="11"/>
      <c r="X69" s="11"/>
      <c r="Y69" s="220"/>
      <c r="Z69" s="184"/>
      <c r="AA69" s="184"/>
      <c r="AB69" s="11"/>
      <c r="AC69" s="11"/>
      <c r="AD69" s="220"/>
      <c r="AE69" s="184"/>
      <c r="AF69" s="184"/>
      <c r="AG69" s="11"/>
      <c r="AH69" s="11"/>
      <c r="AI69" s="220"/>
      <c r="AJ69" s="184"/>
      <c r="AK69" s="184"/>
      <c r="AL69" s="11"/>
      <c r="AM69" s="11"/>
      <c r="AN69" s="220"/>
      <c r="AO69" s="184"/>
      <c r="AP69" s="184"/>
      <c r="AQ69" s="11"/>
      <c r="AR69" s="11"/>
      <c r="AS69" s="220"/>
      <c r="AT69" s="184"/>
      <c r="AU69" s="184"/>
      <c r="AV69" s="11"/>
      <c r="AW69" s="11"/>
      <c r="AX69" s="220"/>
      <c r="AY69" s="184"/>
      <c r="AZ69" s="184"/>
      <c r="BA69" s="11"/>
      <c r="BB69" s="11"/>
      <c r="BC69" s="220"/>
      <c r="BD69" s="184"/>
      <c r="BE69" s="184"/>
      <c r="BF69" s="11"/>
      <c r="BG69" s="11"/>
      <c r="BH69" s="220"/>
      <c r="BI69" s="184"/>
      <c r="BJ69" s="184"/>
      <c r="BK69" s="184"/>
      <c r="BL69" s="184"/>
      <c r="BM69" s="184"/>
      <c r="BN69" s="184"/>
      <c r="BO69" s="184"/>
      <c r="BP69" s="184"/>
    </row>
    <row r="70">
      <c r="A70" s="228" t="str">
        <f>IFERROR(__xludf.DUMMYFUNCTION("TEXTJOIN(CHAR(10),TRUE,FILTER(ARRAYFORMULA(IF(BH$14:BH72&lt;&gt;"""",BG$14:BG72&amp;"" : ""&amp; BH$14:BH72 &amp;"" cm"","""")), BG$14:BG72 &lt;&gt;""""))"),"")</f>
        <v/>
      </c>
      <c r="B70" s="240"/>
      <c r="C70" s="11"/>
      <c r="D70" s="11"/>
      <c r="E70" s="220"/>
      <c r="F70" s="220"/>
      <c r="G70" s="220"/>
      <c r="H70" s="11"/>
      <c r="I70" s="11"/>
      <c r="J70" s="220"/>
      <c r="K70" s="184"/>
      <c r="L70" s="184"/>
      <c r="M70" s="11"/>
      <c r="N70" s="11"/>
      <c r="O70" s="195"/>
      <c r="P70" s="11"/>
      <c r="Q70" s="11"/>
      <c r="R70" s="12"/>
      <c r="S70" s="11"/>
      <c r="T70" s="220"/>
      <c r="U70" s="184"/>
      <c r="V70" s="184"/>
      <c r="W70" s="11"/>
      <c r="X70" s="11"/>
      <c r="Y70" s="220"/>
      <c r="Z70" s="184"/>
      <c r="AA70" s="184"/>
      <c r="AB70" s="11"/>
      <c r="AC70" s="11"/>
      <c r="AD70" s="220"/>
      <c r="AE70" s="184"/>
      <c r="AF70" s="184"/>
      <c r="AG70" s="11"/>
      <c r="AH70" s="11"/>
      <c r="AI70" s="220"/>
      <c r="AJ70" s="184"/>
      <c r="AK70" s="184"/>
      <c r="AL70" s="11"/>
      <c r="AM70" s="11"/>
      <c r="AN70" s="220"/>
      <c r="AO70" s="184"/>
      <c r="AP70" s="184"/>
      <c r="AQ70" s="11"/>
      <c r="AR70" s="11"/>
      <c r="AS70" s="220"/>
      <c r="AT70" s="184"/>
      <c r="AU70" s="184"/>
      <c r="AV70" s="11"/>
      <c r="AW70" s="11"/>
      <c r="AX70" s="220"/>
      <c r="AY70" s="184"/>
      <c r="AZ70" s="184"/>
      <c r="BA70" s="11"/>
      <c r="BB70" s="11"/>
      <c r="BC70" s="220"/>
      <c r="BD70" s="184"/>
      <c r="BE70" s="184"/>
      <c r="BF70" s="11"/>
      <c r="BG70" s="11"/>
      <c r="BH70" s="220"/>
      <c r="BI70" s="184"/>
      <c r="BJ70" s="184"/>
      <c r="BK70" s="184"/>
      <c r="BL70" s="184"/>
      <c r="BM70" s="184"/>
      <c r="BN70" s="184"/>
      <c r="BO70" s="184"/>
      <c r="BP70" s="184"/>
    </row>
    <row r="71">
      <c r="A71" s="244" t="str">
        <f>if($A$69&lt;&gt;"", "《仕上がり数値》","")</f>
        <v/>
      </c>
      <c r="B71" s="240"/>
      <c r="C71" s="11"/>
      <c r="D71" s="11"/>
      <c r="E71" s="220"/>
      <c r="F71" s="220"/>
      <c r="G71" s="220"/>
      <c r="H71" s="11"/>
      <c r="I71" s="11"/>
      <c r="J71" s="220"/>
      <c r="K71" s="184"/>
      <c r="L71" s="184"/>
      <c r="M71" s="11"/>
      <c r="N71" s="11"/>
      <c r="O71" s="195"/>
      <c r="P71" s="11"/>
      <c r="Q71" s="11"/>
      <c r="R71" s="12"/>
      <c r="S71" s="11"/>
      <c r="T71" s="220"/>
      <c r="U71" s="184"/>
      <c r="V71" s="184"/>
      <c r="W71" s="11"/>
      <c r="X71" s="11"/>
      <c r="Y71" s="220"/>
      <c r="Z71" s="184"/>
      <c r="AA71" s="184"/>
      <c r="AB71" s="11"/>
      <c r="AC71" s="11"/>
      <c r="AD71" s="220"/>
      <c r="AE71" s="184"/>
      <c r="AF71" s="184"/>
      <c r="AG71" s="11"/>
      <c r="AH71" s="11"/>
      <c r="AI71" s="220"/>
      <c r="AJ71" s="184"/>
      <c r="AK71" s="184"/>
      <c r="AL71" s="11"/>
      <c r="AM71" s="11"/>
      <c r="AN71" s="220"/>
      <c r="AO71" s="184"/>
      <c r="AP71" s="184"/>
      <c r="AQ71" s="11"/>
      <c r="AR71" s="11"/>
      <c r="AS71" s="220"/>
      <c r="AT71" s="184"/>
      <c r="AU71" s="184"/>
      <c r="AV71" s="11"/>
      <c r="AW71" s="11"/>
      <c r="AX71" s="220"/>
      <c r="AY71" s="184"/>
      <c r="AZ71" s="184"/>
      <c r="BA71" s="11"/>
      <c r="BB71" s="11"/>
      <c r="BC71" s="220"/>
      <c r="BD71" s="184"/>
      <c r="BE71" s="184"/>
      <c r="BF71" s="11"/>
      <c r="BG71" s="11"/>
      <c r="BH71" s="220"/>
      <c r="BI71" s="184"/>
      <c r="BJ71" s="184"/>
      <c r="BK71" s="184"/>
      <c r="BL71" s="184"/>
      <c r="BM71" s="184"/>
      <c r="BN71" s="184"/>
      <c r="BO71" s="184"/>
      <c r="BP71" s="184"/>
    </row>
    <row r="72">
      <c r="A72" s="228" t="str">
        <f>IFERROR(__xludf.DUMMYFUNCTION("TEXTJOIN(CHAR(10),TRUE,FILTER(ARRAYFORMULA(IF(BH$14:BH72&lt;&gt;"""",BG$14:BG72&amp;"" :  cm"","""")), BG$14:BG72 &lt;&gt;""""))"),"")</f>
        <v/>
      </c>
      <c r="B72" s="240"/>
      <c r="C72" s="11"/>
      <c r="D72" s="11"/>
      <c r="E72" s="220"/>
      <c r="F72" s="220"/>
      <c r="G72" s="220"/>
      <c r="H72" s="11"/>
      <c r="I72" s="11"/>
      <c r="J72" s="220"/>
      <c r="K72" s="184"/>
      <c r="L72" s="184"/>
      <c r="M72" s="11"/>
      <c r="N72" s="11"/>
      <c r="O72" s="195"/>
      <c r="P72" s="11"/>
      <c r="Q72" s="11"/>
      <c r="R72" s="12"/>
      <c r="S72" s="11"/>
      <c r="T72" s="220"/>
      <c r="U72" s="184"/>
      <c r="V72" s="184"/>
      <c r="W72" s="11"/>
      <c r="X72" s="11"/>
      <c r="Y72" s="220"/>
      <c r="Z72" s="184"/>
      <c r="AA72" s="184"/>
      <c r="AB72" s="11"/>
      <c r="AC72" s="11"/>
      <c r="AD72" s="220"/>
      <c r="AE72" s="184"/>
      <c r="AF72" s="184"/>
      <c r="AG72" s="11"/>
      <c r="AH72" s="11"/>
      <c r="AI72" s="220"/>
      <c r="AJ72" s="184"/>
      <c r="AK72" s="184"/>
      <c r="AL72" s="11"/>
      <c r="AM72" s="11"/>
      <c r="AN72" s="220"/>
      <c r="AO72" s="184"/>
      <c r="AP72" s="184"/>
      <c r="AQ72" s="11"/>
      <c r="AR72" s="11"/>
      <c r="AS72" s="220"/>
      <c r="AT72" s="184"/>
      <c r="AU72" s="184"/>
      <c r="AV72" s="11"/>
      <c r="AW72" s="11"/>
      <c r="AX72" s="220"/>
      <c r="AY72" s="184"/>
      <c r="AZ72" s="184"/>
      <c r="BA72" s="11"/>
      <c r="BB72" s="11"/>
      <c r="BC72" s="220"/>
      <c r="BD72" s="184"/>
      <c r="BE72" s="184"/>
      <c r="BF72" s="11"/>
      <c r="BG72" s="11"/>
      <c r="BH72" s="220"/>
      <c r="BI72" s="184"/>
      <c r="BJ72" s="184"/>
      <c r="BK72" s="184"/>
      <c r="BL72" s="184"/>
      <c r="BM72" s="184"/>
      <c r="BN72" s="184"/>
      <c r="BO72" s="184"/>
      <c r="BP72" s="184"/>
    </row>
  </sheetData>
  <mergeCells count="1">
    <mergeCell ref="D5:G5"/>
  </mergeCells>
  <hyperlinks>
    <hyperlink r:id="rId1" location="gid=1551873484" ref="K5"/>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sheetViews>
  <sheetFormatPr customHeight="1" defaultColWidth="12.63" defaultRowHeight="15.75"/>
  <cols>
    <col customWidth="1" hidden="1" min="1" max="2" width="20.88"/>
    <col customWidth="1" min="3" max="3" width="3.88"/>
    <col customWidth="1" min="4" max="4" width="25.13"/>
    <col customWidth="1" min="5" max="6" width="12.63"/>
    <col customWidth="1" hidden="1" min="7" max="7" width="12.63"/>
    <col customWidth="1" min="8" max="8" width="6.38"/>
    <col customWidth="1" min="9" max="9" width="25.13"/>
    <col customWidth="1" min="10" max="11" width="12.63"/>
    <col customWidth="1" hidden="1" min="12" max="12" width="12.63"/>
    <col customWidth="1" min="13" max="13" width="6.38"/>
    <col customWidth="1" min="14" max="14" width="25.13"/>
    <col customWidth="1" min="15" max="16" width="12.63"/>
    <col customWidth="1" hidden="1" min="17" max="17" width="12.63"/>
    <col customWidth="1" min="18" max="18" width="6.25"/>
    <col customWidth="1" min="19" max="19" width="25.13"/>
    <col customWidth="1" min="20" max="21" width="12.63"/>
    <col customWidth="1" hidden="1" min="22" max="22" width="12.63"/>
    <col customWidth="1" min="23" max="23" width="6.38"/>
    <col customWidth="1" min="24" max="24" width="25.13"/>
    <col customWidth="1" min="25" max="26" width="12.63"/>
    <col customWidth="1" hidden="1" min="27" max="27" width="12.63"/>
    <col customWidth="1" min="28" max="28" width="6.38"/>
    <col customWidth="1" min="29" max="29" width="25.13"/>
    <col customWidth="1" min="30" max="31" width="12.63"/>
    <col customWidth="1" hidden="1" min="32" max="32" width="12.63"/>
    <col customWidth="1" min="33" max="33" width="7.13"/>
    <col customWidth="1" min="34" max="34" width="25.13"/>
    <col customWidth="1" min="35" max="36" width="12.63"/>
    <col customWidth="1" hidden="1" min="37" max="37" width="12.63"/>
    <col customWidth="1" min="38" max="38" width="7.13"/>
    <col customWidth="1" min="39" max="39" width="25.13"/>
    <col customWidth="1" min="40" max="41" width="12.63"/>
    <col customWidth="1" hidden="1" min="42" max="42" width="12.63"/>
    <col customWidth="1" min="43" max="43" width="7.13"/>
    <col customWidth="1" min="44" max="44" width="25.13"/>
    <col customWidth="1" min="45" max="46" width="12.63"/>
    <col customWidth="1" hidden="1" min="47" max="47" width="12.63"/>
    <col customWidth="1" min="48" max="48" width="12.63"/>
    <col customWidth="1" min="49" max="49" width="25.13"/>
    <col customWidth="1" min="50" max="51" width="12.63"/>
    <col customWidth="1" hidden="1" min="52" max="52" width="12.63"/>
    <col customWidth="1" min="53" max="53" width="12.63"/>
    <col customWidth="1" min="54" max="54" width="25.13"/>
    <col customWidth="1" min="55" max="56" width="12.63"/>
    <col customWidth="1" hidden="1" min="57" max="57" width="12.63"/>
    <col customWidth="1" min="58" max="58" width="12.63"/>
    <col customWidth="1" min="59" max="59" width="25.13"/>
    <col customWidth="1" min="60" max="61" width="12.63"/>
    <col customWidth="1" hidden="1" min="62" max="62" width="12.63"/>
    <col customWidth="1" min="63" max="63" width="12.63"/>
    <col customWidth="1" min="64" max="64" width="19.25"/>
    <col customWidth="1" min="65" max="66" width="12.63"/>
    <col customWidth="1" hidden="1" min="67" max="67" width="12.63"/>
    <col customWidth="1" min="68" max="68" width="12.63"/>
  </cols>
  <sheetData>
    <row r="1">
      <c r="A1" s="256">
        <f>today()</f>
        <v>45991</v>
      </c>
      <c r="B1" s="257"/>
      <c r="C1" s="257"/>
      <c r="D1" s="258" t="s">
        <v>15</v>
      </c>
      <c r="E1" s="259"/>
      <c r="F1" s="259"/>
      <c r="G1" s="259"/>
      <c r="H1" s="260"/>
      <c r="I1" s="260"/>
      <c r="J1" s="259"/>
      <c r="K1" s="259"/>
      <c r="L1" s="259"/>
      <c r="M1" s="260"/>
      <c r="N1" s="259"/>
      <c r="O1" s="259"/>
      <c r="P1" s="259"/>
      <c r="Q1" s="259"/>
      <c r="R1" s="260"/>
      <c r="S1" s="260"/>
      <c r="T1" s="261"/>
      <c r="U1" s="261"/>
      <c r="V1" s="261"/>
      <c r="W1" s="260"/>
      <c r="X1" s="259"/>
      <c r="Y1" s="261"/>
      <c r="Z1" s="261"/>
      <c r="AA1" s="261"/>
      <c r="AB1" s="260"/>
      <c r="AC1" s="259"/>
      <c r="AD1" s="261"/>
      <c r="AE1" s="261"/>
      <c r="AF1" s="261"/>
      <c r="AG1" s="260"/>
      <c r="AH1" s="259"/>
      <c r="AI1" s="261"/>
      <c r="AJ1" s="261"/>
      <c r="AK1" s="261"/>
      <c r="AL1" s="260"/>
      <c r="AM1" s="259"/>
      <c r="AN1" s="261"/>
      <c r="AO1" s="261"/>
      <c r="AP1" s="261"/>
      <c r="AQ1" s="260"/>
      <c r="AR1" s="259"/>
      <c r="AS1" s="261"/>
      <c r="AT1" s="261"/>
      <c r="AU1" s="261"/>
      <c r="AV1" s="260"/>
      <c r="AW1" s="259"/>
      <c r="AX1" s="261"/>
      <c r="AY1" s="261"/>
      <c r="AZ1" s="261"/>
      <c r="BA1" s="260"/>
      <c r="BB1" s="259"/>
      <c r="BC1" s="261"/>
      <c r="BD1" s="261"/>
      <c r="BE1" s="261"/>
      <c r="BF1" s="260"/>
      <c r="BG1" s="259"/>
      <c r="BH1" s="261"/>
      <c r="BI1" s="261"/>
      <c r="BJ1" s="261"/>
      <c r="BK1" s="261"/>
      <c r="BL1" s="261"/>
      <c r="BM1" s="261"/>
      <c r="BN1" s="261"/>
      <c r="BO1" s="261"/>
      <c r="BP1" s="261"/>
    </row>
    <row r="2">
      <c r="A2" s="11"/>
      <c r="B2" s="183"/>
      <c r="C2" s="12"/>
      <c r="D2" s="12"/>
      <c r="E2" s="12"/>
      <c r="F2" s="12"/>
      <c r="G2" s="12"/>
      <c r="H2" s="11"/>
      <c r="I2" s="11"/>
      <c r="J2" s="12"/>
      <c r="K2" s="12"/>
      <c r="L2" s="12"/>
      <c r="M2" s="11"/>
      <c r="N2" s="12"/>
      <c r="O2" s="12"/>
      <c r="P2" s="12"/>
      <c r="Q2" s="12"/>
      <c r="R2" s="11"/>
      <c r="S2" s="11"/>
      <c r="T2" s="184"/>
      <c r="U2" s="184"/>
      <c r="V2" s="184"/>
      <c r="W2" s="11"/>
      <c r="X2" s="12"/>
      <c r="Y2" s="184"/>
      <c r="Z2" s="184"/>
      <c r="AA2" s="184"/>
      <c r="AB2" s="11"/>
      <c r="AC2" s="12"/>
      <c r="AD2" s="184"/>
      <c r="AE2" s="184"/>
      <c r="AF2" s="184"/>
      <c r="AG2" s="11"/>
      <c r="AH2" s="12"/>
      <c r="AI2" s="184"/>
      <c r="AJ2" s="184"/>
      <c r="AK2" s="184"/>
      <c r="AL2" s="11"/>
      <c r="AM2" s="12"/>
      <c r="AN2" s="184"/>
      <c r="AO2" s="184"/>
      <c r="AP2" s="184"/>
      <c r="AQ2" s="11"/>
      <c r="AR2" s="12"/>
      <c r="AS2" s="184"/>
      <c r="AT2" s="184"/>
      <c r="AU2" s="184"/>
      <c r="AV2" s="11"/>
      <c r="AW2" s="12"/>
      <c r="AX2" s="184"/>
      <c r="AY2" s="184"/>
      <c r="AZ2" s="184"/>
      <c r="BA2" s="11"/>
      <c r="BB2" s="12"/>
      <c r="BC2" s="184"/>
      <c r="BD2" s="184"/>
      <c r="BE2" s="184"/>
      <c r="BF2" s="11"/>
      <c r="BG2" s="12"/>
      <c r="BH2" s="184"/>
      <c r="BI2" s="184"/>
      <c r="BJ2" s="184"/>
      <c r="BK2" s="184"/>
      <c r="BL2" s="184"/>
      <c r="BM2" s="184"/>
      <c r="BN2" s="184"/>
      <c r="BO2" s="184"/>
      <c r="BP2" s="184"/>
    </row>
    <row r="3">
      <c r="A3" s="12"/>
      <c r="B3" s="185"/>
      <c r="C3" s="12"/>
      <c r="D3" s="12" t="str">
        <f t="array" ref="D3:D5">index(A3:A5,0)</f>
        <v/>
      </c>
      <c r="E3" s="12"/>
      <c r="F3" s="12"/>
      <c r="G3" s="12"/>
      <c r="H3" s="11"/>
      <c r="I3" s="11"/>
      <c r="J3" s="12"/>
      <c r="K3" s="12"/>
      <c r="L3" s="12"/>
      <c r="M3" s="11"/>
      <c r="N3" s="12"/>
      <c r="O3" s="12"/>
      <c r="P3" s="12"/>
      <c r="Q3" s="12"/>
      <c r="R3" s="11"/>
      <c r="S3" s="11"/>
      <c r="T3" s="184"/>
      <c r="U3" s="184"/>
      <c r="V3" s="184"/>
      <c r="W3" s="11"/>
      <c r="X3" s="12"/>
      <c r="Y3" s="184"/>
      <c r="Z3" s="184"/>
      <c r="AA3" s="184"/>
      <c r="AB3" s="11"/>
      <c r="AC3" s="12"/>
      <c r="AD3" s="184"/>
      <c r="AE3" s="184"/>
      <c r="AF3" s="184"/>
      <c r="AG3" s="11"/>
      <c r="AH3" s="12"/>
      <c r="AI3" s="184"/>
      <c r="AJ3" s="184"/>
      <c r="AK3" s="184"/>
      <c r="AL3" s="11"/>
      <c r="AM3" s="12"/>
      <c r="AN3" s="184"/>
      <c r="AO3" s="184"/>
      <c r="AP3" s="184"/>
      <c r="AQ3" s="11"/>
      <c r="AR3" s="12"/>
      <c r="AS3" s="184"/>
      <c r="AT3" s="184"/>
      <c r="AU3" s="184"/>
      <c r="AV3" s="11"/>
      <c r="AW3" s="12"/>
      <c r="AX3" s="184"/>
      <c r="AY3" s="184"/>
      <c r="AZ3" s="184"/>
      <c r="BA3" s="11"/>
      <c r="BB3" s="12"/>
      <c r="BC3" s="184"/>
      <c r="BD3" s="184"/>
      <c r="BE3" s="184"/>
      <c r="BF3" s="11"/>
      <c r="BG3" s="12"/>
      <c r="BH3" s="184"/>
      <c r="BI3" s="184"/>
      <c r="BJ3" s="184"/>
      <c r="BK3" s="184"/>
      <c r="BL3" s="184"/>
      <c r="BM3" s="184"/>
      <c r="BN3" s="184"/>
      <c r="BO3" s="184"/>
      <c r="BP3" s="184"/>
    </row>
    <row r="4">
      <c r="A4" s="186" t="s">
        <v>28</v>
      </c>
      <c r="B4" s="185"/>
      <c r="C4" s="12"/>
      <c r="D4" s="12" t="s">
        <v>28</v>
      </c>
      <c r="E4" s="12"/>
      <c r="F4" s="12"/>
      <c r="G4" s="12"/>
      <c r="H4" s="11"/>
      <c r="I4" s="11"/>
      <c r="J4" s="12"/>
      <c r="K4" s="12"/>
      <c r="L4" s="12"/>
      <c r="M4" s="11"/>
      <c r="N4" s="12"/>
      <c r="O4" s="12"/>
      <c r="P4" s="12"/>
      <c r="Q4" s="12"/>
      <c r="R4" s="11"/>
      <c r="S4" s="11"/>
      <c r="T4" s="184"/>
      <c r="U4" s="184"/>
      <c r="V4" s="184"/>
      <c r="W4" s="11"/>
      <c r="X4" s="12"/>
      <c r="Y4" s="184"/>
      <c r="Z4" s="184"/>
      <c r="AA4" s="184"/>
      <c r="AB4" s="11"/>
      <c r="AC4" s="12"/>
      <c r="AD4" s="184"/>
      <c r="AE4" s="184"/>
      <c r="AF4" s="184"/>
      <c r="AG4" s="11"/>
      <c r="AH4" s="12"/>
      <c r="AI4" s="184"/>
      <c r="AJ4" s="184"/>
      <c r="AK4" s="184"/>
      <c r="AL4" s="11"/>
      <c r="AM4" s="12"/>
      <c r="AN4" s="184"/>
      <c r="AO4" s="184"/>
      <c r="AP4" s="184"/>
      <c r="AQ4" s="11"/>
      <c r="AR4" s="12"/>
      <c r="AS4" s="184"/>
      <c r="AT4" s="184"/>
      <c r="AU4" s="184"/>
      <c r="AV4" s="11"/>
      <c r="AW4" s="12"/>
      <c r="AX4" s="184"/>
      <c r="AY4" s="184"/>
      <c r="AZ4" s="184"/>
      <c r="BA4" s="11"/>
      <c r="BB4" s="12"/>
      <c r="BC4" s="184"/>
      <c r="BD4" s="184"/>
      <c r="BE4" s="184"/>
      <c r="BF4" s="11"/>
      <c r="BG4" s="12"/>
      <c r="BH4" s="184"/>
      <c r="BI4" s="184"/>
      <c r="BJ4" s="184"/>
      <c r="BK4" s="184"/>
      <c r="BL4" s="184"/>
      <c r="BM4" s="184"/>
      <c r="BN4" s="184"/>
      <c r="BO4" s="184"/>
      <c r="BP4" s="184"/>
    </row>
    <row r="5" ht="225.0" customHeight="1">
      <c r="A5" s="187" t="str">
        <f>$A$7 &amp; $A$8 &amp; CHAR(10) &amp; $A$10 &amp; CHAR(10) &amp; CHAR(10) &amp; $A$11</f>
        <v>FABRIC TOKYO 日本橋 2025-11-30 お直し適用サイズ
FABRIC TOKYO 日本橋 2025-11-30 お直し適用サイズ ＊スーツサイズ
FABRIC TOKYO 日本橋 2025-11-30 お直し適用サイズ ＊ビジネスカジュアルサイズ
◼︎ ジャケット（対応着地：お直し）
《修正数値》
ウエスト / センターベント : 2 cm
《仕上がり数値》
ウエスト / センターベント : cm
◼︎ パンツ（対応着地：お直し）
《修正数値》
股下 / シングル : 2 cm
《仕上がり数値》
股下 / シングル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v>
      </c>
      <c r="B5" s="188" t="str">
        <f>"【お直し来店済み】" &amp; CHAR(10) &amp; 
 "来店⽇時：" &amp; text($A$1," yyyy/mm/dd")&amp; CHAR(10) &amp;
 "来店店舗：" &amp; $D$1 &amp; CHAR(10) &amp; CHAR(10) &amp;
 "お直し着地：" &amp; CHAR(10) &amp; $A$10</f>
        <v>【お直し来店済み】
来店⽇時： 2025/11/30
来店店舗：日本橋
お直し着地：
◼︎ ジャケット（対応着地：お直し）
《修正数値》
ウエスト / センターベント : 2 cm
《仕上がり数値》
ウエスト / センターベント : cm
◼︎ パンツ（対応着地：お直し）
《修正数値》
股下 / シングル : 2 cm
《仕上がり数値》
股下 / シングル : cm</v>
      </c>
      <c r="C5" s="12"/>
      <c r="D5" s="189" t="s">
        <v>135</v>
      </c>
      <c r="H5" s="11"/>
      <c r="I5" s="190" t="str">
        <f>"【お直し来店済み】" &amp; CHAR(10) &amp; 
 "来店⽇時：" &amp; text($A$1," yyyy/mm/dd")&amp; CHAR(10) &amp;
 "来店店舗：" &amp; $D$1 &amp; CHAR(10) &amp; CHAR(10) &amp;
 "お直し着地：" &amp; CHAR(10) &amp; $A$10</f>
        <v>【お直し来店済み】
来店⽇時： 2025/11/30
来店店舗：日本橋
お直し着地：
◼︎ ジャケット（対応着地：お直し）
《修正数値》
ウエスト / センターベント : 2 cm
《仕上がり数値》
ウエスト / センターベント : cm
◼︎ パンツ（対応着地：お直し）
《修正数値》
股下 / シングル : 2 cm
《仕上がり数値》
股下 / シングル : cm</v>
      </c>
      <c r="J5" s="12"/>
      <c r="K5" s="191" t="s">
        <v>30</v>
      </c>
      <c r="L5" s="12"/>
      <c r="M5" s="11"/>
      <c r="N5" s="12"/>
      <c r="O5" s="12"/>
      <c r="P5" s="12"/>
      <c r="Q5" s="12"/>
      <c r="R5" s="11"/>
      <c r="S5" s="11"/>
      <c r="T5" s="184"/>
      <c r="U5" s="184"/>
      <c r="V5" s="184"/>
      <c r="W5" s="11"/>
      <c r="X5" s="12"/>
      <c r="Y5" s="184"/>
      <c r="Z5" s="184"/>
      <c r="AA5" s="184"/>
      <c r="AB5" s="11"/>
      <c r="AC5" s="12"/>
      <c r="AD5" s="184"/>
      <c r="AE5" s="184"/>
      <c r="AF5" s="184"/>
      <c r="AG5" s="11"/>
      <c r="AH5" s="12"/>
      <c r="AI5" s="184"/>
      <c r="AJ5" s="184"/>
      <c r="AK5" s="184"/>
      <c r="AL5" s="11"/>
      <c r="AM5" s="12"/>
      <c r="AN5" s="184"/>
      <c r="AO5" s="184"/>
      <c r="AP5" s="184"/>
      <c r="AQ5" s="11"/>
      <c r="AR5" s="12"/>
      <c r="AS5" s="184"/>
      <c r="AT5" s="184"/>
      <c r="AU5" s="184"/>
      <c r="AV5" s="11"/>
      <c r="AW5" s="12"/>
      <c r="AX5" s="184"/>
      <c r="AY5" s="184"/>
      <c r="AZ5" s="184"/>
      <c r="BA5" s="11"/>
      <c r="BB5" s="12"/>
      <c r="BC5" s="184"/>
      <c r="BD5" s="184"/>
      <c r="BE5" s="184"/>
      <c r="BF5" s="11"/>
      <c r="BG5" s="12"/>
      <c r="BH5" s="184"/>
      <c r="BI5" s="184"/>
      <c r="BJ5" s="184"/>
      <c r="BK5" s="184"/>
      <c r="BL5" s="184"/>
      <c r="BM5" s="184"/>
      <c r="BN5" s="184"/>
      <c r="BO5" s="184"/>
      <c r="BP5" s="184"/>
    </row>
    <row r="6">
      <c r="A6" s="12"/>
      <c r="B6" s="186"/>
      <c r="C6" s="12"/>
      <c r="D6" s="12"/>
      <c r="E6" s="12"/>
      <c r="F6" s="12"/>
      <c r="G6" s="12"/>
      <c r="H6" s="11"/>
      <c r="I6" s="11"/>
      <c r="J6" s="12"/>
      <c r="K6" s="12"/>
      <c r="L6" s="12"/>
      <c r="M6" s="11"/>
      <c r="N6" s="12"/>
      <c r="O6" s="12"/>
      <c r="P6" s="12"/>
      <c r="Q6" s="12"/>
      <c r="R6" s="11"/>
      <c r="S6" s="11"/>
      <c r="T6" s="184"/>
      <c r="U6" s="184"/>
      <c r="V6" s="184"/>
      <c r="W6" s="11"/>
      <c r="X6" s="12"/>
      <c r="Y6" s="184"/>
      <c r="Z6" s="184"/>
      <c r="AA6" s="184"/>
      <c r="AB6" s="11"/>
      <c r="AC6" s="12"/>
      <c r="AD6" s="184"/>
      <c r="AE6" s="184"/>
      <c r="AF6" s="184"/>
      <c r="AG6" s="11"/>
      <c r="AH6" s="12"/>
      <c r="AI6" s="184"/>
      <c r="AJ6" s="184"/>
      <c r="AK6" s="184"/>
      <c r="AL6" s="11"/>
      <c r="AM6" s="12"/>
      <c r="AN6" s="184"/>
      <c r="AO6" s="184"/>
      <c r="AP6" s="184"/>
      <c r="AQ6" s="11"/>
      <c r="AR6" s="12"/>
      <c r="AS6" s="184"/>
      <c r="AT6" s="184"/>
      <c r="AU6" s="184"/>
      <c r="AV6" s="11"/>
      <c r="AW6" s="12"/>
      <c r="AX6" s="184"/>
      <c r="AY6" s="184"/>
      <c r="AZ6" s="184"/>
      <c r="BA6" s="11"/>
      <c r="BB6" s="12"/>
      <c r="BC6" s="184"/>
      <c r="BD6" s="184"/>
      <c r="BE6" s="184"/>
      <c r="BF6" s="11"/>
      <c r="BG6" s="12"/>
      <c r="BH6" s="184"/>
      <c r="BI6" s="184"/>
      <c r="BJ6" s="184"/>
      <c r="BK6" s="184"/>
      <c r="BL6" s="184"/>
      <c r="BM6" s="184"/>
      <c r="BN6" s="184"/>
      <c r="BO6" s="184"/>
      <c r="BP6" s="184"/>
    </row>
    <row r="7" ht="28.5" customHeight="1">
      <c r="A7" s="192" t="str">
        <f>IF((SUM(LEN(I11), LEN(N11), LEN(S11), LEN(X11), LEN(AC11), LEN(AH11), LEN(AM11), LEN(AR11), LEN(AW11), LEN(BB11), LEN(BG11)))&gt;0, "FABRIC TOKYO "&amp; $D$1 &amp; " " &amp; TEXT($A$1, "yyyy-m-d") &amp; " お直し適用サイズ" &amp; CHAR(10), "")</f>
        <v>FABRIC TOKYO 日本橋 2025-11-30 お直し適用サイズ
</v>
      </c>
      <c r="B7" s="193"/>
      <c r="C7" s="12"/>
      <c r="D7" s="194" t="s">
        <v>31</v>
      </c>
      <c r="E7" s="12"/>
      <c r="F7" s="12"/>
      <c r="G7" s="12"/>
      <c r="H7" s="11"/>
      <c r="I7" s="11"/>
      <c r="J7" s="12"/>
      <c r="K7" s="12"/>
      <c r="L7" s="12"/>
      <c r="M7" s="11"/>
      <c r="N7" s="12"/>
      <c r="O7" s="12"/>
      <c r="P7" s="12"/>
      <c r="Q7" s="12"/>
      <c r="R7" s="11"/>
      <c r="S7" s="11"/>
      <c r="T7" s="184"/>
      <c r="U7" s="184"/>
      <c r="V7" s="184"/>
      <c r="W7" s="11"/>
      <c r="X7" s="12"/>
      <c r="Y7" s="184"/>
      <c r="Z7" s="184"/>
      <c r="AA7" s="184"/>
      <c r="AB7" s="11"/>
      <c r="AC7" s="12"/>
      <c r="AD7" s="184"/>
      <c r="AE7" s="184"/>
      <c r="AF7" s="184"/>
      <c r="AG7" s="11"/>
      <c r="AH7" s="12"/>
      <c r="AI7" s="184"/>
      <c r="AJ7" s="184"/>
      <c r="AK7" s="184"/>
      <c r="AL7" s="11"/>
      <c r="AM7" s="12"/>
      <c r="AN7" s="184"/>
      <c r="AO7" s="184"/>
      <c r="AP7" s="184"/>
      <c r="AQ7" s="11"/>
      <c r="AR7" s="12"/>
      <c r="AS7" s="184"/>
      <c r="AT7" s="184"/>
      <c r="AU7" s="184"/>
      <c r="AV7" s="11"/>
      <c r="AW7" s="12"/>
      <c r="AX7" s="184"/>
      <c r="AY7" s="184"/>
      <c r="AZ7" s="184"/>
      <c r="BA7" s="11"/>
      <c r="BB7" s="12"/>
      <c r="BC7" s="184"/>
      <c r="BD7" s="184"/>
      <c r="BE7" s="184"/>
      <c r="BF7" s="11"/>
      <c r="BG7" s="12"/>
      <c r="BH7" s="184"/>
      <c r="BI7" s="184"/>
      <c r="BJ7" s="184"/>
      <c r="BK7" s="184"/>
      <c r="BL7" s="184"/>
      <c r="BM7" s="184"/>
      <c r="BN7" s="184"/>
      <c r="BO7" s="184"/>
      <c r="BP7" s="184"/>
    </row>
    <row r="8">
      <c r="A8" s="192" t="str">
        <f>ifs($D$11&lt;&gt;"", 
"FABRIC TOKYO "&amp; $D$1&amp; "" &amp; text($A$1," yyyy-m-d"&amp;" お直し適用サイズ ＊スーツサイズ")
&amp; CHAR(10) &amp;
"FABRIC TOKYO "&amp; $D$1&amp; "" &amp; text($A$1," yyyy-m-d"&amp;" お直し適用サイズ ＊ビジネスカジュアルサイズ" &amp; CHAR(10))
,
$D$11="", "")</f>
        <v>FABRIC TOKYO 日本橋 2025-11-30 お直し適用サイズ ＊スーツサイズ
FABRIC TOKYO 日本橋 2025-11-30 お直し適用サイズ ＊ビジネスカジュアルサイズ
</v>
      </c>
      <c r="B8" s="193"/>
      <c r="C8" s="195"/>
      <c r="D8" s="196">
        <f>IF(OR($D$11="再製作", $I$11="再製作", $N$11="再製作"), "再製作", 
  IF(AND(COUNTIF($E$11:$O$11, "&gt;=" &amp;  TODAY()), COUNTIF($E$11:$O11, "&lt;&gt;")), MAX($D$11, $I$11, $N$11), ""))</f>
        <v>46000</v>
      </c>
      <c r="E8" s="197" t="s">
        <v>32</v>
      </c>
      <c r="F8" s="12"/>
      <c r="G8" s="12"/>
      <c r="H8" s="12"/>
      <c r="I8" s="12"/>
      <c r="J8" s="195"/>
      <c r="K8" s="195"/>
      <c r="L8" s="195"/>
      <c r="M8" s="11"/>
      <c r="N8" s="198" t="s">
        <v>33</v>
      </c>
      <c r="O8" s="12"/>
      <c r="P8" s="12"/>
      <c r="Q8" s="12"/>
      <c r="R8" s="11"/>
      <c r="S8" s="11"/>
      <c r="T8" s="184"/>
      <c r="U8" s="184"/>
      <c r="V8" s="184"/>
      <c r="W8" s="11"/>
      <c r="X8" s="12"/>
      <c r="Y8" s="184"/>
      <c r="Z8" s="184"/>
      <c r="AA8" s="184"/>
      <c r="AB8" s="11"/>
      <c r="AC8" s="12"/>
      <c r="AD8" s="184"/>
      <c r="AE8" s="184"/>
      <c r="AF8" s="184"/>
      <c r="AG8" s="11"/>
      <c r="AH8" s="12"/>
      <c r="AI8" s="184"/>
      <c r="AJ8" s="184"/>
      <c r="AK8" s="184"/>
      <c r="AL8" s="11"/>
      <c r="AM8" s="12"/>
      <c r="AN8" s="184"/>
      <c r="AO8" s="184"/>
      <c r="AP8" s="184"/>
      <c r="AQ8" s="11"/>
      <c r="AR8" s="12"/>
      <c r="AS8" s="184"/>
      <c r="AT8" s="184"/>
      <c r="AU8" s="184"/>
      <c r="AV8" s="11"/>
      <c r="AW8" s="12"/>
      <c r="AX8" s="184"/>
      <c r="AY8" s="184"/>
      <c r="AZ8" s="184"/>
      <c r="BA8" s="11"/>
      <c r="BB8" s="12"/>
      <c r="BC8" s="184"/>
      <c r="BD8" s="184"/>
      <c r="BE8" s="184"/>
      <c r="BF8" s="11"/>
      <c r="BG8" s="12"/>
      <c r="BH8" s="184"/>
      <c r="BI8" s="184"/>
      <c r="BJ8" s="184"/>
      <c r="BK8" s="184"/>
      <c r="BL8" s="184"/>
      <c r="BM8" s="184"/>
      <c r="BN8" s="184"/>
      <c r="BO8" s="184"/>
      <c r="BP8" s="184"/>
    </row>
    <row r="9">
      <c r="A9" s="12"/>
      <c r="B9" s="186"/>
      <c r="C9" s="12"/>
      <c r="D9" s="12"/>
      <c r="E9" s="11"/>
      <c r="F9" s="11"/>
      <c r="G9" s="11"/>
      <c r="H9" s="11"/>
      <c r="I9" s="11"/>
      <c r="J9" s="11"/>
      <c r="K9" s="11"/>
      <c r="L9" s="11"/>
      <c r="M9" s="11"/>
      <c r="N9" s="11"/>
      <c r="O9" s="11"/>
      <c r="P9" s="11"/>
      <c r="Q9" s="11"/>
      <c r="R9" s="11"/>
      <c r="S9" s="12"/>
      <c r="T9" s="184"/>
      <c r="U9" s="184"/>
      <c r="V9" s="184"/>
      <c r="W9" s="11"/>
      <c r="X9" s="12"/>
      <c r="Y9" s="184"/>
      <c r="Z9" s="184"/>
      <c r="AA9" s="184"/>
      <c r="AB9" s="11"/>
      <c r="AC9" s="12"/>
      <c r="AD9" s="184"/>
      <c r="AE9" s="184"/>
      <c r="AF9" s="184"/>
      <c r="AG9" s="11"/>
      <c r="AH9" s="12"/>
      <c r="AI9" s="184"/>
      <c r="AJ9" s="184"/>
      <c r="AK9" s="184"/>
      <c r="AL9" s="11"/>
      <c r="AM9" s="12"/>
      <c r="AN9" s="184"/>
      <c r="AO9" s="184"/>
      <c r="AP9" s="184"/>
      <c r="AQ9" s="11"/>
      <c r="AR9" s="12"/>
      <c r="AS9" s="184"/>
      <c r="AT9" s="184"/>
      <c r="AU9" s="184"/>
      <c r="AV9" s="11"/>
      <c r="AW9" s="12"/>
      <c r="AX9" s="184"/>
      <c r="AY9" s="184"/>
      <c r="AZ9" s="184"/>
      <c r="BA9" s="11"/>
      <c r="BB9" s="12"/>
      <c r="BC9" s="184"/>
      <c r="BD9" s="184"/>
      <c r="BE9" s="184"/>
      <c r="BF9" s="11"/>
      <c r="BG9" s="12"/>
      <c r="BH9" s="184"/>
      <c r="BI9" s="184"/>
      <c r="BJ9" s="184"/>
      <c r="BK9" s="184"/>
      <c r="BL9" s="184"/>
      <c r="BM9" s="184"/>
      <c r="BN9" s="184"/>
      <c r="BO9" s="184"/>
      <c r="BP9" s="184"/>
    </row>
    <row r="10" ht="15.75" customHeight="1">
      <c r="A10" s="199" t="str">
        <f t="array" ref="A10">TRIM(
 IF($A$14&lt;&gt;"",TEXTJOIN(CHAR(10),TRUE,IF($A$14:$A$17&lt;&gt;"",$A$14:$A$17,"")) &amp; CHAR(10) &amp; CHAR(10),"") &amp;
 IF($A$19&lt;&gt;"",TEXTJOIN(CHAR(10),TRUE,IF($A$19:$A$22&lt;&gt;"",$A$19:$A$22,"")) &amp; CHAR(10) &amp; CHAR(10),"") &amp;
 IF($A$24&lt;&gt;"",TEXTJOIN(CHAR(10),TRUE,IF($A$24:$A$27&lt;&gt;"",$A$24:$A$27,"")) &amp; CHAR(10) &amp; CHAR(10),"") &amp;
 IF($A$29&lt;&gt;"",TEXTJOIN(CHAR(10),TRUE,IF($A$29:$A$32&lt;&gt;"",$A$29:$A$32,"")) &amp; CHAR(10) &amp; CHAR(10),"") &amp;
 IF($A$34&lt;&gt;"",TEXTJOIN(CHAR(10),TRUE,IF($A$34:$A$37&lt;&gt;"",$A$34:$A$37,"")) &amp; CHAR(10) &amp; CHAR(10),"") &amp;
 IF($A$39&lt;&gt;"",TEXTJOIN(CHAR(10),TRUE,IF($A$39:$A$42&lt;&gt;"",$A$39:$A$42,"")) &amp; CHAR(10) &amp; CHAR(10),"") &amp;
 IF($A$44&lt;&gt;"",TEXTJOIN(CHAR(10),TRUE,IF($A$44:$A$47&lt;&gt;"",$A$44:$A$47,"")) &amp; CHAR(10) &amp; CHAR(10),"") &amp;
 IF($A$49&lt;&gt;"",TEXTJOIN(CHAR(10),TRUE,IF($A$49:$A$52&lt;&gt;"",$A$49:$A$52,"")) &amp; CHAR(10) &amp; CHAR(10),"") &amp;
 IF($A$54&lt;&gt;"",TEXTJOIN(CHAR(10),TRUE,IF($A$54:$A$57&lt;&gt;"",$A$54:$A$57,"")) &amp; CHAR(10) &amp; CHAR(10),"") &amp;
 IF($A$59&lt;&gt;"",TEXTJOIN(CHAR(10),TRUE,IF($A$59:$A$62&lt;&gt;"",$A$59:$A$62,"")) &amp; CHAR(10) &amp; CHAR(10),"") &amp;
 IF($A$64&lt;&gt;"",TEXTJOIN(CHAR(10),TRUE,IF($A$64:$A$67&lt;&gt;"",$A$64:$A$67,"")) &amp; CHAR(10) &amp; CHAR(10),"") &amp;
 IF($A$69&lt;&gt;"",TEXTJOIN(CHAR(10),TRUE,IF($A$69:$A$72&lt;&gt;"",$A$69:$A$72,"")) &amp; CHAR(10) &amp; CHAR(10),"") 
)
</f>
        <v>◼︎ ジャケット（対応着地：お直し）
《修正数値》
ウエスト / センターベント : 2 cm
《仕上がり数値》
ウエスト / センターベント : cm
◼︎ パンツ（対応着地：お直し）
《修正数値》
股下 / シングル : 2 cm
《仕上がり数値》
股下 / シングル : cm</v>
      </c>
      <c r="B10" s="12"/>
      <c r="C10" s="12"/>
      <c r="D10" s="200" t="s">
        <v>34</v>
      </c>
      <c r="E10" s="201"/>
      <c r="F10" s="201"/>
      <c r="G10" s="202" t="s">
        <v>35</v>
      </c>
      <c r="H10" s="11"/>
      <c r="I10" s="200" t="s">
        <v>36</v>
      </c>
      <c r="J10" s="203"/>
      <c r="K10" s="201"/>
      <c r="L10" s="202" t="s">
        <v>35</v>
      </c>
      <c r="M10" s="11"/>
      <c r="N10" s="204" t="s">
        <v>37</v>
      </c>
      <c r="O10" s="203"/>
      <c r="P10" s="201"/>
      <c r="Q10" s="202" t="s">
        <v>35</v>
      </c>
      <c r="R10" s="11"/>
      <c r="S10" s="200" t="s">
        <v>38</v>
      </c>
      <c r="T10" s="203"/>
      <c r="U10" s="201"/>
      <c r="V10" s="202" t="s">
        <v>35</v>
      </c>
      <c r="W10" s="11"/>
      <c r="X10" s="200" t="s">
        <v>39</v>
      </c>
      <c r="Y10" s="203"/>
      <c r="Z10" s="201"/>
      <c r="AA10" s="202" t="s">
        <v>35</v>
      </c>
      <c r="AB10" s="11"/>
      <c r="AC10" s="200" t="s">
        <v>40</v>
      </c>
      <c r="AD10" s="203"/>
      <c r="AE10" s="201"/>
      <c r="AF10" s="202" t="s">
        <v>35</v>
      </c>
      <c r="AG10" s="11"/>
      <c r="AH10" s="200" t="s">
        <v>41</v>
      </c>
      <c r="AI10" s="203"/>
      <c r="AJ10" s="201"/>
      <c r="AK10" s="202" t="s">
        <v>35</v>
      </c>
      <c r="AL10" s="11"/>
      <c r="AM10" s="200" t="s">
        <v>42</v>
      </c>
      <c r="AN10" s="203"/>
      <c r="AO10" s="201"/>
      <c r="AP10" s="202" t="s">
        <v>35</v>
      </c>
      <c r="AQ10" s="11"/>
      <c r="AR10" s="200" t="s">
        <v>43</v>
      </c>
      <c r="AS10" s="203"/>
      <c r="AT10" s="201"/>
      <c r="AU10" s="202" t="s">
        <v>35</v>
      </c>
      <c r="AV10" s="12"/>
      <c r="AW10" s="200" t="s">
        <v>44</v>
      </c>
      <c r="AX10" s="203"/>
      <c r="AY10" s="201"/>
      <c r="AZ10" s="202" t="s">
        <v>35</v>
      </c>
      <c r="BA10" s="12"/>
      <c r="BB10" s="200" t="s">
        <v>45</v>
      </c>
      <c r="BC10" s="203"/>
      <c r="BD10" s="201"/>
      <c r="BE10" s="202" t="s">
        <v>35</v>
      </c>
      <c r="BF10" s="12"/>
      <c r="BG10" s="200" t="s">
        <v>46</v>
      </c>
      <c r="BH10" s="203"/>
      <c r="BI10" s="201"/>
      <c r="BJ10" s="202" t="s">
        <v>35</v>
      </c>
      <c r="BK10" s="12"/>
      <c r="BL10" s="200" t="s">
        <v>47</v>
      </c>
      <c r="BM10" s="201"/>
      <c r="BN10" s="201"/>
      <c r="BO10" s="202" t="s">
        <v>35</v>
      </c>
      <c r="BP10" s="12"/>
    </row>
    <row r="11" ht="37.5" customHeight="1">
      <c r="A11" s="205" t="s">
        <v>48</v>
      </c>
      <c r="B11" s="206"/>
      <c r="C11" s="207"/>
      <c r="D11" s="196">
        <f t="array" ref="D11">IFS( COUNTA(F$13:F27) = 0, "", COUNTIF(F$13:F27, "再製作") &gt; 0, "再製作", COUNTIF(F$13:F27, "&gt;0") = 1, INDEX(F$13:F27, MATCH(TRUE, ISNUMBER(F$13:F27), 0)), COUNTIF(F$13:F27, "&gt;0") = 2, 'アイテム別限界値DB'!$S$4, COUNTIF(F$13:F27, "&gt;0") &gt;= 3, 'アイテム別限界値DB'!$S$6, TRUE, "" ) </f>
        <v>46000</v>
      </c>
      <c r="E11" s="208" t="s">
        <v>49</v>
      </c>
      <c r="F11" s="202" t="s">
        <v>50</v>
      </c>
      <c r="G11" s="209">
        <f>sum(G12:G72)</f>
        <v>0</v>
      </c>
      <c r="H11" s="206"/>
      <c r="I11" s="196">
        <f t="array" ref="I11">IFS( COUNTA(K$13:K27) = 0, "", COUNTIF(K$13:K27, "再製作") &gt; 0, "再製作", COUNTIF(K$13:K27, "&gt;0") = 1, INDEX(K$13:K27, MATCH(TRUE, ISNUMBER(K$13:K27), 0)), COUNTIF(K$13:K27, "&gt;0") = 2, 'アイテム別限界値DB'!$S$8, COUNTIF(K$13:K27, "&gt;0") &gt;= 3, 'アイテム別限界値DB'!$S$10, TRUE, "" ) </f>
        <v>45996</v>
      </c>
      <c r="J11" s="210" t="s">
        <v>49</v>
      </c>
      <c r="K11" s="202" t="s">
        <v>50</v>
      </c>
      <c r="L11" s="209">
        <f>sum(L12:L72)</f>
        <v>0</v>
      </c>
      <c r="M11" s="206"/>
      <c r="N11" s="196" t="str">
        <f t="array" ref="N11">IFS( COUNTA(P$13:P27) = 0, "", COUNTIF(P$13:P27, "再製作") &gt; 0, "再製作", COUNTIF(P$13:P27, "&gt;0") = 1, INDEX(P$13:P27, MATCH(TRUE, ISNUMBER(P$13:P27), 0)), COUNTIF(P$13:P27, "&gt;0") = 2, 'アイテム別限界値DB'!$S$4, COUNTIF(P$13:P27, "&gt;0") &gt;= 3, 'アイテム別限界値DB'!$S$6, TRUE, "" ) </f>
        <v/>
      </c>
      <c r="O11" s="210" t="s">
        <v>49</v>
      </c>
      <c r="P11" s="202" t="s">
        <v>50</v>
      </c>
      <c r="Q11" s="209">
        <f>sum(Q12:Q72)</f>
        <v>0</v>
      </c>
      <c r="R11" s="211"/>
      <c r="S11" s="196" t="str">
        <f t="array" ref="S11">IFS( COUNTA(U$13:U27) = 0, "", COUNTIF(U$13:U27, "再製作") &gt; 0, "再製作", COUNTIF(U$13:U27, "&gt;0") = 1, INDEX(U$13:U27, MATCH(TRUE, ISNUMBER(U$13:U27), 0)), COUNTIF(U$13:U27, "&gt;0") = 2, 'アイテム別限界値DB'!$S$8, COUNTIF(U$13:U27, "&gt;0") &gt;= 3, 'アイテム別限界値DB'!$S$10, TRUE, "" ) </f>
        <v/>
      </c>
      <c r="T11" s="210" t="s">
        <v>49</v>
      </c>
      <c r="U11" s="202" t="s">
        <v>50</v>
      </c>
      <c r="V11" s="209">
        <f>sum(V12:V72)</f>
        <v>0</v>
      </c>
      <c r="W11" s="212"/>
      <c r="X11" s="196" t="str">
        <f t="array" ref="X11">IFS( COUNTA(Z$13:Z27) = 0, "", COUNTIF(Z$13:Z27, "再製作") &gt; 0, "再製作", COUNTIF(Z$13:Z27, "&gt;0") = 1, INDEX(Z$13:Z27, MATCH(TRUE, ISNUMBER(Z$13:Z27), 0)), COUNTIF(Z$13:Z27, "&gt;0") = 2, 'アイテム別限界値DB'!$S$4, COUNTIF(Z$13:Z27, "&gt;0") &gt;= 3, 'アイテム別限界値DB'!$S$6, TRUE, "" ) </f>
        <v/>
      </c>
      <c r="Y11" s="210" t="s">
        <v>49</v>
      </c>
      <c r="Z11" s="202" t="s">
        <v>50</v>
      </c>
      <c r="AA11" s="209">
        <f>sum(AA12:AA72)</f>
        <v>0</v>
      </c>
      <c r="AB11" s="211"/>
      <c r="AC11" s="196" t="str">
        <f t="array" ref="AC11">IFS( COUNTA(AE$13:AE27) = 0, "", COUNTIF(AE$13:AE27, "再製作") &gt; 0, "再製作", COUNTIF(AE$13:AE27, "&gt;0") = 1, INDEX(AE$13:AE27, MATCH(TRUE, ISNUMBER(AE$13:AE27), 0)), COUNTIF(AE$13:AE27, "&gt;0") = 2, 'アイテム別限界値DB'!$S$4, COUNTIF(AE$13:AE27, "&gt;0") &gt;= 3, 'アイテム別限界値DB'!$S$6, TRUE, "" ) </f>
        <v/>
      </c>
      <c r="AD11" s="210" t="s">
        <v>49</v>
      </c>
      <c r="AE11" s="202" t="s">
        <v>50</v>
      </c>
      <c r="AF11" s="209">
        <f>sum(AF12:AF72)</f>
        <v>0</v>
      </c>
      <c r="AG11" s="211"/>
      <c r="AH11" s="196" t="str">
        <f t="array" ref="AH11">IFS( COUNTA(AJ$13:AJ27) = 0, "", COUNTIF(AJ$13:AJ27, "再製作") &gt; 0, "再製作", COUNTIF(AJ$13:AJ27, "&gt;0") = 1, INDEX(AJ$13:AJ27, MATCH(TRUE, ISNUMBER(AJ$13:AJ27), 0)), COUNTIF(AJ$13:AJ27, "&gt;0") = 2, 'アイテム別限界値DB'!$S$4, COUNTIF(AJ$13:AJ27, "&gt;0") &gt;= 3, 'アイテム別限界値DB'!$S$6, TRUE, "" ) </f>
        <v/>
      </c>
      <c r="AI11" s="210" t="s">
        <v>49</v>
      </c>
      <c r="AJ11" s="202" t="s">
        <v>50</v>
      </c>
      <c r="AK11" s="209">
        <f>sum(AK12:AK72)</f>
        <v>0</v>
      </c>
      <c r="AL11" s="211"/>
      <c r="AM11" s="196" t="str">
        <f t="array" ref="AM11">IFS( COUNTA(AO$13:AO27) = 0, "", COUNTIF(AO$13:AO27, "再製作") &gt; 0, "再製作", COUNTIF(AO$13:AO27, "&gt;0") = 1, INDEX(AO$13:AO27, MATCH(TRUE, ISNUMBER(AO$13:AO27), 0)), COUNTIF(AO$13:AO27, "&gt;0") = 2, 'アイテム別限界値DB'!$S$4, COUNTIF(AO$13:AO27, "&gt;0") &gt;= 3, 'アイテム別限界値DB'!$S$6, TRUE, "" ) </f>
        <v/>
      </c>
      <c r="AN11" s="210" t="s">
        <v>49</v>
      </c>
      <c r="AO11" s="202" t="s">
        <v>50</v>
      </c>
      <c r="AP11" s="209">
        <f>sum(AP12:AP72)</f>
        <v>0</v>
      </c>
      <c r="AQ11" s="211"/>
      <c r="AR11" s="196" t="str">
        <f t="array" ref="AR11">IFS( COUNTA(AT$13:AT27) = 0, "", COUNTIF(AT$13:AT27, "再製作") &gt; 0, "再製作", COUNTIF(AT$13:AT27, "&gt;0") = 1, INDEX(AT$13:AT27, MATCH(TRUE, ISNUMBER(AT$13:AT27), 0)), COUNTIF(AT$13:AT27, "&gt;0") = 2, 'アイテム別限界値DB'!$S$4, COUNTIF(AT$13:AT27, "&gt;0") &gt;= 3, 'アイテム別限界値DB'!$S$6, TRUE, "" ) </f>
        <v/>
      </c>
      <c r="AS11" s="210" t="s">
        <v>49</v>
      </c>
      <c r="AT11" s="202" t="s">
        <v>50</v>
      </c>
      <c r="AU11" s="209">
        <f>sum(AU12:AU72)</f>
        <v>0</v>
      </c>
      <c r="AV11" s="213"/>
      <c r="AW11" s="196" t="str">
        <f t="array" ref="AW11">IFS( COUNTA(AY$13:AY27) = 0, "", COUNTIF(AY$13:AY27, "再製作") &gt; 0, "再製作", COUNTIF(AY$13:AY27, "&gt;0") = 1, INDEX(AY$13:AY27, MATCH(TRUE, ISNUMBER(AY$13:AY27), 0)), COUNTIF(AY$13:AY27, "&gt;0") = 2, 'アイテム別限界値DB'!$S$4, COUNTIF(AY$13:AY27, "&gt;0") &gt;= 3, 'アイテム別限界値DB'!$S$6, TRUE, "" ) </f>
        <v/>
      </c>
      <c r="AX11" s="210" t="s">
        <v>49</v>
      </c>
      <c r="AY11" s="202" t="s">
        <v>50</v>
      </c>
      <c r="AZ11" s="209">
        <f>sum(AZ12:AZ72)</f>
        <v>0</v>
      </c>
      <c r="BA11" s="213"/>
      <c r="BB11" s="196" t="str">
        <f t="array" ref="BB11">IFS( COUNTA(BD$13:BD27) = 0, "", COUNTIF(BD$13:BD27, "再製作") &gt; 0, "再製作", COUNTIF(BD$13:BD27, "&gt;0") = 1, INDEX(BD$13:BD27, MATCH(TRUE, ISNUMBER(BD$13:BD27), 0)), COUNTIF(BD$13:BD27, "&gt;0") = 2, 'アイテム別限界値DB'!$S$4, COUNTIF(BD$13:BD27, "&gt;0") &gt;= 3, 'アイテム別限界値DB'!$S$6, TRUE, "" ) </f>
        <v/>
      </c>
      <c r="BC11" s="210" t="s">
        <v>49</v>
      </c>
      <c r="BD11" s="202" t="s">
        <v>50</v>
      </c>
      <c r="BE11" s="209">
        <f>sum(BE12:BE72)</f>
        <v>0</v>
      </c>
      <c r="BF11" s="213"/>
      <c r="BG11" s="196" t="str">
        <f t="array" ref="BG11">IFS( COUNTA(BI$13:BI27) = 0, "", COUNTIF(BI$13:BI27, "再製作") &gt; 0, "再製作", COUNTIF(BI$13:BI27, "&gt;0") = 1, INDEX(BI$13:BI27, MATCH(TRUE, ISNUMBER(BI$13:BI27), 0)), COUNTIF(BI$13:BI27, "&gt;0") = 2, 'アイテム別限界値DB'!$S$4, COUNTIF(BI$13:BI27, "&gt;0") &gt;= 3, 'アイテム別限界値DB'!$S$6, TRUE, "" ) </f>
        <v/>
      </c>
      <c r="BH11" s="210" t="s">
        <v>49</v>
      </c>
      <c r="BI11" s="202" t="s">
        <v>50</v>
      </c>
      <c r="BJ11" s="209">
        <f>sum(BJ12:BJ72)</f>
        <v>0</v>
      </c>
      <c r="BK11" s="213"/>
      <c r="BL11" s="196">
        <f t="array" ref="BL11">IFS( COUNTA(BN$13:BN27) = 0, "", COUNTIF(BN$13:BN27, "再製作") &gt; 0, "再製作", COUNTIF(BN$13:BN27, "&gt;0") = 1, INDEX(BN$13:BN27, MATCH(TRUE, ISNUMBER(BN$13:BN27), 0)), COUNTIF(BN$13:BN27, "&gt;0") = 2, 'アイテム別限界値DB'!$S$4, COUNTIF(BN$13:BN27, "&gt;0") &gt;= 3, 'アイテム別限界値DB'!$S$6, TRUE, "" ) </f>
        <v>46003</v>
      </c>
      <c r="BM11" s="214" t="s">
        <v>49</v>
      </c>
      <c r="BN11" s="215" t="s">
        <v>50</v>
      </c>
      <c r="BO11" s="209">
        <f>sum(BO12:BO72)</f>
        <v>0</v>
      </c>
      <c r="BP11" s="213"/>
    </row>
    <row r="12" ht="15.75" hidden="1" customHeight="1">
      <c r="A12" s="11"/>
      <c r="B12" s="11"/>
      <c r="C12" s="11"/>
      <c r="D12" s="216" t="s">
        <v>51</v>
      </c>
      <c r="E12" s="217" t="str">
        <f>IF(D11="再製作", "再製作", IF(D11&lt;&gt;"", "お直し", ""))
</f>
        <v>お直し</v>
      </c>
      <c r="F12" s="195"/>
      <c r="G12" s="218" t="str">
        <f t="array" ref="G12">IF(
  E12 = "再製作", 
  "", 
 if(E12="", "",
  IFERROR(
    INDEX(
      'アイテム別限界値DB'!$L:$L, 
      MATCH(
        1, 
        ('アイテム別限界値DB'!$B:$B = D$10) * 
        ('アイテム別限界値DB'!$C:$C = D12), 
        0
      )
    ), 
    "再製作"
  )
))
</f>
        <v/>
      </c>
      <c r="H12" s="12"/>
      <c r="I12" s="216" t="s">
        <v>51</v>
      </c>
      <c r="J12" s="217" t="str">
        <f>IF(I11="再製作", "再製作", IF(I11&lt;&gt;"", "お直し", ""))
</f>
        <v>お直し</v>
      </c>
      <c r="K12" s="195"/>
      <c r="L12" s="218" t="str">
        <f t="array" ref="L12">IF(
  J12 = "再製作", 
  "", 
 if(J12="", "",
  IFERROR(
    INDEX(
      'アイテム別限界値DB'!$L:$L, 
      MATCH(
        1, 
        ('アイテム別限界値DB'!$B:$B = I$10) * 
        ('アイテム別限界値DB'!$C:$C = I12), 
        0
      )
    ), 
    "再製作"
  )
))
</f>
        <v/>
      </c>
      <c r="M12" s="121"/>
      <c r="N12" s="216" t="s">
        <v>51</v>
      </c>
      <c r="O12" s="217" t="str">
        <f>IF(N11="再製作", "再製作", IF(N11&lt;&gt;"", "お直し", ""))
</f>
        <v/>
      </c>
      <c r="P12" s="195"/>
      <c r="Q12" s="218" t="str">
        <f t="array" ref="Q12">IF(
  O12 = "再製作", 
  "", 
 if(O12="", "",
  IFERROR(
    INDEX(
      'アイテム別限界値DB'!$L:$L, 
      MATCH(
        1, 
        ('アイテム別限界値DB'!$B:$B = N$10) * 
        ('アイテム別限界値DB'!$C:$C = N12), 
        0
      )
    ), 
    "再製作"
  )
))
</f>
        <v/>
      </c>
      <c r="R12" s="11"/>
      <c r="S12" s="216" t="s">
        <v>51</v>
      </c>
      <c r="T12" s="219" t="str">
        <f>IF(S11="再製作", "再製作", IF(S11&lt;&gt;"", "お直し", ""))
</f>
        <v/>
      </c>
      <c r="U12" s="220"/>
      <c r="V12" s="218" t="str">
        <f t="array" ref="V12">IF(
  T12 = "再製作", 
  "", 
 if(T12="", "",
  IFERROR(
    INDEX(
      'アイテム別限界値DB'!$L:$L, 
      MATCH(
        1, 
        ('アイテム別限界値DB'!$B:$B = S$10) * 
        ('アイテム別限界値DB'!$C:$C = S12), 
        0
      )
    ), 
    "再製作"
  )
))
</f>
        <v/>
      </c>
      <c r="W12" s="12"/>
      <c r="X12" s="216" t="s">
        <v>51</v>
      </c>
      <c r="Y12" s="219" t="str">
        <f>IF(X11="再製作", "再製作", IF(X11&lt;&gt;"", "お直し", ""))
</f>
        <v/>
      </c>
      <c r="Z12" s="220"/>
      <c r="AA12" s="218" t="str">
        <f t="array" ref="AA12">IF(
  Y12 = "再製作", 
  "", 
 if(Y12="", "",
  IFERROR(
    INDEX(
      'アイテム別限界値DB'!$L:$L, 
      MATCH(
        1, 
        ('アイテム別限界値DB'!$B:$B = X$10) * 
        ('アイテム別限界値DB'!$C:$C = X12), 
        0
      )
    ), 
    "再製作"
  )
))
</f>
        <v/>
      </c>
      <c r="AB12" s="11"/>
      <c r="AC12" s="216" t="s">
        <v>51</v>
      </c>
      <c r="AD12" s="219" t="str">
        <f>IF(AC11="再製作", "再製作", IF(AC11&lt;&gt;"", "お直し", ""))
</f>
        <v/>
      </c>
      <c r="AE12" s="220"/>
      <c r="AF12" s="218" t="str">
        <f t="array" ref="AF12">IF(
  AD12 = "再製作", 
  "", 
 if(AD12="", "",
  IFERROR(
    INDEX(
      'アイテム別限界値DB'!$L:$L, 
      MATCH(
        1, 
        ('アイテム別限界値DB'!$B:$B = AC$10) * 
        ('アイテム別限界値DB'!$C:$C = AC12), 
        0
      )
    ), 
    "再製作"
  )
))
</f>
        <v/>
      </c>
      <c r="AG12" s="11"/>
      <c r="AH12" s="216" t="s">
        <v>51</v>
      </c>
      <c r="AI12" s="219" t="str">
        <f>IF(AH11="再製作", "再製作", IF(AH11&lt;&gt;"", "お直し", ""))
</f>
        <v/>
      </c>
      <c r="AJ12" s="220"/>
      <c r="AK12" s="218" t="str">
        <f t="array" ref="AK12">IF(
  AI12 = "再製作", 
  "", 
 if(AI12="", "",
  IFERROR(
    INDEX(
      'アイテム別限界値DB'!$L:$L, 
      MATCH(
        1, 
        ('アイテム別限界値DB'!$B:$B = AH$10) * 
        ('アイテム別限界値DB'!$C:$C = AH12), 
        0
      )
    ), 
    "再製作"
  )
))
</f>
        <v/>
      </c>
      <c r="AL12" s="11"/>
      <c r="AM12" s="216" t="s">
        <v>51</v>
      </c>
      <c r="AN12" s="219" t="str">
        <f>IF(AM11="再製作", "再製作", IF(AM11&lt;&gt;"", "お直し", ""))
</f>
        <v/>
      </c>
      <c r="AO12" s="220"/>
      <c r="AP12" s="218" t="str">
        <f t="array" ref="AP12">IF(
  AN12 = "再製作", 
  "", 
 if(AN12="", "",
  IFERROR(
    INDEX(
      'アイテム別限界値DB'!$L:$L, 
      MATCH(
        1, 
        ('アイテム別限界値DB'!$B:$B = AM$10) * 
        ('アイテム別限界値DB'!$C:$C = AM12), 
        0
      )
    ), 
    "再製作"
  )
))
</f>
        <v/>
      </c>
      <c r="AQ12" s="11"/>
      <c r="AR12" s="216" t="s">
        <v>51</v>
      </c>
      <c r="AS12" s="219" t="str">
        <f>IF(AR11="再製作", "再製作", IF(AR11&lt;&gt;"", "お直し", ""))
</f>
        <v/>
      </c>
      <c r="AT12" s="220"/>
      <c r="AU12" s="218" t="str">
        <f t="array" ref="AU12">IF(
  AS12 = "再製作", 
  "", 
 if(AS12="", "",
  IFERROR(
    INDEX(
      'アイテム別限界値DB'!$L:$L, 
      MATCH(
        1, 
        ('アイテム別限界値DB'!$B:$B = AR$10) * 
        ('アイテム別限界値DB'!$C:$C = AR12), 
        0
      )
    ), 
    "再製作"
  )
))
</f>
        <v/>
      </c>
      <c r="AV12" s="121"/>
      <c r="AW12" s="216" t="s">
        <v>51</v>
      </c>
      <c r="AX12" s="219" t="str">
        <f>IF(AW11="再製作", "再製作", IF(AW11&lt;&gt;"", "お直し", ""))
</f>
        <v/>
      </c>
      <c r="AY12" s="220"/>
      <c r="AZ12" s="218" t="str">
        <f t="array" ref="AZ12">IF(
  AX12 = "再製作", 
  "", 
 if(AX12="", "",
  IFERROR(
    INDEX(
      'アイテム別限界値DB'!$L:$L, 
      MATCH(
        1, 
        ('アイテム別限界値DB'!$B:$B = AW$10) * 
        ('アイテム別限界値DB'!$C:$C = AW12), 
        0
      )
    ), 
    "再製作"
  )
))
</f>
        <v/>
      </c>
      <c r="BA12" s="121"/>
      <c r="BB12" s="216" t="s">
        <v>51</v>
      </c>
      <c r="BC12" s="217" t="str">
        <f>IF(BB11="再製作", "再製作", IF(BB11&lt;&gt;"", "お直し", ""))
</f>
        <v/>
      </c>
      <c r="BD12" s="195"/>
      <c r="BE12" s="218" t="str">
        <f t="array" ref="BE12">IF(
  BC12 = "再製作", 
  "", 
 if(BC12="", "",
  IFERROR(
    INDEX(
      'アイテム別限界値DB'!$L:$L, 
      MATCH(
        1, 
        ('アイテム別限界値DB'!$B:$B = BB$10) * 
        ('アイテム別限界値DB'!$C:$C = BB12), 
        0
      )
    ), 
    "再製作"
  )
))
</f>
        <v/>
      </c>
      <c r="BF12" s="121"/>
      <c r="BG12" s="216" t="s">
        <v>51</v>
      </c>
      <c r="BH12" s="217" t="str">
        <f>IF(BG11="再製作", "再製作", IF(BG11&lt;&gt;"", "お直し", ""))
</f>
        <v/>
      </c>
      <c r="BI12" s="195"/>
      <c r="BJ12" s="218" t="str">
        <f t="array" ref="BJ12">IF(
  BH12 = "再製作", 
  "", 
 if(BH12="", "",
  IFERROR(
    INDEX(
      'アイテム別限界値DB'!$L:$L, 
      MATCH(
        1, 
        ('アイテム別限界値DB'!$B:$B = BG$10) * 
        ('アイテム別限界値DB'!$C:$C = BG12), 
        0
      )
    ), 
    "再製作"
  )
))
</f>
        <v/>
      </c>
      <c r="BK12" s="121"/>
      <c r="BL12" s="221" t="s">
        <v>51</v>
      </c>
      <c r="BM12" s="219" t="str">
        <f>IF(BL11="再製作", "再製作", IF(BL11&lt;&gt;"", "お直し", ""))
</f>
        <v>お直し</v>
      </c>
      <c r="BN12" s="195"/>
      <c r="BO12" s="218" t="str">
        <f t="array" ref="BO12">IF(
  BM12 = "再製作", 
  "", 
 if(BM12="", "",
  IFERROR(
    INDEX(
      'アイテム別限界値DB'!$L:$L, 
      MATCH(
        1, 
        ('アイテム別限界値DB'!$B:$B = BL$10) * 
        ('アイテム別限界値DB'!$C:$C = BL12), 
        0
      )
    ), 
    "再製作"
  )
))
</f>
        <v/>
      </c>
      <c r="BP12" s="195"/>
    </row>
    <row r="13" ht="18.75" hidden="1" customHeight="1">
      <c r="A13" s="222" t="s">
        <v>52</v>
      </c>
      <c r="B13" s="12"/>
      <c r="C13" s="12"/>
      <c r="D13" s="223" t="b">
        <f t="array" ref="D13:D42">UNIQUE(IF( ('アイテム別限界値DB'!$B:$B = D$10) * ('アイテム別限界値DB'!$A:$A = "サイズ"),  IF('アイテム別限界値DB'!$B:$B = D$10, 'アイテム別限界値DB'!$F:$F, "") ))</f>
        <v>0</v>
      </c>
      <c r="E13" s="224"/>
      <c r="F13" s="12"/>
      <c r="G13" s="121"/>
      <c r="H13" s="12"/>
      <c r="I13" s="223" t="b">
        <f t="array" ref="I13:I27">UNIQUE(IF( ('アイテム別限界値DB'!$B:$B = I$10) * ('アイテム別限界値DB'!$A:$A = "サイズ"),  IF('アイテム別限界値DB'!$B:$B = I$10, 'アイテム別限界値DB'!$F:$F, "") ))</f>
        <v>0</v>
      </c>
      <c r="J13" s="224"/>
      <c r="K13" s="12"/>
      <c r="L13" s="121"/>
      <c r="M13" s="12"/>
      <c r="N13" s="223" t="b">
        <f t="array" ref="N13:N21">UNIQUE(IF( ('アイテム別限界値DB'!$B:$B = N$10) * ('アイテム別限界値DB'!$A:$A = "サイズ"),  IF('アイテム別限界値DB'!$B:$B = N$10, 'アイテム別限界値DB'!$C:$C, "") ))</f>
        <v>0</v>
      </c>
      <c r="O13" s="224"/>
      <c r="P13" s="12"/>
      <c r="Q13" s="121"/>
      <c r="R13" s="11"/>
      <c r="S13" s="223" t="b">
        <f t="array" ref="S13:S28">UNIQUE(IF( ('アイテム別限界値DB'!$B:$B = S$10) * ('アイテム別限界値DB'!$A:$A = "サイズ"),  IF('アイテム別限界値DB'!$B:$B = S$10, 'アイテム別限界値DB'!$F:$F, "") ))</f>
        <v>0</v>
      </c>
      <c r="T13" s="225"/>
      <c r="U13" s="226"/>
      <c r="V13" s="121"/>
      <c r="W13" s="12"/>
      <c r="X13" s="223" t="b">
        <f t="array" ref="X13:X31">UNIQUE(IF( ('アイテム別限界値DB'!$B:$B = X$10) * ('アイテム別限界値DB'!$A:$A = "サイズ"),  IF('アイテム別限界値DB'!$B:$B = X$10, 'アイテム別限界値DB'!$C:$C, "") ))</f>
        <v>0</v>
      </c>
      <c r="Y13" s="225"/>
      <c r="Z13" s="226"/>
      <c r="AA13" s="121"/>
      <c r="AB13" s="11"/>
      <c r="AC13" s="223" t="b">
        <f t="array" ref="AC13:AC29">UNIQUE(IF( ('アイテム別限界値DB'!$B:$B = AC$10) * ('アイテム別限界値DB'!$A:$A = "サイズ"),  IF('アイテム別限界値DB'!$B:$B = AC$10, 'アイテム別限界値DB'!$F:$F, "") ))</f>
        <v>0</v>
      </c>
      <c r="AD13" s="225"/>
      <c r="AE13" s="226"/>
      <c r="AF13" s="121"/>
      <c r="AG13" s="11"/>
      <c r="AH13" s="223" t="b">
        <f t="array" ref="AH13:AH20">UNIQUE(IF( ('アイテム別限界値DB'!$B:$B = AH$10) * ('アイテム別限界値DB'!$A:$A = "サイズ"),  IF('アイテム別限界値DB'!$B:$B = AH$10, 'アイテム別限界値DB'!$F:$F, "") ))</f>
        <v>0</v>
      </c>
      <c r="AI13" s="225"/>
      <c r="AJ13" s="226"/>
      <c r="AK13" s="121"/>
      <c r="AL13" s="11"/>
      <c r="AM13" s="223" t="b">
        <f t="array" ref="AM13:AM20">UNIQUE(IF( ('アイテム別限界値DB'!$B:$B = AM$10) * ('アイテム別限界値DB'!$A:$A = "サイズ"),  IF('アイテム別限界値DB'!$B:$B = AM$10, 'アイテム別限界値DB'!$F:$F, "") ))</f>
        <v>0</v>
      </c>
      <c r="AN13" s="225"/>
      <c r="AO13" s="226"/>
      <c r="AP13" s="121"/>
      <c r="AQ13" s="11"/>
      <c r="AR13" s="223" t="b">
        <f t="array" ref="AR13:AR20">UNIQUE(IF( ('アイテム別限界値DB'!$B:$B = AR$10) * ('アイテム別限界値DB'!$A:$A = "サイズ"),  IF('アイテム別限界値DB'!$B:$B = AR$10, 'アイテム別限界値DB'!$F:$F, "") ))</f>
        <v>0</v>
      </c>
      <c r="AS13" s="225"/>
      <c r="AT13" s="226"/>
      <c r="AU13" s="121"/>
      <c r="AV13" s="121"/>
      <c r="AW13" s="223" t="b">
        <f t="array" ref="AW13:AW20">UNIQUE(IF( ('アイテム別限界値DB'!$B:$B = AW$10) * ('アイテム別限界値DB'!$A:$A = "サイズ"),  IF('アイテム別限界値DB'!$B:$B = AW$10, 'アイテム別限界値DB'!$F:$F, "") ))</f>
        <v>0</v>
      </c>
      <c r="AX13" s="225"/>
      <c r="AY13" s="226"/>
      <c r="AZ13" s="121"/>
      <c r="BA13" s="121"/>
      <c r="BB13" s="223" t="b">
        <f t="array" ref="BB13:BB20">UNIQUE(IF( ('アイテム別限界値DB'!$B:$B = BB$10) * ('アイテム別限界値DB'!$A:$A = "サイズ"),  IF('アイテム別限界値DB'!$B:$B = BB$10, 'アイテム別限界値DB'!$F:$F, "") ))</f>
        <v>0</v>
      </c>
      <c r="BC13" s="224"/>
      <c r="BD13" s="12"/>
      <c r="BE13" s="121"/>
      <c r="BF13" s="121"/>
      <c r="BG13" s="223" t="b">
        <f t="array" ref="BG13:BG20">UNIQUE(IF( ('アイテム別限界値DB'!$B:$B = BG$10) * ('アイテム別限界値DB'!$A:$A = "サイズ"),  IF('アイテム別限界値DB'!$B:$B = BG$10, 'アイテム別限界値DB'!$F:$F, "") ))</f>
        <v>0</v>
      </c>
      <c r="BH13" s="224"/>
      <c r="BI13" s="12"/>
      <c r="BJ13" s="121"/>
      <c r="BK13" s="121"/>
      <c r="BL13" s="227" t="b">
        <f t="array" ref="BL13:BL23">UNIQUE(IF( ('アイテム別限界値DB'!$B:$B = BL$10) * ('アイテム別限界値DB'!$A:$A = "サイズ"),  IF('アイテム別限界値DB'!$B:$B = BL$10, 'アイテム別限界値DB'!$F:$F, "") ))</f>
        <v>0</v>
      </c>
      <c r="BM13" s="224"/>
      <c r="BN13" s="121"/>
      <c r="BO13" s="121"/>
      <c r="BP13" s="121"/>
    </row>
    <row r="14" ht="18.75" customHeight="1">
      <c r="A14" s="228" t="str">
        <f>IF($D$11 = "再製作", "◼︎ ジャケット（対応着地：再製作）" &amp; char(10) &amp; "《修正数値》", IF( $D$11 &lt;&gt;"", "◼︎ ジャケット（対応着地：お直し）" &amp; char(10) &amp; "《修正数値》", ""))</f>
        <v>◼︎ ジャケット（対応着地：お直し）
《修正数値》</v>
      </c>
      <c r="B14" s="229"/>
      <c r="C14" s="224"/>
      <c r="D14" s="224" t="s">
        <v>51</v>
      </c>
      <c r="E14" s="232"/>
      <c r="F14" s="231" t="str">
        <f t="array" ref="F14">IF(
  E14 = 0, 
  "", 
  IFERROR(
    INDEX(
      'アイテム別限界値DB'!$K:$K, 
      MATCH(
        1, 
        ('アイテム別限界値DB'!$B:$B = D$10) * 
        ('アイテム別限界値DB'!$F:$F = D14) * 
        ('アイテム別限界値DB'!$H:$H = E14), 
        0
      )
    ), 
    "再製作"
  )
)
</f>
        <v/>
      </c>
      <c r="G14" s="218" t="str">
        <f t="array" ref="G14">IF(
  E14 = 0, 
  "", 
  IFERROR(
    INDEX(
      'アイテム別限界値DB'!$L:$L, 
      MATCH(
        1, 
        ('アイテム別限界値DB'!$B:$B = D$10) * 
        ('アイテム別限界値DB'!$C:$C = D14) * 
        ('アイテム別限界値DB'!$F:$F = E14), 
        0
      )
    ), 
    ""
  )
)
</f>
        <v/>
      </c>
      <c r="H14" s="195"/>
      <c r="I14" s="224" t="s">
        <v>51</v>
      </c>
      <c r="J14" s="232"/>
      <c r="K14" s="231" t="str">
        <f t="array" ref="K14">IF(
  J14 = 0, 
  "", 
  IFERROR(
    INDEX(
      'アイテム別限界値DB'!$K:$K, 
      MATCH(
        1, 
        ('アイテム別限界値DB'!$B:$B = I$10) * 
        ('アイテム別限界値DB'!$F:$F = I14) * 
        ('アイテム別限界値DB'!$H:$H = J14), 
        0
      )
    ), 
    "再製作"
  )
)
</f>
        <v/>
      </c>
      <c r="L14" s="218" t="str">
        <f t="array" ref="L14">IF(
  J14 = 0, 
  "", 
  IFERROR(
    INDEX(
      'アイテム別限界値DB'!$L:$L, 
      MATCH(
        1, 
        ('アイテム別限界値DB'!$B:$B = I$10) * 
        ('アイテム別限界値DB'!$C:$C = I14) * 
        ('アイテム別限界値DB'!$F:$F = J14), 
        0
      )
    ), 
    ""
  )
)
</f>
        <v/>
      </c>
      <c r="M14" s="12"/>
      <c r="N14" s="224" t="s">
        <v>51</v>
      </c>
      <c r="O14" s="232"/>
      <c r="P14" s="231" t="str">
        <f t="array" ref="P14">IF(
  O14 = 0, 
  "", 
  IFERROR(
    INDEX(
      'アイテム別限界値DB'!$K:$K, 
      MATCH(
        1, 
        ('アイテム別限界値DB'!$B:$B = N$10) * 
        ('アイテム別限界値DB'!$F:$F = N14) * 
        ('アイテム別限界値DB'!$H:$H = O14), 
        0
      )
    ), 
    "再製作"
  )
)
</f>
        <v/>
      </c>
      <c r="Q14" s="218" t="str">
        <f t="array" ref="Q14">IF(
  O14 = 0, 
  "", 
  IFERROR(
    INDEX(
      'アイテム別限界値DB'!$L:$L, 
      MATCH(
        1, 
        ('アイテム別限界値DB'!$B:$B = N$10) * 
        ('アイテム別限界値DB'!$C:$C = N14) * 
        ('アイテム別限界値DB'!$F:$F = O14), 
        0
      )
    ), 
    ""
  )
)
</f>
        <v/>
      </c>
      <c r="R14" s="12"/>
      <c r="S14" s="224" t="s">
        <v>51</v>
      </c>
      <c r="T14" s="232"/>
      <c r="U14" s="231" t="str">
        <f t="array" ref="U14">IF(
  T14 = 0, 
  "", 
  IFERROR(
    INDEX(
      'アイテム別限界値DB'!$K:$K, 
      MATCH(
        1, 
        ('アイテム別限界値DB'!$B:$B = S$10) * 
        ('アイテム別限界値DB'!$F:$F = S14) * 
        ('アイテム別限界値DB'!$H:$H = T14), 
        0
      )
    ), 
    "再製作"
  )
)
</f>
        <v/>
      </c>
      <c r="V14" s="218" t="str">
        <f t="array" ref="V14">IF(
  T14 = 0, 
  "", 
  IFERROR(
    INDEX(
      'アイテム別限界値DB'!$L:$L, 
      MATCH(
        1, 
        ('アイテム別限界値DB'!$B:$B = S$10) * 
        ('アイテム別限界値DB'!$C:$C = S14) * 
        ('アイテム別限界値DB'!$F:$F = T14), 
        0
      )
    ), 
    ""
  )
)
</f>
        <v/>
      </c>
      <c r="W14" s="12"/>
      <c r="X14" s="224" t="s">
        <v>51</v>
      </c>
      <c r="Y14" s="232"/>
      <c r="Z14" s="231" t="str">
        <f t="array" ref="Z14">IF(
  Y14 = 0, 
  "", 
  IFERROR(
    INDEX(
      'アイテム別限界値DB'!$K:$K, 
      MATCH(
        1, 
        ('アイテム別限界値DB'!$B:$B = X$10) * 
        ('アイテム別限界値DB'!$F:$F = X14) * 
        ('アイテム別限界値DB'!$H:$H = Y14), 
        0
      )
    ), 
    "再製作"
  )
)
</f>
        <v/>
      </c>
      <c r="AA14" s="218" t="str">
        <f t="array" ref="AA14">IF(
  Y14 = 0, 
  "", 
  IFERROR(
    INDEX(
      'アイテム別限界値DB'!$L:$L, 
      MATCH(
        1, 
        ('アイテム別限界値DB'!$B:$B = X$10) * 
        ('アイテム別限界値DB'!$C:$C = X14) * 
        ('アイテム別限界値DB'!$F:$F = Y14), 
        0
      )
    ), 
    ""
  )
)
</f>
        <v/>
      </c>
      <c r="AB14" s="11"/>
      <c r="AC14" s="224" t="s">
        <v>51</v>
      </c>
      <c r="AD14" s="232"/>
      <c r="AE14" s="231" t="str">
        <f t="array" ref="AE14">IF(
  AD14 = 0, 
  "", 
  IFERROR(
    INDEX(
      'アイテム別限界値DB'!$K:$K, 
      MATCH(
        1, 
        ('アイテム別限界値DB'!$B:$B = AC$10) * 
        ('アイテム別限界値DB'!$F:$F = AC14) * 
        ('アイテム別限界値DB'!$H:$H = AD14), 
        0
      )
    ), 
    "再製作"
  )
)
</f>
        <v/>
      </c>
      <c r="AF14" s="218" t="str">
        <f t="array" ref="AF14">IF(
  AD14 = 0, 
  "", 
  IFERROR(
    INDEX(
      'アイテム別限界値DB'!$L:$L, 
      MATCH(
        1, 
        ('アイテム別限界値DB'!$B:$B = AC$10) * 
        ('アイテム別限界値DB'!$C:$C = AC14) * 
        ('アイテム別限界値DB'!$F:$F = AD14), 
        0
      )
    ), 
    ""
  )
)
</f>
        <v/>
      </c>
      <c r="AG14" s="11"/>
      <c r="AH14" s="224" t="s">
        <v>51</v>
      </c>
      <c r="AI14" s="232"/>
      <c r="AJ14" s="231" t="str">
        <f t="array" ref="AJ14">IF(
  AI14 = 0, 
  "", 
  IFERROR(
    INDEX(
      'アイテム別限界値DB'!$K:$K, 
      MATCH(
        1, 
        ('アイテム別限界値DB'!$B:$B = AH$10) * 
        ('アイテム別限界値DB'!$F:$F = AH14) * 
        ('アイテム別限界値DB'!$H:$H = AI14), 
        0
      )
    ), 
    "再製作"
  )
)
</f>
        <v/>
      </c>
      <c r="AK14" s="218" t="str">
        <f t="array" ref="AK14">IF(
  AI14 = 0, 
  "", 
  IFERROR(
    INDEX(
      'アイテム別限界値DB'!$L:$L, 
      MATCH(
        1, 
        ('アイテム別限界値DB'!$B:$B = AH$10) * 
        ('アイテム別限界値DB'!$C:$C = AH14) * 
        ('アイテム別限界値DB'!$F:$F = AI14), 
        0
      )
    ), 
    ""
  )
)
</f>
        <v/>
      </c>
      <c r="AL14" s="11"/>
      <c r="AM14" s="224" t="s">
        <v>51</v>
      </c>
      <c r="AN14" s="232"/>
      <c r="AO14" s="231" t="str">
        <f t="array" ref="AO14">IF(
  AN14 = 0, 
  "", 
  IFERROR(
    INDEX(
      'アイテム別限界値DB'!$K:$K, 
      MATCH(
        1, 
        ('アイテム別限界値DB'!$B:$B = AM$10) * 
        ('アイテム別限界値DB'!$F:$F = AM14) * 
        ('アイテム別限界値DB'!$H:$H = AN14), 
        0
      )
    ), 
    "再製作"
  )
)
</f>
        <v/>
      </c>
      <c r="AP14" s="218" t="str">
        <f t="array" ref="AP14">IF(
  AN14 = 0, 
  "", 
  IFERROR(
    INDEX(
      'アイテム別限界値DB'!$L:$L, 
      MATCH(
        1, 
        ('アイテム別限界値DB'!$B:$B = AM$10) * 
        ('アイテム別限界値DB'!$C:$C = AM14) * 
        ('アイテム別限界値DB'!$F:$F = AN14), 
        0
      )
    ), 
    ""
  )
)
</f>
        <v/>
      </c>
      <c r="AQ14" s="11"/>
      <c r="AR14" s="224" t="s">
        <v>51</v>
      </c>
      <c r="AS14" s="232"/>
      <c r="AT14" s="231" t="str">
        <f t="array" ref="AT14">IF(
  AS14 = 0, 
  "", 
  IFERROR(
    INDEX(
      'アイテム別限界値DB'!$K:$K, 
      MATCH(
        1, 
        ('アイテム別限界値DB'!$B:$B = AR$10) * 
        ('アイテム別限界値DB'!$F:$F = AR14) * 
        ('アイテム別限界値DB'!$H:$H = AS14), 
        0
      )
    ), 
    "再製作"
  )
)
</f>
        <v/>
      </c>
      <c r="AU14" s="218" t="str">
        <f t="array" ref="AU14">IF(
  AS14 = 0, 
  "", 
  IFERROR(
    INDEX(
      'アイテム別限界値DB'!$L:$L, 
      MATCH(
        1, 
        ('アイテム別限界値DB'!$B:$B = AR$10) * 
        ('アイテム別限界値DB'!$C:$C = AR14) * 
        ('アイテム別限界値DB'!$F:$F = AS14), 
        0
      )
    ), 
    ""
  )
)
</f>
        <v/>
      </c>
      <c r="AV14" s="121"/>
      <c r="AW14" s="224" t="s">
        <v>51</v>
      </c>
      <c r="AX14" s="232"/>
      <c r="AY14" s="231" t="str">
        <f t="array" ref="AY14">IF(
  AX14 = 0, 
  "", 
  IFERROR(
    INDEX(
      'アイテム別限界値DB'!$K:$K, 
      MATCH(
        1, 
        ('アイテム別限界値DB'!$B:$B = AW$10) * 
        ('アイテム別限界値DB'!$F:$F = AW14) * 
        ('アイテム別限界値DB'!$H:$H = AX14), 
        0
      )
    ), 
    "再製作"
  )
)
</f>
        <v/>
      </c>
      <c r="AZ14" s="218" t="str">
        <f t="array" ref="AZ14">IF(
  AX14 = 0, 
  "", 
  IFERROR(
    INDEX(
      'アイテム別限界値DB'!$L:$L, 
      MATCH(
        1, 
        ('アイテム別限界値DB'!$B:$B = AW$10) * 
        ('アイテム別限界値DB'!$C:$C = AW14) * 
        ('アイテム別限界値DB'!$F:$F = AX14), 
        0
      )
    ), 
    ""
  )
)
</f>
        <v/>
      </c>
      <c r="BA14" s="121"/>
      <c r="BB14" s="224" t="s">
        <v>51</v>
      </c>
      <c r="BC14" s="232"/>
      <c r="BD14" s="231" t="str">
        <f t="array" ref="BD14">IF(
  BC14 = 0, 
  "", 
  IFERROR(
    INDEX(
      'アイテム別限界値DB'!$K:$K, 
      MATCH(
        1, 
        ('アイテム別限界値DB'!$B:$B = BB$10) * 
        ('アイテム別限界値DB'!$F:$F = BB14) * 
        ('アイテム別限界値DB'!$H:$H = BC14), 
        0
      )
    ), 
    "再製作"
  )
)
</f>
        <v/>
      </c>
      <c r="BE14" s="218" t="str">
        <f t="array" ref="BE14">IF(
  BC14 = 0, 
  "", 
  IFERROR(
    INDEX(
      'アイテム別限界値DB'!$L:$L, 
      MATCH(
        1, 
        ('アイテム別限界値DB'!$B:$B = BB$10) * 
        ('アイテム別限界値DB'!$C:$C = BB14) * 
        ('アイテム別限界値DB'!$F:$F = BC14), 
        0
      )
    ), 
    ""
  )
)
</f>
        <v/>
      </c>
      <c r="BF14" s="121"/>
      <c r="BG14" s="224" t="s">
        <v>51</v>
      </c>
      <c r="BH14" s="233"/>
      <c r="BI14" s="234" t="str">
        <f t="array" ref="BI14">IF(
  BH14 = 0, 
  "", 
  IFERROR(
    INDEX(
      'アイテム別限界値DB'!$K:$K, 
      MATCH(
        1, 
        ('アイテム別限界値DB'!$B:$B = BG$10) * 
        ('アイテム別限界値DB'!$F:$F = BG14) * 
        ('アイテム別限界値DB'!$H:$H = BH14), 
        0
      )
    ), 
    "再製作"
  )
)
</f>
        <v/>
      </c>
      <c r="BJ14" s="218" t="str">
        <f t="array" ref="BJ14">IF(
  BH14 = 0, 
  "", 
  IFERROR(
    INDEX(
      'アイテム別限界値DB'!$L:$L, 
      MATCH(
        1, 
        ('アイテム別限界値DB'!$B:$B = BG$10) * 
        ('アイテム別限界値DB'!$C:$C = BG14) * 
        ('アイテム別限界値DB'!$F:$F = BH14), 
        0
      )
    ), 
    ""
  )
)
</f>
        <v/>
      </c>
      <c r="BK14" s="121"/>
      <c r="BL14" s="224" t="s">
        <v>51</v>
      </c>
      <c r="BM14" s="232"/>
      <c r="BN14" s="231" t="str">
        <f t="array" ref="BN14">IF(
  BM14 = 0, 
  "", 
  IFERROR(
    INDEX(
      'アイテム別限界値DB'!$K:$K, 
      MATCH(
        1, 
        ('アイテム別限界値DB'!$B:$B = BL$10) * 
        ('アイテム別限界値DB'!$F:$F = BL14) * 
        ('アイテム別限界値DB'!$H:$H = BM14), 
        0
      )
    ), 
    "再製作"
  )
)
</f>
        <v/>
      </c>
      <c r="BO14" s="218" t="str">
        <f t="array" ref="BO14">IF(
  BM14 = 0, 
  "", 
  IFERROR(
    INDEX(
      'アイテム別限界値DB'!$L:$L, 
      MATCH(
        1, 
        ('アイテム別限界値DB'!$B:$B = BL$10) * 
        ('アイテム別限界値DB'!$C:$C = BL14) * 
        ('アイテム別限界値DB'!$F:$F = BM14), 
        0
      )
    ), 
    ""
  )
)
</f>
        <v/>
      </c>
      <c r="BP14" s="195"/>
    </row>
    <row r="15" ht="18.75" customHeight="1">
      <c r="A15" s="228" t="str">
        <f>IFERROR(__xludf.DUMMYFUNCTION("TEXTJOIN(CHAR(10),TRUE,FILTER(ARRAYFORMULA(IF(E$14:E72&lt;&gt;"""",D$14:D72&amp;"" : ""&amp; E$14:E72 &amp;"" cm"","""")), D$14:D72 &lt;&gt;""""))"),"ウエスト / センターベント : 2 cm")</f>
        <v>ウエスト / センターベント : 2 cm</v>
      </c>
      <c r="B15" s="235"/>
      <c r="C15" s="224"/>
      <c r="D15" s="224" t="s">
        <v>53</v>
      </c>
      <c r="E15" s="230"/>
      <c r="F15" s="231" t="str">
        <f t="array" ref="F15">IF(
  E15 = 0, 
  "", 
  IFERROR(
    INDEX(
      'アイテム別限界値DB'!$K:$K, 
      MATCH(
        1, 
        ('アイテム別限界値DB'!$B:$B = D$10) * 
        ('アイテム別限界値DB'!$F:$F = D15) * 
        ('アイテム別限界値DB'!$H:$H = E15), 
        0
      )
    ), 
    "再製作"
  )
)
</f>
        <v/>
      </c>
      <c r="G15" s="218" t="str">
        <f t="array" ref="G15">IF(
  E15 = 0, 
  "", 
  IFERROR(
    INDEX(
      'アイテム別限界値DB'!$L:$L, 
      MATCH(
        1, 
        ('アイテム別限界値DB'!$B:$B = D$10) * 
        ('アイテム別限界値DB'!$C:$C = D15) * 
        ('アイテム別限界値DB'!$F:$F = E15), 
        0
      )
    ), 
    ""
  )
)
</f>
        <v/>
      </c>
      <c r="H15" s="12"/>
      <c r="I15" s="224" t="s">
        <v>54</v>
      </c>
      <c r="J15" s="230"/>
      <c r="K15" s="231" t="str">
        <f t="array" ref="K15">IF(
  J15 = 0, 
  "", 
  IFERROR(
    INDEX(
      'アイテム別限界値DB'!$K:$K, 
      MATCH(
        1, 
        ('アイテム別限界値DB'!$B:$B = I$10) * 
        ('アイテム別限界値DB'!$F:$F = I15) * 
        ('アイテム別限界値DB'!$H:$H = J15), 
        0
      )
    ), 
    "再製作"
  )
)
</f>
        <v/>
      </c>
      <c r="L15" s="218" t="str">
        <f t="array" ref="L15">IF(
  J15 = 0, 
  "", 
  IFERROR(
    INDEX(
      'アイテム別限界値DB'!$L:$L, 
      MATCH(
        1, 
        ('アイテム別限界値DB'!$B:$B = I$10) * 
        ('アイテム別限界値DB'!$C:$C = I15) * 
        ('アイテム別限界値DB'!$F:$F = J15), 
        0
      )
    ), 
    ""
  )
)
</f>
        <v/>
      </c>
      <c r="M15" s="12"/>
      <c r="N15" s="224" t="s">
        <v>55</v>
      </c>
      <c r="O15" s="232"/>
      <c r="P15" s="231" t="str">
        <f t="array" ref="P15">IF(
  O15 = 0, 
  "", 
  IFERROR(
    INDEX(
      'アイテム別限界値DB'!$K:$K, 
      MATCH(
        1, 
        ('アイテム別限界値DB'!$B:$B = N$10) * 
        ('アイテム別限界値DB'!$F:$F = N15) * 
        ('アイテム別限界値DB'!$H:$H = O15), 
        0
      )
    ), 
    "再製作"
  )
)
</f>
        <v/>
      </c>
      <c r="Q15" s="218" t="str">
        <f t="array" ref="Q15">IF(
  O15 = 0, 
  "", 
  IFERROR(
    INDEX(
      'アイテム別限界値DB'!$L:$L, 
      MATCH(
        1, 
        ('アイテム別限界値DB'!$B:$B = N$10) * 
        ('アイテム別限界値DB'!$C:$C = N15) * 
        ('アイテム別限界値DB'!$F:$F = O15), 
        0
      )
    ), 
    ""
  )
)
</f>
        <v/>
      </c>
      <c r="R15" s="12"/>
      <c r="S15" s="224" t="s">
        <v>54</v>
      </c>
      <c r="T15" s="230"/>
      <c r="U15" s="231" t="str">
        <f t="array" ref="U15">IF(
  T15 = 0, 
  "", 
  IFERROR(
    INDEX(
      'アイテム別限界値DB'!$K:$K, 
      MATCH(
        1, 
        ('アイテム別限界値DB'!$B:$B = S$10) * 
        ('アイテム別限界値DB'!$F:$F = S15) * 
        ('アイテム別限界値DB'!$H:$H = T15), 
        0
      )
    ), 
    "再製作"
  )
)
</f>
        <v/>
      </c>
      <c r="V15" s="218" t="str">
        <f t="array" ref="V15">IF(
  T15 = 0, 
  "", 
  IFERROR(
    INDEX(
      'アイテム別限界値DB'!$L:$L, 
      MATCH(
        1, 
        ('アイテム別限界値DB'!$B:$B = S$10) * 
        ('アイテム別限界値DB'!$C:$C = S15) * 
        ('アイテム別限界値DB'!$F:$F = T15), 
        0
      )
    ), 
    ""
  )
)
</f>
        <v/>
      </c>
      <c r="W15" s="12"/>
      <c r="X15" s="224" t="s">
        <v>53</v>
      </c>
      <c r="Y15" s="230"/>
      <c r="Z15" s="231" t="str">
        <f t="array" ref="Z15">IF(
  Y15 = 0, 
  "", 
  IFERROR(
    INDEX(
      'アイテム別限界値DB'!$K:$K, 
      MATCH(
        1, 
        ('アイテム別限界値DB'!$B:$B = X$10) * 
        ('アイテム別限界値DB'!$F:$F = X15) * 
        ('アイテム別限界値DB'!$H:$H = Y15), 
        0
      )
    ), 
    "再製作"
  )
)
</f>
        <v/>
      </c>
      <c r="AA15" s="218" t="str">
        <f t="array" ref="AA15">IF(
  Y15 = 0, 
  "", 
  IFERROR(
    INDEX(
      'アイテム別限界値DB'!$L:$L, 
      MATCH(
        1, 
        ('アイテム別限界値DB'!$B:$B = X$10) * 
        ('アイテム別限界値DB'!$C:$C = X15) * 
        ('アイテム別限界値DB'!$F:$F = Y15), 
        0
      )
    ), 
    ""
  )
)
</f>
        <v/>
      </c>
      <c r="AB15" s="11"/>
      <c r="AC15" s="224" t="s">
        <v>53</v>
      </c>
      <c r="AD15" s="232"/>
      <c r="AE15" s="231" t="str">
        <f t="array" ref="AE15">IF(
  AD15 = 0, 
  "", 
  IFERROR(
    INDEX(
      'アイテム別限界値DB'!$K:$K, 
      MATCH(
        1, 
        ('アイテム別限界値DB'!$B:$B = AC$10) * 
        ('アイテム別限界値DB'!$F:$F = AC15) * 
        ('アイテム別限界値DB'!$H:$H = AD15), 
        0
      )
    ), 
    "再製作"
  )
)
</f>
        <v/>
      </c>
      <c r="AF15" s="218" t="str">
        <f t="array" ref="AF15">IF(
  AD15 = 0, 
  "", 
  IFERROR(
    INDEX(
      'アイテム別限界値DB'!$L:$L, 
      MATCH(
        1, 
        ('アイテム別限界値DB'!$B:$B = AC$10) * 
        ('アイテム別限界値DB'!$C:$C = AC15) * 
        ('アイテム別限界値DB'!$F:$F = AD15), 
        0
      )
    ), 
    ""
  )
)
</f>
        <v/>
      </c>
      <c r="AG15" s="11"/>
      <c r="AH15" s="224" t="s">
        <v>53</v>
      </c>
      <c r="AI15" s="232"/>
      <c r="AJ15" s="231" t="str">
        <f t="array" ref="AJ15">IF(
  AI15 = 0, 
  "", 
  IFERROR(
    INDEX(
      'アイテム別限界値DB'!$K:$K, 
      MATCH(
        1, 
        ('アイテム別限界値DB'!$B:$B = AH$10) * 
        ('アイテム別限界値DB'!$F:$F = AH15) * 
        ('アイテム別限界値DB'!$H:$H = AI15), 
        0
      )
    ), 
    "再製作"
  )
)
</f>
        <v/>
      </c>
      <c r="AK15" s="218" t="str">
        <f t="array" ref="AK15">IF(
  AI15 = 0, 
  "", 
  IFERROR(
    INDEX(
      'アイテム別限界値DB'!$L:$L, 
      MATCH(
        1, 
        ('アイテム別限界値DB'!$B:$B = AH$10) * 
        ('アイテム別限界値DB'!$C:$C = AH15) * 
        ('アイテム別限界値DB'!$F:$F = AI15), 
        0
      )
    ), 
    ""
  )
)
</f>
        <v/>
      </c>
      <c r="AL15" s="11"/>
      <c r="AM15" s="224" t="s">
        <v>53</v>
      </c>
      <c r="AN15" s="232"/>
      <c r="AO15" s="231" t="str">
        <f t="array" ref="AO15">IF(
  AN15 = 0, 
  "", 
  IFERROR(
    INDEX(
      'アイテム別限界値DB'!$K:$K, 
      MATCH(
        1, 
        ('アイテム別限界値DB'!$B:$B = AM$10) * 
        ('アイテム別限界値DB'!$F:$F = AM15) * 
        ('アイテム別限界値DB'!$H:$H = AN15), 
        0
      )
    ), 
    "再製作"
  )
)
</f>
        <v/>
      </c>
      <c r="AP15" s="218" t="str">
        <f t="array" ref="AP15">IF(
  AN15 = 0, 
  "", 
  IFERROR(
    INDEX(
      'アイテム別限界値DB'!$L:$L, 
      MATCH(
        1, 
        ('アイテム別限界値DB'!$B:$B = AM$10) * 
        ('アイテム別限界値DB'!$C:$C = AM15) * 
        ('アイテム別限界値DB'!$F:$F = AN15), 
        0
      )
    ), 
    ""
  )
)
</f>
        <v/>
      </c>
      <c r="AQ15" s="11"/>
      <c r="AR15" s="224" t="s">
        <v>53</v>
      </c>
      <c r="AS15" s="232"/>
      <c r="AT15" s="231" t="str">
        <f t="array" ref="AT15">IF(
  AS15 = 0, 
  "", 
  IFERROR(
    INDEX(
      'アイテム別限界値DB'!$K:$K, 
      MATCH(
        1, 
        ('アイテム別限界値DB'!$B:$B = AR$10) * 
        ('アイテム別限界値DB'!$F:$F = AR15) * 
        ('アイテム別限界値DB'!$H:$H = AS15), 
        0
      )
    ), 
    "再製作"
  )
)
</f>
        <v/>
      </c>
      <c r="AU15" s="218" t="str">
        <f t="array" ref="AU15">IF(
  AS15 = 0, 
  "", 
  IFERROR(
    INDEX(
      'アイテム別限界値DB'!$L:$L, 
      MATCH(
        1, 
        ('アイテム別限界値DB'!$B:$B = AR$10) * 
        ('アイテム別限界値DB'!$C:$C = AR15) * 
        ('アイテム別限界値DB'!$F:$F = AS15), 
        0
      )
    ), 
    ""
  )
)
</f>
        <v/>
      </c>
      <c r="AV15" s="121"/>
      <c r="AW15" s="224" t="s">
        <v>53</v>
      </c>
      <c r="AX15" s="232"/>
      <c r="AY15" s="231" t="str">
        <f t="array" ref="AY15">IF(
  AX15 = 0, 
  "", 
  IFERROR(
    INDEX(
      'アイテム別限界値DB'!$K:$K, 
      MATCH(
        1, 
        ('アイテム別限界値DB'!$B:$B = AW$10) * 
        ('アイテム別限界値DB'!$F:$F = AW15) * 
        ('アイテム別限界値DB'!$H:$H = AX15), 
        0
      )
    ), 
    "再製作"
  )
)
</f>
        <v/>
      </c>
      <c r="AZ15" s="218" t="str">
        <f t="array" ref="AZ15">IF(
  AX15 = 0, 
  "", 
  IFERROR(
    INDEX(
      'アイテム別限界値DB'!$L:$L, 
      MATCH(
        1, 
        ('アイテム別限界値DB'!$B:$B = AW$10) * 
        ('アイテム別限界値DB'!$C:$C = AW15) * 
        ('アイテム別限界値DB'!$F:$F = AX15), 
        0
      )
    ), 
    ""
  )
)
</f>
        <v/>
      </c>
      <c r="BA15" s="121"/>
      <c r="BB15" s="224" t="s">
        <v>53</v>
      </c>
      <c r="BC15" s="232"/>
      <c r="BD15" s="231" t="str">
        <f t="array" ref="BD15">IF(
  BC15 = 0, 
  "", 
  IFERROR(
    INDEX(
      'アイテム別限界値DB'!$K:$K, 
      MATCH(
        1, 
        ('アイテム別限界値DB'!$B:$B = BB$10) * 
        ('アイテム別限界値DB'!$F:$F = BB15) * 
        ('アイテム別限界値DB'!$H:$H = BC15), 
        0
      )
    ), 
    "再製作"
  )
)
</f>
        <v/>
      </c>
      <c r="BE15" s="218" t="str">
        <f t="array" ref="BE15">IF(
  BC15 = 0, 
  "", 
  IFERROR(
    INDEX(
      'アイテム別限界値DB'!$L:$L, 
      MATCH(
        1, 
        ('アイテム別限界値DB'!$B:$B = BB$10) * 
        ('アイテム別限界値DB'!$C:$C = BB15) * 
        ('アイテム別限界値DB'!$F:$F = BC15), 
        0
      )
    ), 
    ""
  )
)
</f>
        <v/>
      </c>
      <c r="BF15" s="121"/>
      <c r="BG15" s="224" t="s">
        <v>53</v>
      </c>
      <c r="BH15" s="232"/>
      <c r="BI15" s="231" t="str">
        <f t="array" ref="BI15">IF(
  BH15 = 0, 
  "", 
  IFERROR(
    INDEX(
      'アイテム別限界値DB'!$K:$K, 
      MATCH(
        1, 
        ('アイテム別限界値DB'!$B:$B = BG$10) * 
        ('アイテム別限界値DB'!$F:$F = BG15) * 
        ('アイテム別限界値DB'!$H:$H = BH15), 
        0
      )
    ), 
    "再製作"
  )
)
</f>
        <v/>
      </c>
      <c r="BJ15" s="218" t="str">
        <f t="array" ref="BJ15">IF(
  BH15 = 0, 
  "", 
  IFERROR(
    INDEX(
      'アイテム別限界値DB'!$L:$L, 
      MATCH(
        1, 
        ('アイテム別限界値DB'!$B:$B = BG$10) * 
        ('アイテム別限界値DB'!$C:$C = BG15) * 
        ('アイテム別限界値DB'!$F:$F = BH15), 
        0
      )
    ), 
    ""
  )
)
</f>
        <v/>
      </c>
      <c r="BK15" s="121"/>
      <c r="BL15" s="224" t="s">
        <v>53</v>
      </c>
      <c r="BM15" s="232"/>
      <c r="BN15" s="231" t="str">
        <f t="array" ref="BN15">IF(
  BM15 = 0, 
  "", 
  IFERROR(
    INDEX(
      'アイテム別限界値DB'!$K:$K, 
      MATCH(
        1, 
        ('アイテム別限界値DB'!$B:$B = BL$10) * 
        ('アイテム別限界値DB'!$F:$F = BL15) * 
        ('アイテム別限界値DB'!$H:$H = BM15), 
        0
      )
    ), 
    "再製作"
  )
)
</f>
        <v/>
      </c>
      <c r="BO15" s="218" t="str">
        <f t="array" ref="BO15">IF(
  BM15 = 0, 
  "", 
  IFERROR(
    INDEX(
      'アイテム別限界値DB'!$L:$L, 
      MATCH(
        1, 
        ('アイテム別限界値DB'!$B:$B = BL$10) * 
        ('アイテム別限界値DB'!$C:$C = BL15) * 
        ('アイテム別限界値DB'!$F:$F = BM15), 
        0
      )
    ), 
    ""
  )
)
</f>
        <v/>
      </c>
      <c r="BP15" s="195"/>
    </row>
    <row r="16" ht="18.75" customHeight="1">
      <c r="A16" s="236" t="str">
        <f>if($A$14&lt;&gt;"", "《仕上がり数値》","")</f>
        <v>《仕上がり数値》</v>
      </c>
      <c r="B16" s="224"/>
      <c r="C16" s="224"/>
      <c r="D16" s="224" t="s">
        <v>55</v>
      </c>
      <c r="E16" s="230"/>
      <c r="F16" s="231" t="str">
        <f t="array" ref="F16">IF(
  E16 = 0, 
  "", 
  IFERROR(
    INDEX(
      'アイテム別限界値DB'!$K:$K, 
      MATCH(
        1, 
        ('アイテム別限界値DB'!$B:$B = D$10) * 
        ('アイテム別限界値DB'!$F:$F = D16) * 
        ('アイテム別限界値DB'!$H:$H = E16), 
        0
      )
    ), 
    "再製作"
  )
)
</f>
        <v/>
      </c>
      <c r="G16" s="218" t="str">
        <f t="array" ref="G16">IF(
  E16 = 0, 
  "", 
  IFERROR(
    INDEX(
      'アイテム別限界値DB'!$L:$L, 
      MATCH(
        1, 
        ('アイテム別限界値DB'!$B:$B = D$10) * 
        ('アイテム別限界値DB'!$C:$C = D16) * 
        ('アイテム別限界値DB'!$F:$F = E16), 
        0
      )
    ), 
    ""
  )
)
</f>
        <v/>
      </c>
      <c r="H16" s="12"/>
      <c r="I16" s="224" t="s">
        <v>56</v>
      </c>
      <c r="J16" s="230"/>
      <c r="K16" s="231" t="str">
        <f t="array" ref="K16">IF(
  J16 = 0, 
  "", 
  IFERROR(
    INDEX(
      'アイテム別限界値DB'!$K:$K, 
      MATCH(
        1, 
        ('アイテム別限界値DB'!$B:$B = I$10) * 
        ('アイテム別限界値DB'!$F:$F = I16) * 
        ('アイテム別限界値DB'!$H:$H = J16), 
        0
      )
    ), 
    "再製作"
  )
)
</f>
        <v/>
      </c>
      <c r="L16" s="218" t="str">
        <f t="array" ref="L16">IF(
  J16 = 0, 
  "", 
  IFERROR(
    INDEX(
      'アイテム別限界値DB'!$L:$L, 
      MATCH(
        1, 
        ('アイテム別限界値DB'!$B:$B = I$10) * 
        ('アイテム別限界値DB'!$C:$C = I16) * 
        ('アイテム別限界値DB'!$F:$F = J16), 
        0
      )
    ), 
    ""
  )
)
</f>
        <v/>
      </c>
      <c r="M16" s="12"/>
      <c r="N16" s="224" t="s">
        <v>57</v>
      </c>
      <c r="O16" s="232"/>
      <c r="P16" s="231" t="str">
        <f t="array" ref="P16">IF(
  O16 = 0, 
  "", 
  IFERROR(
    INDEX(
      'アイテム別限界値DB'!$K:$K, 
      MATCH(
        1, 
        ('アイテム別限界値DB'!$B:$B = N$10) * 
        ('アイテム別限界値DB'!$F:$F = N16) * 
        ('アイテム別限界値DB'!$H:$H = O16), 
        0
      )
    ), 
    "再製作"
  )
)
</f>
        <v/>
      </c>
      <c r="Q16" s="218" t="str">
        <f t="array" ref="Q16">IF(
  O16 = 0, 
  "", 
  IFERROR(
    INDEX(
      'アイテム別限界値DB'!$L:$L, 
      MATCH(
        1, 
        ('アイテム別限界値DB'!$B:$B = N$10) * 
        ('アイテム別限界値DB'!$C:$C = N16) * 
        ('アイテム別限界値DB'!$F:$F = O16), 
        0
      )
    ), 
    ""
  )
)
</f>
        <v/>
      </c>
      <c r="R16" s="12"/>
      <c r="S16" s="224" t="s">
        <v>56</v>
      </c>
      <c r="T16" s="230"/>
      <c r="U16" s="231" t="str">
        <f t="array" ref="U16">IF(
  T16 = 0, 
  "", 
  IFERROR(
    INDEX(
      'アイテム別限界値DB'!$K:$K, 
      MATCH(
        1, 
        ('アイテム別限界値DB'!$B:$B = S$10) * 
        ('アイテム別限界値DB'!$F:$F = S16) * 
        ('アイテム別限界値DB'!$H:$H = T16), 
        0
      )
    ), 
    "再製作"
  )
)
</f>
        <v/>
      </c>
      <c r="V16" s="218" t="str">
        <f t="array" ref="V16">IF(
  T16 = 0, 
  "", 
  IFERROR(
    INDEX(
      'アイテム別限界値DB'!$L:$L, 
      MATCH(
        1, 
        ('アイテム別限界値DB'!$B:$B = S$10) * 
        ('アイテム別限界値DB'!$C:$C = S16) * 
        ('アイテム別限界値DB'!$F:$F = T16), 
        0
      )
    ), 
    ""
  )
)
</f>
        <v/>
      </c>
      <c r="W16" s="12"/>
      <c r="X16" s="224" t="s">
        <v>58</v>
      </c>
      <c r="Y16" s="230"/>
      <c r="Z16" s="231" t="str">
        <f t="array" ref="Z16">IF(
  Y16 = 0, 
  "", 
  IFERROR(
    INDEX(
      'アイテム別限界値DB'!$K:$K, 
      MATCH(
        1, 
        ('アイテム別限界値DB'!$B:$B = X$10) * 
        ('アイテム別限界値DB'!$F:$F = X16) * 
        ('アイテム別限界値DB'!$H:$H = Y16), 
        0
      )
    ), 
    "再製作"
  )
)
</f>
        <v/>
      </c>
      <c r="AA16" s="218" t="str">
        <f t="array" ref="AA16">IF(
  Y16 = 0, 
  "", 
  IFERROR(
    INDEX(
      'アイテム別限界値DB'!$L:$L, 
      MATCH(
        1, 
        ('アイテム別限界値DB'!$B:$B = X$10) * 
        ('アイテム別限界値DB'!$C:$C = X16) * 
        ('アイテム別限界値DB'!$F:$F = Y16), 
        0
      )
    ), 
    ""
  )
)
</f>
        <v/>
      </c>
      <c r="AB16" s="11"/>
      <c r="AC16" s="224" t="s">
        <v>55</v>
      </c>
      <c r="AD16" s="232"/>
      <c r="AE16" s="231" t="str">
        <f t="array" ref="AE16">IF(
  AD16 = 0, 
  "", 
  IFERROR(
    INDEX(
      'アイテム別限界値DB'!$K:$K, 
      MATCH(
        1, 
        ('アイテム別限界値DB'!$B:$B = AC$10) * 
        ('アイテム別限界値DB'!$F:$F = AC16) * 
        ('アイテム別限界値DB'!$H:$H = AD16), 
        0
      )
    ), 
    "再製作"
  )
)
</f>
        <v/>
      </c>
      <c r="AF16" s="218" t="str">
        <f t="array" ref="AF16">IF(
  AD16 = 0, 
  "", 
  IFERROR(
    INDEX(
      'アイテム別限界値DB'!$L:$L, 
      MATCH(
        1, 
        ('アイテム別限界値DB'!$B:$B = AC$10) * 
        ('アイテム別限界値DB'!$C:$C = AC16) * 
        ('アイテム別限界値DB'!$F:$F = AD16), 
        0
      )
    ), 
    ""
  )
)
</f>
        <v/>
      </c>
      <c r="AG16" s="11"/>
      <c r="AH16" s="224" t="s">
        <v>55</v>
      </c>
      <c r="AI16" s="232"/>
      <c r="AJ16" s="231" t="str">
        <f t="array" ref="AJ16">IF(
  AI16 = 0, 
  "", 
  IFERROR(
    INDEX(
      'アイテム別限界値DB'!$K:$K, 
      MATCH(
        1, 
        ('アイテム別限界値DB'!$B:$B = AH$10) * 
        ('アイテム別限界値DB'!$F:$F = AH16) * 
        ('アイテム別限界値DB'!$H:$H = AI16), 
        0
      )
    ), 
    "再製作"
  )
)
</f>
        <v/>
      </c>
      <c r="AK16" s="218" t="str">
        <f t="array" ref="AK16">IF(
  AI16 = 0, 
  "", 
  IFERROR(
    INDEX(
      'アイテム別限界値DB'!$L:$L, 
      MATCH(
        1, 
        ('アイテム別限界値DB'!$B:$B = AH$10) * 
        ('アイテム別限界値DB'!$C:$C = AH16) * 
        ('アイテム別限界値DB'!$F:$F = AI16), 
        0
      )
    ), 
    ""
  )
)
</f>
        <v/>
      </c>
      <c r="AL16" s="11"/>
      <c r="AM16" s="224" t="s">
        <v>55</v>
      </c>
      <c r="AN16" s="232"/>
      <c r="AO16" s="231" t="str">
        <f t="array" ref="AO16">IF(
  AN16 = 0, 
  "", 
  IFERROR(
    INDEX(
      'アイテム別限界値DB'!$K:$K, 
      MATCH(
        1, 
        ('アイテム別限界値DB'!$B:$B = AM$10) * 
        ('アイテム別限界値DB'!$F:$F = AM16) * 
        ('アイテム別限界値DB'!$H:$H = AN16), 
        0
      )
    ), 
    "再製作"
  )
)
</f>
        <v/>
      </c>
      <c r="AP16" s="218" t="str">
        <f t="array" ref="AP16">IF(
  AN16 = 0, 
  "", 
  IFERROR(
    INDEX(
      'アイテム別限界値DB'!$L:$L, 
      MATCH(
        1, 
        ('アイテム別限界値DB'!$B:$B = AM$10) * 
        ('アイテム別限界値DB'!$C:$C = AM16) * 
        ('アイテム別限界値DB'!$F:$F = AN16), 
        0
      )
    ), 
    ""
  )
)
</f>
        <v/>
      </c>
      <c r="AQ16" s="11"/>
      <c r="AR16" s="224" t="s">
        <v>55</v>
      </c>
      <c r="AS16" s="232"/>
      <c r="AT16" s="231" t="str">
        <f t="array" ref="AT16">IF(
  AS16 = 0, 
  "", 
  IFERROR(
    INDEX(
      'アイテム別限界値DB'!$K:$K, 
      MATCH(
        1, 
        ('アイテム別限界値DB'!$B:$B = AR$10) * 
        ('アイテム別限界値DB'!$F:$F = AR16) * 
        ('アイテム別限界値DB'!$H:$H = AS16), 
        0
      )
    ), 
    "再製作"
  )
)
</f>
        <v/>
      </c>
      <c r="AU16" s="218" t="str">
        <f t="array" ref="AU16">IF(
  AS16 = 0, 
  "", 
  IFERROR(
    INDEX(
      'アイテム別限界値DB'!$L:$L, 
      MATCH(
        1, 
        ('アイテム別限界値DB'!$B:$B = AR$10) * 
        ('アイテム別限界値DB'!$C:$C = AR16) * 
        ('アイテム別限界値DB'!$F:$F = AS16), 
        0
      )
    ), 
    ""
  )
)
</f>
        <v/>
      </c>
      <c r="AV16" s="121"/>
      <c r="AW16" s="224" t="s">
        <v>55</v>
      </c>
      <c r="AX16" s="232"/>
      <c r="AY16" s="231" t="str">
        <f t="array" ref="AY16">IF(
  AX16 = 0, 
  "", 
  IFERROR(
    INDEX(
      'アイテム別限界値DB'!$K:$K, 
      MATCH(
        1, 
        ('アイテム別限界値DB'!$B:$B = AW$10) * 
        ('アイテム別限界値DB'!$F:$F = AW16) * 
        ('アイテム別限界値DB'!$H:$H = AX16), 
        0
      )
    ), 
    "再製作"
  )
)
</f>
        <v/>
      </c>
      <c r="AZ16" s="218" t="str">
        <f t="array" ref="AZ16">IF(
  AX16 = 0, 
  "", 
  IFERROR(
    INDEX(
      'アイテム別限界値DB'!$L:$L, 
      MATCH(
        1, 
        ('アイテム別限界値DB'!$B:$B = AW$10) * 
        ('アイテム別限界値DB'!$C:$C = AW16) * 
        ('アイテム別限界値DB'!$F:$F = AX16), 
        0
      )
    ), 
    ""
  )
)
</f>
        <v/>
      </c>
      <c r="BA16" s="121"/>
      <c r="BB16" s="224" t="s">
        <v>55</v>
      </c>
      <c r="BC16" s="232"/>
      <c r="BD16" s="231" t="str">
        <f t="array" ref="BD16">IF(
  BC16 = 0, 
  "", 
  IFERROR(
    INDEX(
      'アイテム別限界値DB'!$K:$K, 
      MATCH(
        1, 
        ('アイテム別限界値DB'!$B:$B = BB$10) * 
        ('アイテム別限界値DB'!$F:$F = BB16) * 
        ('アイテム別限界値DB'!$H:$H = BC16), 
        0
      )
    ), 
    "再製作"
  )
)
</f>
        <v/>
      </c>
      <c r="BE16" s="218" t="str">
        <f t="array" ref="BE16">IF(
  BC16 = 0, 
  "", 
  IFERROR(
    INDEX(
      'アイテム別限界値DB'!$L:$L, 
      MATCH(
        1, 
        ('アイテム別限界値DB'!$B:$B = BB$10) * 
        ('アイテム別限界値DB'!$C:$C = BB16) * 
        ('アイテム別限界値DB'!$F:$F = BC16), 
        0
      )
    ), 
    ""
  )
)
</f>
        <v/>
      </c>
      <c r="BF16" s="121"/>
      <c r="BG16" s="224" t="s">
        <v>55</v>
      </c>
      <c r="BH16" s="232"/>
      <c r="BI16" s="231" t="str">
        <f t="array" ref="BI16">IF(
  BH16 = 0, 
  "", 
  IFERROR(
    INDEX(
      'アイテム別限界値DB'!$K:$K, 
      MATCH(
        1, 
        ('アイテム別限界値DB'!$B:$B = BG$10) * 
        ('アイテム別限界値DB'!$F:$F = BG16) * 
        ('アイテム別限界値DB'!$H:$H = BH16), 
        0
      )
    ), 
    "再製作"
  )
)
</f>
        <v/>
      </c>
      <c r="BJ16" s="218" t="str">
        <f t="array" ref="BJ16">IF(
  BH16 = 0, 
  "", 
  IFERROR(
    INDEX(
      'アイテム別限界値DB'!$L:$L, 
      MATCH(
        1, 
        ('アイテム別限界値DB'!$B:$B = BG$10) * 
        ('アイテム別限界値DB'!$C:$C = BG16) * 
        ('アイテム別限界値DB'!$F:$F = BH16), 
        0
      )
    ), 
    ""
  )
)
</f>
        <v/>
      </c>
      <c r="BK16" s="121"/>
      <c r="BL16" s="224" t="s">
        <v>55</v>
      </c>
      <c r="BM16" s="232" t="s">
        <v>59</v>
      </c>
      <c r="BN16" s="231">
        <f t="array" ref="BN16">IF(
  BM16 = 0, 
  "", 
  IFERROR(
    INDEX(
      'アイテム別限界値DB'!$K:$K, 
      MATCH(
        1, 
        ('アイテム別限界値DB'!$B:$B = BL$10) * 
        ('アイテム別限界値DB'!$F:$F = BL16) * 
        ('アイテム別限界値DB'!$H:$H = BM16), 
        0
      )
    ), 
    "再製作"
  )
)
</f>
        <v>46000</v>
      </c>
      <c r="BO16" s="218" t="str">
        <f t="array" ref="BO16">IF(
  BM16 = 0, 
  "", 
  IFERROR(
    INDEX(
      'アイテム別限界値DB'!$L:$L, 
      MATCH(
        1, 
        ('アイテム別限界値DB'!$B:$B = BL$10) * 
        ('アイテム別限界値DB'!$C:$C = BL16) * 
        ('アイテム別限界値DB'!$F:$F = BM16), 
        0
      )
    ), 
    ""
  )
)
</f>
        <v/>
      </c>
      <c r="BP16" s="195"/>
    </row>
    <row r="17" ht="18.75" customHeight="1">
      <c r="A17" s="228" t="str">
        <f>IFERROR(__xludf.DUMMYFUNCTION("TEXTJOIN(CHAR(10),TRUE,FILTER(ARRAYFORMULA(IF(E$14:E72&lt;&gt;"""",D$14:D72&amp;"" :  cm"","""")), D$14:D72 &lt;&gt;""""))"),"ウエスト / センターベント :  cm")</f>
        <v>ウエスト / センターベント :  cm</v>
      </c>
      <c r="B17" s="229"/>
      <c r="C17" s="224"/>
      <c r="D17" s="224" t="s">
        <v>60</v>
      </c>
      <c r="E17" s="230" t="s">
        <v>132</v>
      </c>
      <c r="F17" s="231">
        <f t="array" ref="F17">IF(
  E17 = 0, 
  "", 
  IFERROR(
    INDEX(
      'アイテム別限界値DB'!$K:$K, 
      MATCH(
        1, 
        ('アイテム別限界値DB'!$B:$B = D$10) * 
        ('アイテム別限界値DB'!$F:$F = D17) * 
        ('アイテム別限界値DB'!$H:$H = E17), 
        0
      )
    ), 
    "再製作"
  )
)
</f>
        <v>46000</v>
      </c>
      <c r="G17" s="218" t="str">
        <f t="array" ref="G17">IF(
  E17 = 0, 
  "", 
  IFERROR(
    INDEX(
      'アイテム別限界値DB'!$L:$L, 
      MATCH(
        1, 
        ('アイテム別限界値DB'!$B:$B = D$10) * 
        ('アイテム別限界値DB'!$C:$C = D17) * 
        ('アイテム別限界値DB'!$F:$F = E17), 
        0
      )
    ), 
    ""
  )
)
</f>
        <v/>
      </c>
      <c r="H17" s="12"/>
      <c r="I17" s="224" t="s">
        <v>61</v>
      </c>
      <c r="J17" s="230" t="s">
        <v>132</v>
      </c>
      <c r="K17" s="231">
        <f t="array" ref="K17">IF(
  J17 = 0, 
  "", 
  IFERROR(
    INDEX(
      'アイテム別限界値DB'!$K:$K, 
      MATCH(
        1, 
        ('アイテム別限界値DB'!$B:$B = I$10) * 
        ('アイテム別限界値DB'!$F:$F = I17) * 
        ('アイテム別限界値DB'!$H:$H = J17), 
        0
      )
    ), 
    "再製作"
  )
)
</f>
        <v>45996</v>
      </c>
      <c r="L17" s="218" t="str">
        <f t="array" ref="L17">IF(
  J17 = 0, 
  "", 
  IFERROR(
    INDEX(
      'アイテム別限界値DB'!$L:$L, 
      MATCH(
        1, 
        ('アイテム別限界値DB'!$B:$B = I$10) * 
        ('アイテム別限界値DB'!$C:$C = I17) * 
        ('アイテム別限界値DB'!$F:$F = J17), 
        0
      )
    ), 
    ""
  )
)
</f>
        <v/>
      </c>
      <c r="M17" s="12"/>
      <c r="N17" s="224" t="s">
        <v>62</v>
      </c>
      <c r="O17" s="230"/>
      <c r="P17" s="231" t="str">
        <f t="array" ref="P17">IF(
  O17 = 0, 
  "", 
  IFERROR(
    INDEX(
      'アイテム別限界値DB'!$K:$K, 
      MATCH(
        1, 
        ('アイテム別限界値DB'!$B:$B = N$10) * 
        ('アイテム別限界値DB'!$F:$F = N17) * 
        ('アイテム別限界値DB'!$H:$H = O17), 
        0
      )
    ), 
    "再製作"
  )
)
</f>
        <v/>
      </c>
      <c r="Q17" s="218" t="str">
        <f t="array" ref="Q17">IF(
  O17 = 0, 
  "", 
  IFERROR(
    INDEX(
      'アイテム別限界値DB'!$L:$L, 
      MATCH(
        1, 
        ('アイテム別限界値DB'!$B:$B = N$10) * 
        ('アイテム別限界値DB'!$C:$C = N17) * 
        ('アイテム別限界値DB'!$F:$F = O17), 
        0
      )
    ), 
    ""
  )
)
</f>
        <v/>
      </c>
      <c r="R17" s="11"/>
      <c r="S17" s="224" t="s">
        <v>61</v>
      </c>
      <c r="T17" s="232"/>
      <c r="U17" s="231" t="str">
        <f t="array" ref="U17">IF(
  T17 = 0, 
  "", 
  IFERROR(
    INDEX(
      'アイテム別限界値DB'!$K:$K, 
      MATCH(
        1, 
        ('アイテム別限界値DB'!$B:$B = S$10) * 
        ('アイテム別限界値DB'!$F:$F = S17) * 
        ('アイテム別限界値DB'!$H:$H = T17), 
        0
      )
    ), 
    "再製作"
  )
)
</f>
        <v/>
      </c>
      <c r="V17" s="218" t="str">
        <f t="array" ref="V17">IF(
  T17 = 0, 
  "", 
  IFERROR(
    INDEX(
      'アイテム別限界値DB'!$L:$L, 
      MATCH(
        1, 
        ('アイテム別限界値DB'!$B:$B = S$10) * 
        ('アイテム別限界値DB'!$C:$C = S17) * 
        ('アイテム別限界値DB'!$F:$F = T17), 
        0
      )
    ), 
    ""
  )
)
</f>
        <v/>
      </c>
      <c r="W17" s="12"/>
      <c r="X17" s="224" t="s">
        <v>63</v>
      </c>
      <c r="Y17" s="230"/>
      <c r="Z17" s="231" t="str">
        <f t="array" ref="Z17">IF(
  Y17 = 0, 
  "", 
  IFERROR(
    INDEX(
      'アイテム別限界値DB'!$K:$K, 
      MATCH(
        1, 
        ('アイテム別限界値DB'!$B:$B = X$10) * 
        ('アイテム別限界値DB'!$F:$F = X17) * 
        ('アイテム別限界値DB'!$H:$H = Y17), 
        0
      )
    ), 
    "再製作"
  )
)
</f>
        <v/>
      </c>
      <c r="AA17" s="218" t="str">
        <f t="array" ref="AA17">IF(
  Y17 = 0, 
  "", 
  IFERROR(
    INDEX(
      'アイテム別限界値DB'!$L:$L, 
      MATCH(
        1, 
        ('アイテム別限界値DB'!$B:$B = X$10) * 
        ('アイテム別限界値DB'!$C:$C = X17) * 
        ('アイテム別限界値DB'!$F:$F = Y17), 
        0
      )
    ), 
    ""
  )
)
</f>
        <v/>
      </c>
      <c r="AB17" s="11"/>
      <c r="AC17" s="224" t="s">
        <v>57</v>
      </c>
      <c r="AD17" s="232"/>
      <c r="AE17" s="231" t="str">
        <f t="array" ref="AE17">IF(
  AD17 = 0, 
  "", 
  IFERROR(
    INDEX(
      'アイテム別限界値DB'!$K:$K, 
      MATCH(
        1, 
        ('アイテム別限界値DB'!$B:$B = AC$10) * 
        ('アイテム別限界値DB'!$F:$F = AC17) * 
        ('アイテム別限界値DB'!$H:$H = AD17), 
        0
      )
    ), 
    "再製作"
  )
)
</f>
        <v/>
      </c>
      <c r="AF17" s="218" t="str">
        <f t="array" ref="AF17">IF(
  AD17 = 0, 
  "", 
  IFERROR(
    INDEX(
      'アイテム別限界値DB'!$L:$L, 
      MATCH(
        1, 
        ('アイテム別限界値DB'!$B:$B = AC$10) * 
        ('アイテム別限界値DB'!$C:$C = AC17) * 
        ('アイテム別限界値DB'!$F:$F = AD17), 
        0
      )
    ), 
    ""
  )
)
</f>
        <v/>
      </c>
      <c r="AG17" s="11"/>
      <c r="AH17" s="224" t="s">
        <v>57</v>
      </c>
      <c r="AI17" s="232"/>
      <c r="AJ17" s="231" t="str">
        <f t="array" ref="AJ17">IF(
  AI17 = 0, 
  "", 
  IFERROR(
    INDEX(
      'アイテム別限界値DB'!$K:$K, 
      MATCH(
        1, 
        ('アイテム別限界値DB'!$B:$B = AH$10) * 
        ('アイテム別限界値DB'!$F:$F = AH17) * 
        ('アイテム別限界値DB'!$H:$H = AI17), 
        0
      )
    ), 
    "再製作"
  )
)
</f>
        <v/>
      </c>
      <c r="AK17" s="218" t="str">
        <f t="array" ref="AK17">IF(
  AI17 = 0, 
  "", 
  IFERROR(
    INDEX(
      'アイテム別限界値DB'!$L:$L, 
      MATCH(
        1, 
        ('アイテム別限界値DB'!$B:$B = AH$10) * 
        ('アイテム別限界値DB'!$C:$C = AH17) * 
        ('アイテム別限界値DB'!$F:$F = AI17), 
        0
      )
    ), 
    ""
  )
)
</f>
        <v/>
      </c>
      <c r="AL17" s="11"/>
      <c r="AM17" s="224" t="s">
        <v>57</v>
      </c>
      <c r="AN17" s="232"/>
      <c r="AO17" s="231" t="str">
        <f t="array" ref="AO17">IF(
  AN17 = 0, 
  "", 
  IFERROR(
    INDEX(
      'アイテム別限界値DB'!$K:$K, 
      MATCH(
        1, 
        ('アイテム別限界値DB'!$B:$B = AM$10) * 
        ('アイテム別限界値DB'!$F:$F = AM17) * 
        ('アイテム別限界値DB'!$H:$H = AN17), 
        0
      )
    ), 
    "再製作"
  )
)
</f>
        <v/>
      </c>
      <c r="AP17" s="218" t="str">
        <f t="array" ref="AP17">IF(
  AN17 = 0, 
  "", 
  IFERROR(
    INDEX(
      'アイテム別限界値DB'!$L:$L, 
      MATCH(
        1, 
        ('アイテム別限界値DB'!$B:$B = AM$10) * 
        ('アイテム別限界値DB'!$C:$C = AM17) * 
        ('アイテム別限界値DB'!$F:$F = AN17), 
        0
      )
    ), 
    ""
  )
)
</f>
        <v/>
      </c>
      <c r="AQ17" s="11"/>
      <c r="AR17" s="224" t="s">
        <v>57</v>
      </c>
      <c r="AS17" s="232"/>
      <c r="AT17" s="231" t="str">
        <f t="array" ref="AT17">IF(
  AS17 = 0, 
  "", 
  IFERROR(
    INDEX(
      'アイテム別限界値DB'!$K:$K, 
      MATCH(
        1, 
        ('アイテム別限界値DB'!$B:$B = AR$10) * 
        ('アイテム別限界値DB'!$F:$F = AR17) * 
        ('アイテム別限界値DB'!$H:$H = AS17), 
        0
      )
    ), 
    "再製作"
  )
)
</f>
        <v/>
      </c>
      <c r="AU17" s="218" t="str">
        <f t="array" ref="AU17">IF(
  AS17 = 0, 
  "", 
  IFERROR(
    INDEX(
      'アイテム別限界値DB'!$L:$L, 
      MATCH(
        1, 
        ('アイテム別限界値DB'!$B:$B = AR$10) * 
        ('アイテム別限界値DB'!$C:$C = AR17) * 
        ('アイテム別限界値DB'!$F:$F = AS17), 
        0
      )
    ), 
    ""
  )
)
</f>
        <v/>
      </c>
      <c r="AV17" s="121"/>
      <c r="AW17" s="224" t="s">
        <v>57</v>
      </c>
      <c r="AX17" s="232"/>
      <c r="AY17" s="231" t="str">
        <f t="array" ref="AY17">IF(
  AX17 = 0, 
  "", 
  IFERROR(
    INDEX(
      'アイテム別限界値DB'!$K:$K, 
      MATCH(
        1, 
        ('アイテム別限界値DB'!$B:$B = AW$10) * 
        ('アイテム別限界値DB'!$F:$F = AW17) * 
        ('アイテム別限界値DB'!$H:$H = AX17), 
        0
      )
    ), 
    "再製作"
  )
)
</f>
        <v/>
      </c>
      <c r="AZ17" s="218" t="str">
        <f t="array" ref="AZ17">IF(
  AX17 = 0, 
  "", 
  IFERROR(
    INDEX(
      'アイテム別限界値DB'!$L:$L, 
      MATCH(
        1, 
        ('アイテム別限界値DB'!$B:$B = AW$10) * 
        ('アイテム別限界値DB'!$C:$C = AW17) * 
        ('アイテム別限界値DB'!$F:$F = AX17), 
        0
      )
    ), 
    ""
  )
)
</f>
        <v/>
      </c>
      <c r="BA17" s="121"/>
      <c r="BB17" s="224" t="s">
        <v>57</v>
      </c>
      <c r="BC17" s="232"/>
      <c r="BD17" s="231" t="str">
        <f t="array" ref="BD17">IF(
  BC17 = 0, 
  "", 
  IFERROR(
    INDEX(
      'アイテム別限界値DB'!$K:$K, 
      MATCH(
        1, 
        ('アイテム別限界値DB'!$B:$B = BB$10) * 
        ('アイテム別限界値DB'!$F:$F = BB17) * 
        ('アイテム別限界値DB'!$H:$H = BC17), 
        0
      )
    ), 
    "再製作"
  )
)
</f>
        <v/>
      </c>
      <c r="BE17" s="218" t="str">
        <f t="array" ref="BE17">IF(
  BC17 = 0, 
  "", 
  IFERROR(
    INDEX(
      'アイテム別限界値DB'!$L:$L, 
      MATCH(
        1, 
        ('アイテム別限界値DB'!$B:$B = BB$10) * 
        ('アイテム別限界値DB'!$C:$C = BB17) * 
        ('アイテム別限界値DB'!$F:$F = BC17), 
        0
      )
    ), 
    ""
  )
)
</f>
        <v/>
      </c>
      <c r="BF17" s="121"/>
      <c r="BG17" s="224" t="s">
        <v>57</v>
      </c>
      <c r="BH17" s="232"/>
      <c r="BI17" s="231" t="str">
        <f t="array" ref="BI17">IF(
  BH17 = 0, 
  "", 
  IFERROR(
    INDEX(
      'アイテム別限界値DB'!$K:$K, 
      MATCH(
        1, 
        ('アイテム別限界値DB'!$B:$B = BG$10) * 
        ('アイテム別限界値DB'!$F:$F = BG17) * 
        ('アイテム別限界値DB'!$H:$H = BH17), 
        0
      )
    ), 
    "再製作"
  )
)
</f>
        <v/>
      </c>
      <c r="BJ17" s="218" t="str">
        <f t="array" ref="BJ17">IF(
  BH17 = 0, 
  "", 
  IFERROR(
    INDEX(
      'アイテム別限界値DB'!$L:$L, 
      MATCH(
        1, 
        ('アイテム別限界値DB'!$B:$B = BG$10) * 
        ('アイテム別限界値DB'!$C:$C = BG17) * 
        ('アイテム別限界値DB'!$F:$F = BH17), 
        0
      )
    ), 
    ""
  )
)
</f>
        <v/>
      </c>
      <c r="BK17" s="121"/>
      <c r="BL17" s="224" t="s">
        <v>57</v>
      </c>
      <c r="BM17" s="232" t="s">
        <v>59</v>
      </c>
      <c r="BN17" s="231">
        <f t="array" ref="BN17">IF(
  BM17 = 0, 
  "", 
  IFERROR(
    INDEX(
      'アイテム別限界値DB'!$K:$K, 
      MATCH(
        1, 
        ('アイテム別限界値DB'!$B:$B = BL$10) * 
        ('アイテム別限界値DB'!$F:$F = BL17) * 
        ('アイテム別限界値DB'!$H:$H = BM17), 
        0
      )
    ), 
    "再製作"
  )
)
</f>
        <v>46000</v>
      </c>
      <c r="BO17" s="218" t="str">
        <f t="array" ref="BO17">IF(
  BM17 = 0, 
  "", 
  IFERROR(
    INDEX(
      'アイテム別限界値DB'!$L:$L, 
      MATCH(
        1, 
        ('アイテム別限界値DB'!$B:$B = BL$10) * 
        ('アイテム別限界値DB'!$C:$C = BL17) * 
        ('アイテム別限界値DB'!$F:$F = BM17), 
        0
      )
    ), 
    ""
  )
)
</f>
        <v/>
      </c>
      <c r="BP17" s="195"/>
    </row>
    <row r="18" ht="18.75" customHeight="1">
      <c r="A18" s="237" t="s">
        <v>64</v>
      </c>
      <c r="B18" s="235"/>
      <c r="C18" s="224"/>
      <c r="D18" s="224" t="s">
        <v>65</v>
      </c>
      <c r="E18" s="230"/>
      <c r="F18" s="231" t="str">
        <f t="array" ref="F18">IF(
  E18 = 0, 
  "", 
  IFERROR(
    INDEX(
      'アイテム別限界値DB'!$K:$K, 
      MATCH(
        1, 
        ('アイテム別限界値DB'!$B:$B = D$10) * 
        ('アイテム別限界値DB'!$F:$F = D18) * 
        ('アイテム別限界値DB'!$H:$H = E18), 
        0
      )
    ), 
    "再製作"
  )
)
</f>
        <v/>
      </c>
      <c r="G18" s="218" t="str">
        <f t="array" ref="G18">IF(
  E18 = 0, 
  "", 
  IFERROR(
    INDEX(
      'アイテム別限界値DB'!$L:$L, 
      MATCH(
        1, 
        ('アイテム別限界値DB'!$B:$B = D$10) * 
        ('アイテム別限界値DB'!$C:$C = D18) * 
        ('アイテム別限界値DB'!$F:$F = E18), 
        0
      )
    ), 
    ""
  )
)
</f>
        <v/>
      </c>
      <c r="H18" s="12"/>
      <c r="I18" s="224" t="s">
        <v>66</v>
      </c>
      <c r="J18" s="230"/>
      <c r="K18" s="231" t="str">
        <f t="array" ref="K18">IF(
  J18 = 0, 
  "", 
  IFERROR(
    INDEX(
      'アイテム別限界値DB'!$K:$K, 
      MATCH(
        1, 
        ('アイテム別限界値DB'!$B:$B = I$10) * 
        ('アイテム別限界値DB'!$F:$F = I18) * 
        ('アイテム別限界値DB'!$H:$H = J18), 
        0
      )
    ), 
    "再製作"
  )
)
</f>
        <v/>
      </c>
      <c r="L18" s="218" t="str">
        <f t="array" ref="L18">IF(
  J18 = 0, 
  "", 
  IFERROR(
    INDEX(
      'アイテム別限界値DB'!$L:$L, 
      MATCH(
        1, 
        ('アイテム別限界値DB'!$B:$B = I$10) * 
        ('アイテム別限界値DB'!$C:$C = I18) * 
        ('アイテム別限界値DB'!$F:$F = J18), 
        0
      )
    ), 
    ""
  )
)
</f>
        <v/>
      </c>
      <c r="M18" s="12"/>
      <c r="N18" s="224" t="s">
        <v>67</v>
      </c>
      <c r="O18" s="232"/>
      <c r="P18" s="231" t="str">
        <f t="array" ref="P18">IF(
  O18 = 0, 
  "", 
  IFERROR(
    INDEX(
      'アイテム別限界値DB'!$K:$K, 
      MATCH(
        1, 
        ('アイテム別限界値DB'!$B:$B = N$10) * 
        ('アイテム別限界値DB'!$F:$F = N18) * 
        ('アイテム別限界値DB'!$H:$H = O18), 
        0
      )
    ), 
    "再製作"
  )
)
</f>
        <v/>
      </c>
      <c r="Q18" s="218" t="str">
        <f t="array" ref="Q18">IF(
  O18 = 0, 
  "", 
  IFERROR(
    INDEX(
      'アイテム別限界値DB'!$L:$L, 
      MATCH(
        1, 
        ('アイテム別限界値DB'!$B:$B = N$10) * 
        ('アイテム別限界値DB'!$C:$C = N18) * 
        ('アイテム別限界値DB'!$F:$F = O18), 
        0
      )
    ), 
    ""
  )
)
</f>
        <v/>
      </c>
      <c r="R18" s="11"/>
      <c r="S18" s="224" t="s">
        <v>68</v>
      </c>
      <c r="T18" s="230"/>
      <c r="U18" s="231" t="str">
        <f t="array" ref="U18">IF(
  T18 = 0, 
  "", 
  IFERROR(
    INDEX(
      'アイテム別限界値DB'!$K:$K, 
      MATCH(
        1, 
        ('アイテム別限界値DB'!$B:$B = S$10) * 
        ('アイテム別限界値DB'!$F:$F = S18) * 
        ('アイテム別限界値DB'!$H:$H = T18), 
        0
      )
    ), 
    "再製作"
  )
)
</f>
        <v/>
      </c>
      <c r="V18" s="218" t="str">
        <f t="array" ref="V18">IF(
  T18 = 0, 
  "", 
  IFERROR(
    INDEX(
      'アイテム別限界値DB'!$L:$L, 
      MATCH(
        1, 
        ('アイテム別限界値DB'!$B:$B = S$10) * 
        ('アイテム別限界値DB'!$C:$C = S18) * 
        ('アイテム別限界値DB'!$F:$F = T18), 
        0
      )
    ), 
    ""
  )
)
</f>
        <v/>
      </c>
      <c r="W18" s="11"/>
      <c r="X18" s="224" t="s">
        <v>57</v>
      </c>
      <c r="Y18" s="230"/>
      <c r="Z18" s="231" t="str">
        <f t="array" ref="Z18">IF(
  Y18 = 0, 
  "", 
  IFERROR(
    INDEX(
      'アイテム別限界値DB'!$K:$K, 
      MATCH(
        1, 
        ('アイテム別限界値DB'!$B:$B = X$10) * 
        ('アイテム別限界値DB'!$F:$F = X18) * 
        ('アイテム別限界値DB'!$H:$H = Y18), 
        0
      )
    ), 
    "再製作"
  )
)
</f>
        <v/>
      </c>
      <c r="AA18" s="218" t="str">
        <f t="array" ref="AA18">IF(
  Y18 = 0, 
  "", 
  IFERROR(
    INDEX(
      'アイテム別限界値DB'!$L:$L, 
      MATCH(
        1, 
        ('アイテム別限界値DB'!$B:$B = X$10) * 
        ('アイテム別限界値DB'!$C:$C = X18) * 
        ('アイテム別限界値DB'!$F:$F = Y18), 
        0
      )
    ), 
    ""
  )
)
</f>
        <v/>
      </c>
      <c r="AB18" s="11"/>
      <c r="AC18" s="224" t="s">
        <v>69</v>
      </c>
      <c r="AD18" s="232"/>
      <c r="AE18" s="231" t="str">
        <f t="array" ref="AE18">IF(
  AD18 = 0, 
  "", 
  IFERROR(
    INDEX(
      'アイテム別限界値DB'!$K:$K, 
      MATCH(
        1, 
        ('アイテム別限界値DB'!$B:$B = AC$10) * 
        ('アイテム別限界値DB'!$F:$F = AC18) * 
        ('アイテム別限界値DB'!$H:$H = AD18), 
        0
      )
    ), 
    "再製作"
  )
)
</f>
        <v/>
      </c>
      <c r="AF18" s="218" t="str">
        <f t="array" ref="AF18">IF(
  AD18 = 0, 
  "", 
  IFERROR(
    INDEX(
      'アイテム別限界値DB'!$L:$L, 
      MATCH(
        1, 
        ('アイテム別限界値DB'!$B:$B = AC$10) * 
        ('アイテム別限界値DB'!$C:$C = AC18) * 
        ('アイテム別限界値DB'!$F:$F = AD18), 
        0
      )
    ), 
    ""
  )
)
</f>
        <v/>
      </c>
      <c r="AG18" s="11"/>
      <c r="AH18" s="224" t="s">
        <v>70</v>
      </c>
      <c r="AI18" s="232"/>
      <c r="AJ18" s="231" t="str">
        <f t="array" ref="AJ18">IF(
  AI18 = 0, 
  "", 
  IFERROR(
    INDEX(
      'アイテム別限界値DB'!$K:$K, 
      MATCH(
        1, 
        ('アイテム別限界値DB'!$B:$B = AH$10) * 
        ('アイテム別限界値DB'!$F:$F = AH18) * 
        ('アイテム別限界値DB'!$H:$H = AI18), 
        0
      )
    ), 
    "再製作"
  )
)
</f>
        <v/>
      </c>
      <c r="AK18" s="218" t="str">
        <f t="array" ref="AK18">IF(
  AI18 = 0, 
  "", 
  IFERROR(
    INDEX(
      'アイテム別限界値DB'!$L:$L, 
      MATCH(
        1, 
        ('アイテム別限界値DB'!$B:$B = AH$10) * 
        ('アイテム別限界値DB'!$C:$C = AH18) * 
        ('アイテム別限界値DB'!$F:$F = AI18), 
        0
      )
    ), 
    ""
  )
)
</f>
        <v/>
      </c>
      <c r="AL18" s="11"/>
      <c r="AM18" s="224" t="s">
        <v>71</v>
      </c>
      <c r="AN18" s="232"/>
      <c r="AO18" s="231" t="str">
        <f t="array" ref="AO18">IF(
  AN18 = 0, 
  "", 
  IFERROR(
    INDEX(
      'アイテム別限界値DB'!$K:$K, 
      MATCH(
        1, 
        ('アイテム別限界値DB'!$B:$B = AM$10) * 
        ('アイテム別限界値DB'!$F:$F = AM18) * 
        ('アイテム別限界値DB'!$H:$H = AN18), 
        0
      )
    ), 
    "再製作"
  )
)
</f>
        <v/>
      </c>
      <c r="AP18" s="218" t="str">
        <f t="array" ref="AP18">IF(
  AN18 = 0, 
  "", 
  IFERROR(
    INDEX(
      'アイテム別限界値DB'!$L:$L, 
      MATCH(
        1, 
        ('アイテム別限界値DB'!$B:$B = AM$10) * 
        ('アイテム別限界値DB'!$C:$C = AM18) * 
        ('アイテム別限界値DB'!$F:$F = AN18), 
        0
      )
    ), 
    ""
  )
)
</f>
        <v/>
      </c>
      <c r="AQ18" s="11"/>
      <c r="AR18" s="224" t="s">
        <v>71</v>
      </c>
      <c r="AS18" s="232"/>
      <c r="AT18" s="231" t="str">
        <f t="array" ref="AT18">IF(
  AS18 = 0, 
  "", 
  IFERROR(
    INDEX(
      'アイテム別限界値DB'!$K:$K, 
      MATCH(
        1, 
        ('アイテム別限界値DB'!$B:$B = AR$10) * 
        ('アイテム別限界値DB'!$F:$F = AR18) * 
        ('アイテム別限界値DB'!$H:$H = AS18), 
        0
      )
    ), 
    "再製作"
  )
)
</f>
        <v/>
      </c>
      <c r="AU18" s="218" t="str">
        <f t="array" ref="AU18">IF(
  AS18 = 0, 
  "", 
  IFERROR(
    INDEX(
      'アイテム別限界値DB'!$L:$L, 
      MATCH(
        1, 
        ('アイテム別限界値DB'!$B:$B = AR$10) * 
        ('アイテム別限界値DB'!$C:$C = AR18) * 
        ('アイテム別限界値DB'!$F:$F = AS18), 
        0
      )
    ), 
    ""
  )
)
</f>
        <v/>
      </c>
      <c r="AV18" s="121"/>
      <c r="AW18" s="224" t="s">
        <v>71</v>
      </c>
      <c r="AX18" s="232"/>
      <c r="AY18" s="231" t="str">
        <f t="array" ref="AY18">IF(
  AX18 = 0, 
  "", 
  IFERROR(
    INDEX(
      'アイテム別限界値DB'!$K:$K, 
      MATCH(
        1, 
        ('アイテム別限界値DB'!$B:$B = AW$10) * 
        ('アイテム別限界値DB'!$F:$F = AW18) * 
        ('アイテム別限界値DB'!$H:$H = AX18), 
        0
      )
    ), 
    "再製作"
  )
)
</f>
        <v/>
      </c>
      <c r="AZ18" s="218" t="str">
        <f t="array" ref="AZ18">IF(
  AX18 = 0, 
  "", 
  IFERROR(
    INDEX(
      'アイテム別限界値DB'!$L:$L, 
      MATCH(
        1, 
        ('アイテム別限界値DB'!$B:$B = AW$10) * 
        ('アイテム別限界値DB'!$C:$C = AW18) * 
        ('アイテム別限界値DB'!$F:$F = AX18), 
        0
      )
    ), 
    ""
  )
)
</f>
        <v/>
      </c>
      <c r="BA18" s="121"/>
      <c r="BB18" s="224" t="s">
        <v>71</v>
      </c>
      <c r="BC18" s="232"/>
      <c r="BD18" s="231" t="str">
        <f t="array" ref="BD18">IF(
  BC18 = 0, 
  "", 
  IFERROR(
    INDEX(
      'アイテム別限界値DB'!$K:$K, 
      MATCH(
        1, 
        ('アイテム別限界値DB'!$B:$B = BB$10) * 
        ('アイテム別限界値DB'!$F:$F = BB18) * 
        ('アイテム別限界値DB'!$H:$H = BC18), 
        0
      )
    ), 
    "再製作"
  )
)
</f>
        <v/>
      </c>
      <c r="BE18" s="218" t="str">
        <f t="array" ref="BE18">IF(
  BC18 = 0, 
  "", 
  IFERROR(
    INDEX(
      'アイテム別限界値DB'!$L:$L, 
      MATCH(
        1, 
        ('アイテム別限界値DB'!$B:$B = BB$10) * 
        ('アイテム別限界値DB'!$C:$C = BB18) * 
        ('アイテム別限界値DB'!$F:$F = BC18), 
        0
      )
    ), 
    ""
  )
)
</f>
        <v/>
      </c>
      <c r="BF18" s="121"/>
      <c r="BG18" s="224" t="s">
        <v>71</v>
      </c>
      <c r="BH18" s="232"/>
      <c r="BI18" s="231" t="str">
        <f t="array" ref="BI18">IF(
  BH18 = 0, 
  "", 
  IFERROR(
    INDEX(
      'アイテム別限界値DB'!$K:$K, 
      MATCH(
        1, 
        ('アイテム別限界値DB'!$B:$B = BG$10) * 
        ('アイテム別限界値DB'!$F:$F = BG18) * 
        ('アイテム別限界値DB'!$H:$H = BH18), 
        0
      )
    ), 
    "再製作"
  )
)
</f>
        <v/>
      </c>
      <c r="BJ18" s="218" t="str">
        <f t="array" ref="BJ18">IF(
  BH18 = 0, 
  "", 
  IFERROR(
    INDEX(
      'アイテム別限界値DB'!$L:$L, 
      MATCH(
        1, 
        ('アイテム別限界値DB'!$B:$B = BG$10) * 
        ('アイテム別限界値DB'!$C:$C = BG18) * 
        ('アイテム別限界値DB'!$F:$F = BH18), 
        0
      )
    ), 
    ""
  )
)
</f>
        <v/>
      </c>
      <c r="BK18" s="121"/>
      <c r="BL18" s="224" t="s">
        <v>69</v>
      </c>
      <c r="BM18" s="232"/>
      <c r="BN18" s="231" t="str">
        <f t="array" ref="BN18">IF(
  BM18 = 0, 
  "", 
  IFERROR(
    INDEX(
      'アイテム別限界値DB'!$K:$K, 
      MATCH(
        1, 
        ('アイテム別限界値DB'!$B:$B = BL$10) * 
        ('アイテム別限界値DB'!$F:$F = BL18) * 
        ('アイテム別限界値DB'!$H:$H = BM18), 
        0
      )
    ), 
    "再製作"
  )
)
</f>
        <v/>
      </c>
      <c r="BO18" s="218" t="str">
        <f t="array" ref="BO18">IF(
  BM18 = 0, 
  "", 
  IFERROR(
    INDEX(
      'アイテム別限界値DB'!$L:$L, 
      MATCH(
        1, 
        ('アイテム別限界値DB'!$B:$B = BL$10) * 
        ('アイテム別限界値DB'!$C:$C = BL18) * 
        ('アイテム別限界値DB'!$F:$F = BM18), 
        0
      )
    ), 
    ""
  )
)
</f>
        <v/>
      </c>
      <c r="BP18" s="195"/>
    </row>
    <row r="19" ht="18.75" customHeight="1">
      <c r="A19" s="228" t="str">
        <f>IF($I$11 ="再製作", "◼︎ パンツ（対応着地：再製作）"　&amp; char(10) &amp; "《修正数値》", IF($I$11 &lt;&gt; "", "◼︎ パンツ（対応着地：お直し）"　&amp; char(10) &amp; "《修正数値》", ""))</f>
        <v>◼︎ パンツ（対応着地：お直し）
《修正数値》</v>
      </c>
      <c r="B19" s="224"/>
      <c r="C19" s="224"/>
      <c r="D19" s="238" t="s">
        <v>72</v>
      </c>
      <c r="E19" s="230"/>
      <c r="F19" s="231" t="str">
        <f t="array" ref="F19">IF(
  E19 = 0, 
  "", 
  IFERROR(
    INDEX(
      'アイテム別限界値DB'!$K:$K, 
      MATCH(
        1, 
        ('アイテム別限界値DB'!$B:$B = D$10) * 
        ('アイテム別限界値DB'!$F:$F = D19) * 
        ('アイテム別限界値DB'!$H:$H = E19), 
        0
      )
    ), 
    "再製作"
  )
)
</f>
        <v/>
      </c>
      <c r="G19" s="218" t="str">
        <f t="array" ref="G19">IF(
  E19 = 0, 
  "", 
  IFERROR(
    INDEX(
      'アイテム別限界値DB'!$L:$L, 
      MATCH(
        1, 
        ('アイテム別限界値DB'!$B:$B = D$10) * 
        ('アイテム別限界値DB'!$C:$C = D19) * 
        ('アイテム別限界値DB'!$F:$F = E19), 
        0
      )
    ), 
    ""
  )
)
</f>
        <v/>
      </c>
      <c r="H19" s="12"/>
      <c r="I19" s="238" t="s">
        <v>73</v>
      </c>
      <c r="J19" s="230"/>
      <c r="K19" s="231" t="str">
        <f t="array" ref="K19">IF(
  J19 = 0, 
  "", 
  IFERROR(
    INDEX(
      'アイテム別限界値DB'!$K:$K, 
      MATCH(
        1, 
        ('アイテム別限界値DB'!$B:$B = I$10) * 
        ('アイテム別限界値DB'!$F:$F = I19) * 
        ('アイテム別限界値DB'!$H:$H = J19), 
        0
      )
    ), 
    "再製作"
  )
)
</f>
        <v/>
      </c>
      <c r="L19" s="218" t="str">
        <f t="array" ref="L19">IF(
  J19 = 0, 
  "", 
  IFERROR(
    INDEX(
      'アイテム別限界値DB'!$L:$L, 
      MATCH(
        1, 
        ('アイテム別限界値DB'!$B:$B = I$10) * 
        ('アイテム別限界値DB'!$C:$C = I19) * 
        ('アイテム別限界値DB'!$F:$F = J19), 
        0
      )
    ), 
    ""
  )
)
</f>
        <v/>
      </c>
      <c r="M19" s="12"/>
      <c r="N19" s="238" t="s">
        <v>74</v>
      </c>
      <c r="O19" s="232"/>
      <c r="P19" s="231" t="str">
        <f t="array" ref="P19">IF(
  O19 = 0, 
  "", 
  IFERROR(
    INDEX(
      'アイテム別限界値DB'!$K:$K, 
      MATCH(
        1, 
        ('アイテム別限界値DB'!$B:$B = N$10) * 
        ('アイテム別限界値DB'!$F:$F = N19) * 
        ('アイテム別限界値DB'!$H:$H = O19), 
        0
      )
    ), 
    "再製作"
  )
)
</f>
        <v/>
      </c>
      <c r="Q19" s="218" t="str">
        <f t="array" ref="Q19">IF(
  O19 = 0, 
  "", 
  IFERROR(
    INDEX(
      'アイテム別限界値DB'!$L:$L, 
      MATCH(
        1, 
        ('アイテム別限界値DB'!$B:$B = N$10) * 
        ('アイテム別限界値DB'!$C:$C = N19) * 
        ('アイテム別限界値DB'!$F:$F = O19), 
        0
      )
    ), 
    ""
  )
)
</f>
        <v/>
      </c>
      <c r="R19" s="11"/>
      <c r="S19" s="238" t="s">
        <v>75</v>
      </c>
      <c r="T19" s="232"/>
      <c r="U19" s="231" t="str">
        <f t="array" ref="U19">IF(
  T19 = 0, 
  "", 
  IFERROR(
    INDEX(
      'アイテム別限界値DB'!$K:$K, 
      MATCH(
        1, 
        ('アイテム別限界値DB'!$B:$B = S$10) * 
        ('アイテム別限界値DB'!$F:$F = S19) * 
        ('アイテム別限界値DB'!$H:$H = T19), 
        0
      )
    ), 
    "再製作"
  )
)
</f>
        <v/>
      </c>
      <c r="V19" s="218" t="str">
        <f t="array" ref="V19">IF(
  T19 = 0, 
  "", 
  IFERROR(
    INDEX(
      'アイテム別限界値DB'!$L:$L, 
      MATCH(
        1, 
        ('アイテム別限界値DB'!$B:$B = S$10) * 
        ('アイテム別限界値DB'!$C:$C = S19) * 
        ('アイテム別限界値DB'!$F:$F = T19), 
        0
      )
    ), 
    ""
  )
)
</f>
        <v/>
      </c>
      <c r="W19" s="11"/>
      <c r="X19" s="238" t="s">
        <v>69</v>
      </c>
      <c r="Y19" s="230"/>
      <c r="Z19" s="231" t="str">
        <f t="array" ref="Z19">IF(
  Y19 = 0, 
  "", 
  IFERROR(
    INDEX(
      'アイテム別限界値DB'!$K:$K, 
      MATCH(
        1, 
        ('アイテム別限界値DB'!$B:$B = X$10) * 
        ('アイテム別限界値DB'!$F:$F = X19) * 
        ('アイテム別限界値DB'!$H:$H = Y19), 
        0
      )
    ), 
    "再製作"
  )
)
</f>
        <v/>
      </c>
      <c r="AA19" s="218" t="str">
        <f t="array" ref="AA19">IF(
  Y19 = 0, 
  "", 
  IFERROR(
    INDEX(
      'アイテム別限界値DB'!$L:$L, 
      MATCH(
        1, 
        ('アイテム別限界値DB'!$B:$B = X$10) * 
        ('アイテム別限界値DB'!$C:$C = X19) * 
        ('アイテム別限界値DB'!$F:$F = Y19), 
        0
      )
    ), 
    ""
  )
)
</f>
        <v/>
      </c>
      <c r="AB19" s="11"/>
      <c r="AC19" s="238" t="s">
        <v>76</v>
      </c>
      <c r="AD19" s="232"/>
      <c r="AE19" s="231" t="str">
        <f t="array" ref="AE19">IF(
  AD19 = 0, 
  "", 
  IFERROR(
    INDEX(
      'アイテム別限界値DB'!$K:$K, 
      MATCH(
        1, 
        ('アイテム別限界値DB'!$B:$B = AC$10) * 
        ('アイテム別限界値DB'!$F:$F = AC19) * 
        ('アイテム別限界値DB'!$H:$H = AD19), 
        0
      )
    ), 
    "再製作"
  )
)
</f>
        <v/>
      </c>
      <c r="AF19" s="218" t="str">
        <f t="array" ref="AF19">IF(
  AD19 = 0, 
  "", 
  IFERROR(
    INDEX(
      'アイテム別限界値DB'!$L:$L, 
      MATCH(
        1, 
        ('アイテム別限界値DB'!$B:$B = AC$10) * 
        ('アイテム別限界値DB'!$C:$C = AC19) * 
        ('アイテム別限界値DB'!$F:$F = AD19), 
        0
      )
    ), 
    ""
  )
)
</f>
        <v/>
      </c>
      <c r="AG19" s="11"/>
      <c r="AH19" s="238" t="s">
        <v>71</v>
      </c>
      <c r="AI19" s="232"/>
      <c r="AJ19" s="231" t="str">
        <f t="array" ref="AJ19">IF(
  AI19 = 0, 
  "", 
  IFERROR(
    INDEX(
      'アイテム別限界値DB'!$K:$K, 
      MATCH(
        1, 
        ('アイテム別限界値DB'!$B:$B = AH$10) * 
        ('アイテム別限界値DB'!$F:$F = AH19) * 
        ('アイテム別限界値DB'!$H:$H = AI19), 
        0
      )
    ), 
    "再製作"
  )
)
</f>
        <v/>
      </c>
      <c r="AK19" s="218" t="str">
        <f t="array" ref="AK19">IF(
  AI19 = 0, 
  "", 
  IFERROR(
    INDEX(
      'アイテム別限界値DB'!$L:$L, 
      MATCH(
        1, 
        ('アイテム別限界値DB'!$B:$B = AH$10) * 
        ('アイテム別限界値DB'!$C:$C = AH19) * 
        ('アイテム別限界値DB'!$F:$F = AI19), 
        0
      )
    ), 
    ""
  )
)
</f>
        <v/>
      </c>
      <c r="AL19" s="11"/>
      <c r="AM19" s="238" t="s">
        <v>62</v>
      </c>
      <c r="AN19" s="232"/>
      <c r="AO19" s="231" t="str">
        <f t="array" ref="AO19">IF(
  AN19 = 0, 
  "", 
  IFERROR(
    INDEX(
      'アイテム別限界値DB'!$K:$K, 
      MATCH(
        1, 
        ('アイテム別限界値DB'!$B:$B = AM$10) * 
        ('アイテム別限界値DB'!$F:$F = AM19) * 
        ('アイテム別限界値DB'!$H:$H = AN19), 
        0
      )
    ), 
    "再製作"
  )
)
</f>
        <v/>
      </c>
      <c r="AP19" s="218" t="str">
        <f t="array" ref="AP19">IF(
  AN19 = 0, 
  "", 
  IFERROR(
    INDEX(
      'アイテム別限界値DB'!$L:$L, 
      MATCH(
        1, 
        ('アイテム別限界値DB'!$B:$B = AM$10) * 
        ('アイテム別限界値DB'!$C:$C = AM19) * 
        ('アイテム別限界値DB'!$F:$F = AN19), 
        0
      )
    ), 
    ""
  )
)
</f>
        <v/>
      </c>
      <c r="AQ19" s="11"/>
      <c r="AR19" s="238" t="s">
        <v>62</v>
      </c>
      <c r="AS19" s="232"/>
      <c r="AT19" s="231" t="str">
        <f t="array" ref="AT19">IF(
  AS19 = 0, 
  "", 
  IFERROR(
    INDEX(
      'アイテム別限界値DB'!$K:$K, 
      MATCH(
        1, 
        ('アイテム別限界値DB'!$B:$B = AR$10) * 
        ('アイテム別限界値DB'!$F:$F = AR19) * 
        ('アイテム別限界値DB'!$H:$H = AS19), 
        0
      )
    ), 
    "再製作"
  )
)
</f>
        <v/>
      </c>
      <c r="AU19" s="218" t="str">
        <f t="array" ref="AU19">IF(
  AS19 = 0, 
  "", 
  IFERROR(
    INDEX(
      'アイテム別限界値DB'!$L:$L, 
      MATCH(
        1, 
        ('アイテム別限界値DB'!$B:$B = AR$10) * 
        ('アイテム別限界値DB'!$C:$C = AR19) * 
        ('アイテム別限界値DB'!$F:$F = AS19), 
        0
      )
    ), 
    ""
  )
)
</f>
        <v/>
      </c>
      <c r="AV19" s="121"/>
      <c r="AW19" s="224" t="s">
        <v>62</v>
      </c>
      <c r="AX19" s="232"/>
      <c r="AY19" s="231" t="str">
        <f t="array" ref="AY19">IF(
  AX19 = 0, 
  "", 
  IFERROR(
    INDEX(
      'アイテム別限界値DB'!$K:$K, 
      MATCH(
        1, 
        ('アイテム別限界値DB'!$B:$B = AW$10) * 
        ('アイテム別限界値DB'!$F:$F = AW19) * 
        ('アイテム別限界値DB'!$H:$H = AX19), 
        0
      )
    ), 
    "再製作"
  )
)
</f>
        <v/>
      </c>
      <c r="AZ19" s="218" t="str">
        <f t="array" ref="AZ19">IF(
  AX19 = 0, 
  "", 
  IFERROR(
    INDEX(
      'アイテム別限界値DB'!$L:$L, 
      MATCH(
        1, 
        ('アイテム別限界値DB'!$B:$B = AW$10) * 
        ('アイテム別限界値DB'!$C:$C = AW19) * 
        ('アイテム別限界値DB'!$F:$F = AX19), 
        0
      )
    ), 
    ""
  )
)
</f>
        <v/>
      </c>
      <c r="BA19" s="121"/>
      <c r="BB19" s="224" t="s">
        <v>62</v>
      </c>
      <c r="BC19" s="232"/>
      <c r="BD19" s="231" t="str">
        <f t="array" ref="BD19">IF(
  BC19 = 0, 
  "", 
  IFERROR(
    INDEX(
      'アイテム別限界値DB'!$K:$K, 
      MATCH(
        1, 
        ('アイテム別限界値DB'!$B:$B = BB$10) * 
        ('アイテム別限界値DB'!$F:$F = BB19) * 
        ('アイテム別限界値DB'!$H:$H = BC19), 
        0
      )
    ), 
    "再製作"
  )
)
</f>
        <v/>
      </c>
      <c r="BE19" s="218" t="str">
        <f t="array" ref="BE19">IF(
  BC19 = 0, 
  "", 
  IFERROR(
    INDEX(
      'アイテム別限界値DB'!$L:$L, 
      MATCH(
        1, 
        ('アイテム別限界値DB'!$B:$B = BB$10) * 
        ('アイテム別限界値DB'!$C:$C = BB19) * 
        ('アイテム別限界値DB'!$F:$F = BC19), 
        0
      )
    ), 
    ""
  )
)
</f>
        <v/>
      </c>
      <c r="BF19" s="121"/>
      <c r="BG19" s="224" t="s">
        <v>62</v>
      </c>
      <c r="BH19" s="232"/>
      <c r="BI19" s="231" t="str">
        <f t="array" ref="BI19">IF(
  BH19 = 0, 
  "", 
  IFERROR(
    INDEX(
      'アイテム別限界値DB'!$K:$K, 
      MATCH(
        1, 
        ('アイテム別限界値DB'!$B:$B = BG$10) * 
        ('アイテム別限界値DB'!$F:$F = BG19) * 
        ('アイテム別限界値DB'!$H:$H = BH19), 
        0
      )
    ), 
    "再製作"
  )
)
</f>
        <v/>
      </c>
      <c r="BJ19" s="218" t="str">
        <f t="array" ref="BJ19">IF(
  BH19 = 0, 
  "", 
  IFERROR(
    INDEX(
      'アイテム別限界値DB'!$L:$L, 
      MATCH(
        1, 
        ('アイテム別限界値DB'!$B:$B = BG$10) * 
        ('アイテム別限界値DB'!$C:$C = BG19) * 
        ('アイテム別限界値DB'!$F:$F = BH19), 
        0
      )
    ), 
    ""
  )
)
</f>
        <v/>
      </c>
      <c r="BK19" s="121"/>
      <c r="BL19" s="224" t="s">
        <v>76</v>
      </c>
      <c r="BM19" s="232"/>
      <c r="BN19" s="231" t="str">
        <f t="array" ref="BN19">IF(
  BM19 = 0, 
  "", 
  IFERROR(
    INDEX(
      'アイテム別限界値DB'!$K:$K, 
      MATCH(
        1, 
        ('アイテム別限界値DB'!$B:$B = BL$10) * 
        ('アイテム別限界値DB'!$F:$F = BL19) * 
        ('アイテム別限界値DB'!$H:$H = BM19), 
        0
      )
    ), 
    "再製作"
  )
)
</f>
        <v/>
      </c>
      <c r="BO19" s="218" t="str">
        <f t="array" ref="BO19">IF(
  BM19 = 0, 
  "", 
  IFERROR(
    INDEX(
      'アイテム別限界値DB'!$L:$L, 
      MATCH(
        1, 
        ('アイテム別限界値DB'!$B:$B = BL$10) * 
        ('アイテム別限界値DB'!$C:$C = BL19) * 
        ('アイテム別限界値DB'!$F:$F = BM19), 
        0
      )
    ), 
    ""
  )
)
</f>
        <v/>
      </c>
      <c r="BP19" s="195"/>
    </row>
    <row r="20" ht="18.75" customHeight="1">
      <c r="A20" s="228" t="str">
        <f>IFERROR(__xludf.DUMMYFUNCTION("TEXTJOIN(CHAR(10),TRUE,FILTER(ARRAYFORMULA(IF(J$14:J72&lt;&gt;"""", I$14:I72 &amp;"" : ""&amp; J$14:J72 &amp;"" cm"","""")), I$14:I72 &lt;&gt;""""))"),"股下 / シングル : 2 cm")</f>
        <v>股下 / シングル : 2 cm</v>
      </c>
      <c r="B20" s="229"/>
      <c r="C20" s="224"/>
      <c r="D20" s="238" t="s">
        <v>77</v>
      </c>
      <c r="E20" s="230"/>
      <c r="F20" s="231" t="str">
        <f t="array" ref="F20">IF(
  E20 = 0, 
  "", 
  IFERROR(
    INDEX(
      'アイテム別限界値DB'!$K:$K, 
      MATCH(
        1, 
        ('アイテム別限界値DB'!$B:$B = D$10) * 
        ('アイテム別限界値DB'!$F:$F = D20) * 
        ('アイテム別限界値DB'!$H:$H = E20), 
        0
      )
    ), 
    "再製作"
  )
)
</f>
        <v/>
      </c>
      <c r="G20" s="218" t="str">
        <f t="array" ref="G20">IF(
  E20 = 0, 
  "", 
  IFERROR(
    INDEX(
      'アイテム別限界値DB'!$L:$L, 
      MATCH(
        1, 
        ('アイテム別限界値DB'!$B:$B = D$10) * 
        ('アイテム別限界値DB'!$C:$C = D20) * 
        ('アイテム別限界値DB'!$F:$F = E20), 
        0
      )
    ), 
    ""
  )
)
</f>
        <v/>
      </c>
      <c r="H20" s="12"/>
      <c r="I20" s="238" t="s">
        <v>78</v>
      </c>
      <c r="J20" s="230"/>
      <c r="K20" s="231" t="str">
        <f t="array" ref="K20">IF(
  J20 = 0, 
  "", 
  IFERROR(
    INDEX(
      'アイテム別限界値DB'!$K:$K, 
      MATCH(
        1, 
        ('アイテム別限界値DB'!$B:$B = I$10) * 
        ('アイテム別限界値DB'!$F:$F = I20) * 
        ('アイテム別限界値DB'!$H:$H = J20), 
        0
      )
    ), 
    "再製作"
  )
)
</f>
        <v/>
      </c>
      <c r="L20" s="218" t="str">
        <f t="array" ref="L20">IF(
  J20 = 0, 
  "", 
  IFERROR(
    INDEX(
      'アイテム別限界値DB'!$L:$L, 
      MATCH(
        1, 
        ('アイテム別限界値DB'!$B:$B = I$10) * 
        ('アイテム別限界値DB'!$C:$C = I20) * 
        ('アイテム別限界値DB'!$F:$F = J20), 
        0
      )
    ), 
    ""
  )
)
</f>
        <v/>
      </c>
      <c r="M20" s="12"/>
      <c r="N20" s="238" t="s">
        <v>79</v>
      </c>
      <c r="O20" s="232"/>
      <c r="P20" s="231" t="str">
        <f t="array" ref="P20">IF(
  O20 = 0, 
  "", 
  IFERROR(
    INDEX(
      'アイテム別限界値DB'!$K:$K, 
      MATCH(
        1, 
        ('アイテム別限界値DB'!$B:$B = N$10) * 
        ('アイテム別限界値DB'!$F:$F = N20) * 
        ('アイテム別限界値DB'!$H:$H = O20), 
        0
      )
    ), 
    "再製作"
  )
)
</f>
        <v/>
      </c>
      <c r="Q20" s="218" t="str">
        <f t="array" ref="Q20">IF(
  O20 = 0, 
  "", 
  IFERROR(
    INDEX(
      'アイテム別限界値DB'!$L:$L, 
      MATCH(
        1, 
        ('アイテム別限界値DB'!$B:$B = N$10) * 
        ('アイテム別限界値DB'!$C:$C = N20) * 
        ('アイテム別限界値DB'!$F:$F = O20), 
        0
      )
    ), 
    ""
  )
)
</f>
        <v/>
      </c>
      <c r="R20" s="11"/>
      <c r="S20" s="238" t="s">
        <v>78</v>
      </c>
      <c r="T20" s="230"/>
      <c r="U20" s="231" t="str">
        <f t="array" ref="U20">IF(
  T20 = 0, 
  "", 
  IFERROR(
    INDEX(
      'アイテム別限界値DB'!$K:$K, 
      MATCH(
        1, 
        ('アイテム別限界値DB'!$B:$B = S$10) * 
        ('アイテム別限界値DB'!$F:$F = S20) * 
        ('アイテム別限界値DB'!$H:$H = T20), 
        0
      )
    ), 
    "再製作"
  )
)
</f>
        <v/>
      </c>
      <c r="V20" s="218" t="str">
        <f t="array" ref="V20">IF(
  T20 = 0, 
  "", 
  IFERROR(
    INDEX(
      'アイテム別限界値DB'!$L:$L, 
      MATCH(
        1, 
        ('アイテム別限界値DB'!$B:$B = S$10) * 
        ('アイテム別限界値DB'!$C:$C = S20) * 
        ('アイテム別限界値DB'!$F:$F = T20), 
        0
      )
    ), 
    ""
  )
)
</f>
        <v/>
      </c>
      <c r="W20" s="11"/>
      <c r="X20" s="238" t="s">
        <v>76</v>
      </c>
      <c r="Y20" s="230"/>
      <c r="Z20" s="231" t="str">
        <f t="array" ref="Z20">IF(
  Y20 = 0, 
  "", 
  IFERROR(
    INDEX(
      'アイテム別限界値DB'!$K:$K, 
      MATCH(
        1, 
        ('アイテム別限界値DB'!$B:$B = X$10) * 
        ('アイテム別限界値DB'!$F:$F = X20) * 
        ('アイテム別限界値DB'!$H:$H = Y20), 
        0
      )
    ), 
    "再製作"
  )
)
</f>
        <v/>
      </c>
      <c r="AA20" s="218" t="str">
        <f t="array" ref="AA20">IF(
  Y20 = 0, 
  "", 
  IFERROR(
    INDEX(
      'アイテム別限界値DB'!$L:$L, 
      MATCH(
        1, 
        ('アイテム別限界値DB'!$B:$B = X$10) * 
        ('アイテム別限界値DB'!$C:$C = X20) * 
        ('アイテム別限界値DB'!$F:$F = Y20), 
        0
      )
    ), 
    ""
  )
)
</f>
        <v/>
      </c>
      <c r="AB20" s="11"/>
      <c r="AC20" s="238" t="s">
        <v>80</v>
      </c>
      <c r="AD20" s="232"/>
      <c r="AE20" s="231" t="str">
        <f t="array" ref="AE20">IF(
  AD20 = 0, 
  "", 
  IFERROR(
    INDEX(
      'アイテム別限界値DB'!$K:$K, 
      MATCH(
        1, 
        ('アイテム別限界値DB'!$B:$B = AC$10) * 
        ('アイテム別限界値DB'!$F:$F = AC20) * 
        ('アイテム別限界値DB'!$H:$H = AD20), 
        0
      )
    ), 
    "再製作"
  )
)
</f>
        <v/>
      </c>
      <c r="AF20" s="218" t="str">
        <f t="array" ref="AF20">IF(
  AD20 = 0, 
  "", 
  IFERROR(
    INDEX(
      'アイテム別限界値DB'!$L:$L, 
      MATCH(
        1, 
        ('アイテム別限界値DB'!$B:$B = AC$10) * 
        ('アイテム別限界値DB'!$C:$C = AC20) * 
        ('アイテム別限界値DB'!$F:$F = AD20), 
        0
      )
    ), 
    ""
  )
)
</f>
        <v/>
      </c>
      <c r="AG20" s="11"/>
      <c r="AH20" s="224" t="s">
        <v>62</v>
      </c>
      <c r="AI20" s="232"/>
      <c r="AJ20" s="231" t="str">
        <f t="array" ref="AJ20">IF(
  AI20 = 0, 
  "", 
  IFERROR(
    INDEX(
      'アイテム別限界値DB'!$K:$K, 
      MATCH(
        1, 
        ('アイテム別限界値DB'!$B:$B = AH$10) * 
        ('アイテム別限界値DB'!$F:$F = AH20) * 
        ('アイテム別限界値DB'!$H:$H = AI20), 
        0
      )
    ), 
    "再製作"
  )
)
</f>
        <v/>
      </c>
      <c r="AK20" s="218" t="str">
        <f t="array" ref="AK20">IF(
  AI20 = 0, 
  "", 
  IFERROR(
    INDEX(
      'アイテム別限界値DB'!$L:$L, 
      MATCH(
        1, 
        ('アイテム別限界値DB'!$B:$B = AH$10) * 
        ('アイテム別限界値DB'!$C:$C = AH20) * 
        ('アイテム別限界値DB'!$F:$F = AI20), 
        0
      )
    ), 
    ""
  )
)
</f>
        <v/>
      </c>
      <c r="AL20" s="11"/>
      <c r="AM20" s="224" t="s">
        <v>70</v>
      </c>
      <c r="AN20" s="232"/>
      <c r="AO20" s="231" t="str">
        <f t="array" ref="AO20">IF(
  AN20 = 0, 
  "", 
  IFERROR(
    INDEX(
      'アイテム別限界値DB'!$K:$K, 
      MATCH(
        1, 
        ('アイテム別限界値DB'!$B:$B = AM$10) * 
        ('アイテム別限界値DB'!$F:$F = AM20) * 
        ('アイテム別限界値DB'!$H:$H = AN20), 
        0
      )
    ), 
    "再製作"
  )
)
</f>
        <v/>
      </c>
      <c r="AP20" s="218" t="str">
        <f t="array" ref="AP20">IF(
  AN20 = 0, 
  "", 
  IFERROR(
    INDEX(
      'アイテム別限界値DB'!$L:$L, 
      MATCH(
        1, 
        ('アイテム別限界値DB'!$B:$B = AM$10) * 
        ('アイテム別限界値DB'!$C:$C = AM20) * 
        ('アイテム別限界値DB'!$F:$F = AN20), 
        0
      )
    ), 
    ""
  )
)
</f>
        <v/>
      </c>
      <c r="AQ20" s="11"/>
      <c r="AR20" s="224" t="s">
        <v>70</v>
      </c>
      <c r="AS20" s="232"/>
      <c r="AT20" s="231" t="str">
        <f t="array" ref="AT20">IF(
  AS20 = 0, 
  "", 
  IFERROR(
    INDEX(
      'アイテム別限界値DB'!$K:$K, 
      MATCH(
        1, 
        ('アイテム別限界値DB'!$B:$B = AR$10) * 
        ('アイテム別限界値DB'!$F:$F = AR20) * 
        ('アイテム別限界値DB'!$H:$H = AS20), 
        0
      )
    ), 
    "再製作"
  )
)
</f>
        <v/>
      </c>
      <c r="AU20" s="218" t="str">
        <f t="array" ref="AU20">IF(
  AS20 = 0, 
  "", 
  IFERROR(
    INDEX(
      'アイテム別限界値DB'!$L:$L, 
      MATCH(
        1, 
        ('アイテム別限界値DB'!$B:$B = AR$10) * 
        ('アイテム別限界値DB'!$C:$C = AR20) * 
        ('アイテム別限界値DB'!$F:$F = AS20), 
        0
      )
    ), 
    ""
  )
)
</f>
        <v/>
      </c>
      <c r="AV20" s="121"/>
      <c r="AW20" s="224" t="s">
        <v>70</v>
      </c>
      <c r="AX20" s="232"/>
      <c r="AY20" s="231" t="str">
        <f t="array" ref="AY20">IF(
  AX20 = 0, 
  "", 
  IFERROR(
    INDEX(
      'アイテム別限界値DB'!$K:$K, 
      MATCH(
        1, 
        ('アイテム別限界値DB'!$B:$B = AW$10) * 
        ('アイテム別限界値DB'!$F:$F = AW20) * 
        ('アイテム別限界値DB'!$H:$H = AX20), 
        0
      )
    ), 
    "再製作"
  )
)
</f>
        <v/>
      </c>
      <c r="AZ20" s="218" t="str">
        <f t="array" ref="AZ20">IF(
  AX20 = 0, 
  "", 
  IFERROR(
    INDEX(
      'アイテム別限界値DB'!$L:$L, 
      MATCH(
        1, 
        ('アイテム別限界値DB'!$B:$B = AW$10) * 
        ('アイテム別限界値DB'!$C:$C = AW20) * 
        ('アイテム別限界値DB'!$F:$F = AX20), 
        0
      )
    ), 
    ""
  )
)
</f>
        <v/>
      </c>
      <c r="BA20" s="121"/>
      <c r="BB20" s="224" t="s">
        <v>70</v>
      </c>
      <c r="BC20" s="232"/>
      <c r="BD20" s="231" t="str">
        <f t="array" ref="BD20">IF(
  BC20 = 0, 
  "", 
  IFERROR(
    INDEX(
      'アイテム別限界値DB'!$K:$K, 
      MATCH(
        1, 
        ('アイテム別限界値DB'!$B:$B = BB$10) * 
        ('アイテム別限界値DB'!$F:$F = BB20) * 
        ('アイテム別限界値DB'!$H:$H = BC20), 
        0
      )
    ), 
    "再製作"
  )
)
</f>
        <v/>
      </c>
      <c r="BE20" s="218" t="str">
        <f t="array" ref="BE20">IF(
  BC20 = 0, 
  "", 
  IFERROR(
    INDEX(
      'アイテム別限界値DB'!$L:$L, 
      MATCH(
        1, 
        ('アイテム別限界値DB'!$B:$B = BB$10) * 
        ('アイテム別限界値DB'!$C:$C = BB20) * 
        ('アイテム別限界値DB'!$F:$F = BC20), 
        0
      )
    ), 
    ""
  )
)
</f>
        <v/>
      </c>
      <c r="BF20" s="121"/>
      <c r="BG20" s="224" t="s">
        <v>70</v>
      </c>
      <c r="BH20" s="232"/>
      <c r="BI20" s="231" t="str">
        <f t="array" ref="BI20">IF(
  BH20 = 0, 
  "", 
  IFERROR(
    INDEX(
      'アイテム別限界値DB'!$K:$K, 
      MATCH(
        1, 
        ('アイテム別限界値DB'!$B:$B = BG$10) * 
        ('アイテム別限界値DB'!$F:$F = BG20) * 
        ('アイテム別限界値DB'!$H:$H = BH20), 
        0
      )
    ), 
    "再製作"
  )
)
</f>
        <v/>
      </c>
      <c r="BJ20" s="218" t="str">
        <f t="array" ref="BJ20">IF(
  BH20 = 0, 
  "", 
  IFERROR(
    INDEX(
      'アイテム別限界値DB'!$L:$L, 
      MATCH(
        1, 
        ('アイテム別限界値DB'!$B:$B = BG$10) * 
        ('アイテム別限界値DB'!$C:$C = BG20) * 
        ('アイテム別限界値DB'!$F:$F = BH20), 
        0
      )
    ), 
    ""
  )
)
</f>
        <v/>
      </c>
      <c r="BK20" s="121"/>
      <c r="BL20" s="224" t="s">
        <v>80</v>
      </c>
      <c r="BM20" s="232"/>
      <c r="BN20" s="231" t="str">
        <f t="array" ref="BN20">IF(
  BM20 = 0, 
  "", 
  IFERROR(
    INDEX(
      'アイテム別限界値DB'!$K:$K, 
      MATCH(
        1, 
        ('アイテム別限界値DB'!$B:$B = BL$10) * 
        ('アイテム別限界値DB'!$F:$F = BL20) * 
        ('アイテム別限界値DB'!$H:$H = BM20), 
        0
      )
    ), 
    "再製作"
  )
)
</f>
        <v/>
      </c>
      <c r="BO20" s="218" t="str">
        <f t="array" ref="BO20">IF(
  BM20 = 0, 
  "", 
  IFERROR(
    INDEX(
      'アイテム別限界値DB'!$L:$L, 
      MATCH(
        1, 
        ('アイテム別限界値DB'!$B:$B = BL$10) * 
        ('アイテム別限界値DB'!$C:$C = BL20) * 
        ('アイテム別限界値DB'!$F:$F = BM20), 
        0
      )
    ), 
    ""
  )
)
</f>
        <v/>
      </c>
      <c r="BP20" s="195"/>
    </row>
    <row r="21" ht="18.75" customHeight="1">
      <c r="A21" s="236" t="str">
        <f>if($A$19&lt;&gt;"", "《仕上がり数値》","")</f>
        <v>《仕上がり数値》</v>
      </c>
      <c r="B21" s="229"/>
      <c r="C21" s="224"/>
      <c r="D21" s="238" t="s">
        <v>81</v>
      </c>
      <c r="E21" s="230"/>
      <c r="F21" s="231" t="str">
        <f t="array" ref="F21">IF(
  E21 = 0, 
  "", 
  IFERROR(
    INDEX(
      'アイテム別限界値DB'!$K:$K, 
      MATCH(
        1, 
        ('アイテム別限界値DB'!$B:$B = D$10) * 
        ('アイテム別限界値DB'!$F:$F = D21) * 
        ('アイテム別限界値DB'!$H:$H = E21), 
        0
      )
    ), 
    "再製作"
  )
)
</f>
        <v/>
      </c>
      <c r="G21" s="218" t="str">
        <f t="array" ref="G21">IF(
  E21 = 0, 
  "", 
  IFERROR(
    INDEX(
      'アイテム別限界値DB'!$L:$L, 
      MATCH(
        1, 
        ('アイテム別限界値DB'!$B:$B = D$10) * 
        ('アイテム別限界値DB'!$C:$C = D21) * 
        ('アイテム別限界値DB'!$F:$F = E21), 
        0
      )
    ), 
    ""
  )
)
</f>
        <v/>
      </c>
      <c r="H21" s="12"/>
      <c r="I21" s="238" t="s">
        <v>82</v>
      </c>
      <c r="J21" s="230"/>
      <c r="K21" s="231" t="str">
        <f t="array" ref="K21">IF(
  J21 = 0, 
  "", 
  IFERROR(
    INDEX(
      'アイテム別限界値DB'!$K:$K, 
      MATCH(
        1, 
        ('アイテム別限界値DB'!$B:$B = I$10) * 
        ('アイテム別限界値DB'!$F:$F = I21) * 
        ('アイテム別限界値DB'!$H:$H = J21), 
        0
      )
    ), 
    "再製作"
  )
)
</f>
        <v/>
      </c>
      <c r="L21" s="218" t="str">
        <f t="array" ref="L21">IF(
  J21 = 0, 
  "", 
  IFERROR(
    INDEX(
      'アイテム別限界値DB'!$L:$L, 
      MATCH(
        1, 
        ('アイテム別限界値DB'!$B:$B = I$10) * 
        ('アイテム別限界値DB'!$C:$C = I21) * 
        ('アイテム別限界値DB'!$F:$F = J21), 
        0
      )
    ), 
    ""
  )
)
</f>
        <v/>
      </c>
      <c r="M21" s="12"/>
      <c r="N21" s="224" t="s">
        <v>83</v>
      </c>
      <c r="O21" s="232"/>
      <c r="P21" s="231" t="str">
        <f t="array" ref="P21">IF(
  O21 = 0, 
  "", 
  IFERROR(
    INDEX(
      'アイテム別限界値DB'!$K:$K, 
      MATCH(
        1, 
        ('アイテム別限界値DB'!$B:$B = N$10) * 
        ('アイテム別限界値DB'!$F:$F = N21) * 
        ('アイテム別限界値DB'!$H:$H = O21), 
        0
      )
    ), 
    "再製作"
  )
)
</f>
        <v/>
      </c>
      <c r="Q21" s="121" t="str">
        <f t="array" ref="Q21">IF(
  O21 = 0, 
  "", 
  IFERROR(
    INDEX(
      'アイテム別限界値DB'!$L:$L, 
      MATCH(
        1, 
        ('アイテム別限界値DB'!$B:$B = N$10) * 
        ('アイテム別限界値DB'!$C:$C = N21) * 
        ('アイテム別限界値DB'!$F:$F = O21), 
        0
      )
    ), 
    ""
  )
)
</f>
        <v/>
      </c>
      <c r="R21" s="11"/>
      <c r="S21" s="238" t="s">
        <v>82</v>
      </c>
      <c r="T21" s="232"/>
      <c r="U21" s="231" t="str">
        <f t="array" ref="U21">IF(
  T21 = 0, 
  "", 
  IFERROR(
    INDEX(
      'アイテム別限界値DB'!$K:$K, 
      MATCH(
        1, 
        ('アイテム別限界値DB'!$B:$B = S$10) * 
        ('アイテム別限界値DB'!$F:$F = S21) * 
        ('アイテム別限界値DB'!$H:$H = T21), 
        0
      )
    ), 
    "再製作"
  )
)
</f>
        <v/>
      </c>
      <c r="V21" s="218" t="str">
        <f t="array" ref="V21">IF(
  T21 = 0, 
  "", 
  IFERROR(
    INDEX(
      'アイテム別限界値DB'!$L:$L, 
      MATCH(
        1, 
        ('アイテム別限界値DB'!$B:$B = S$10) * 
        ('アイテム別限界値DB'!$C:$C = S21) * 
        ('アイテム別限界値DB'!$F:$F = T21), 
        0
      )
    ), 
    ""
  )
)
</f>
        <v/>
      </c>
      <c r="W21" s="11"/>
      <c r="X21" s="238" t="s">
        <v>84</v>
      </c>
      <c r="Y21" s="230"/>
      <c r="Z21" s="231" t="str">
        <f t="array" ref="Z21">IF(
  Y21 = 0, 
  "", 
  IFERROR(
    INDEX(
      'アイテム別限界値DB'!$K:$K, 
      MATCH(
        1, 
        ('アイテム別限界値DB'!$B:$B = X$10) * 
        ('アイテム別限界値DB'!$F:$F = X21) * 
        ('アイテム別限界値DB'!$H:$H = Y21), 
        0
      )
    ), 
    "再製作"
  )
)
</f>
        <v/>
      </c>
      <c r="AA21" s="218" t="str">
        <f t="array" ref="AA21">IF(
  Y21 = 0, 
  "", 
  IFERROR(
    INDEX(
      'アイテム別限界値DB'!$L:$L, 
      MATCH(
        1, 
        ('アイテム別限界値DB'!$B:$B = X$10) * 
        ('アイテム別限界値DB'!$C:$C = X21) * 
        ('アイテム別限界値DB'!$F:$F = Y21), 
        0
      )
    ), 
    ""
  )
)
</f>
        <v/>
      </c>
      <c r="AB21" s="11"/>
      <c r="AC21" s="238" t="s">
        <v>85</v>
      </c>
      <c r="AD21" s="232"/>
      <c r="AE21" s="231" t="str">
        <f t="array" ref="AE21">IF(
  AD21 = 0, 
  "", 
  IFERROR(
    INDEX(
      'アイテム別限界値DB'!$K:$K, 
      MATCH(
        1, 
        ('アイテム別限界値DB'!$B:$B = AC$10) * 
        ('アイテム別限界値DB'!$F:$F = AC21) * 
        ('アイテム別限界値DB'!$H:$H = AD21), 
        0
      )
    ), 
    "再製作"
  )
)
</f>
        <v/>
      </c>
      <c r="AF21" s="218" t="str">
        <f t="array" ref="AF21">IF(
  AD21 = 0, 
  "", 
  IFERROR(
    INDEX(
      'アイテム別限界値DB'!$L:$L, 
      MATCH(
        1, 
        ('アイテム別限界値DB'!$B:$B = AC$10) * 
        ('アイテム別限界値DB'!$C:$C = AC21) * 
        ('アイテム別限界値DB'!$F:$F = AD21), 
        0
      )
    ), 
    ""
  )
)
</f>
        <v/>
      </c>
      <c r="AG21" s="11"/>
      <c r="AH21" s="224"/>
      <c r="AI21" s="225"/>
      <c r="AJ21" s="220" t="str">
        <f t="array" ref="AJ21">IF(
  AI21 = 0, 
  "", 
  IFERROR(
    INDEX(
      'アイテム別限界値DB'!$I:$I, 
      MATCH(
        1, 
        ('アイテム別限界値DB'!$B:$B = AH$10) * 
        ('アイテム別限界値DB'!$C:$C = AH21) * 
        ('アイテム別限界値DB'!$F:$F = AI21), 
        0
      )
    ), 
    "再製作"
  )
)
</f>
        <v/>
      </c>
      <c r="AK21" s="121" t="str">
        <f t="array" ref="AK21">IF(
  AI21 = 0, 
  "", 
  IFERROR(
    INDEX(
      'アイテム別限界値DB'!$L:$L, 
      MATCH(
        1, 
        ('アイテム別限界値DB'!$B:$B = AH$10) * 
        ('アイテム別限界値DB'!$C:$C = AH21) * 
        ('アイテム別限界値DB'!$F:$F = AI21), 
        0
      )
    ), 
    ""
  )
)
</f>
        <v/>
      </c>
      <c r="AL21" s="11"/>
      <c r="AM21" s="224"/>
      <c r="AN21" s="225"/>
      <c r="AO21" s="220" t="str">
        <f t="array" ref="AO21">IF(
  AN21 = 0, 
  "", 
  IFERROR(
    INDEX(
      'アイテム別限界値DB'!$I:$I, 
      MATCH(
        1, 
        ('アイテム別限界値DB'!$B:$B = AM$10) * 
        ('アイテム別限界値DB'!$C:$C = AM21) * 
        ('アイテム別限界値DB'!$F:$F = AN21), 
        0
      )
    ), 
    "再製作"
  )
)
</f>
        <v/>
      </c>
      <c r="AP21" s="121" t="str">
        <f t="array" ref="AP21">IF(
  AN21 = 0, 
  "", 
  IFERROR(
    INDEX(
      'アイテム別限界値DB'!$L:$L, 
      MATCH(
        1, 
        ('アイテム別限界値DB'!$B:$B = AM$10) * 
        ('アイテム別限界値DB'!$C:$C = AM21) * 
        ('アイテム別限界値DB'!$F:$F = AN21), 
        0
      )
    ), 
    ""
  )
)
</f>
        <v/>
      </c>
      <c r="AQ21" s="11"/>
      <c r="AR21" s="224"/>
      <c r="AS21" s="225"/>
      <c r="AT21" s="220" t="str">
        <f t="array" ref="AT21">IF(
  AS21 = 0, 
  "", 
  IFERROR(
    INDEX(
      'アイテム別限界値DB'!$I:$I, 
      MATCH(
        1, 
        ('アイテム別限界値DB'!$B:$B = AR$10) * 
        ('アイテム別限界値DB'!$C:$C = AR21) * 
        ('アイテム別限界値DB'!$F:$F = AS21), 
        0
      )
    ), 
    "再製作"
  )
)
</f>
        <v/>
      </c>
      <c r="AU21" s="121" t="str">
        <f t="array" ref="AU21">IF(
  AS21 = 0, 
  "", 
  IFERROR(
    INDEX(
      'アイテム別限界値DB'!$L:$L, 
      MATCH(
        1, 
        ('アイテム別限界値DB'!$B:$B = AR$10) * 
        ('アイテム別限界値DB'!$C:$C = AR21) * 
        ('アイテム別限界値DB'!$F:$F = AS21), 
        0
      )
    ), 
    ""
  )
)
</f>
        <v/>
      </c>
      <c r="AV21" s="121"/>
      <c r="AW21" s="224"/>
      <c r="AX21" s="225"/>
      <c r="AY21" s="220" t="str">
        <f t="array" ref="AY21">IF(
  AX21 = 0, 
  "", 
  IFERROR(
    INDEX(
      'アイテム別限界値DB'!$I:$I, 
      MATCH(
        1, 
        ('アイテム別限界値DB'!$B:$B = AW$10) * 
        ('アイテム別限界値DB'!$C:$C = AW21) * 
        ('アイテム別限界値DB'!$F:$F = AX21), 
        0
      )
    ), 
    "再製作"
  )
)
</f>
        <v/>
      </c>
      <c r="AZ21" s="121" t="str">
        <f t="array" ref="AZ21">IF(
  AX21 = 0, 
  "", 
  IFERROR(
    INDEX(
      'アイテム別限界値DB'!$L:$L, 
      MATCH(
        1, 
        ('アイテム別限界値DB'!$B:$B = AW$10) * 
        ('アイテム別限界値DB'!$C:$C = AW21) * 
        ('アイテム別限界値DB'!$F:$F = AX21), 
        0
      )
    ), 
    ""
  )
)
</f>
        <v/>
      </c>
      <c r="BA21" s="121"/>
      <c r="BB21" s="224"/>
      <c r="BC21" s="225"/>
      <c r="BD21" s="220" t="str">
        <f t="array" ref="BD21">IF(
  BC21 = 0, 
  "", 
  IFERROR(
    INDEX(
      'アイテム別限界値DB'!$I:$I, 
      MATCH(
        1, 
        ('アイテム別限界値DB'!$B:$B = BB$10) * 
        ('アイテム別限界値DB'!$C:$C = BB21) * 
        ('アイテム別限界値DB'!$F:$F = BC21), 
        0
      )
    ), 
    "再製作"
  )
)
</f>
        <v/>
      </c>
      <c r="BE21" s="121" t="str">
        <f t="array" ref="BE21">IF(
  BC21 = 0, 
  "", 
  IFERROR(
    INDEX(
      'アイテム別限界値DB'!$L:$L, 
      MATCH(
        1, 
        ('アイテム別限界値DB'!$B:$B = BB$10) * 
        ('アイテム別限界値DB'!$C:$C = BB21) * 
        ('アイテム別限界値DB'!$F:$F = BC21), 
        0
      )
    ), 
    ""
  )
)
</f>
        <v/>
      </c>
      <c r="BF21" s="121"/>
      <c r="BG21" s="224"/>
      <c r="BH21" s="225"/>
      <c r="BI21" s="220" t="str">
        <f t="array" ref="BI21">IF(
  BH21 = 0, 
  "", 
  IFERROR(
    INDEX(
      'アイテム別限界値DB'!$I:$I, 
      MATCH(
        1, 
        ('アイテム別限界値DB'!$B:$B = BG$10) * 
        ('アイテム別限界値DB'!$C:$C = BG21) * 
        ('アイテム別限界値DB'!$F:$F = BH21), 
        0
      )
    ), 
    "再製作"
  )
)
</f>
        <v/>
      </c>
      <c r="BJ21" s="121" t="str">
        <f t="array" ref="BJ21">IF(
  BH21 = 0, 
  "", 
  IFERROR(
    INDEX(
      'アイテム別限界値DB'!$L:$L, 
      MATCH(
        1, 
        ('アイテム別限界値DB'!$B:$B = BG$10) * 
        ('アイテム別限界値DB'!$C:$C = BG21) * 
        ('アイテム別限界値DB'!$F:$F = BH21), 
        0
      )
    ), 
    ""
  )
)
</f>
        <v/>
      </c>
      <c r="BK21" s="121"/>
      <c r="BL21" s="224" t="s">
        <v>85</v>
      </c>
      <c r="BM21" s="232"/>
      <c r="BN21" s="231" t="str">
        <f t="array" ref="BN21">IF(
  BM21 = 0, 
  "", 
  IFERROR(
    INDEX(
      'アイテム別限界値DB'!$K:$K, 
      MATCH(
        1, 
        ('アイテム別限界値DB'!$B:$B = BL$10) * 
        ('アイテム別限界値DB'!$F:$F = BL21) * 
        ('アイテム別限界値DB'!$H:$H = BM21), 
        0
      )
    ), 
    "再製作"
  )
)
</f>
        <v/>
      </c>
      <c r="BO21" s="218" t="str">
        <f t="array" ref="BO21">IF(
  BM21 = 0, 
  "", 
  IFERROR(
    INDEX(
      'アイテム別限界値DB'!$L:$L, 
      MATCH(
        1, 
        ('アイテム別限界値DB'!$B:$B = BL$10) * 
        ('アイテム別限界値DB'!$C:$C = BL21) * 
        ('アイテム別限界値DB'!$F:$F = BM21), 
        0
      )
    ), 
    ""
  )
)
</f>
        <v/>
      </c>
      <c r="BP21" s="195"/>
    </row>
    <row r="22" ht="18.75" customHeight="1">
      <c r="A22" s="228" t="str">
        <f>IFERROR(__xludf.DUMMYFUNCTION("TEXTJOIN(CHAR(10),TRUE,FILTER(ARRAYFORMULA(IF(J$14:J72&lt;&gt;"""", I$14:I72 &amp;"" :  cm"","""")), I$14:I72 &lt;&gt;""""))"),"股下 / シングル :  cm")</f>
        <v>股下 / シングル :  cm</v>
      </c>
      <c r="B22" s="224"/>
      <c r="C22" s="224"/>
      <c r="D22" s="238" t="s">
        <v>86</v>
      </c>
      <c r="E22" s="230"/>
      <c r="F22" s="231" t="str">
        <f t="array" ref="F22">IF(
  E22 = 0, 
  "", 
  IFERROR(
    INDEX(
      'アイテム別限界値DB'!$K:$K, 
      MATCH(
        1, 
        ('アイテム別限界値DB'!$B:$B = D$10) * 
        ('アイテム別限界値DB'!$F:$F = D22) * 
        ('アイテム別限界値DB'!$H:$H = E22), 
        0
      )
    ), 
    "再製作"
  )
)
</f>
        <v/>
      </c>
      <c r="G22" s="218" t="str">
        <f t="array" ref="G22">IF(
  E22 = 0, 
  "", 
  IFERROR(
    INDEX(
      'アイテム別限界値DB'!$L:$L, 
      MATCH(
        1, 
        ('アイテム別限界値DB'!$B:$B = D$10) * 
        ('アイテム別限界値DB'!$C:$C = D22) * 
        ('アイテム別限界値DB'!$F:$F = E22), 
        0
      )
    ), 
    ""
  )
)
</f>
        <v/>
      </c>
      <c r="H22" s="12"/>
      <c r="I22" s="238" t="s">
        <v>87</v>
      </c>
      <c r="J22" s="230"/>
      <c r="K22" s="231" t="str">
        <f t="array" ref="K22">IF(
  J22 = 0, 
  "", 
  IFERROR(
    INDEX(
      'アイテム別限界値DB'!$K:$K, 
      MATCH(
        1, 
        ('アイテム別限界値DB'!$B:$B = I$10) * 
        ('アイテム別限界値DB'!$F:$F = I22) * 
        ('アイテム別限界値DB'!$H:$H = J22), 
        0
      )
    ), 
    "再製作"
  )
)
</f>
        <v/>
      </c>
      <c r="L22" s="218" t="str">
        <f t="array" ref="L22">IF(
  J22 = 0, 
  "", 
  IFERROR(
    INDEX(
      'アイテム別限界値DB'!$L:$L, 
      MATCH(
        1, 
        ('アイテム別限界値DB'!$B:$B = I$10) * 
        ('アイテム別限界値DB'!$C:$C = I22) * 
        ('アイテム別限界値DB'!$F:$F = J22), 
        0
      )
    ), 
    ""
  )
)
</f>
        <v/>
      </c>
      <c r="M22" s="11"/>
      <c r="N22" s="224"/>
      <c r="O22" s="220"/>
      <c r="P22" s="220" t="str">
        <f t="array" ref="P22">IF(
  O22 = 0, 
  "", 
  IFERROR(
    INDEX(
      'アイテム別限界値DB'!$I:$I, 
      MATCH(
        1, 
        ('アイテム別限界値DB'!$B:$B = N$10) * 
        ('アイテム別限界値DB'!$C:$C = N22) * 
        ('アイテム別限界値DB'!$F:$F = O22), 
        0
      )
    ), 
    "再製作"
  )
)
</f>
        <v/>
      </c>
      <c r="Q22" s="121" t="str">
        <f t="array" ref="Q22">IF(
  O22 = 0, 
  "", 
  IFERROR(
    INDEX(
      'アイテム別限界値DB'!$L:$L, 
      MATCH(
        1, 
        ('アイテム別限界値DB'!$B:$B = N$10) * 
        ('アイテム別限界値DB'!$C:$C = N22) * 
        ('アイテム別限界値DB'!$F:$F = O22), 
        0
      )
    ), 
    ""
  )
)
</f>
        <v/>
      </c>
      <c r="R22" s="11"/>
      <c r="S22" s="238" t="s">
        <v>87</v>
      </c>
      <c r="T22" s="232"/>
      <c r="U22" s="231" t="str">
        <f t="array" ref="U22">IF(
  T22 = 0, 
  "", 
  IFERROR(
    INDEX(
      'アイテム別限界値DB'!$K:$K, 
      MATCH(
        1, 
        ('アイテム別限界値DB'!$B:$B = S$10) * 
        ('アイテム別限界値DB'!$F:$F = S22) * 
        ('アイテム別限界値DB'!$H:$H = T22), 
        0
      )
    ), 
    "再製作"
  )
)
</f>
        <v/>
      </c>
      <c r="V22" s="218" t="str">
        <f t="array" ref="V22">IF(
  T22 = 0, 
  "", 
  IFERROR(
    INDEX(
      'アイテム別限界値DB'!$L:$L, 
      MATCH(
        1, 
        ('アイテム別限界値DB'!$B:$B = S$10) * 
        ('アイテム別限界値DB'!$C:$C = S22) * 
        ('アイテム別限界値DB'!$F:$F = T22), 
        0
      )
    ), 
    ""
  )
)
</f>
        <v/>
      </c>
      <c r="W22" s="11"/>
      <c r="X22" s="238" t="s">
        <v>88</v>
      </c>
      <c r="Y22" s="230"/>
      <c r="Z22" s="231" t="str">
        <f t="array" ref="Z22">IF(
  Y22 = 0, 
  "", 
  IFERROR(
    INDEX(
      'アイテム別限界値DB'!$K:$K, 
      MATCH(
        1, 
        ('アイテム別限界値DB'!$B:$B = X$10) * 
        ('アイテム別限界値DB'!$F:$F = X22) * 
        ('アイテム別限界値DB'!$H:$H = Y22), 
        0
      )
    ), 
    "再製作"
  )
)
</f>
        <v/>
      </c>
      <c r="AA22" s="218" t="str">
        <f t="array" ref="AA22">IF(
  Y22 = 0, 
  "", 
  IFERROR(
    INDEX(
      'アイテム別限界値DB'!$L:$L, 
      MATCH(
        1, 
        ('アイテム別限界値DB'!$B:$B = X$10) * 
        ('アイテム別限界値DB'!$C:$C = X22) * 
        ('アイテム別限界値DB'!$F:$F = Y22), 
        0
      )
    ), 
    ""
  )
)
</f>
        <v/>
      </c>
      <c r="AB22" s="11"/>
      <c r="AC22" s="238" t="s">
        <v>89</v>
      </c>
      <c r="AD22" s="232"/>
      <c r="AE22" s="231" t="str">
        <f t="array" ref="AE22">IF(
  AD22 = 0, 
  "", 
  IFERROR(
    INDEX(
      'アイテム別限界値DB'!$K:$K, 
      MATCH(
        1, 
        ('アイテム別限界値DB'!$B:$B = AC$10) * 
        ('アイテム別限界値DB'!$F:$F = AC22) * 
        ('アイテム別限界値DB'!$H:$H = AD22), 
        0
      )
    ), 
    "再製作"
  )
)
</f>
        <v/>
      </c>
      <c r="AF22" s="218" t="str">
        <f t="array" ref="AF22">IF(
  AD22 = 0, 
  "", 
  IFERROR(
    INDEX(
      'アイテム別限界値DB'!$L:$L, 
      MATCH(
        1, 
        ('アイテム別限界値DB'!$B:$B = AC$10) * 
        ('アイテム別限界値DB'!$C:$C = AC22) * 
        ('アイテム別限界値DB'!$F:$F = AD22), 
        0
      )
    ), 
    ""
  )
)
</f>
        <v/>
      </c>
      <c r="AG22" s="11"/>
      <c r="AH22" s="224"/>
      <c r="AI22" s="225"/>
      <c r="AJ22" s="220" t="str">
        <f t="array" ref="AJ22">IF(
  AI22 = 0, 
  "", 
  IFERROR(
    INDEX(
      'アイテム別限界値DB'!$I:$I, 
      MATCH(
        1, 
        ('アイテム別限界値DB'!$B:$B = AH$10) * 
        ('アイテム別限界値DB'!$C:$C = AH22) * 
        ('アイテム別限界値DB'!$F:$F = AI22), 
        0
      )
    ), 
    "再製作"
  )
)
</f>
        <v/>
      </c>
      <c r="AK22" s="121" t="str">
        <f t="array" ref="AK22">IF(
  AI22 = 0, 
  "", 
  IFERROR(
    INDEX(
      'アイテム別限界値DB'!$L:$L, 
      MATCH(
        1, 
        ('アイテム別限界値DB'!$B:$B = AH$10) * 
        ('アイテム別限界値DB'!$C:$C = AH22) * 
        ('アイテム別限界値DB'!$F:$F = AI22), 
        0
      )
    ), 
    ""
  )
)
</f>
        <v/>
      </c>
      <c r="AL22" s="11"/>
      <c r="AM22" s="224"/>
      <c r="AN22" s="225"/>
      <c r="AO22" s="220" t="str">
        <f t="array" ref="AO22">IF(
  AN22 = 0, 
  "", 
  IFERROR(
    INDEX(
      'アイテム別限界値DB'!$I:$I, 
      MATCH(
        1, 
        ('アイテム別限界値DB'!$B:$B = AM$10) * 
        ('アイテム別限界値DB'!$C:$C = AM22) * 
        ('アイテム別限界値DB'!$F:$F = AN22), 
        0
      )
    ), 
    "再製作"
  )
)
</f>
        <v/>
      </c>
      <c r="AP22" s="121" t="str">
        <f t="array" ref="AP22">IF(
  AN22 = 0, 
  "", 
  IFERROR(
    INDEX(
      'アイテム別限界値DB'!$L:$L, 
      MATCH(
        1, 
        ('アイテム別限界値DB'!$B:$B = AM$10) * 
        ('アイテム別限界値DB'!$C:$C = AM22) * 
        ('アイテム別限界値DB'!$F:$F = AN22), 
        0
      )
    ), 
    ""
  )
)
</f>
        <v/>
      </c>
      <c r="AQ22" s="11"/>
      <c r="AR22" s="224"/>
      <c r="AS22" s="225"/>
      <c r="AT22" s="220" t="str">
        <f t="array" ref="AT22">IF(
  AS22 = 0, 
  "", 
  IFERROR(
    INDEX(
      'アイテム別限界値DB'!$I:$I, 
      MATCH(
        1, 
        ('アイテム別限界値DB'!$B:$B = AR$10) * 
        ('アイテム別限界値DB'!$C:$C = AR22) * 
        ('アイテム別限界値DB'!$F:$F = AS22), 
        0
      )
    ), 
    "再製作"
  )
)
</f>
        <v/>
      </c>
      <c r="AU22" s="121" t="str">
        <f t="array" ref="AU22">IF(
  AS22 = 0, 
  "", 
  IFERROR(
    INDEX(
      'アイテム別限界値DB'!$L:$L, 
      MATCH(
        1, 
        ('アイテム別限界値DB'!$B:$B = AR$10) * 
        ('アイテム別限界値DB'!$C:$C = AR22) * 
        ('アイテム別限界値DB'!$F:$F = AS22), 
        0
      )
    ), 
    ""
  )
)
</f>
        <v/>
      </c>
      <c r="AV22" s="121"/>
      <c r="AW22" s="224"/>
      <c r="AX22" s="225"/>
      <c r="AY22" s="220" t="str">
        <f t="array" ref="AY22">IF(
  AX22 = 0, 
  "", 
  IFERROR(
    INDEX(
      'アイテム別限界値DB'!$I:$I, 
      MATCH(
        1, 
        ('アイテム別限界値DB'!$B:$B = AW$10) * 
        ('アイテム別限界値DB'!$C:$C = AW22) * 
        ('アイテム別限界値DB'!$F:$F = AX22), 
        0
      )
    ), 
    "再製作"
  )
)
</f>
        <v/>
      </c>
      <c r="AZ22" s="121" t="str">
        <f t="array" ref="AZ22">IF(
  AX22 = 0, 
  "", 
  IFERROR(
    INDEX(
      'アイテム別限界値DB'!$L:$L, 
      MATCH(
        1, 
        ('アイテム別限界値DB'!$B:$B = AW$10) * 
        ('アイテム別限界値DB'!$C:$C = AW22) * 
        ('アイテム別限界値DB'!$F:$F = AX22), 
        0
      )
    ), 
    ""
  )
)
</f>
        <v/>
      </c>
      <c r="BA22" s="121"/>
      <c r="BB22" s="224"/>
      <c r="BC22" s="225"/>
      <c r="BD22" s="220" t="str">
        <f t="array" ref="BD22">IF(
  BC22 = 0, 
  "", 
  IFERROR(
    INDEX(
      'アイテム別限界値DB'!$I:$I, 
      MATCH(
        1, 
        ('アイテム別限界値DB'!$B:$B = BB$10) * 
        ('アイテム別限界値DB'!$C:$C = BB22) * 
        ('アイテム別限界値DB'!$F:$F = BC22), 
        0
      )
    ), 
    "再製作"
  )
)
</f>
        <v/>
      </c>
      <c r="BE22" s="121" t="str">
        <f t="array" ref="BE22">IF(
  BC22 = 0, 
  "", 
  IFERROR(
    INDEX(
      'アイテム別限界値DB'!$L:$L, 
      MATCH(
        1, 
        ('アイテム別限界値DB'!$B:$B = BB$10) * 
        ('アイテム別限界値DB'!$C:$C = BB22) * 
        ('アイテム別限界値DB'!$F:$F = BC22), 
        0
      )
    ), 
    ""
  )
)
</f>
        <v/>
      </c>
      <c r="BF22" s="121"/>
      <c r="BG22" s="224"/>
      <c r="BH22" s="225"/>
      <c r="BI22" s="220" t="str">
        <f t="array" ref="BI22">IF(
  BH22 = 0, 
  "", 
  IFERROR(
    INDEX(
      'アイテム別限界値DB'!$I:$I, 
      MATCH(
        1, 
        ('アイテム別限界値DB'!$B:$B = BG$10) * 
        ('アイテム別限界値DB'!$C:$C = BG22) * 
        ('アイテム別限界値DB'!$F:$F = BH22), 
        0
      )
    ), 
    "再製作"
  )
)
</f>
        <v/>
      </c>
      <c r="BJ22" s="121" t="str">
        <f t="array" ref="BJ22">IF(
  BH22 = 0, 
  "", 
  IFERROR(
    INDEX(
      'アイテム別限界値DB'!$L:$L, 
      MATCH(
        1, 
        ('アイテム別限界値DB'!$B:$B = BG$10) * 
        ('アイテム別限界値DB'!$C:$C = BG22) * 
        ('アイテム別限界値DB'!$F:$F = BH22), 
        0
      )
    ), 
    ""
  )
)
</f>
        <v/>
      </c>
      <c r="BK22" s="121"/>
      <c r="BL22" s="224" t="s">
        <v>90</v>
      </c>
      <c r="BM22" s="232"/>
      <c r="BN22" s="231" t="str">
        <f t="array" ref="BN22">IF(
  BM22 = 0, 
  "", 
  IFERROR(
    INDEX(
      'アイテム別限界値DB'!$K:$K, 
      MATCH(
        1, 
        ('アイテム別限界値DB'!$B:$B = BL$10) * 
        ('アイテム別限界値DB'!$F:$F = BL22) * 
        ('アイテム別限界値DB'!$H:$H = BM22), 
        0
      )
    ), 
    "再製作"
  )
)
</f>
        <v/>
      </c>
      <c r="BO22" s="218" t="str">
        <f t="array" ref="BO22">IF(
  BM22 = 0, 
  "", 
  IFERROR(
    INDEX(
      'アイテム別限界値DB'!$L:$L, 
      MATCH(
        1, 
        ('アイテム別限界値DB'!$B:$B = BL$10) * 
        ('アイテム別限界値DB'!$C:$C = BL22) * 
        ('アイテム別限界値DB'!$F:$F = BM22), 
        0
      )
    ), 
    ""
  )
)
</f>
        <v/>
      </c>
      <c r="BP22" s="195"/>
    </row>
    <row r="23" ht="18.75" customHeight="1">
      <c r="A23" s="237" t="s">
        <v>91</v>
      </c>
      <c r="B23" s="229"/>
      <c r="C23" s="224"/>
      <c r="D23" s="238" t="s">
        <v>92</v>
      </c>
      <c r="E23" s="232"/>
      <c r="F23" s="231" t="str">
        <f t="array" ref="F23">IF(
  E23 = 0, 
  "", 
  IFERROR(
    INDEX(
      'アイテム別限界値DB'!$K:$K, 
      MATCH(
        1, 
        ('アイテム別限界値DB'!$B:$B = D$10) * 
        ('アイテム別限界値DB'!$F:$F = D23) * 
        ('アイテム別限界値DB'!$H:$H = E23), 
        0
      )
    ), 
    "再製作"
  )
)
</f>
        <v/>
      </c>
      <c r="G23" s="218" t="str">
        <f t="array" ref="G23">IF(
  E23 = 0, 
  "", 
  IFERROR(
    INDEX(
      'アイテム別限界値DB'!$L:$L, 
      MATCH(
        1, 
        ('アイテム別限界値DB'!$B:$B = D$10) * 
        ('アイテム別限界値DB'!$C:$C = D23) * 
        ('アイテム別限界値DB'!$F:$F = E23), 
        0
      )
    ), 
    ""
  )
)
</f>
        <v/>
      </c>
      <c r="H23" s="12"/>
      <c r="I23" s="238" t="s">
        <v>93</v>
      </c>
      <c r="J23" s="230"/>
      <c r="K23" s="231" t="str">
        <f t="array" ref="K23">IF(
  J23 = 0, 
  "", 
  IFERROR(
    INDEX(
      'アイテム別限界値DB'!$K:$K, 
      MATCH(
        1, 
        ('アイテム別限界値DB'!$B:$B = I$10) * 
        ('アイテム別限界値DB'!$F:$F = I23) * 
        ('アイテム別限界値DB'!$H:$H = J23), 
        0
      )
    ), 
    "再製作"
  )
)
</f>
        <v/>
      </c>
      <c r="L23" s="218" t="str">
        <f t="array" ref="L23">IF(
  J23 = 0, 
  "", 
  IFERROR(
    INDEX(
      'アイテム別限界値DB'!$L:$L, 
      MATCH(
        1, 
        ('アイテム別限界値DB'!$B:$B = I$10) * 
        ('アイテム別限界値DB'!$C:$C = I23) * 
        ('アイテム別限界値DB'!$F:$F = J23), 
        0
      )
    ), 
    ""
  )
)
</f>
        <v/>
      </c>
      <c r="M23" s="11"/>
      <c r="N23" s="224"/>
      <c r="O23" s="220"/>
      <c r="P23" s="220" t="str">
        <f t="array" ref="P23">IF(
  O23 = 0, 
  "", 
  IFERROR(
    INDEX(
      'アイテム別限界値DB'!$I:$I, 
      MATCH(
        1, 
        ('アイテム別限界値DB'!$B:$B = N$10) * 
        ('アイテム別限界値DB'!$C:$C = N23) * 
        ('アイテム別限界値DB'!$F:$F = O23), 
        0
      )
    ), 
    "再製作"
  )
)
</f>
        <v/>
      </c>
      <c r="Q23" s="121" t="str">
        <f t="array" ref="Q23">IF(
  O23 = 0, 
  "", 
  IFERROR(
    INDEX(
      'アイテム別限界値DB'!$L:$L, 
      MATCH(
        1, 
        ('アイテム別限界値DB'!$B:$B = N$10) * 
        ('アイテム別限界値DB'!$C:$C = N23) * 
        ('アイテム別限界値DB'!$F:$F = O23), 
        0
      )
    ), 
    ""
  )
)
</f>
        <v/>
      </c>
      <c r="R23" s="11"/>
      <c r="S23" s="238" t="s">
        <v>93</v>
      </c>
      <c r="T23" s="232"/>
      <c r="U23" s="231" t="str">
        <f t="array" ref="U23">IF(
  T23 = 0, 
  "", 
  IFERROR(
    INDEX(
      'アイテム別限界値DB'!$K:$K, 
      MATCH(
        1, 
        ('アイテム別限界値DB'!$B:$B = S$10) * 
        ('アイテム別限界値DB'!$F:$F = S23) * 
        ('アイテム別限界値DB'!$H:$H = T23), 
        0
      )
    ), 
    "再製作"
  )
)
</f>
        <v/>
      </c>
      <c r="V23" s="218" t="str">
        <f t="array" ref="V23">IF(
  T23 = 0, 
  "", 
  IFERROR(
    INDEX(
      'アイテム別限界値DB'!$L:$L, 
      MATCH(
        1, 
        ('アイテム別限界値DB'!$B:$B = S$10) * 
        ('アイテム別限界値DB'!$C:$C = S23) * 
        ('アイテム別限界値DB'!$F:$F = T23), 
        0
      )
    ), 
    ""
  )
)
</f>
        <v/>
      </c>
      <c r="W23" s="11"/>
      <c r="X23" s="238" t="s">
        <v>89</v>
      </c>
      <c r="Y23" s="232"/>
      <c r="Z23" s="231" t="str">
        <f t="array" ref="Z23">IF(
  Y23 = 0, 
  "", 
  IFERROR(
    INDEX(
      'アイテム別限界値DB'!$K:$K, 
      MATCH(
        1, 
        ('アイテム別限界値DB'!$B:$B = X$10) * 
        ('アイテム別限界値DB'!$F:$F = X23) * 
        ('アイテム別限界値DB'!$H:$H = Y23), 
        0
      )
    ), 
    "再製作"
  )
)
</f>
        <v/>
      </c>
      <c r="AA23" s="218" t="str">
        <f t="array" ref="AA23">IF(
  Y23 = 0, 
  "", 
  IFERROR(
    INDEX(
      'アイテム別限界値DB'!$L:$L, 
      MATCH(
        1, 
        ('アイテム別限界値DB'!$B:$B = X$10) * 
        ('アイテム別限界値DB'!$C:$C = X23) * 
        ('アイテム別限界値DB'!$F:$F = Y23), 
        0
      )
    ), 
    ""
  )
)
</f>
        <v/>
      </c>
      <c r="AB23" s="11"/>
      <c r="AC23" s="238" t="s">
        <v>90</v>
      </c>
      <c r="AD23" s="232"/>
      <c r="AE23" s="231" t="str">
        <f t="array" ref="AE23">IF(
  AD23 = 0, 
  "", 
  IFERROR(
    INDEX(
      'アイテム別限界値DB'!$K:$K, 
      MATCH(
        1, 
        ('アイテム別限界値DB'!$B:$B = AC$10) * 
        ('アイテム別限界値DB'!$F:$F = AC23) * 
        ('アイテム別限界値DB'!$H:$H = AD23), 
        0
      )
    ), 
    "再製作"
  )
)
</f>
        <v/>
      </c>
      <c r="AF23" s="218" t="str">
        <f t="array" ref="AF23">IF(
  AD23 = 0, 
  "", 
  IFERROR(
    INDEX(
      'アイテム別限界値DB'!$L:$L, 
      MATCH(
        1, 
        ('アイテム別限界値DB'!$B:$B = AC$10) * 
        ('アイテム別限界値DB'!$C:$C = AC23) * 
        ('アイテム別限界値DB'!$F:$F = AD23), 
        0
      )
    ), 
    ""
  )
)
</f>
        <v/>
      </c>
      <c r="AG23" s="11"/>
      <c r="AH23" s="224"/>
      <c r="AI23" s="225"/>
      <c r="AJ23" s="220" t="str">
        <f t="array" ref="AJ23">IF(
  AI23 = 0, 
  "", 
  IFERROR(
    INDEX(
      'アイテム別限界値DB'!$I:$I, 
      MATCH(
        1, 
        ('アイテム別限界値DB'!$B:$B = AH$10) * 
        ('アイテム別限界値DB'!$C:$C = AH23) * 
        ('アイテム別限界値DB'!$F:$F = AI23), 
        0
      )
    ), 
    "再製作"
  )
)
</f>
        <v/>
      </c>
      <c r="AK23" s="121" t="str">
        <f t="array" ref="AK23">IF(
  AI23 = 0, 
  "", 
  IFERROR(
    INDEX(
      'アイテム別限界値DB'!$L:$L, 
      MATCH(
        1, 
        ('アイテム別限界値DB'!$B:$B = AH$10) * 
        ('アイテム別限界値DB'!$C:$C = AH23) * 
        ('アイテム別限界値DB'!$F:$F = AI23), 
        0
      )
    ), 
    ""
  )
)
</f>
        <v/>
      </c>
      <c r="AL23" s="11"/>
      <c r="AM23" s="224"/>
      <c r="AN23" s="225"/>
      <c r="AO23" s="220" t="str">
        <f t="array" ref="AO23">IF(
  AN23 = 0, 
  "", 
  IFERROR(
    INDEX(
      'アイテム別限界値DB'!$I:$I, 
      MATCH(
        1, 
        ('アイテム別限界値DB'!$B:$B = AM$10) * 
        ('アイテム別限界値DB'!$C:$C = AM23) * 
        ('アイテム別限界値DB'!$F:$F = AN23), 
        0
      )
    ), 
    "再製作"
  )
)
</f>
        <v/>
      </c>
      <c r="AP23" s="121" t="str">
        <f t="array" ref="AP23">IF(
  AN23 = 0, 
  "", 
  IFERROR(
    INDEX(
      'アイテム別限界値DB'!$L:$L, 
      MATCH(
        1, 
        ('アイテム別限界値DB'!$B:$B = AM$10) * 
        ('アイテム別限界値DB'!$C:$C = AM23) * 
        ('アイテム別限界値DB'!$F:$F = AN23), 
        0
      )
    ), 
    ""
  )
)
</f>
        <v/>
      </c>
      <c r="AQ23" s="11"/>
      <c r="AR23" s="224"/>
      <c r="AS23" s="225"/>
      <c r="AT23" s="220" t="str">
        <f t="array" ref="AT23">IF(
  AS23 = 0, 
  "", 
  IFERROR(
    INDEX(
      'アイテム別限界値DB'!$I:$I, 
      MATCH(
        1, 
        ('アイテム別限界値DB'!$B:$B = AR$10) * 
        ('アイテム別限界値DB'!$C:$C = AR23) * 
        ('アイテム別限界値DB'!$F:$F = AS23), 
        0
      )
    ), 
    "再製作"
  )
)
</f>
        <v/>
      </c>
      <c r="AU23" s="121" t="str">
        <f t="array" ref="AU23">IF(
  AS23 = 0, 
  "", 
  IFERROR(
    INDEX(
      'アイテム別限界値DB'!$L:$L, 
      MATCH(
        1, 
        ('アイテム別限界値DB'!$B:$B = AR$10) * 
        ('アイテム別限界値DB'!$C:$C = AR23) * 
        ('アイテム別限界値DB'!$F:$F = AS23), 
        0
      )
    ), 
    ""
  )
)
</f>
        <v/>
      </c>
      <c r="AV23" s="121"/>
      <c r="AW23" s="224"/>
      <c r="AX23" s="225"/>
      <c r="AY23" s="220" t="str">
        <f t="array" ref="AY23">IF(
  AX23 = 0, 
  "", 
  IFERROR(
    INDEX(
      'アイテム別限界値DB'!$I:$I, 
      MATCH(
        1, 
        ('アイテム別限界値DB'!$B:$B = AW$10) * 
        ('アイテム別限界値DB'!$C:$C = AW23) * 
        ('アイテム別限界値DB'!$F:$F = AX23), 
        0
      )
    ), 
    "再製作"
  )
)
</f>
        <v/>
      </c>
      <c r="AZ23" s="121" t="str">
        <f t="array" ref="AZ23">IF(
  AX23 = 0, 
  "", 
  IFERROR(
    INDEX(
      'アイテム別限界値DB'!$L:$L, 
      MATCH(
        1, 
        ('アイテム別限界値DB'!$B:$B = AW$10) * 
        ('アイテム別限界値DB'!$C:$C = AW23) * 
        ('アイテム別限界値DB'!$F:$F = AX23), 
        0
      )
    ), 
    ""
  )
)
</f>
        <v/>
      </c>
      <c r="BA23" s="121"/>
      <c r="BB23" s="224"/>
      <c r="BC23" s="225"/>
      <c r="BD23" s="220" t="str">
        <f t="array" ref="BD23">IF(
  BC23 = 0, 
  "", 
  IFERROR(
    INDEX(
      'アイテム別限界値DB'!$I:$I, 
      MATCH(
        1, 
        ('アイテム別限界値DB'!$B:$B = BB$10) * 
        ('アイテム別限界値DB'!$C:$C = BB23) * 
        ('アイテム別限界値DB'!$F:$F = BC23), 
        0
      )
    ), 
    "再製作"
  )
)
</f>
        <v/>
      </c>
      <c r="BE23" s="121" t="str">
        <f t="array" ref="BE23">IF(
  BC23 = 0, 
  "", 
  IFERROR(
    INDEX(
      'アイテム別限界値DB'!$L:$L, 
      MATCH(
        1, 
        ('アイテム別限界値DB'!$B:$B = BB$10) * 
        ('アイテム別限界値DB'!$C:$C = BB23) * 
        ('アイテム別限界値DB'!$F:$F = BC23), 
        0
      )
    ), 
    ""
  )
)
</f>
        <v/>
      </c>
      <c r="BF23" s="121"/>
      <c r="BG23" s="224"/>
      <c r="BH23" s="225"/>
      <c r="BI23" s="220" t="str">
        <f t="array" ref="BI23">IF(
  BH23 = 0, 
  "", 
  IFERROR(
    INDEX(
      'アイテム別限界値DB'!$I:$I, 
      MATCH(
        1, 
        ('アイテム別限界値DB'!$B:$B = BG$10) * 
        ('アイテム別限界値DB'!$C:$C = BG23) * 
        ('アイテム別限界値DB'!$F:$F = BH23), 
        0
      )
    ), 
    "再製作"
  )
)
</f>
        <v/>
      </c>
      <c r="BJ23" s="121" t="str">
        <f t="array" ref="BJ23">IF(
  BH23 = 0, 
  "", 
  IFERROR(
    INDEX(
      'アイテム別限界値DB'!$L:$L, 
      MATCH(
        1, 
        ('アイテム別限界値DB'!$B:$B = BG$10) * 
        ('アイテム別限界値DB'!$C:$C = BG23) * 
        ('アイテム別限界値DB'!$F:$F = BH23), 
        0
      )
    ), 
    ""
  )
)
</f>
        <v/>
      </c>
      <c r="BK23" s="121"/>
      <c r="BL23" s="224" t="s">
        <v>62</v>
      </c>
      <c r="BM23" s="232"/>
      <c r="BN23" s="231" t="str">
        <f t="array" ref="BN23">IF(
  BM23 = 0, 
  "", 
  IFERROR(
    INDEX(
      'アイテム別限界値DB'!$K:$K, 
      MATCH(
        1, 
        ('アイテム別限界値DB'!$B:$B = BL$10) * 
        ('アイテム別限界値DB'!$F:$F = BL23) * 
        ('アイテム別限界値DB'!$H:$H = BM23), 
        0
      )
    ), 
    "再製作"
  )
)
</f>
        <v/>
      </c>
      <c r="BO23" s="218" t="str">
        <f t="array" ref="BO23">IF(
  BM23 = 0, 
  "", 
  IFERROR(
    INDEX(
      'アイテム別限界値DB'!$L:$L, 
      MATCH(
        1, 
        ('アイテム別限界値DB'!$B:$B = BL$10) * 
        ('アイテム別限界値DB'!$C:$C = BL23) * 
        ('アイテム別限界値DB'!$F:$F = BM23), 
        0
      )
    ), 
    ""
  )
)
</f>
        <v/>
      </c>
      <c r="BP23" s="195"/>
    </row>
    <row r="24" ht="18.75" customHeight="1">
      <c r="A24" s="228" t="str">
        <f>IF($N$11="再製作", "◼︎ ベスト（対応着地：再製作）" &amp; char(10) &amp; "《修正数値》", IF($N$11&lt;&gt;"", "◼︎ ベスト（対応着地：お直し）" &amp; char(10) &amp; "《修正数値》", ""))</f>
        <v/>
      </c>
      <c r="B24" s="229"/>
      <c r="C24" s="224"/>
      <c r="D24" s="239" t="s">
        <v>94</v>
      </c>
      <c r="E24" s="232"/>
      <c r="F24" s="231" t="str">
        <f t="array" ref="F24">IF(
  E24 = 0, 
  "", 
  IFERROR(
    INDEX(
      'アイテム別限界値DB'!$K:$K, 
      MATCH(
        1, 
        ('アイテム別限界値DB'!$B:$B = D$10) * 
        ('アイテム別限界値DB'!$F:$F = D24) * 
        ('アイテム別限界値DB'!$H:$H = E24), 
        0
      )
    ), 
    "再製作"
  )
)
</f>
        <v/>
      </c>
      <c r="G24" s="218" t="str">
        <f t="array" ref="G24">IF(
  E24 = 0, 
  "", 
  IFERROR(
    INDEX(
      'アイテム別限界値DB'!$L:$L, 
      MATCH(
        1, 
        ('アイテム別限界値DB'!$B:$B = D$10) * 
        ('アイテム別限界値DB'!$C:$C = D24) * 
        ('アイテム別限界値DB'!$F:$F = E24), 
        0
      )
    ), 
    ""
  )
)
</f>
        <v/>
      </c>
      <c r="H24" s="12"/>
      <c r="I24" s="239" t="s">
        <v>95</v>
      </c>
      <c r="J24" s="230"/>
      <c r="K24" s="231" t="str">
        <f t="array" ref="K24">IF(
  J24 = 0, 
  "", 
  IFERROR(
    INDEX(
      'アイテム別限界値DB'!$K:$K, 
      MATCH(
        1, 
        ('アイテム別限界値DB'!$B:$B = I$10) * 
        ('アイテム別限界値DB'!$F:$F = I24) * 
        ('アイテム別限界値DB'!$H:$H = J24), 
        0
      )
    ), 
    "再製作"
  )
)
</f>
        <v/>
      </c>
      <c r="L24" s="218" t="str">
        <f t="array" ref="L24">IF(
  J24 = 0, 
  "", 
  IFERROR(
    INDEX(
      'アイテム別限界値DB'!$L:$L, 
      MATCH(
        1, 
        ('アイテム別限界値DB'!$B:$B = I$10) * 
        ('アイテム別限界値DB'!$C:$C = I24) * 
        ('アイテム別限界値DB'!$F:$F = J24), 
        0
      )
    ), 
    ""
  )
)
</f>
        <v/>
      </c>
      <c r="M24" s="11"/>
      <c r="N24" s="224"/>
      <c r="O24" s="220"/>
      <c r="P24" s="220" t="str">
        <f t="array" ref="P24">IF(
  O24 = 0, 
  "", 
  IFERROR(
    INDEX(
      'アイテム別限界値DB'!$I:$I, 
      MATCH(
        1, 
        ('アイテム別限界値DB'!$B:$B = N$10) * 
        ('アイテム別限界値DB'!$C:$C = N24) * 
        ('アイテム別限界値DB'!$F:$F = O24), 
        0
      )
    ), 
    "再製作"
  )
)
</f>
        <v/>
      </c>
      <c r="Q24" s="121" t="str">
        <f t="array" ref="Q24">IF(
  O24 = 0, 
  "", 
  IFERROR(
    INDEX(
      'アイテム別限界値DB'!$L:$L, 
      MATCH(
        1, 
        ('アイテム別限界値DB'!$B:$B = N$10) * 
        ('アイテム別限界値DB'!$C:$C = N24) * 
        ('アイテム別限界値DB'!$F:$F = O24), 
        0
      )
    ), 
    ""
  )
)
</f>
        <v/>
      </c>
      <c r="R24" s="11"/>
      <c r="S24" s="239" t="s">
        <v>96</v>
      </c>
      <c r="T24" s="232"/>
      <c r="U24" s="231" t="str">
        <f t="array" ref="U24">IF(
  T24 = 0, 
  "", 
  IFERROR(
    INDEX(
      'アイテム別限界値DB'!$K:$K, 
      MATCH(
        1, 
        ('アイテム別限界値DB'!$B:$B = S$10) * 
        ('アイテム別限界値DB'!$F:$F = S24) * 
        ('アイテム別限界値DB'!$H:$H = T24), 
        0
      )
    ), 
    "再製作"
  )
)
</f>
        <v/>
      </c>
      <c r="V24" s="218" t="str">
        <f t="array" ref="V24">IF(
  T24 = 0, 
  "", 
  IFERROR(
    INDEX(
      'アイテム別限界値DB'!$L:$L, 
      MATCH(
        1, 
        ('アイテム別限界値DB'!$B:$B = S$10) * 
        ('アイテム別限界値DB'!$C:$C = S24) * 
        ('アイテム別限界値DB'!$F:$F = T24), 
        0
      )
    ), 
    ""
  )
)
</f>
        <v/>
      </c>
      <c r="W24" s="11"/>
      <c r="X24" s="239" t="s">
        <v>97</v>
      </c>
      <c r="Y24" s="230"/>
      <c r="Z24" s="231" t="str">
        <f t="array" ref="Z24">IF(
  Y24 = 0, 
  "", 
  IFERROR(
    INDEX(
      'アイテム別限界値DB'!$K:$K, 
      MATCH(
        1, 
        ('アイテム別限界値DB'!$B:$B = X$10) * 
        ('アイテム別限界値DB'!$F:$F = X24) * 
        ('アイテム別限界値DB'!$H:$H = Y24), 
        0
      )
    ), 
    "再製作"
  )
)
</f>
        <v/>
      </c>
      <c r="AA24" s="218" t="str">
        <f t="array" ref="AA24">IF(
  Y24 = 0, 
  "", 
  IFERROR(
    INDEX(
      'アイテム別限界値DB'!$L:$L, 
      MATCH(
        1, 
        ('アイテム別限界値DB'!$B:$B = X$10) * 
        ('アイテム別限界値DB'!$C:$C = X24) * 
        ('アイテム別限界値DB'!$F:$F = Y24), 
        0
      )
    ), 
    ""
  )
)
</f>
        <v/>
      </c>
      <c r="AB24" s="11"/>
      <c r="AC24" s="239" t="s">
        <v>62</v>
      </c>
      <c r="AD24" s="232"/>
      <c r="AE24" s="231" t="str">
        <f t="array" ref="AE24">IF(
  AD24 = 0, 
  "", 
  IFERROR(
    INDEX(
      'アイテム別限界値DB'!$K:$K, 
      MATCH(
        1, 
        ('アイテム別限界値DB'!$B:$B = AC$10) * 
        ('アイテム別限界値DB'!$F:$F = AC24) * 
        ('アイテム別限界値DB'!$H:$H = AD24), 
        0
      )
    ), 
    "再製作"
  )
)
</f>
        <v/>
      </c>
      <c r="AF24" s="218" t="str">
        <f t="array" ref="AF24">IF(
  AD24 = 0, 
  "", 
  IFERROR(
    INDEX(
      'アイテム別限界値DB'!$L:$L, 
      MATCH(
        1, 
        ('アイテム別限界値DB'!$B:$B = AC$10) * 
        ('アイテム別限界値DB'!$C:$C = AC24) * 
        ('アイテム別限界値DB'!$F:$F = AD24), 
        0
      )
    ), 
    ""
  )
)
</f>
        <v/>
      </c>
      <c r="AG24" s="11"/>
      <c r="AH24" s="224"/>
      <c r="AI24" s="225"/>
      <c r="AJ24" s="220" t="str">
        <f t="array" ref="AJ24">IF(
  AI24 = 0, 
  "", 
  IFERROR(
    INDEX(
      'アイテム別限界値DB'!$I:$I, 
      MATCH(
        1, 
        ('アイテム別限界値DB'!$B:$B = AH$10) * 
        ('アイテム別限界値DB'!$C:$C = AH24) * 
        ('アイテム別限界値DB'!$F:$F = AI24), 
        0
      )
    ), 
    "再製作"
  )
)
</f>
        <v/>
      </c>
      <c r="AK24" s="121" t="str">
        <f t="array" ref="AK24">IF(
  AI24 = 0, 
  "", 
  IFERROR(
    INDEX(
      'アイテム別限界値DB'!$L:$L, 
      MATCH(
        1, 
        ('アイテム別限界値DB'!$B:$B = AH$10) * 
        ('アイテム別限界値DB'!$C:$C = AH24) * 
        ('アイテム別限界値DB'!$F:$F = AI24), 
        0
      )
    ), 
    ""
  )
)
</f>
        <v/>
      </c>
      <c r="AL24" s="11"/>
      <c r="AM24" s="224"/>
      <c r="AN24" s="225"/>
      <c r="AO24" s="220" t="str">
        <f t="array" ref="AO24">IF(
  AN24 = 0, 
  "", 
  IFERROR(
    INDEX(
      'アイテム別限界値DB'!$I:$I, 
      MATCH(
        1, 
        ('アイテム別限界値DB'!$B:$B = AM$10) * 
        ('アイテム別限界値DB'!$C:$C = AM24) * 
        ('アイテム別限界値DB'!$F:$F = AN24), 
        0
      )
    ), 
    "再製作"
  )
)
</f>
        <v/>
      </c>
      <c r="AP24" s="121" t="str">
        <f t="array" ref="AP24">IF(
  AN24 = 0, 
  "", 
  IFERROR(
    INDEX(
      'アイテム別限界値DB'!$L:$L, 
      MATCH(
        1, 
        ('アイテム別限界値DB'!$B:$B = AM$10) * 
        ('アイテム別限界値DB'!$C:$C = AM24) * 
        ('アイテム別限界値DB'!$F:$F = AN24), 
        0
      )
    ), 
    ""
  )
)
</f>
        <v/>
      </c>
      <c r="AQ24" s="11"/>
      <c r="AR24" s="224"/>
      <c r="AS24" s="225"/>
      <c r="AT24" s="220" t="str">
        <f t="array" ref="AT24">IF(
  AS24 = 0, 
  "", 
  IFERROR(
    INDEX(
      'アイテム別限界値DB'!$I:$I, 
      MATCH(
        1, 
        ('アイテム別限界値DB'!$B:$B = AR$10) * 
        ('アイテム別限界値DB'!$C:$C = AR24) * 
        ('アイテム別限界値DB'!$F:$F = AS24), 
        0
      )
    ), 
    "再製作"
  )
)
</f>
        <v/>
      </c>
      <c r="AU24" s="121" t="str">
        <f t="array" ref="AU24">IF(
  AS24 = 0, 
  "", 
  IFERROR(
    INDEX(
      'アイテム別限界値DB'!$L:$L, 
      MATCH(
        1, 
        ('アイテム別限界値DB'!$B:$B = AR$10) * 
        ('アイテム別限界値DB'!$C:$C = AR24) * 
        ('アイテム別限界値DB'!$F:$F = AS24), 
        0
      )
    ), 
    ""
  )
)
</f>
        <v/>
      </c>
      <c r="AV24" s="121"/>
      <c r="AW24" s="224"/>
      <c r="AX24" s="225"/>
      <c r="AY24" s="220" t="str">
        <f t="array" ref="AY24">IF(
  AX24 = 0, 
  "", 
  IFERROR(
    INDEX(
      'アイテム別限界値DB'!$I:$I, 
      MATCH(
        1, 
        ('アイテム別限界値DB'!$B:$B = AW$10) * 
        ('アイテム別限界値DB'!$C:$C = AW24) * 
        ('アイテム別限界値DB'!$F:$F = AX24), 
        0
      )
    ), 
    "再製作"
  )
)
</f>
        <v/>
      </c>
      <c r="AZ24" s="121" t="str">
        <f t="array" ref="AZ24">IF(
  AX24 = 0, 
  "", 
  IFERROR(
    INDEX(
      'アイテム別限界値DB'!$L:$L, 
      MATCH(
        1, 
        ('アイテム別限界値DB'!$B:$B = AW$10) * 
        ('アイテム別限界値DB'!$C:$C = AW24) * 
        ('アイテム別限界値DB'!$F:$F = AX24), 
        0
      )
    ), 
    ""
  )
)
</f>
        <v/>
      </c>
      <c r="BA24" s="121"/>
      <c r="BB24" s="224"/>
      <c r="BC24" s="225"/>
      <c r="BD24" s="220" t="str">
        <f t="array" ref="BD24">IF(
  BC24 = 0, 
  "", 
  IFERROR(
    INDEX(
      'アイテム別限界値DB'!$I:$I, 
      MATCH(
        1, 
        ('アイテム別限界値DB'!$B:$B = BB$10) * 
        ('アイテム別限界値DB'!$C:$C = BB24) * 
        ('アイテム別限界値DB'!$F:$F = BC24), 
        0
      )
    ), 
    "再製作"
  )
)
</f>
        <v/>
      </c>
      <c r="BE24" s="121" t="str">
        <f t="array" ref="BE24">IF(
  BC24 = 0, 
  "", 
  IFERROR(
    INDEX(
      'アイテム別限界値DB'!$L:$L, 
      MATCH(
        1, 
        ('アイテム別限界値DB'!$B:$B = BB$10) * 
        ('アイテム別限界値DB'!$C:$C = BB24) * 
        ('アイテム別限界値DB'!$F:$F = BC24), 
        0
      )
    ), 
    ""
  )
)
</f>
        <v/>
      </c>
      <c r="BF24" s="121"/>
      <c r="BG24" s="224"/>
      <c r="BH24" s="225"/>
      <c r="BI24" s="220" t="str">
        <f t="array" ref="BI24">IF(
  BH24 = 0, 
  "", 
  IFERROR(
    INDEX(
      'アイテム別限界値DB'!$I:$I, 
      MATCH(
        1, 
        ('アイテム別限界値DB'!$B:$B = BG$10) * 
        ('アイテム別限界値DB'!$C:$C = BG24) * 
        ('アイテム別限界値DB'!$F:$F = BH24), 
        0
      )
    ), 
    "再製作"
  )
)
</f>
        <v/>
      </c>
      <c r="BJ24" s="121" t="str">
        <f t="array" ref="BJ24">IF(
  BH24 = 0, 
  "", 
  IFERROR(
    INDEX(
      'アイテム別限界値DB'!$L:$L, 
      MATCH(
        1, 
        ('アイテム別限界値DB'!$B:$B = BG$10) * 
        ('アイテム別限界値DB'!$C:$C = BG24) * 
        ('アイテム別限界値DB'!$F:$F = BH24), 
        0
      )
    ), 
    ""
  )
)
</f>
        <v/>
      </c>
      <c r="BK24" s="121"/>
      <c r="BL24" s="224"/>
      <c r="BM24" s="225"/>
      <c r="BN24" s="220" t="str">
        <f t="array" ref="BN24">IF(
  BM24 = 0, 
  "", 
  IFERROR(
    INDEX(
      'アイテム別限界値DB'!$I:$I, 
      MATCH(
        1, 
        ('アイテム別限界値DB'!$B:$B = BL$10) * 
        ('アイテム別限界値DB'!$C:$C = BL24) * 
        ('アイテム別限界値DB'!$F:$F = BM24), 
        0
      )
    ), 
    "再製作"
  )
)
</f>
        <v/>
      </c>
      <c r="BO24" s="121" t="str">
        <f t="array" ref="BO24">IF(
  BM24 = 0, 
  "", 
  IFERROR(
    INDEX(
      'アイテム別限界値DB'!$L:$L, 
      MATCH(
        1, 
        ('アイテム別限界値DB'!$B:$B = BL$10) * 
        ('アイテム別限界値DB'!$C:$C = BL24) * 
        ('アイテム別限界値DB'!$F:$F = BM24), 
        0
      )
    ), 
    ""
  )
)
</f>
        <v/>
      </c>
      <c r="BP24" s="195"/>
    </row>
    <row r="25" ht="18.75" customHeight="1">
      <c r="A25" s="228" t="str">
        <f>IFERROR(__xludf.DUMMYFUNCTION("TEXTJOIN(CHAR(10),TRUE,FILTER(ARRAYFORMULA(IF(O$14:O72&lt;&gt;"""",N$14:N72 &amp;"" : ""&amp; O$14:O72 &amp;"" cm"","""")), N$14:N72 &lt;&gt;""""))"),"")</f>
        <v/>
      </c>
      <c r="B25" s="224"/>
      <c r="C25" s="224"/>
      <c r="D25" s="239" t="s">
        <v>98</v>
      </c>
      <c r="E25" s="232"/>
      <c r="F25" s="231" t="str">
        <f t="array" ref="F25">IF(
  E25 = 0, 
  "", 
  IFERROR(
    INDEX(
      'アイテム別限界値DB'!$K:$K, 
      MATCH(
        1, 
        ('アイテム別限界値DB'!$B:$B = D$10) * 
        ('アイテム別限界値DB'!$F:$F = D25) * 
        ('アイテム別限界値DB'!$H:$H = E25), 
        0
      )
    ), 
    "再製作"
  )
)
</f>
        <v/>
      </c>
      <c r="G25" s="218" t="str">
        <f t="array" ref="G25">IF(
  E25 = 0, 
  "", 
  IFERROR(
    INDEX(
      'アイテム別限界値DB'!$L:$L, 
      MATCH(
        1, 
        ('アイテム別限界値DB'!$B:$B = D$10) * 
        ('アイテム別限界値DB'!$C:$C = D25) * 
        ('アイテム別限界値DB'!$F:$F = E25), 
        0
      )
    ), 
    ""
  )
)
</f>
        <v/>
      </c>
      <c r="H25" s="12"/>
      <c r="I25" s="224" t="s">
        <v>99</v>
      </c>
      <c r="J25" s="232"/>
      <c r="K25" s="231" t="str">
        <f t="array" ref="K25">IF(
  J25 = 0, 
  "", 
  IFERROR(
    INDEX(
      'アイテム別限界値DB'!$K:$K, 
      MATCH(
        1, 
        ('アイテム別限界値DB'!$B:$B = I$10) * 
        ('アイテム別限界値DB'!$F:$F = I25) * 
        ('アイテム別限界値DB'!$H:$H = J25), 
        0
      )
    ), 
    "再製作"
  )
)
</f>
        <v/>
      </c>
      <c r="L25" s="195"/>
      <c r="M25" s="11"/>
      <c r="N25" s="11"/>
      <c r="O25" s="220"/>
      <c r="P25" s="184"/>
      <c r="Q25" s="11"/>
      <c r="R25" s="11"/>
      <c r="S25" s="186" t="s">
        <v>100</v>
      </c>
      <c r="T25" s="232"/>
      <c r="U25" s="231" t="str">
        <f t="array" ref="U25">IF(
  T25 = 0, 
  "", 
  IFERROR(
    INDEX(
      'アイテム別限界値DB'!$K:$K, 
      MATCH(
        1, 
        ('アイテム別限界値DB'!$B:$B = S$10) * 
        ('アイテム別限界値DB'!$F:$F = S25) * 
        ('アイテム別限界値DB'!$H:$H = T25), 
        0
      )
    ), 
    "再製作"
  )
)
</f>
        <v/>
      </c>
      <c r="V25" s="234"/>
      <c r="W25" s="11"/>
      <c r="X25" s="186" t="s">
        <v>101</v>
      </c>
      <c r="Y25" s="232"/>
      <c r="Z25" s="231" t="str">
        <f t="array" ref="Z25">IF(
  Y25 = 0, 
  "", 
  IFERROR(
    INDEX(
      'アイテム別限界値DB'!$K:$K, 
      MATCH(
        1, 
        ('アイテム別限界値DB'!$B:$B = X$10) * 
        ('アイテム別限界値DB'!$F:$F = X25) * 
        ('アイテム別限界値DB'!$H:$H = Y25), 
        0
      )
    ), 
    "再製作"
  )
)
</f>
        <v/>
      </c>
      <c r="AA25" s="218" t="str">
        <f t="array" ref="AA25">IF(
  Y25 = 0, 
  "", 
  IFERROR(
    INDEX(
      'アイテム別限界値DB'!$L:$L, 
      MATCH(
        1, 
        ('アイテム別限界値DB'!$B:$B = X$10) * 
        ('アイテム別限界値DB'!$C:$C = X25) * 
        ('アイテム別限界値DB'!$F:$F = Y25), 
        0
      )
    ), 
    ""
  )
)
</f>
        <v/>
      </c>
      <c r="AB25" s="11"/>
      <c r="AC25" s="186" t="s">
        <v>74</v>
      </c>
      <c r="AD25" s="232"/>
      <c r="AE25" s="231" t="str">
        <f t="array" ref="AE25">IF(
  AD25 = 0, 
  "", 
  IFERROR(
    INDEX(
      'アイテム別限界値DB'!$K:$K, 
      MATCH(
        1, 
        ('アイテム別限界値DB'!$B:$B = AC$10) * 
        ('アイテム別限界値DB'!$F:$F = AC25) * 
        ('アイテム別限界値DB'!$H:$H = AD25), 
        0
      )
    ), 
    "再製作"
  )
)
</f>
        <v/>
      </c>
      <c r="AF25" s="218" t="str">
        <f t="array" ref="AF25">IF(
  AD25 = 0, 
  "", 
  IFERROR(
    INDEX(
      'アイテム別限界値DB'!$L:$L, 
      MATCH(
        1, 
        ('アイテム別限界値DB'!$B:$B = AC$10) * 
        ('アイテム別限界値DB'!$C:$C = AC25) * 
        ('アイテム別限界値DB'!$F:$F = AD25), 
        0
      )
    ), 
    ""
  )
)
</f>
        <v/>
      </c>
      <c r="AG25" s="11"/>
      <c r="AH25" s="12"/>
      <c r="AI25" s="220"/>
      <c r="AJ25" s="220" t="str">
        <f t="array" ref="AJ25">IF(
  AI25 = 0, 
  "", 
  IFERROR(
    INDEX(
      'アイテム別限界値DB'!$I:$I, 
      MATCH(
        1, 
        ('アイテム別限界値DB'!$B:$B = AH$10) * 
        ('アイテム別限界値DB'!$C:$C = AH25) * 
        ('アイテム別限界値DB'!$F:$F = AI25), 
        0
      )
    ), 
    "再製作"
  )
)
</f>
        <v/>
      </c>
      <c r="AK25" s="195"/>
      <c r="AL25" s="11"/>
      <c r="AM25" s="12"/>
      <c r="AN25" s="220"/>
      <c r="AO25" s="220" t="str">
        <f t="array" ref="AO25">IF(
  AN25 = 0, 
  "", 
  IFERROR(
    INDEX(
      'アイテム別限界値DB'!$I:$I, 
      MATCH(
        1, 
        ('アイテム別限界値DB'!$B:$B = AM$10) * 
        ('アイテム別限界値DB'!$C:$C = AM25) * 
        ('アイテム別限界値DB'!$F:$F = AN25), 
        0
      )
    ), 
    "再製作"
  )
)
</f>
        <v/>
      </c>
      <c r="AP25" s="195"/>
      <c r="AQ25" s="11"/>
      <c r="AR25" s="12"/>
      <c r="AS25" s="220"/>
      <c r="AT25" s="220" t="str">
        <f t="array" ref="AT25">IF(
  AS25 = 0, 
  "", 
  IFERROR(
    INDEX(
      'アイテム別限界値DB'!$I:$I, 
      MATCH(
        1, 
        ('アイテム別限界値DB'!$B:$B = AR$10) * 
        ('アイテム別限界値DB'!$C:$C = AR25) * 
        ('アイテム別限界値DB'!$F:$F = AS25), 
        0
      )
    ), 
    "再製作"
  )
)
</f>
        <v/>
      </c>
      <c r="AU25" s="195"/>
      <c r="AV25" s="195"/>
      <c r="AW25" s="12"/>
      <c r="AX25" s="220"/>
      <c r="AY25" s="220" t="str">
        <f t="array" ref="AY25">IF(
  AX25 = 0, 
  "", 
  IFERROR(
    INDEX(
      'アイテム別限界値DB'!$I:$I, 
      MATCH(
        1, 
        ('アイテム別限界値DB'!$B:$B = AW$10) * 
        ('アイテム別限界値DB'!$C:$C = AW25) * 
        ('アイテム別限界値DB'!$F:$F = AX25), 
        0
      )
    ), 
    "再製作"
  )
)
</f>
        <v/>
      </c>
      <c r="AZ25" s="195"/>
      <c r="BA25" s="195"/>
      <c r="BB25" s="12"/>
      <c r="BC25" s="220"/>
      <c r="BD25" s="220" t="str">
        <f t="array" ref="BD25">IF(
  BC25 = 0, 
  "", 
  IFERROR(
    INDEX(
      'アイテム別限界値DB'!$I:$I, 
      MATCH(
        1, 
        ('アイテム別限界値DB'!$B:$B = BB$10) * 
        ('アイテム別限界値DB'!$C:$C = BB25) * 
        ('アイテム別限界値DB'!$F:$F = BC25), 
        0
      )
    ), 
    "再製作"
  )
)
</f>
        <v/>
      </c>
      <c r="BE25" s="195"/>
      <c r="BF25" s="195"/>
      <c r="BG25" s="12"/>
      <c r="BH25" s="220"/>
      <c r="BI25" s="220" t="str">
        <f t="array" ref="BI25">IF(
  BH25 = 0, 
  "", 
  IFERROR(
    INDEX(
      'アイテム別限界値DB'!$I:$I, 
      MATCH(
        1, 
        ('アイテム別限界値DB'!$B:$B = BG$10) * 
        ('アイテム別限界値DB'!$C:$C = BG25) * 
        ('アイテム別限界値DB'!$F:$F = BH25), 
        0
      )
    ), 
    "再製作"
  )
)
</f>
        <v/>
      </c>
      <c r="BJ25" s="195"/>
      <c r="BK25" s="195"/>
      <c r="BL25" s="195"/>
      <c r="BM25" s="220"/>
      <c r="BN25" s="220" t="str">
        <f t="array" ref="BN25">IF(
  BM25 = 0, 
  "", 
  IFERROR(
    INDEX(
      'アイテム別限界値DB'!$I:$I, 
      MATCH(
        1, 
        ('アイテム別限界値DB'!$B:$B = BL$10) * 
        ('アイテム別限界値DB'!$C:$C = BL25) * 
        ('アイテム別限界値DB'!$F:$F = BM25), 
        0
      )
    ), 
    "再製作"
  )
)
</f>
        <v/>
      </c>
      <c r="BO25" s="195"/>
      <c r="BP25" s="195"/>
    </row>
    <row r="26" ht="18.75" customHeight="1">
      <c r="A26" s="236" t="str">
        <f>if($A$24&lt;&gt;"", "《仕上がり数値》","")</f>
        <v/>
      </c>
      <c r="B26" s="229"/>
      <c r="C26" s="224"/>
      <c r="D26" s="239" t="s">
        <v>74</v>
      </c>
      <c r="E26" s="230"/>
      <c r="F26" s="231" t="str">
        <f t="array" ref="F26">IF(
  E26 = 0, 
  "", 
  IFERROR(
    INDEX(
      'アイテム別限界値DB'!$K:$K, 
      MATCH(
        1, 
        ('アイテム別限界値DB'!$B:$B = D$10) * 
        ('アイテム別限界値DB'!$F:$F = D26) * 
        ('アイテム別限界値DB'!$H:$H = E26), 
        0
      )
    ), 
    "再製作"
  )
)
</f>
        <v/>
      </c>
      <c r="G26" s="218" t="str">
        <f t="array" ref="G26">IF(
  E26 = 0, 
  "", 
  IFERROR(
    INDEX(
      'アイテム別限界値DB'!$L:$L, 
      MATCH(
        1, 
        ('アイテム別限界値DB'!$B:$B = D$10) * 
        ('アイテム別限界値DB'!$C:$C = D26) * 
        ('アイテム別限界値DB'!$F:$F = E26), 
        0
      )
    ), 
    ""
  )
)
</f>
        <v/>
      </c>
      <c r="H26" s="12"/>
      <c r="I26" s="11" t="s">
        <v>100</v>
      </c>
      <c r="J26" s="232"/>
      <c r="K26" s="231" t="str">
        <f t="array" ref="K26">IF(
  J26 = 0, 
  "", 
  IFERROR(
    INDEX(
      'アイテム別限界値DB'!$K:$K, 
      MATCH(
        1, 
        ('アイテム別限界値DB'!$B:$B = I$10) * 
        ('アイテム別限界値DB'!$F:$F = I26) * 
        ('アイテム別限界値DB'!$H:$H = J26), 
        0
      )
    ), 
    "再製作"
  )
)
</f>
        <v/>
      </c>
      <c r="L26" s="195"/>
      <c r="M26" s="11"/>
      <c r="N26" s="11"/>
      <c r="O26" s="220"/>
      <c r="P26" s="184"/>
      <c r="Q26" s="11"/>
      <c r="R26" s="11"/>
      <c r="S26" s="12" t="s">
        <v>95</v>
      </c>
      <c r="T26" s="232"/>
      <c r="U26" s="231" t="str">
        <f t="array" ref="U26">IF(
  T26 = 0, 
  "", 
  IFERROR(
    INDEX(
      'アイテム別限界値DB'!$K:$K, 
      MATCH(
        1, 
        ('アイテム別限界値DB'!$B:$B = S$10) * 
        ('アイテム別限界値DB'!$F:$F = S26) * 
        ('アイテム別限界値DB'!$H:$H = T26), 
        0
      )
    ), 
    "再製作"
  )
)
</f>
        <v/>
      </c>
      <c r="V26" s="195"/>
      <c r="W26" s="11"/>
      <c r="X26" s="186" t="s">
        <v>62</v>
      </c>
      <c r="Y26" s="232"/>
      <c r="Z26" s="231" t="str">
        <f t="array" ref="Z26">IF(
  Y26 = 0, 
  "", 
  IFERROR(
    INDEX(
      'アイテム別限界値DB'!$K:$K, 
      MATCH(
        1, 
        ('アイテム別限界値DB'!$B:$B = X$10) * 
        ('アイテム別限界値DB'!$F:$F = X26) * 
        ('アイテム別限界値DB'!$H:$H = Y26), 
        0
      )
    ), 
    "再製作"
  )
)
</f>
        <v/>
      </c>
      <c r="AA26" s="218" t="str">
        <f t="array" ref="AA26">IF(
  Y26 = 0, 
  "", 
  IFERROR(
    INDEX(
      'アイテム別限界値DB'!$L:$L, 
      MATCH(
        1, 
        ('アイテム別限界値DB'!$B:$B = X$10) * 
        ('アイテム別限界値DB'!$C:$C = X26) * 
        ('アイテム別限界値DB'!$F:$F = Y26), 
        0
      )
    ), 
    ""
  )
)
</f>
        <v/>
      </c>
      <c r="AB26" s="11"/>
      <c r="AC26" s="186" t="s">
        <v>67</v>
      </c>
      <c r="AD26" s="232"/>
      <c r="AE26" s="231" t="str">
        <f t="array" ref="AE26">IF(
  AD26 = 0, 
  "", 
  IFERROR(
    INDEX(
      'アイテム別限界値DB'!$K:$K, 
      MATCH(
        1, 
        ('アイテム別限界値DB'!$B:$B = AC$10) * 
        ('アイテム別限界値DB'!$F:$F = AC26) * 
        ('アイテム別限界値DB'!$H:$H = AD26), 
        0
      )
    ), 
    "再製作"
  )
)
</f>
        <v/>
      </c>
      <c r="AF26" s="218" t="str">
        <f t="array" ref="AF26">IF(
  AD26 = 0, 
  "", 
  IFERROR(
    INDEX(
      'アイテム別限界値DB'!$L:$L, 
      MATCH(
        1, 
        ('アイテム別限界値DB'!$B:$B = AC$10) * 
        ('アイテム別限界値DB'!$C:$C = AC26) * 
        ('アイテム別限界値DB'!$F:$F = AD26), 
        0
      )
    ), 
    ""
  )
)
</f>
        <v/>
      </c>
      <c r="AG26" s="11"/>
      <c r="AH26" s="12"/>
      <c r="AI26" s="220"/>
      <c r="AJ26" s="220" t="str">
        <f t="array" ref="AJ26">IF(
  AI26 = 0, 
  "", 
  IFERROR(
    INDEX(
      'アイテム別限界値DB'!$I:$I, 
      MATCH(
        1, 
        ('アイテム別限界値DB'!$B:$B = AH$10) * 
        ('アイテム別限界値DB'!$C:$C = AH26) * 
        ('アイテム別限界値DB'!$F:$F = AI26), 
        0
      )
    ), 
    "再製作"
  )
)
</f>
        <v/>
      </c>
      <c r="AK26" s="195"/>
      <c r="AL26" s="11"/>
      <c r="AM26" s="12"/>
      <c r="AN26" s="220"/>
      <c r="AO26" s="220" t="str">
        <f t="array" ref="AO26">IF(
  AN26 = 0, 
  "", 
  IFERROR(
    INDEX(
      'アイテム別限界値DB'!$I:$I, 
      MATCH(
        1, 
        ('アイテム別限界値DB'!$B:$B = AM$10) * 
        ('アイテム別限界値DB'!$C:$C = AM26) * 
        ('アイテム別限界値DB'!$F:$F = AN26), 
        0
      )
    ), 
    "再製作"
  )
)
</f>
        <v/>
      </c>
      <c r="AP26" s="195"/>
      <c r="AQ26" s="11"/>
      <c r="AR26" s="12"/>
      <c r="AS26" s="220"/>
      <c r="AT26" s="220" t="str">
        <f t="array" ref="AT26">IF(
  AS26 = 0, 
  "", 
  IFERROR(
    INDEX(
      'アイテム別限界値DB'!$I:$I, 
      MATCH(
        1, 
        ('アイテム別限界値DB'!$B:$B = AR$10) * 
        ('アイテム別限界値DB'!$C:$C = AR26) * 
        ('アイテム別限界値DB'!$F:$F = AS26), 
        0
      )
    ), 
    "再製作"
  )
)
</f>
        <v/>
      </c>
      <c r="AU26" s="195"/>
      <c r="AV26" s="195"/>
      <c r="AW26" s="12"/>
      <c r="AX26" s="220"/>
      <c r="AY26" s="220" t="str">
        <f t="array" ref="AY26">IF(
  AX26 = 0, 
  "", 
  IFERROR(
    INDEX(
      'アイテム別限界値DB'!$I:$I, 
      MATCH(
        1, 
        ('アイテム別限界値DB'!$B:$B = AW$10) * 
        ('アイテム別限界値DB'!$C:$C = AW26) * 
        ('アイテム別限界値DB'!$F:$F = AX26), 
        0
      )
    ), 
    "再製作"
  )
)
</f>
        <v/>
      </c>
      <c r="AZ26" s="195"/>
      <c r="BA26" s="195"/>
      <c r="BB26" s="12"/>
      <c r="BC26" s="220"/>
      <c r="BD26" s="220" t="str">
        <f t="array" ref="BD26">IF(
  BC26 = 0, 
  "", 
  IFERROR(
    INDEX(
      'アイテム別限界値DB'!$I:$I, 
      MATCH(
        1, 
        ('アイテム別限界値DB'!$B:$B = BB$10) * 
        ('アイテム別限界値DB'!$C:$C = BB26) * 
        ('アイテム別限界値DB'!$F:$F = BC26), 
        0
      )
    ), 
    "再製作"
  )
)
</f>
        <v/>
      </c>
      <c r="BE26" s="195"/>
      <c r="BF26" s="195"/>
      <c r="BG26" s="12"/>
      <c r="BH26" s="220"/>
      <c r="BI26" s="220" t="str">
        <f t="array" ref="BI26">IF(
  BH26 = 0, 
  "", 
  IFERROR(
    INDEX(
      'アイテム別限界値DB'!$I:$I, 
      MATCH(
        1, 
        ('アイテム別限界値DB'!$B:$B = BG$10) * 
        ('アイテム別限界値DB'!$C:$C = BG26) * 
        ('アイテム別限界値DB'!$F:$F = BH26), 
        0
      )
    ), 
    "再製作"
  )
)
</f>
        <v/>
      </c>
      <c r="BJ26" s="195"/>
      <c r="BK26" s="195"/>
      <c r="BL26" s="195"/>
      <c r="BM26" s="220"/>
      <c r="BN26" s="220" t="str">
        <f t="array" ref="BN26">IF(
  BM26 = 0, 
  "", 
  IFERROR(
    INDEX(
      'アイテム別限界値DB'!$I:$I, 
      MATCH(
        1, 
        ('アイテム別限界値DB'!$B:$B = BL$10) * 
        ('アイテム別限界値DB'!$C:$C = BL26) * 
        ('アイテム別限界値DB'!$F:$F = BM26), 
        0
      )
    ), 
    "再製作"
  )
)
</f>
        <v/>
      </c>
      <c r="BO26" s="195"/>
      <c r="BP26" s="195"/>
    </row>
    <row r="27" ht="18.75" customHeight="1">
      <c r="A27" s="228" t="str">
        <f>IFERROR(__xludf.DUMMYFUNCTION("TEXTJOIN(CHAR(10),TRUE,FILTER(ARRAYFORMULA(IF(O$14:O72&lt;&gt;"""",N$14:N72 &amp;"" :  cm"","""")), N$14:N72 &lt;&gt;""""))"),"")</f>
        <v/>
      </c>
      <c r="B27" s="229"/>
      <c r="C27" s="224"/>
      <c r="D27" s="239" t="s">
        <v>67</v>
      </c>
      <c r="E27" s="232"/>
      <c r="F27" s="231" t="str">
        <f t="array" ref="F27">IF(
  E27 = 0, 
  "", 
  IFERROR(
    INDEX(
      'アイテム別限界値DB'!$K:$K, 
      MATCH(
        1, 
        ('アイテム別限界値DB'!$B:$B = D$10) * 
        ('アイテム別限界値DB'!$F:$F = D27) * 
        ('アイテム別限界値DB'!$H:$H = E27), 
        0
      )
    ), 
    "再製作"
  )
)
</f>
        <v/>
      </c>
      <c r="G27" s="218" t="str">
        <f t="array" ref="G27">IF(
  E27 = 0, 
  "", 
  IFERROR(
    INDEX(
      'アイテム別限界値DB'!$L:$L, 
      MATCH(
        1, 
        ('アイテム別限界値DB'!$B:$B = D$10) * 
        ('アイテム別限界値DB'!$C:$C = D27) * 
        ('アイテム別限界値DB'!$F:$F = E27), 
        0
      )
    ), 
    ""
  )
)
</f>
        <v/>
      </c>
      <c r="H27" s="12"/>
      <c r="I27" s="11" t="s">
        <v>103</v>
      </c>
      <c r="J27" s="230"/>
      <c r="K27" s="231" t="str">
        <f t="array" ref="K27">IF(
  J27 = 0, 
  "", 
  IFERROR(
    INDEX(
      'アイテム別限界値DB'!$K:$K, 
      MATCH(
        1, 
        ('アイテム別限界値DB'!$B:$B = I$10) * 
        ('アイテム別限界値DB'!$F:$F = I27) * 
        ('アイテム別限界値DB'!$H:$H = J27), 
        0
      )
    ), 
    "再製作"
  )
)
</f>
        <v/>
      </c>
      <c r="L27" s="11"/>
      <c r="M27" s="11"/>
      <c r="N27" s="11"/>
      <c r="O27" s="220"/>
      <c r="P27" s="184"/>
      <c r="Q27" s="11"/>
      <c r="R27" s="11"/>
      <c r="S27" s="12" t="s">
        <v>99</v>
      </c>
      <c r="T27" s="232"/>
      <c r="U27" s="231" t="str">
        <f t="array" ref="U27">IF(
  T27 = 0, 
  "", 
  IFERROR(
    INDEX(
      'アイテム別限界値DB'!$K:$K, 
      MATCH(
        1, 
        ('アイテム別限界値DB'!$B:$B = S$10) * 
        ('アイテム別限界値DB'!$F:$F = S27) * 
        ('アイテム別限界値DB'!$H:$H = T27), 
        0
      )
    ), 
    "再製作"
  )
)
</f>
        <v/>
      </c>
      <c r="V27" s="12"/>
      <c r="W27" s="11"/>
      <c r="X27" s="240" t="s">
        <v>74</v>
      </c>
      <c r="Y27" s="232"/>
      <c r="Z27" s="231" t="str">
        <f t="array" ref="Z27">IF(
  Y27 = 0, 
  "", 
  IFERROR(
    INDEX(
      'アイテム別限界値DB'!$K:$K, 
      MATCH(
        1, 
        ('アイテム別限界値DB'!$B:$B = X$10) * 
        ('アイテム別限界値DB'!$F:$F = X27) * 
        ('アイテム別限界値DB'!$H:$H = Y27), 
        0
      )
    ), 
    "再製作"
  )
)
</f>
        <v/>
      </c>
      <c r="AA27" s="218" t="str">
        <f t="array" ref="AA27">IF(
  Y27 = 0, 
  "", 
  IFERROR(
    INDEX(
      'アイテム別限界値DB'!$L:$L, 
      MATCH(
        1, 
        ('アイテム別限界値DB'!$B:$B = X$10) * 
        ('アイテム別限界値DB'!$C:$C = X27) * 
        ('アイテム別限界値DB'!$F:$F = Y27), 
        0
      )
    ), 
    ""
  )
)
</f>
        <v/>
      </c>
      <c r="AB27" s="11"/>
      <c r="AC27" s="240" t="s">
        <v>79</v>
      </c>
      <c r="AD27" s="232"/>
      <c r="AE27" s="231" t="str">
        <f t="array" ref="AE27">IF(
  AD27 = 0, 
  "", 
  IFERROR(
    INDEX(
      'アイテム別限界値DB'!$K:$K, 
      MATCH(
        1, 
        ('アイテム別限界値DB'!$B:$B = AC$10) * 
        ('アイテム別限界値DB'!$F:$F = AC27) * 
        ('アイテム別限界値DB'!$H:$H = AD27), 
        0
      )
    ), 
    "再製作"
  )
)
</f>
        <v/>
      </c>
      <c r="AF27" s="218" t="str">
        <f t="array" ref="AF27">IF(
  AD27 = 0, 
  "", 
  IFERROR(
    INDEX(
      'アイテム別限界値DB'!$L:$L, 
      MATCH(
        1, 
        ('アイテム別限界値DB'!$B:$B = AC$10) * 
        ('アイテム別限界値DB'!$C:$C = AC27) * 
        ('アイテム別限界値DB'!$F:$F = AD27), 
        0
      )
    ), 
    ""
  )
)
</f>
        <v/>
      </c>
      <c r="AG27" s="11"/>
      <c r="AH27" s="11"/>
      <c r="AI27" s="220"/>
      <c r="AJ27" s="184"/>
      <c r="AK27" s="11"/>
      <c r="AL27" s="11"/>
      <c r="AM27" s="11"/>
      <c r="AN27" s="220"/>
      <c r="AO27" s="184"/>
      <c r="AP27" s="11"/>
      <c r="AQ27" s="11"/>
      <c r="AR27" s="11"/>
      <c r="AS27" s="220"/>
      <c r="AT27" s="184"/>
      <c r="AU27" s="11"/>
      <c r="AV27" s="11"/>
      <c r="AW27" s="11"/>
      <c r="AX27" s="220"/>
      <c r="AY27" s="184"/>
      <c r="AZ27" s="11"/>
      <c r="BA27" s="11"/>
      <c r="BB27" s="11"/>
      <c r="BC27" s="220"/>
      <c r="BD27" s="184"/>
      <c r="BE27" s="11"/>
      <c r="BF27" s="11"/>
      <c r="BG27" s="11"/>
      <c r="BH27" s="220"/>
      <c r="BI27" s="184"/>
      <c r="BJ27" s="11"/>
      <c r="BK27" s="11"/>
      <c r="BL27" s="11"/>
      <c r="BM27" s="220"/>
      <c r="BN27" s="184"/>
      <c r="BO27" s="11"/>
      <c r="BP27" s="11"/>
    </row>
    <row r="28" ht="15.75" customHeight="1">
      <c r="A28" s="237" t="s">
        <v>104</v>
      </c>
      <c r="B28" s="11"/>
      <c r="C28" s="11"/>
      <c r="D28" s="11" t="s">
        <v>79</v>
      </c>
      <c r="E28" s="230"/>
      <c r="F28" s="231" t="str">
        <f t="array" ref="F28">IF(
  E28 = 0, 
  "", 
  IFERROR(
    INDEX(
      'アイテム別限界値DB'!$K:$K, 
      MATCH(
        1, 
        ('アイテム別限界値DB'!$B:$B = D$10) * 
        ('アイテム別限界値DB'!$F:$F = D28) * 
        ('アイテム別限界値DB'!$H:$H = E28), 
        0
      )
    ), 
    "再製作"
  )
)
</f>
        <v/>
      </c>
      <c r="G28" s="218" t="str">
        <f t="array" ref="G28">IF(
  E28 = 0, 
  "", 
  IFERROR(
    INDEX(
      'アイテム別限界値DB'!$L:$L, 
      MATCH(
        1, 
        ('アイテム別限界値DB'!$B:$B = D$10) * 
        ('アイテム別限界値DB'!$C:$C = D28) * 
        ('アイテム別限界値DB'!$F:$F = E28), 
        0
      )
    ), 
    ""
  )
)
</f>
        <v/>
      </c>
      <c r="H28" s="11"/>
      <c r="I28" s="11"/>
      <c r="J28" s="220"/>
      <c r="K28" s="184"/>
      <c r="L28" s="11"/>
      <c r="M28" s="11"/>
      <c r="N28" s="11"/>
      <c r="O28" s="220"/>
      <c r="P28" s="184"/>
      <c r="Q28" s="11"/>
      <c r="R28" s="12"/>
      <c r="S28" s="11" t="s">
        <v>103</v>
      </c>
      <c r="T28" s="232"/>
      <c r="U28" s="231" t="str">
        <f t="array" ref="U28">IF(
  T28 = 0, 
  "", 
  IFERROR(
    INDEX(
      'アイテム別限界値DB'!$K:$K, 
      MATCH(
        1, 
        ('アイテム別限界値DB'!$B:$B = S$10) * 
        ('アイテム別限界値DB'!$F:$F = S28) * 
        ('アイテム別限界値DB'!$H:$H = T28), 
        0
      )
    ), 
    "再製作"
  )
)
</f>
        <v/>
      </c>
      <c r="V28" s="11"/>
      <c r="W28" s="11"/>
      <c r="X28" s="11" t="s">
        <v>67</v>
      </c>
      <c r="Y28" s="241"/>
      <c r="Z28" s="231" t="str">
        <f t="array" ref="Z28">IF(
  Y28 = 0, 
  "", 
  IFERROR(
    INDEX(
      'アイテム別限界値DB'!$K:$K, 
      MATCH(
        1, 
        ('アイテム別限界値DB'!$B:$B = X$10) * 
        ('アイテム別限界値DB'!$F:$F = X28) * 
        ('アイテム別限界値DB'!$H:$H = Y28), 
        0
      )
    ), 
    "再製作"
  )
)
</f>
        <v/>
      </c>
      <c r="AA28" s="218" t="str">
        <f t="array" ref="AA28">IF(
  Y28 = 0, 
  "", 
  IFERROR(
    INDEX(
      'アイテム別限界値DB'!$L:$L, 
      MATCH(
        1, 
        ('アイテム別限界値DB'!$B:$B = X$10) * 
        ('アイテム別限界値DB'!$C:$C = X28) * 
        ('アイテム別限界値DB'!$F:$F = Y28), 
        0
      )
    ), 
    ""
  )
)
</f>
        <v/>
      </c>
      <c r="AB28" s="11"/>
      <c r="AC28" s="11" t="s">
        <v>83</v>
      </c>
      <c r="AD28" s="232"/>
      <c r="AE28" s="231" t="str">
        <f t="array" ref="AE28">IF(
  AD28 = 0, 
  "", 
  IFERROR(
    INDEX(
      'アイテム別限界値DB'!$K:$K, 
      MATCH(
        1, 
        ('アイテム別限界値DB'!$B:$B = AC$10) * 
        ('アイテム別限界値DB'!$F:$F = AC28) * 
        ('アイテム別限界値DB'!$H:$H = AD28), 
        0
      )
    ), 
    "再製作"
  )
)
</f>
        <v/>
      </c>
      <c r="AF28" s="218" t="str">
        <f t="array" ref="AF28">IF(
  AD28 = 0, 
  "", 
  IFERROR(
    INDEX(
      'アイテム別限界値DB'!$L:$L, 
      MATCH(
        1, 
        ('アイテム別限界値DB'!$B:$B = AC$10) * 
        ('アイテム別限界値DB'!$C:$C = AC28) * 
        ('アイテム別限界値DB'!$F:$F = AD28), 
        0
      )
    ), 
    ""
  )
)
</f>
        <v/>
      </c>
      <c r="AG28" s="11"/>
      <c r="AH28" s="11"/>
      <c r="AI28" s="220"/>
      <c r="AJ28" s="184"/>
      <c r="AK28" s="11"/>
      <c r="AL28" s="11"/>
      <c r="AM28" s="11"/>
      <c r="AN28" s="220"/>
      <c r="AO28" s="184"/>
      <c r="AP28" s="11"/>
      <c r="AQ28" s="11"/>
      <c r="AR28" s="11"/>
      <c r="AS28" s="220"/>
      <c r="AT28" s="184"/>
      <c r="AU28" s="11"/>
      <c r="AV28" s="11"/>
      <c r="AW28" s="11"/>
      <c r="AX28" s="220"/>
      <c r="AY28" s="184"/>
      <c r="AZ28" s="11"/>
      <c r="BA28" s="11"/>
      <c r="BB28" s="11"/>
      <c r="BC28" s="220"/>
      <c r="BD28" s="184"/>
      <c r="BE28" s="11"/>
      <c r="BF28" s="11"/>
      <c r="BG28" s="11"/>
      <c r="BH28" s="220"/>
      <c r="BI28" s="184"/>
      <c r="BJ28" s="11"/>
      <c r="BK28" s="11"/>
      <c r="BL28" s="11"/>
      <c r="BM28" s="220"/>
      <c r="BN28" s="184"/>
      <c r="BO28" s="11"/>
      <c r="BP28" s="11"/>
    </row>
    <row r="29" ht="15.75" customHeight="1">
      <c r="A29" s="228" t="str">
        <f>IF($S$11="再製作", "◼︎ チノ（対応着地：再製作）" &amp; char(10) &amp; "《修正数値》", IF($S$11&lt;&gt;"", "◼︎ チノ（対応着地：お直し）" &amp; char(10) &amp; "《修正数値》", ""))</f>
        <v/>
      </c>
      <c r="B29" s="160"/>
      <c r="C29" s="11"/>
      <c r="D29" s="11" t="s">
        <v>83</v>
      </c>
      <c r="E29" s="232"/>
      <c r="F29" s="231" t="str">
        <f t="array" ref="F29">IF(
  E29 = 0, 
  "", 
  IFERROR(
    INDEX(
      'アイテム別限界値DB'!$K:$K, 
      MATCH(
        1, 
        ('アイテム別限界値DB'!$B:$B = D$10) * 
        ('アイテム別限界値DB'!$F:$F = D29) * 
        ('アイテム別限界値DB'!$H:$H = E29), 
        0
      )
    ), 
    "再製作"
  )
)
</f>
        <v/>
      </c>
      <c r="G29" s="218" t="str">
        <f t="array" ref="G29">IF(
  E29 = 0, 
  "", 
  IFERROR(
    INDEX(
      'アイテム別限界値DB'!$L:$L, 
      MATCH(
        1, 
        ('アイテム別限界値DB'!$B:$B = D$10) * 
        ('アイテム別限界値DB'!$C:$C = D29) * 
        ('アイテム別限界値DB'!$F:$F = E29), 
        0
      )
    ), 
    ""
  )
)
</f>
        <v/>
      </c>
      <c r="H29" s="11"/>
      <c r="I29" s="11"/>
      <c r="J29" s="220"/>
      <c r="K29" s="184"/>
      <c r="L29" s="11"/>
      <c r="M29" s="11"/>
      <c r="N29" s="11"/>
      <c r="O29" s="220"/>
      <c r="P29" s="184"/>
      <c r="Q29" s="11"/>
      <c r="R29" s="12"/>
      <c r="S29" s="11"/>
      <c r="T29" s="220"/>
      <c r="U29" s="184"/>
      <c r="V29" s="11"/>
      <c r="W29" s="11"/>
      <c r="X29" s="11" t="s">
        <v>79</v>
      </c>
      <c r="Y29" s="232"/>
      <c r="Z29" s="231" t="str">
        <f t="array" ref="Z29">IF(
  Y29 = 0, 
  "", 
  IFERROR(
    INDEX(
      'アイテム別限界値DB'!$K:$K, 
      MATCH(
        1, 
        ('アイテム別限界値DB'!$B:$B = X$10) * 
        ('アイテム別限界値DB'!$F:$F = X29) * 
        ('アイテム別限界値DB'!$H:$H = Y29), 
        0
      )
    ), 
    "再製作"
  )
)
</f>
        <v/>
      </c>
      <c r="AA29" s="11"/>
      <c r="AB29" s="11"/>
      <c r="AC29" s="11" t="s">
        <v>105</v>
      </c>
      <c r="AD29" s="232"/>
      <c r="AE29" s="231" t="str">
        <f t="array" ref="AE29">IF(
  AD29 = 0, 
  "", 
  IFERROR(
    INDEX(
      'アイテム別限界値DB'!$K:$K, 
      MATCH(
        1, 
        ('アイテム別限界値DB'!$B:$B = AC$10) * 
        ('アイテム別限界値DB'!$F:$F = AC29) * 
        ('アイテム別限界値DB'!$H:$H = AD29), 
        0
      )
    ), 
    "再製作"
  )
)
</f>
        <v/>
      </c>
      <c r="AF29" s="11"/>
      <c r="AG29" s="11"/>
      <c r="AH29" s="11"/>
      <c r="AI29" s="220"/>
      <c r="AJ29" s="184"/>
      <c r="AK29" s="11"/>
      <c r="AL29" s="11"/>
      <c r="AM29" s="11"/>
      <c r="AN29" s="220"/>
      <c r="AO29" s="184"/>
      <c r="AP29" s="11"/>
      <c r="AQ29" s="11"/>
      <c r="AR29" s="11"/>
      <c r="AS29" s="220"/>
      <c r="AT29" s="184"/>
      <c r="AU29" s="11"/>
      <c r="AV29" s="11"/>
      <c r="AW29" s="11"/>
      <c r="AX29" s="220"/>
      <c r="AY29" s="184"/>
      <c r="AZ29" s="11"/>
      <c r="BA29" s="11"/>
      <c r="BB29" s="11"/>
      <c r="BC29" s="220"/>
      <c r="BD29" s="184"/>
      <c r="BE29" s="11"/>
      <c r="BF29" s="11"/>
      <c r="BG29" s="11"/>
      <c r="BH29" s="220"/>
      <c r="BI29" s="184"/>
      <c r="BJ29" s="11"/>
      <c r="BK29" s="11"/>
      <c r="BL29" s="11"/>
      <c r="BM29" s="220"/>
      <c r="BN29" s="184"/>
      <c r="BO29" s="11"/>
      <c r="BP29" s="11"/>
    </row>
    <row r="30" ht="15.75" customHeight="1">
      <c r="A30" s="228" t="str">
        <f>IFERROR(__xludf.DUMMYFUNCTION("TEXTJOIN(CHAR(10),TRUE,FILTER(ARRAYFORMULA(IF(T$14:T72&lt;&gt;"""", S$14:S72 &amp;"" : ""&amp; T$14:T72 &amp;"" cm"","""")), S$14:S72 &lt;&gt;""""))"),"")</f>
        <v/>
      </c>
      <c r="B30" s="229"/>
      <c r="C30" s="11"/>
      <c r="D30" s="11" t="s">
        <v>106</v>
      </c>
      <c r="E30" s="232"/>
      <c r="F30" s="231" t="str">
        <f t="array" ref="F30">IF(
  E30 = 0, 
  "", 
  IFERROR(
    INDEX(
      'アイテム別限界値DB'!$K:$K, 
      MATCH(
        1, 
        ('アイテム別限界値DB'!$B:$B = D$10) * 
        ('アイテム別限界値DB'!$F:$F = D30) * 
        ('アイテム別限界値DB'!$H:$H = E30), 
        0
      )
    ), 
    "再製作"
  )
)
</f>
        <v/>
      </c>
      <c r="G30" s="218" t="str">
        <f t="array" ref="G30">IF(
  E30 = 0, 
  "", 
  IFERROR(
    INDEX(
      'アイテム別限界値DB'!$L:$L, 
      MATCH(
        1, 
        ('アイテム別限界値DB'!$B:$B = D$10) * 
        ('アイテム別限界値DB'!$C:$C = D30) * 
        ('アイテム別限界値DB'!$F:$F = E30), 
        0
      )
    ), 
    ""
  )
)
</f>
        <v/>
      </c>
      <c r="H30" s="11"/>
      <c r="I30" s="11"/>
      <c r="J30" s="220"/>
      <c r="K30" s="184"/>
      <c r="L30" s="11"/>
      <c r="M30" s="11"/>
      <c r="N30" s="11"/>
      <c r="O30" s="220"/>
      <c r="P30" s="184"/>
      <c r="Q30" s="11"/>
      <c r="R30" s="12"/>
      <c r="S30" s="11"/>
      <c r="T30" s="220"/>
      <c r="U30" s="184"/>
      <c r="V30" s="11"/>
      <c r="W30" s="11"/>
      <c r="X30" s="11" t="s">
        <v>83</v>
      </c>
      <c r="Y30" s="232"/>
      <c r="Z30" s="231" t="str">
        <f t="array" ref="Z30">IF(
  Y30 = 0, 
  "", 
  IFERROR(
    INDEX(
      'アイテム別限界値DB'!$K:$K, 
      MATCH(
        1, 
        ('アイテム別限界値DB'!$B:$B = X$10) * 
        ('アイテム別限界値DB'!$F:$F = X30) * 
        ('アイテム別限界値DB'!$H:$H = Y30), 
        0
      )
    ), 
    "再製作"
  )
)
</f>
        <v/>
      </c>
      <c r="AA30" s="11"/>
      <c r="AB30" s="11"/>
      <c r="AC30" s="11"/>
      <c r="AD30" s="220"/>
      <c r="AE30" s="184"/>
      <c r="AF30" s="11"/>
      <c r="AG30" s="11"/>
      <c r="AH30" s="11"/>
      <c r="AI30" s="220"/>
      <c r="AJ30" s="184"/>
      <c r="AK30" s="11"/>
      <c r="AL30" s="11"/>
      <c r="AM30" s="11"/>
      <c r="AN30" s="220"/>
      <c r="AO30" s="184"/>
      <c r="AP30" s="11"/>
      <c r="AQ30" s="11"/>
      <c r="AR30" s="11"/>
      <c r="AS30" s="220"/>
      <c r="AT30" s="184"/>
      <c r="AU30" s="11"/>
      <c r="AV30" s="11"/>
      <c r="AW30" s="11"/>
      <c r="AX30" s="220"/>
      <c r="AY30" s="184"/>
      <c r="AZ30" s="11"/>
      <c r="BA30" s="11"/>
      <c r="BB30" s="11"/>
      <c r="BC30" s="220"/>
      <c r="BD30" s="184"/>
      <c r="BE30" s="11"/>
      <c r="BF30" s="11"/>
      <c r="BG30" s="11"/>
      <c r="BH30" s="220"/>
      <c r="BI30" s="184"/>
      <c r="BJ30" s="11"/>
      <c r="BK30" s="11"/>
      <c r="BL30" s="11"/>
      <c r="BM30" s="220"/>
      <c r="BN30" s="184"/>
      <c r="BO30" s="11"/>
      <c r="BP30" s="11"/>
    </row>
    <row r="31" ht="15.75" customHeight="1">
      <c r="A31" s="242" t="str">
        <f>if($A$29&lt;&gt;"", "《仕上がり数値》","")</f>
        <v/>
      </c>
      <c r="B31" s="12"/>
      <c r="C31" s="11"/>
      <c r="D31" s="11" t="s">
        <v>107</v>
      </c>
      <c r="E31" s="230"/>
      <c r="F31" s="231" t="str">
        <f t="array" ref="F31">IF(
  E31 = 0, 
  "", 
  IFERROR(
    INDEX(
      'アイテム別限界値DB'!$K:$K, 
      MATCH(
        1, 
        ('アイテム別限界値DB'!$B:$B = D$10) * 
        ('アイテム別限界値DB'!$F:$F = D31) * 
        ('アイテム別限界値DB'!$H:$H = E31), 
        0
      )
    ), 
    "再製作"
  )
)
</f>
        <v/>
      </c>
      <c r="G31" s="218" t="str">
        <f t="array" ref="G31">IF(
  E31 = 0, 
  "", 
  IFERROR(
    INDEX(
      'アイテム別限界値DB'!$L:$L, 
      MATCH(
        1, 
        ('アイテム別限界値DB'!$B:$B = D$10) * 
        ('アイテム別限界値DB'!$C:$C = D31) * 
        ('アイテム別限界値DB'!$F:$F = E31), 
        0
      )
    ), 
    ""
  )
)
</f>
        <v/>
      </c>
      <c r="H31" s="11"/>
      <c r="I31" s="11"/>
      <c r="J31" s="220"/>
      <c r="K31" s="184"/>
      <c r="L31" s="11"/>
      <c r="M31" s="11"/>
      <c r="N31" s="11"/>
      <c r="O31" s="220"/>
      <c r="P31" s="184"/>
      <c r="Q31" s="11"/>
      <c r="R31" s="12"/>
      <c r="S31" s="11"/>
      <c r="T31" s="220"/>
      <c r="U31" s="184"/>
      <c r="V31" s="11"/>
      <c r="W31" s="11"/>
      <c r="X31" s="11" t="s">
        <v>105</v>
      </c>
      <c r="Y31" s="232"/>
      <c r="Z31" s="231" t="str">
        <f t="array" ref="Z31">IF(
  Y31 = 0, 
  "", 
  IFERROR(
    INDEX(
      'アイテム別限界値DB'!$K:$K, 
      MATCH(
        1, 
        ('アイテム別限界値DB'!$B:$B = X$10) * 
        ('アイテム別限界値DB'!$F:$F = X31) * 
        ('アイテム別限界値DB'!$H:$H = Y31), 
        0
      )
    ), 
    "再製作"
  )
)
</f>
        <v/>
      </c>
      <c r="AA31" s="11"/>
      <c r="AB31" s="11"/>
      <c r="AC31" s="11"/>
      <c r="AD31" s="220"/>
      <c r="AE31" s="184"/>
      <c r="AF31" s="11"/>
      <c r="AG31" s="11"/>
      <c r="AH31" s="11"/>
      <c r="AI31" s="220"/>
      <c r="AJ31" s="184"/>
      <c r="AK31" s="11"/>
      <c r="AL31" s="11"/>
      <c r="AM31" s="11"/>
      <c r="AN31" s="220"/>
      <c r="AO31" s="184"/>
      <c r="AP31" s="11"/>
      <c r="AQ31" s="11"/>
      <c r="AR31" s="11"/>
      <c r="AS31" s="220"/>
      <c r="AT31" s="184"/>
      <c r="AU31" s="11"/>
      <c r="AV31" s="11"/>
      <c r="AW31" s="11"/>
      <c r="AX31" s="220"/>
      <c r="AY31" s="184"/>
      <c r="AZ31" s="11"/>
      <c r="BA31" s="11"/>
      <c r="BB31" s="11"/>
      <c r="BC31" s="220"/>
      <c r="BD31" s="184"/>
      <c r="BE31" s="11"/>
      <c r="BF31" s="11"/>
      <c r="BG31" s="11"/>
      <c r="BH31" s="220"/>
      <c r="BI31" s="184"/>
      <c r="BJ31" s="11"/>
      <c r="BK31" s="11"/>
      <c r="BL31" s="11"/>
      <c r="BM31" s="220"/>
      <c r="BN31" s="184"/>
      <c r="BO31" s="11"/>
      <c r="BP31" s="11"/>
    </row>
    <row r="32" ht="15.75" customHeight="1">
      <c r="A32" s="228" t="str">
        <f>IFERROR(__xludf.DUMMYFUNCTION("TEXTJOIN(CHAR(10),TRUE,FILTER(ARRAYFORMULA(IF(T$14:T72&lt;&gt;"""", S$14:S72 &amp;"" :  cm"","""")), S$14:S72 &lt;&gt;""""))"),"")</f>
        <v/>
      </c>
      <c r="B32" s="160"/>
      <c r="C32" s="11"/>
      <c r="D32" s="11" t="s">
        <v>108</v>
      </c>
      <c r="E32" s="230"/>
      <c r="F32" s="231" t="str">
        <f t="array" ref="F32">IF(
  E32 = 0, 
  "", 
  IFERROR(
    INDEX(
      'アイテム別限界値DB'!$K:$K, 
      MATCH(
        1, 
        ('アイテム別限界値DB'!$B:$B = D$10) * 
        ('アイテム別限界値DB'!$F:$F = D32) * 
        ('アイテム別限界値DB'!$H:$H = E32), 
        0
      )
    ), 
    "再製作"
  )
)
</f>
        <v/>
      </c>
      <c r="G32" s="218" t="str">
        <f t="array" ref="G32">IF(
  E32 = 0, 
  "", 
  IFERROR(
    INDEX(
      'アイテム別限界値DB'!$L:$L, 
      MATCH(
        1, 
        ('アイテム別限界値DB'!$B:$B = D$10) * 
        ('アイテム別限界値DB'!$C:$C = D32) * 
        ('アイテム別限界値DB'!$F:$F = E32), 
        0
      )
    ), 
    ""
  )
)
</f>
        <v/>
      </c>
      <c r="H32" s="11"/>
      <c r="I32" s="11"/>
      <c r="J32" s="220"/>
      <c r="K32" s="184"/>
      <c r="L32" s="11"/>
      <c r="M32" s="11"/>
      <c r="N32" s="11"/>
      <c r="O32" s="220"/>
      <c r="P32" s="184"/>
      <c r="Q32" s="11"/>
      <c r="R32" s="12"/>
      <c r="S32" s="11"/>
      <c r="T32" s="220"/>
      <c r="U32" s="184"/>
      <c r="V32" s="11"/>
      <c r="W32" s="11"/>
      <c r="X32" s="11"/>
      <c r="Y32" s="220"/>
      <c r="Z32" s="184"/>
      <c r="AA32" s="11"/>
      <c r="AB32" s="11"/>
      <c r="AC32" s="11"/>
      <c r="AD32" s="220"/>
      <c r="AE32" s="184"/>
      <c r="AF32" s="11"/>
      <c r="AG32" s="11"/>
      <c r="AH32" s="11"/>
      <c r="AI32" s="220"/>
      <c r="AJ32" s="184"/>
      <c r="AK32" s="11"/>
      <c r="AL32" s="11"/>
      <c r="AM32" s="11"/>
      <c r="AN32" s="220"/>
      <c r="AO32" s="184"/>
      <c r="AP32" s="11"/>
      <c r="AQ32" s="11"/>
      <c r="AR32" s="11"/>
      <c r="AS32" s="220"/>
      <c r="AT32" s="184"/>
      <c r="AU32" s="11"/>
      <c r="AV32" s="11"/>
      <c r="AW32" s="11"/>
      <c r="AX32" s="220"/>
      <c r="AY32" s="184"/>
      <c r="AZ32" s="11"/>
      <c r="BA32" s="11"/>
      <c r="BB32" s="11"/>
      <c r="BC32" s="220"/>
      <c r="BD32" s="184"/>
      <c r="BE32" s="11"/>
      <c r="BF32" s="11"/>
      <c r="BG32" s="11"/>
      <c r="BH32" s="220"/>
      <c r="BI32" s="184"/>
      <c r="BJ32" s="11"/>
      <c r="BK32" s="11"/>
      <c r="BL32" s="11"/>
      <c r="BM32" s="220"/>
      <c r="BN32" s="184"/>
      <c r="BO32" s="11"/>
      <c r="BP32" s="11"/>
    </row>
    <row r="33" ht="15.75" customHeight="1">
      <c r="A33" s="237" t="s">
        <v>109</v>
      </c>
      <c r="B33" s="229"/>
      <c r="C33" s="11"/>
      <c r="D33" s="11" t="s">
        <v>110</v>
      </c>
      <c r="E33" s="232"/>
      <c r="F33" s="231" t="str">
        <f t="array" ref="F33">IF(
  E33 = 0, 
  "", 
  IFERROR(
    INDEX(
      'アイテム別限界値DB'!$K:$K, 
      MATCH(
        1, 
        ('アイテム別限界値DB'!$B:$B = D$10) * 
        ('アイテム別限界値DB'!$F:$F = D33) * 
        ('アイテム別限界値DB'!$H:$H = E33), 
        0
      )
    ), 
    "再製作"
  )
)
</f>
        <v/>
      </c>
      <c r="G33" s="218" t="str">
        <f t="array" ref="G33">IF(
  E33 = 0, 
  "", 
  IFERROR(
    INDEX(
      'アイテム別限界値DB'!$L:$L, 
      MATCH(
        1, 
        ('アイテム別限界値DB'!$B:$B = D$10) * 
        ('アイテム別限界値DB'!$C:$C = D33) * 
        ('アイテム別限界値DB'!$F:$F = E33), 
        0
      )
    ), 
    ""
  )
)
</f>
        <v/>
      </c>
      <c r="H33" s="11"/>
      <c r="I33" s="11"/>
      <c r="J33" s="220"/>
      <c r="K33" s="184"/>
      <c r="L33" s="11"/>
      <c r="M33" s="11"/>
      <c r="N33" s="11"/>
      <c r="O33" s="220"/>
      <c r="P33" s="184"/>
      <c r="Q33" s="11"/>
      <c r="R33" s="12"/>
      <c r="S33" s="11"/>
      <c r="T33" s="220"/>
      <c r="U33" s="184"/>
      <c r="V33" s="11"/>
      <c r="W33" s="11"/>
      <c r="X33" s="11"/>
      <c r="Y33" s="220"/>
      <c r="Z33" s="184"/>
      <c r="AA33" s="11"/>
      <c r="AB33" s="11"/>
      <c r="AC33" s="11"/>
      <c r="AD33" s="220"/>
      <c r="AE33" s="184"/>
      <c r="AF33" s="11"/>
      <c r="AG33" s="11"/>
      <c r="AH33" s="11"/>
      <c r="AI33" s="220"/>
      <c r="AJ33" s="184"/>
      <c r="AK33" s="11"/>
      <c r="AL33" s="11"/>
      <c r="AM33" s="11"/>
      <c r="AN33" s="220"/>
      <c r="AO33" s="184"/>
      <c r="AP33" s="11"/>
      <c r="AQ33" s="11"/>
      <c r="AR33" s="11"/>
      <c r="AS33" s="220"/>
      <c r="AT33" s="184"/>
      <c r="AU33" s="11"/>
      <c r="AV33" s="11"/>
      <c r="AW33" s="11"/>
      <c r="AX33" s="220"/>
      <c r="AY33" s="184"/>
      <c r="AZ33" s="11"/>
      <c r="BA33" s="11"/>
      <c r="BB33" s="11"/>
      <c r="BC33" s="220"/>
      <c r="BD33" s="184"/>
      <c r="BE33" s="11"/>
      <c r="BF33" s="11"/>
      <c r="BG33" s="11"/>
      <c r="BH33" s="220"/>
      <c r="BI33" s="184"/>
      <c r="BJ33" s="11"/>
      <c r="BK33" s="11"/>
      <c r="BL33" s="11"/>
      <c r="BM33" s="220"/>
      <c r="BN33" s="184"/>
      <c r="BO33" s="11"/>
      <c r="BP33" s="11"/>
    </row>
    <row r="34" ht="15.75" customHeight="1">
      <c r="A34" s="228" t="str">
        <f>IF($X$11="再製作", "◼︎ シャツ（対応着地：再製作）" &amp; char(10) &amp; "《修正数値》" , IF($X$11&lt;&gt;"", "◼︎ シャツ（対応着地：お直し）" &amp; char(10) &amp; "《修正数値》", ""))</f>
        <v/>
      </c>
      <c r="B34" s="12"/>
      <c r="C34" s="11"/>
      <c r="D34" s="11" t="s">
        <v>111</v>
      </c>
      <c r="E34" s="230"/>
      <c r="F34" s="231" t="str">
        <f t="array" ref="F34">IF(
  E34 = 0, 
  "", 
  IFERROR(
    INDEX(
      'アイテム別限界値DB'!$K:$K, 
      MATCH(
        1, 
        ('アイテム別限界値DB'!$B:$B = D$10) * 
        ('アイテム別限界値DB'!$F:$F = D34) * 
        ('アイテム別限界値DB'!$H:$H = E34), 
        0
      )
    ), 
    "再製作"
  )
)
</f>
        <v/>
      </c>
      <c r="G34" s="218" t="str">
        <f t="array" ref="G34">IF(
  E34 = 0, 
  "", 
  IFERROR(
    INDEX(
      'アイテム別限界値DB'!$L:$L, 
      MATCH(
        1, 
        ('アイテム別限界値DB'!$B:$B = D$10) * 
        ('アイテム別限界値DB'!$C:$C = D34) * 
        ('アイテム別限界値DB'!$F:$F = E34), 
        0
      )
    ), 
    ""
  )
)
</f>
        <v/>
      </c>
      <c r="H34" s="11"/>
      <c r="I34" s="11"/>
      <c r="J34" s="220"/>
      <c r="K34" s="184"/>
      <c r="L34" s="11"/>
      <c r="M34" s="11"/>
      <c r="N34" s="11"/>
      <c r="O34" s="220"/>
      <c r="P34" s="184"/>
      <c r="Q34" s="11"/>
      <c r="R34" s="12"/>
      <c r="S34" s="11"/>
      <c r="T34" s="220"/>
      <c r="U34" s="184"/>
      <c r="V34" s="11"/>
      <c r="W34" s="11"/>
      <c r="X34" s="11"/>
      <c r="Y34" s="220"/>
      <c r="Z34" s="184"/>
      <c r="AA34" s="11"/>
      <c r="AB34" s="11"/>
      <c r="AC34" s="11"/>
      <c r="AD34" s="220"/>
      <c r="AE34" s="184"/>
      <c r="AF34" s="11"/>
      <c r="AG34" s="11"/>
      <c r="AH34" s="11"/>
      <c r="AI34" s="220"/>
      <c r="AJ34" s="184"/>
      <c r="AK34" s="11"/>
      <c r="AL34" s="11"/>
      <c r="AM34" s="11"/>
      <c r="AN34" s="220"/>
      <c r="AO34" s="184"/>
      <c r="AP34" s="11"/>
      <c r="AQ34" s="11"/>
      <c r="AR34" s="11"/>
      <c r="AS34" s="220"/>
      <c r="AT34" s="184"/>
      <c r="AU34" s="11"/>
      <c r="AV34" s="11"/>
      <c r="AW34" s="11"/>
      <c r="AX34" s="220"/>
      <c r="AY34" s="184"/>
      <c r="AZ34" s="11"/>
      <c r="BA34" s="11"/>
      <c r="BB34" s="11"/>
      <c r="BC34" s="220"/>
      <c r="BD34" s="184"/>
      <c r="BE34" s="11"/>
      <c r="BF34" s="11"/>
      <c r="BG34" s="11"/>
      <c r="BH34" s="220"/>
      <c r="BI34" s="184"/>
      <c r="BJ34" s="11"/>
      <c r="BK34" s="11"/>
      <c r="BL34" s="11"/>
      <c r="BM34" s="220"/>
      <c r="BN34" s="184"/>
      <c r="BO34" s="11"/>
      <c r="BP34" s="11"/>
    </row>
    <row r="35" ht="15.75" customHeight="1">
      <c r="A35" s="228" t="str">
        <f>IFERROR(__xludf.DUMMYFUNCTION("TEXTJOIN(CHAR(10),TRUE,FILTER(ARRAYFORMULA(IF(Y$14:Y72&lt;&gt;"""", X$14:X72 &amp;"" : ""&amp; Y$14:Y72 &amp;"" cm"","""")), X$14:X72 &lt;&gt;""""))"),"")</f>
        <v/>
      </c>
      <c r="B35" s="160"/>
      <c r="C35" s="11"/>
      <c r="D35" s="11" t="s">
        <v>112</v>
      </c>
      <c r="E35" s="232"/>
      <c r="F35" s="231" t="str">
        <f t="array" ref="F35">IF(
  E35 = 0, 
  "", 
  IFERROR(
    INDEX(
      'アイテム別限界値DB'!$K:$K, 
      MATCH(
        1, 
        ('アイテム別限界値DB'!$B:$B = D$10) * 
        ('アイテム別限界値DB'!$F:$F = D35) * 
        ('アイテム別限界値DB'!$H:$H = E35), 
        0
      )
    ), 
    "再製作"
  )
)
</f>
        <v/>
      </c>
      <c r="G35" s="218" t="str">
        <f t="array" ref="G35">IF(
  E35 = 0, 
  "", 
  IFERROR(
    INDEX(
      'アイテム別限界値DB'!$L:$L, 
      MATCH(
        1, 
        ('アイテム別限界値DB'!$B:$B = D$10) * 
        ('アイテム別限界値DB'!$C:$C = D35) * 
        ('アイテム別限界値DB'!$F:$F = E35), 
        0
      )
    ), 
    ""
  )
)
</f>
        <v/>
      </c>
      <c r="H35" s="11"/>
      <c r="I35" s="11"/>
      <c r="J35" s="220"/>
      <c r="K35" s="184"/>
      <c r="L35" s="11"/>
      <c r="M35" s="11"/>
      <c r="N35" s="11"/>
      <c r="O35" s="220"/>
      <c r="P35" s="184"/>
      <c r="Q35" s="11"/>
      <c r="R35" s="12"/>
      <c r="S35" s="11"/>
      <c r="T35" s="220"/>
      <c r="U35" s="184"/>
      <c r="V35" s="11"/>
      <c r="W35" s="11"/>
      <c r="X35" s="11"/>
      <c r="Y35" s="220"/>
      <c r="Z35" s="184"/>
      <c r="AA35" s="11"/>
      <c r="AB35" s="11"/>
      <c r="AC35" s="11"/>
      <c r="AD35" s="220"/>
      <c r="AE35" s="184"/>
      <c r="AF35" s="11"/>
      <c r="AG35" s="11"/>
      <c r="AH35" s="11"/>
      <c r="AI35" s="220"/>
      <c r="AJ35" s="184"/>
      <c r="AK35" s="11"/>
      <c r="AL35" s="11"/>
      <c r="AM35" s="11"/>
      <c r="AN35" s="220"/>
      <c r="AO35" s="184"/>
      <c r="AP35" s="11"/>
      <c r="AQ35" s="11"/>
      <c r="AR35" s="11"/>
      <c r="AS35" s="220"/>
      <c r="AT35" s="184"/>
      <c r="AU35" s="11"/>
      <c r="AV35" s="11"/>
      <c r="AW35" s="11"/>
      <c r="AX35" s="220"/>
      <c r="AY35" s="184"/>
      <c r="AZ35" s="11"/>
      <c r="BA35" s="11"/>
      <c r="BB35" s="11"/>
      <c r="BC35" s="220"/>
      <c r="BD35" s="184"/>
      <c r="BE35" s="11"/>
      <c r="BF35" s="11"/>
      <c r="BG35" s="11"/>
      <c r="BH35" s="220"/>
      <c r="BI35" s="184"/>
      <c r="BJ35" s="11"/>
      <c r="BK35" s="11"/>
      <c r="BL35" s="11"/>
      <c r="BM35" s="220"/>
      <c r="BN35" s="184"/>
      <c r="BO35" s="11"/>
      <c r="BP35" s="11"/>
    </row>
    <row r="36" ht="15.75" customHeight="1">
      <c r="A36" s="236" t="str">
        <f>if($A$34&lt;&gt;"", "《仕上がり数値》","")</f>
        <v/>
      </c>
      <c r="B36" s="229"/>
      <c r="C36" s="11"/>
      <c r="D36" s="11" t="s">
        <v>113</v>
      </c>
      <c r="E36" s="232"/>
      <c r="F36" s="231" t="str">
        <f t="array" ref="F36">IF(
  E36 = 0, 
  "", 
  IFERROR(
    INDEX(
      'アイテム別限界値DB'!$K:$K, 
      MATCH(
        1, 
        ('アイテム別限界値DB'!$B:$B = D$10) * 
        ('アイテム別限界値DB'!$F:$F = D36) * 
        ('アイテム別限界値DB'!$H:$H = E36), 
        0
      )
    ), 
    "再製作"
  )
)
</f>
        <v/>
      </c>
      <c r="G36" s="218" t="str">
        <f t="array" ref="G36">IF(
  E36 = 0, 
  "", 
  IFERROR(
    INDEX(
      'アイテム別限界値DB'!$L:$L, 
      MATCH(
        1, 
        ('アイテム別限界値DB'!$B:$B = D$10) * 
        ('アイテム別限界値DB'!$C:$C = D36) * 
        ('アイテム別限界値DB'!$F:$F = E36), 
        0
      )
    ), 
    ""
  )
)
</f>
        <v/>
      </c>
      <c r="H36" s="11"/>
      <c r="I36" s="11"/>
      <c r="J36" s="220"/>
      <c r="K36" s="184"/>
      <c r="L36" s="11"/>
      <c r="M36" s="11"/>
      <c r="N36" s="11"/>
      <c r="O36" s="220"/>
      <c r="P36" s="184"/>
      <c r="Q36" s="11"/>
      <c r="R36" s="12"/>
      <c r="S36" s="11"/>
      <c r="T36" s="220"/>
      <c r="U36" s="184"/>
      <c r="V36" s="11"/>
      <c r="W36" s="11"/>
      <c r="X36" s="11"/>
      <c r="Y36" s="220"/>
      <c r="Z36" s="184"/>
      <c r="AA36" s="11"/>
      <c r="AB36" s="11"/>
      <c r="AC36" s="11"/>
      <c r="AD36" s="220"/>
      <c r="AE36" s="184"/>
      <c r="AF36" s="11"/>
      <c r="AG36" s="11"/>
      <c r="AH36" s="11"/>
      <c r="AI36" s="220"/>
      <c r="AJ36" s="184"/>
      <c r="AK36" s="11"/>
      <c r="AL36" s="11"/>
      <c r="AM36" s="11"/>
      <c r="AN36" s="220"/>
      <c r="AO36" s="184"/>
      <c r="AP36" s="11"/>
      <c r="AQ36" s="11"/>
      <c r="AR36" s="11"/>
      <c r="AS36" s="220"/>
      <c r="AT36" s="184"/>
      <c r="AU36" s="11"/>
      <c r="AV36" s="11"/>
      <c r="AW36" s="11"/>
      <c r="AX36" s="220"/>
      <c r="AY36" s="184"/>
      <c r="AZ36" s="11"/>
      <c r="BA36" s="11"/>
      <c r="BB36" s="11"/>
      <c r="BC36" s="220"/>
      <c r="BD36" s="184"/>
      <c r="BE36" s="11"/>
      <c r="BF36" s="11"/>
      <c r="BG36" s="11"/>
      <c r="BH36" s="220"/>
      <c r="BI36" s="184"/>
      <c r="BJ36" s="11"/>
      <c r="BK36" s="11"/>
      <c r="BL36" s="11"/>
      <c r="BM36" s="220"/>
      <c r="BN36" s="184"/>
      <c r="BO36" s="11"/>
      <c r="BP36" s="11"/>
    </row>
    <row r="37">
      <c r="A37" s="228" t="str">
        <f>IFERROR(__xludf.DUMMYFUNCTION("TEXTJOIN(CHAR(10),TRUE,FILTER(ARRAYFORMULA(IF(Y$14:Y72&lt;&gt;"""", X$14:X72 &amp;"" :  cm"","""")), X$14:X72 &lt;&gt;""""))"),"")</f>
        <v/>
      </c>
      <c r="B37" s="12"/>
      <c r="C37" s="11"/>
      <c r="D37" s="11" t="s">
        <v>114</v>
      </c>
      <c r="E37" s="230"/>
      <c r="F37" s="231" t="str">
        <f t="array" ref="F37">IF(
  E37 = 0, 
  "", 
  IFERROR(
    INDEX(
      'アイテム別限界値DB'!$K:$K, 
      MATCH(
        1, 
        ('アイテム別限界値DB'!$B:$B = D$10) * 
        ('アイテム別限界値DB'!$F:$F = D37) * 
        ('アイテム別限界値DB'!$H:$H = E37), 
        0
      )
    ), 
    "再製作"
  )
)
</f>
        <v/>
      </c>
      <c r="G37" s="218" t="str">
        <f t="array" ref="G37">IF(
  E37 = 0, 
  "", 
  IFERROR(
    INDEX(
      'アイテム別限界値DB'!$L:$L, 
      MATCH(
        1, 
        ('アイテム別限界値DB'!$B:$B = D$10) * 
        ('アイテム別限界値DB'!$C:$C = D37) * 
        ('アイテム別限界値DB'!$F:$F = E37), 
        0
      )
    ), 
    ""
  )
)
</f>
        <v/>
      </c>
      <c r="H37" s="11"/>
      <c r="I37" s="11"/>
      <c r="J37" s="220"/>
      <c r="K37" s="184"/>
      <c r="L37" s="11"/>
      <c r="M37" s="11"/>
      <c r="N37" s="11"/>
      <c r="O37" s="220"/>
      <c r="P37" s="184"/>
      <c r="Q37" s="11"/>
      <c r="R37" s="12"/>
      <c r="S37" s="11"/>
      <c r="T37" s="220"/>
      <c r="U37" s="184"/>
      <c r="V37" s="11"/>
      <c r="W37" s="11"/>
      <c r="X37" s="11"/>
      <c r="Y37" s="220"/>
      <c r="Z37" s="184"/>
      <c r="AA37" s="11"/>
      <c r="AB37" s="11"/>
      <c r="AC37" s="11"/>
      <c r="AD37" s="220"/>
      <c r="AE37" s="184"/>
      <c r="AF37" s="11"/>
      <c r="AG37" s="11"/>
      <c r="AH37" s="11"/>
      <c r="AI37" s="220"/>
      <c r="AJ37" s="184"/>
      <c r="AK37" s="11"/>
      <c r="AL37" s="11"/>
      <c r="AM37" s="11"/>
      <c r="AN37" s="220"/>
      <c r="AO37" s="184"/>
      <c r="AP37" s="11"/>
      <c r="AQ37" s="11"/>
      <c r="AR37" s="11"/>
      <c r="AS37" s="220"/>
      <c r="AT37" s="184"/>
      <c r="AU37" s="11"/>
      <c r="AV37" s="11"/>
      <c r="AW37" s="11"/>
      <c r="AX37" s="220"/>
      <c r="AY37" s="184"/>
      <c r="AZ37" s="11"/>
      <c r="BA37" s="11"/>
      <c r="BB37" s="11"/>
      <c r="BC37" s="220"/>
      <c r="BD37" s="184"/>
      <c r="BE37" s="11"/>
      <c r="BF37" s="11"/>
      <c r="BG37" s="11"/>
      <c r="BH37" s="220"/>
      <c r="BI37" s="184"/>
      <c r="BJ37" s="11"/>
      <c r="BK37" s="11"/>
      <c r="BL37" s="11"/>
      <c r="BM37" s="220"/>
      <c r="BN37" s="184"/>
      <c r="BO37" s="11"/>
      <c r="BP37" s="11"/>
    </row>
    <row r="38">
      <c r="A38" s="243" t="s">
        <v>115</v>
      </c>
      <c r="B38" s="160"/>
      <c r="C38" s="11"/>
      <c r="D38" s="11" t="s">
        <v>116</v>
      </c>
      <c r="E38" s="230"/>
      <c r="F38" s="231" t="str">
        <f t="array" ref="F38">IF(
  E38 = 0, 
  "", 
  IFERROR(
    INDEX(
      'アイテム別限界値DB'!$K:$K, 
      MATCH(
        1, 
        ('アイテム別限界値DB'!$B:$B = D$10) * 
        ('アイテム別限界値DB'!$F:$F = D38) * 
        ('アイテム別限界値DB'!$H:$H = E38), 
        0
      )
    ), 
    "再製作"
  )
)
</f>
        <v/>
      </c>
      <c r="G38" s="218" t="str">
        <f t="array" ref="G38">IF(
  E38 = 0, 
  "", 
  IFERROR(
    INDEX(
      'アイテム別限界値DB'!$L:$L, 
      MATCH(
        1, 
        ('アイテム別限界値DB'!$B:$B = D$10) * 
        ('アイテム別限界値DB'!$C:$C = D38) * 
        ('アイテム別限界値DB'!$F:$F = E38), 
        0
      )
    ), 
    ""
  )
)
</f>
        <v/>
      </c>
      <c r="H38" s="11"/>
      <c r="I38" s="11"/>
      <c r="J38" s="220"/>
      <c r="K38" s="184"/>
      <c r="L38" s="11"/>
      <c r="M38" s="11"/>
      <c r="N38" s="11"/>
      <c r="O38" s="220"/>
      <c r="P38" s="184"/>
      <c r="Q38" s="11"/>
      <c r="R38" s="12"/>
      <c r="S38" s="11"/>
      <c r="T38" s="220"/>
      <c r="U38" s="184"/>
      <c r="V38" s="11"/>
      <c r="W38" s="11"/>
      <c r="X38" s="11"/>
      <c r="Y38" s="220"/>
      <c r="Z38" s="184"/>
      <c r="AA38" s="11"/>
      <c r="AB38" s="11"/>
      <c r="AC38" s="11"/>
      <c r="AD38" s="220"/>
      <c r="AE38" s="184"/>
      <c r="AF38" s="11"/>
      <c r="AG38" s="11"/>
      <c r="AH38" s="11"/>
      <c r="AI38" s="220"/>
      <c r="AJ38" s="184"/>
      <c r="AK38" s="11"/>
      <c r="AL38" s="11"/>
      <c r="AM38" s="11"/>
      <c r="AN38" s="220"/>
      <c r="AO38" s="184"/>
      <c r="AP38" s="11"/>
      <c r="AQ38" s="11"/>
      <c r="AR38" s="11"/>
      <c r="AS38" s="220"/>
      <c r="AT38" s="184"/>
      <c r="AU38" s="11"/>
      <c r="AV38" s="11"/>
      <c r="AW38" s="11"/>
      <c r="AX38" s="220"/>
      <c r="AY38" s="184"/>
      <c r="AZ38" s="11"/>
      <c r="BA38" s="11"/>
      <c r="BB38" s="11"/>
      <c r="BC38" s="220"/>
      <c r="BD38" s="184"/>
      <c r="BE38" s="11"/>
      <c r="BF38" s="11"/>
      <c r="BG38" s="11"/>
      <c r="BH38" s="220"/>
      <c r="BI38" s="184"/>
      <c r="BJ38" s="11"/>
      <c r="BK38" s="11"/>
      <c r="BL38" s="11"/>
      <c r="BM38" s="220"/>
      <c r="BN38" s="184"/>
      <c r="BO38" s="11"/>
      <c r="BP38" s="11"/>
    </row>
    <row r="39">
      <c r="A39" s="228" t="str">
        <f>IF( $AC$11 = "再製作", "◼︎ ポロシャツ（対応着地：再製作）" &amp; char(10) &amp; "《修正数値》" , IF($AC$11 &lt;&gt; "", "◼︎ ポロシャツ（対応着地：お直し）" &amp; char(10) &amp; "《修正数値》" , ""))</f>
        <v/>
      </c>
      <c r="B39" s="229"/>
      <c r="C39" s="11"/>
      <c r="D39" s="11" t="s">
        <v>117</v>
      </c>
      <c r="E39" s="230"/>
      <c r="F39" s="231" t="str">
        <f t="array" ref="F39">IF(
  E39 = 0, 
  "", 
  IFERROR(
    INDEX(
      'アイテム別限界値DB'!$I:$I, 
      MATCH(
        1, 
        ('アイテム別限界値DB'!$B:$B = D$10) * 
        ('アイテム別限界値DB'!$C:$C = D39) * 
        ('アイテム別限界値DB'!$F:$F = E39), 
        0
      )
    ), 
    "再製作"
  )
)
</f>
        <v/>
      </c>
      <c r="G39" s="218" t="str">
        <f t="array" ref="G39">IF(
  E39 = 0, 
  "", 
  IFERROR(
    INDEX(
      'アイテム別限界値DB'!$L:$L, 
      MATCH(
        1, 
        ('アイテム別限界値DB'!$B:$B = D$10) * 
        ('アイテム別限界値DB'!$C:$C = D39) * 
        ('アイテム別限界値DB'!$F:$F = E39), 
        0
      )
    ), 
    ""
  )
)
</f>
        <v/>
      </c>
      <c r="H39" s="11"/>
      <c r="I39" s="11"/>
      <c r="J39" s="220"/>
      <c r="K39" s="184"/>
      <c r="L39" s="11"/>
      <c r="M39" s="11"/>
      <c r="N39" s="11"/>
      <c r="O39" s="220"/>
      <c r="P39" s="184"/>
      <c r="Q39" s="11"/>
      <c r="R39" s="12"/>
      <c r="S39" s="11"/>
      <c r="T39" s="220"/>
      <c r="U39" s="184"/>
      <c r="V39" s="11"/>
      <c r="W39" s="11"/>
      <c r="X39" s="11"/>
      <c r="Y39" s="220"/>
      <c r="Z39" s="184"/>
      <c r="AA39" s="11"/>
      <c r="AB39" s="11"/>
      <c r="AC39" s="11"/>
      <c r="AD39" s="220"/>
      <c r="AE39" s="184"/>
      <c r="AF39" s="11"/>
      <c r="AG39" s="11"/>
      <c r="AH39" s="11"/>
      <c r="AI39" s="220"/>
      <c r="AJ39" s="184"/>
      <c r="AK39" s="11"/>
      <c r="AL39" s="11"/>
      <c r="AM39" s="11"/>
      <c r="AN39" s="220"/>
      <c r="AO39" s="184"/>
      <c r="AP39" s="11"/>
      <c r="AQ39" s="11"/>
      <c r="AR39" s="11"/>
      <c r="AS39" s="220"/>
      <c r="AT39" s="184"/>
      <c r="AU39" s="11"/>
      <c r="AV39" s="11"/>
      <c r="AW39" s="11"/>
      <c r="AX39" s="220"/>
      <c r="AY39" s="184"/>
      <c r="AZ39" s="11"/>
      <c r="BA39" s="11"/>
      <c r="BB39" s="11"/>
      <c r="BC39" s="220"/>
      <c r="BD39" s="184"/>
      <c r="BE39" s="11"/>
      <c r="BF39" s="11"/>
      <c r="BG39" s="11"/>
      <c r="BH39" s="220"/>
      <c r="BI39" s="184"/>
      <c r="BJ39" s="11"/>
      <c r="BK39" s="11"/>
      <c r="BL39" s="11"/>
      <c r="BM39" s="220"/>
      <c r="BN39" s="184"/>
      <c r="BO39" s="11"/>
      <c r="BP39" s="11"/>
    </row>
    <row r="40">
      <c r="A40" s="228" t="str">
        <f>IFERROR(__xludf.DUMMYFUNCTION("TEXTJOIN(CHAR(10),TRUE,FILTER(ARRAYFORMULA(IF(AD$14:AD72&lt;&gt;"""",AC$14:AC72&amp;"" : ""&amp; AD$14:AD72 &amp;"" cm"","""")), AC$14:AC72 &lt;&gt;""""))"),"")</f>
        <v/>
      </c>
      <c r="B40" s="12"/>
      <c r="C40" s="11"/>
      <c r="D40" s="11" t="s">
        <v>118</v>
      </c>
      <c r="E40" s="232"/>
      <c r="F40" s="231" t="str">
        <f t="array" ref="F40">IF(
  E40 = 0, 
  "", 
  IFERROR(
    INDEX(
      'アイテム別限界値DB'!$I:$I, 
      MATCH(
        1, 
        ('アイテム別限界値DB'!$B:$B = D$10) * 
        ('アイテム別限界値DB'!$C:$C = D40) * 
        ('アイテム別限界値DB'!$F:$F = E40), 
        0
      )
    ), 
    "再製作"
  )
)
</f>
        <v/>
      </c>
      <c r="G40" s="121"/>
      <c r="H40" s="11"/>
      <c r="I40" s="11"/>
      <c r="J40" s="220"/>
      <c r="K40" s="184"/>
      <c r="L40" s="11"/>
      <c r="M40" s="11"/>
      <c r="N40" s="11"/>
      <c r="O40" s="220"/>
      <c r="P40" s="184"/>
      <c r="Q40" s="11"/>
      <c r="R40" s="12"/>
      <c r="S40" s="11"/>
      <c r="T40" s="220"/>
      <c r="U40" s="184"/>
      <c r="V40" s="11"/>
      <c r="W40" s="11"/>
      <c r="X40" s="11"/>
      <c r="Y40" s="220"/>
      <c r="Z40" s="184"/>
      <c r="AA40" s="11"/>
      <c r="AB40" s="11"/>
      <c r="AC40" s="11"/>
      <c r="AD40" s="220"/>
      <c r="AE40" s="184"/>
      <c r="AF40" s="11"/>
      <c r="AG40" s="11"/>
      <c r="AH40" s="11"/>
      <c r="AI40" s="220"/>
      <c r="AJ40" s="184"/>
      <c r="AK40" s="11"/>
      <c r="AL40" s="11"/>
      <c r="AM40" s="11"/>
      <c r="AN40" s="220"/>
      <c r="AO40" s="184"/>
      <c r="AP40" s="11"/>
      <c r="AQ40" s="11"/>
      <c r="AR40" s="11"/>
      <c r="AS40" s="220"/>
      <c r="AT40" s="184"/>
      <c r="AU40" s="11"/>
      <c r="AV40" s="11"/>
      <c r="AW40" s="11"/>
      <c r="AX40" s="220"/>
      <c r="AY40" s="184"/>
      <c r="AZ40" s="11"/>
      <c r="BA40" s="11"/>
      <c r="BB40" s="11"/>
      <c r="BC40" s="220"/>
      <c r="BD40" s="184"/>
      <c r="BE40" s="11"/>
      <c r="BF40" s="11"/>
      <c r="BG40" s="11"/>
      <c r="BH40" s="220"/>
      <c r="BI40" s="184"/>
      <c r="BJ40" s="11"/>
      <c r="BK40" s="11"/>
      <c r="BL40" s="11"/>
      <c r="BM40" s="220"/>
      <c r="BN40" s="184"/>
      <c r="BO40" s="11"/>
      <c r="BP40" s="11"/>
    </row>
    <row r="41">
      <c r="A41" s="244" t="str">
        <f>if($A$39&lt;&gt;"", "《仕上がり数値》","")</f>
        <v/>
      </c>
      <c r="B41" s="160"/>
      <c r="C41" s="11"/>
      <c r="D41" s="11" t="s">
        <v>119</v>
      </c>
      <c r="E41" s="230"/>
      <c r="F41" s="231" t="str">
        <f t="array" ref="F41">IF(
  E41 = 0, 
  "", 
  IFERROR(
    INDEX(
      'アイテム別限界値DB'!$I:$I, 
      MATCH(
        1, 
        ('アイテム別限界値DB'!$B:$B = D$10) * 
        ('アイテム別限界値DB'!$C:$C = D41) * 
        ('アイテム別限界値DB'!$F:$F = E41), 
        0
      )
    ), 
    "再製作"
  )
)
</f>
        <v/>
      </c>
      <c r="G41" s="195"/>
      <c r="H41" s="11"/>
      <c r="I41" s="11"/>
      <c r="J41" s="220"/>
      <c r="K41" s="184"/>
      <c r="L41" s="11"/>
      <c r="M41" s="11"/>
      <c r="N41" s="11"/>
      <c r="O41" s="220"/>
      <c r="P41" s="184"/>
      <c r="Q41" s="11"/>
      <c r="R41" s="12"/>
      <c r="S41" s="11"/>
      <c r="T41" s="220"/>
      <c r="U41" s="184"/>
      <c r="V41" s="11"/>
      <c r="W41" s="11"/>
      <c r="X41" s="11"/>
      <c r="Y41" s="220"/>
      <c r="Z41" s="184"/>
      <c r="AA41" s="11"/>
      <c r="AB41" s="11"/>
      <c r="AC41" s="11"/>
      <c r="AD41" s="220"/>
      <c r="AE41" s="184"/>
      <c r="AF41" s="11"/>
      <c r="AG41" s="11"/>
      <c r="AH41" s="11"/>
      <c r="AI41" s="220"/>
      <c r="AJ41" s="184"/>
      <c r="AK41" s="11"/>
      <c r="AL41" s="11"/>
      <c r="AM41" s="11"/>
      <c r="AN41" s="220"/>
      <c r="AO41" s="184"/>
      <c r="AP41" s="11"/>
      <c r="AQ41" s="11"/>
      <c r="AR41" s="11"/>
      <c r="AS41" s="220"/>
      <c r="AT41" s="184"/>
      <c r="AU41" s="11"/>
      <c r="AV41" s="11"/>
      <c r="AW41" s="11"/>
      <c r="AX41" s="220"/>
      <c r="AY41" s="184"/>
      <c r="AZ41" s="11"/>
      <c r="BA41" s="11"/>
      <c r="BB41" s="11"/>
      <c r="BC41" s="220"/>
      <c r="BD41" s="184"/>
      <c r="BE41" s="11"/>
      <c r="BF41" s="11"/>
      <c r="BG41" s="11"/>
      <c r="BH41" s="220"/>
      <c r="BI41" s="184"/>
      <c r="BJ41" s="11"/>
      <c r="BK41" s="11"/>
      <c r="BL41" s="11"/>
      <c r="BM41" s="220"/>
      <c r="BN41" s="184"/>
      <c r="BO41" s="11"/>
      <c r="BP41" s="11"/>
    </row>
    <row r="42">
      <c r="A42" s="228" t="str">
        <f>IFERROR(__xludf.DUMMYFUNCTION("TEXTJOIN(CHAR(10),TRUE,FILTER(ARRAYFORMULA(IF(AD$14:AD72&lt;&gt;"""",AC$14:AC72&amp;"" :  cm"","""")), AC$14:AC72 &lt;&gt;""""))"),"")</f>
        <v/>
      </c>
      <c r="B42" s="229"/>
      <c r="C42" s="11"/>
      <c r="D42" s="11" t="s">
        <v>120</v>
      </c>
      <c r="E42" s="232"/>
      <c r="F42" s="231" t="str">
        <f t="array" ref="F42">IF(
  E42 = 0, 
  "", 
  IFERROR(
    INDEX(
      'アイテム別限界値DB'!$I:$I, 
      MATCH(
        1, 
        ('アイテム別限界値DB'!$B:$B = D$10) * 
        ('アイテム別限界値DB'!$C:$C = D42) * 
        ('アイテム別限界値DB'!$F:$F = E42), 
        0
      )
    ), 
    "再製作"
  )
)
</f>
        <v/>
      </c>
      <c r="G42" s="195"/>
      <c r="H42" s="11"/>
      <c r="I42" s="11"/>
      <c r="J42" s="220"/>
      <c r="K42" s="184"/>
      <c r="L42" s="11"/>
      <c r="M42" s="11"/>
      <c r="N42" s="11"/>
      <c r="O42" s="220"/>
      <c r="P42" s="184"/>
      <c r="Q42" s="11"/>
      <c r="R42" s="12"/>
      <c r="S42" s="11"/>
      <c r="T42" s="220"/>
      <c r="U42" s="184"/>
      <c r="V42" s="11"/>
      <c r="W42" s="11"/>
      <c r="X42" s="11"/>
      <c r="Y42" s="220"/>
      <c r="Z42" s="184"/>
      <c r="AA42" s="11"/>
      <c r="AB42" s="11"/>
      <c r="AC42" s="11"/>
      <c r="AD42" s="220"/>
      <c r="AE42" s="184"/>
      <c r="AF42" s="11"/>
      <c r="AG42" s="11"/>
      <c r="AH42" s="11"/>
      <c r="AI42" s="220"/>
      <c r="AJ42" s="184"/>
      <c r="AK42" s="11"/>
      <c r="AL42" s="11"/>
      <c r="AM42" s="11"/>
      <c r="AN42" s="220"/>
      <c r="AO42" s="184"/>
      <c r="AP42" s="11"/>
      <c r="AQ42" s="11"/>
      <c r="AR42" s="11"/>
      <c r="AS42" s="220"/>
      <c r="AT42" s="184"/>
      <c r="AU42" s="11"/>
      <c r="AV42" s="11"/>
      <c r="AW42" s="11"/>
      <c r="AX42" s="220"/>
      <c r="AY42" s="184"/>
      <c r="AZ42" s="11"/>
      <c r="BA42" s="11"/>
      <c r="BB42" s="11"/>
      <c r="BC42" s="220"/>
      <c r="BD42" s="184"/>
      <c r="BE42" s="11"/>
      <c r="BF42" s="11"/>
      <c r="BG42" s="11"/>
      <c r="BH42" s="220"/>
      <c r="BI42" s="184"/>
      <c r="BJ42" s="11"/>
      <c r="BK42" s="11"/>
      <c r="BL42" s="11"/>
      <c r="BM42" s="220"/>
      <c r="BN42" s="184"/>
      <c r="BO42" s="11"/>
      <c r="BP42" s="11"/>
    </row>
    <row r="43">
      <c r="A43" s="222" t="s">
        <v>121</v>
      </c>
      <c r="B43" s="185"/>
      <c r="C43" s="11"/>
      <c r="D43" s="11"/>
      <c r="E43" s="220"/>
      <c r="F43" s="220"/>
      <c r="G43" s="220"/>
      <c r="H43" s="11"/>
      <c r="I43" s="11"/>
      <c r="J43" s="220"/>
      <c r="K43" s="184"/>
      <c r="L43" s="184"/>
      <c r="M43" s="11"/>
      <c r="N43" s="11"/>
      <c r="O43" s="195"/>
      <c r="P43" s="11"/>
      <c r="Q43" s="11"/>
      <c r="R43" s="12"/>
      <c r="S43" s="11"/>
      <c r="T43" s="220"/>
      <c r="U43" s="184"/>
      <c r="V43" s="184"/>
      <c r="W43" s="11"/>
      <c r="X43" s="11"/>
      <c r="Y43" s="220"/>
      <c r="Z43" s="184"/>
      <c r="AA43" s="184"/>
      <c r="AB43" s="11"/>
      <c r="AC43" s="11"/>
      <c r="AD43" s="220"/>
      <c r="AE43" s="184"/>
      <c r="AF43" s="184"/>
      <c r="AG43" s="11"/>
      <c r="AH43" s="11"/>
      <c r="AI43" s="220"/>
      <c r="AJ43" s="184"/>
      <c r="AK43" s="184"/>
      <c r="AL43" s="11"/>
      <c r="AM43" s="11"/>
      <c r="AN43" s="220"/>
      <c r="AO43" s="184"/>
      <c r="AP43" s="184"/>
      <c r="AQ43" s="11"/>
      <c r="AR43" s="11"/>
      <c r="AS43" s="220"/>
      <c r="AT43" s="184"/>
      <c r="AU43" s="184"/>
      <c r="AV43" s="11"/>
      <c r="AW43" s="11"/>
      <c r="AX43" s="220"/>
      <c r="AY43" s="184"/>
      <c r="AZ43" s="184"/>
      <c r="BA43" s="11"/>
      <c r="BB43" s="11"/>
      <c r="BC43" s="220"/>
      <c r="BD43" s="184"/>
      <c r="BE43" s="184"/>
      <c r="BF43" s="11"/>
      <c r="BG43" s="11"/>
      <c r="BH43" s="220"/>
      <c r="BI43" s="184"/>
      <c r="BJ43" s="184"/>
      <c r="BK43" s="184"/>
      <c r="BL43" s="184"/>
      <c r="BM43" s="184"/>
      <c r="BN43" s="184"/>
      <c r="BO43" s="184"/>
      <c r="BP43" s="184"/>
    </row>
    <row r="44">
      <c r="A44" s="245" t="str">
        <f>IF( $AH$11 = "再製作", "◼︎ アルスターコート（対応着地：再製作）" &amp; char(10) &amp; "《修正数値》", IF($AH$11 &lt;&gt; "", "◼︎ アルスターコート（対応着地：お直し）" &amp; char(10) &amp; "《修正数値》", ""))</f>
        <v/>
      </c>
      <c r="B44" s="187"/>
      <c r="C44" s="11"/>
      <c r="D44" s="11"/>
      <c r="E44" s="220"/>
      <c r="F44" s="220"/>
      <c r="G44" s="220"/>
      <c r="H44" s="11"/>
      <c r="I44" s="11"/>
      <c r="J44" s="220"/>
      <c r="K44" s="184"/>
      <c r="L44" s="184"/>
      <c r="M44" s="11"/>
      <c r="N44" s="11"/>
      <c r="O44" s="195"/>
      <c r="P44" s="11"/>
      <c r="Q44" s="11"/>
      <c r="R44" s="12"/>
      <c r="S44" s="11"/>
      <c r="T44" s="220"/>
      <c r="U44" s="184"/>
      <c r="V44" s="184"/>
      <c r="W44" s="11"/>
      <c r="X44" s="11"/>
      <c r="Y44" s="220"/>
      <c r="Z44" s="184"/>
      <c r="AA44" s="184"/>
      <c r="AB44" s="11"/>
      <c r="AC44" s="11"/>
      <c r="AD44" s="220"/>
      <c r="AE44" s="184"/>
      <c r="AF44" s="184"/>
      <c r="AG44" s="11"/>
      <c r="AH44" s="11"/>
      <c r="AI44" s="220"/>
      <c r="AJ44" s="184"/>
      <c r="AK44" s="184"/>
      <c r="AL44" s="11"/>
      <c r="AM44" s="11"/>
      <c r="AN44" s="220"/>
      <c r="AO44" s="184"/>
      <c r="AP44" s="184"/>
      <c r="AQ44" s="11"/>
      <c r="AR44" s="11"/>
      <c r="AS44" s="220"/>
      <c r="AT44" s="184"/>
      <c r="AU44" s="184"/>
      <c r="AV44" s="11"/>
      <c r="AW44" s="11"/>
      <c r="AX44" s="220"/>
      <c r="AY44" s="184"/>
      <c r="AZ44" s="184"/>
      <c r="BA44" s="11"/>
      <c r="BB44" s="11"/>
      <c r="BC44" s="220"/>
      <c r="BD44" s="184"/>
      <c r="BE44" s="184"/>
      <c r="BF44" s="11"/>
      <c r="BG44" s="11"/>
      <c r="BH44" s="220"/>
      <c r="BI44" s="184"/>
      <c r="BJ44" s="184"/>
      <c r="BK44" s="184"/>
      <c r="BL44" s="184"/>
      <c r="BM44" s="184"/>
      <c r="BN44" s="184"/>
      <c r="BO44" s="184"/>
      <c r="BP44" s="184"/>
    </row>
    <row r="45">
      <c r="A45" s="228" t="str">
        <f>IFERROR(__xludf.DUMMYFUNCTION("TEXTJOIN(CHAR(10),TRUE,FILTER(ARRAYFORMULA(IF($AI$14:$AI72&lt;&gt;"""",AH$14:AH72&amp;"" : ""&amp; AI$14:AI72 &amp;"" cm"","""")), AH$14:AH72 &lt;&gt;""""))"),"")</f>
        <v/>
      </c>
      <c r="B45" s="246"/>
      <c r="C45" s="11"/>
      <c r="D45" s="11"/>
      <c r="E45" s="220"/>
      <c r="F45" s="220"/>
      <c r="G45" s="220"/>
      <c r="H45" s="11"/>
      <c r="I45" s="11"/>
      <c r="J45" s="220"/>
      <c r="K45" s="184"/>
      <c r="L45" s="184"/>
      <c r="M45" s="11"/>
      <c r="N45" s="11"/>
      <c r="O45" s="195"/>
      <c r="P45" s="11"/>
      <c r="Q45" s="11"/>
      <c r="R45" s="12"/>
      <c r="S45" s="11"/>
      <c r="T45" s="220"/>
      <c r="U45" s="184"/>
      <c r="V45" s="184"/>
      <c r="W45" s="11"/>
      <c r="X45" s="11"/>
      <c r="Y45" s="220"/>
      <c r="Z45" s="184"/>
      <c r="AA45" s="184"/>
      <c r="AB45" s="11"/>
      <c r="AC45" s="11"/>
      <c r="AD45" s="220"/>
      <c r="AE45" s="184"/>
      <c r="AF45" s="184"/>
      <c r="AG45" s="11"/>
      <c r="AH45" s="11"/>
      <c r="AI45" s="220"/>
      <c r="AJ45" s="184"/>
      <c r="AK45" s="184"/>
      <c r="AL45" s="11"/>
      <c r="AM45" s="11"/>
      <c r="AN45" s="220"/>
      <c r="AO45" s="184"/>
      <c r="AP45" s="184"/>
      <c r="AQ45" s="11"/>
      <c r="AR45" s="11"/>
      <c r="AS45" s="220"/>
      <c r="AT45" s="184"/>
      <c r="AU45" s="184"/>
      <c r="AV45" s="11"/>
      <c r="AW45" s="11"/>
      <c r="AX45" s="220"/>
      <c r="AY45" s="184"/>
      <c r="AZ45" s="184"/>
      <c r="BA45" s="11"/>
      <c r="BB45" s="11"/>
      <c r="BC45" s="220"/>
      <c r="BD45" s="184"/>
      <c r="BE45" s="184"/>
      <c r="BF45" s="11"/>
      <c r="BG45" s="11"/>
      <c r="BH45" s="220"/>
      <c r="BI45" s="184"/>
      <c r="BJ45" s="184"/>
      <c r="BK45" s="184"/>
      <c r="BL45" s="184"/>
      <c r="BM45" s="184"/>
      <c r="BN45" s="184"/>
      <c r="BO45" s="184"/>
      <c r="BP45" s="184"/>
    </row>
    <row r="46">
      <c r="A46" s="242" t="str">
        <f>if($A$44&lt;&gt;"", "《仕上がり数値》","")</f>
        <v/>
      </c>
      <c r="B46" s="240"/>
      <c r="C46" s="11"/>
      <c r="D46" s="11"/>
      <c r="E46" s="220"/>
      <c r="F46" s="220"/>
      <c r="G46" s="220"/>
      <c r="H46" s="11"/>
      <c r="I46" s="11"/>
      <c r="J46" s="220"/>
      <c r="K46" s="184"/>
      <c r="L46" s="184"/>
      <c r="M46" s="11"/>
      <c r="N46" s="11"/>
      <c r="O46" s="195"/>
      <c r="P46" s="11"/>
      <c r="Q46" s="11"/>
      <c r="R46" s="12"/>
      <c r="S46" s="11"/>
      <c r="T46" s="220"/>
      <c r="U46" s="184"/>
      <c r="V46" s="184"/>
      <c r="W46" s="11"/>
      <c r="X46" s="11"/>
      <c r="Y46" s="220"/>
      <c r="Z46" s="184"/>
      <c r="AA46" s="184"/>
      <c r="AB46" s="11"/>
      <c r="AC46" s="11"/>
      <c r="AD46" s="220"/>
      <c r="AE46" s="184"/>
      <c r="AF46" s="184"/>
      <c r="AG46" s="11"/>
      <c r="AH46" s="11"/>
      <c r="AI46" s="220"/>
      <c r="AJ46" s="184"/>
      <c r="AK46" s="184"/>
      <c r="AL46" s="11"/>
      <c r="AM46" s="11"/>
      <c r="AN46" s="220"/>
      <c r="AO46" s="184"/>
      <c r="AP46" s="184"/>
      <c r="AQ46" s="11"/>
      <c r="AR46" s="11"/>
      <c r="AS46" s="220"/>
      <c r="AT46" s="184"/>
      <c r="AU46" s="184"/>
      <c r="AV46" s="11"/>
      <c r="AW46" s="11"/>
      <c r="AX46" s="220"/>
      <c r="AY46" s="184"/>
      <c r="AZ46" s="184"/>
      <c r="BA46" s="11"/>
      <c r="BB46" s="11"/>
      <c r="BC46" s="220"/>
      <c r="BD46" s="184"/>
      <c r="BE46" s="184"/>
      <c r="BF46" s="11"/>
      <c r="BG46" s="11"/>
      <c r="BH46" s="220"/>
      <c r="BI46" s="184"/>
      <c r="BJ46" s="184"/>
      <c r="BK46" s="184"/>
      <c r="BL46" s="184"/>
      <c r="BM46" s="184"/>
      <c r="BN46" s="184"/>
      <c r="BO46" s="184"/>
      <c r="BP46" s="184"/>
    </row>
    <row r="47">
      <c r="A47" s="228" t="str">
        <f>IFERROR(__xludf.DUMMYFUNCTION("TEXTJOIN(CHAR(10),TRUE,FILTER(ARRAYFORMULA(IF($AI$14:$AI72&lt;&gt;"""",AH$14:AH72&amp;"" :  cm"","""")), AH$14:AH72 &lt;&gt;""""))"),"")</f>
        <v/>
      </c>
      <c r="B47" s="240"/>
      <c r="C47" s="11"/>
      <c r="D47" s="11"/>
      <c r="E47" s="220"/>
      <c r="F47" s="220"/>
      <c r="G47" s="220"/>
      <c r="H47" s="11"/>
      <c r="I47" s="11"/>
      <c r="J47" s="220"/>
      <c r="K47" s="184"/>
      <c r="L47" s="184"/>
      <c r="M47" s="11"/>
      <c r="N47" s="11"/>
      <c r="O47" s="195"/>
      <c r="P47" s="11"/>
      <c r="Q47" s="11"/>
      <c r="R47" s="12"/>
      <c r="S47" s="11"/>
      <c r="T47" s="220"/>
      <c r="U47" s="184"/>
      <c r="V47" s="184"/>
      <c r="W47" s="11"/>
      <c r="X47" s="11"/>
      <c r="Y47" s="220"/>
      <c r="Z47" s="184"/>
      <c r="AA47" s="184"/>
      <c r="AB47" s="11"/>
      <c r="AC47" s="11"/>
      <c r="AD47" s="220"/>
      <c r="AE47" s="184"/>
      <c r="AF47" s="184"/>
      <c r="AG47" s="11"/>
      <c r="AH47" s="11"/>
      <c r="AI47" s="220"/>
      <c r="AJ47" s="184"/>
      <c r="AK47" s="184"/>
      <c r="AL47" s="11"/>
      <c r="AM47" s="11"/>
      <c r="AN47" s="220"/>
      <c r="AO47" s="184"/>
      <c r="AP47" s="184"/>
      <c r="AQ47" s="11"/>
      <c r="AR47" s="11"/>
      <c r="AS47" s="220"/>
      <c r="AT47" s="184"/>
      <c r="AU47" s="184"/>
      <c r="AV47" s="11"/>
      <c r="AW47" s="11"/>
      <c r="AX47" s="220"/>
      <c r="AY47" s="184"/>
      <c r="AZ47" s="184"/>
      <c r="BA47" s="11"/>
      <c r="BB47" s="11"/>
      <c r="BC47" s="220"/>
      <c r="BD47" s="184"/>
      <c r="BE47" s="184"/>
      <c r="BF47" s="11"/>
      <c r="BG47" s="11"/>
      <c r="BH47" s="220"/>
      <c r="BI47" s="184"/>
      <c r="BJ47" s="184"/>
      <c r="BK47" s="184"/>
      <c r="BL47" s="184"/>
      <c r="BM47" s="184"/>
      <c r="BN47" s="184"/>
      <c r="BO47" s="184"/>
      <c r="BP47" s="184"/>
    </row>
    <row r="48">
      <c r="A48" s="237" t="s">
        <v>122</v>
      </c>
      <c r="B48" s="240"/>
      <c r="C48" s="11"/>
      <c r="D48" s="11"/>
      <c r="E48" s="220"/>
      <c r="F48" s="220"/>
      <c r="G48" s="220"/>
      <c r="H48" s="11"/>
      <c r="I48" s="11"/>
      <c r="J48" s="220"/>
      <c r="K48" s="184"/>
      <c r="L48" s="184"/>
      <c r="M48" s="11"/>
      <c r="N48" s="11"/>
      <c r="O48" s="195"/>
      <c r="P48" s="11"/>
      <c r="Q48" s="11"/>
      <c r="R48" s="12"/>
      <c r="S48" s="11"/>
      <c r="T48" s="220"/>
      <c r="U48" s="184"/>
      <c r="V48" s="184"/>
      <c r="W48" s="11"/>
      <c r="X48" s="11"/>
      <c r="Y48" s="220"/>
      <c r="Z48" s="184"/>
      <c r="AA48" s="184"/>
      <c r="AB48" s="11"/>
      <c r="AC48" s="11"/>
      <c r="AD48" s="220"/>
      <c r="AE48" s="184"/>
      <c r="AF48" s="184"/>
      <c r="AG48" s="11"/>
      <c r="AH48" s="11"/>
      <c r="AI48" s="220"/>
      <c r="AJ48" s="184"/>
      <c r="AK48" s="184"/>
      <c r="AL48" s="11"/>
      <c r="AM48" s="11"/>
      <c r="AN48" s="220"/>
      <c r="AO48" s="184"/>
      <c r="AP48" s="184"/>
      <c r="AQ48" s="11"/>
      <c r="AR48" s="11"/>
      <c r="AS48" s="220"/>
      <c r="AT48" s="184"/>
      <c r="AU48" s="184"/>
      <c r="AV48" s="11"/>
      <c r="AW48" s="11"/>
      <c r="AX48" s="220"/>
      <c r="AY48" s="184"/>
      <c r="AZ48" s="184"/>
      <c r="BA48" s="11"/>
      <c r="BB48" s="11"/>
      <c r="BC48" s="220"/>
      <c r="BD48" s="184"/>
      <c r="BE48" s="184"/>
      <c r="BF48" s="11"/>
      <c r="BG48" s="11"/>
      <c r="BH48" s="220"/>
      <c r="BI48" s="184"/>
      <c r="BJ48" s="184"/>
      <c r="BK48" s="184"/>
      <c r="BL48" s="184"/>
      <c r="BM48" s="184"/>
      <c r="BN48" s="184"/>
      <c r="BO48" s="184"/>
      <c r="BP48" s="184"/>
    </row>
    <row r="49">
      <c r="A49" s="245" t="str">
        <f>IF( $AM$11 = "再製作", "◼︎ ショートステンカラーコート（対応着地：再製作）" &amp; char(10) &amp; "《修正数値》", IF($AM$11 &lt;&gt; "", "◼︎ ショートステンカラーコート（対応着地：お直し）"  &amp; char(10) &amp; "《修正数値》", ""))</f>
        <v/>
      </c>
      <c r="B49" s="240"/>
      <c r="C49" s="11"/>
      <c r="D49" s="11"/>
      <c r="E49" s="220"/>
      <c r="F49" s="220"/>
      <c r="G49" s="220"/>
      <c r="H49" s="11"/>
      <c r="I49" s="11"/>
      <c r="J49" s="220"/>
      <c r="K49" s="184"/>
      <c r="L49" s="184"/>
      <c r="M49" s="11"/>
      <c r="N49" s="11"/>
      <c r="O49" s="195"/>
      <c r="P49" s="11"/>
      <c r="Q49" s="11"/>
      <c r="R49" s="12"/>
      <c r="S49" s="11"/>
      <c r="T49" s="220"/>
      <c r="U49" s="184"/>
      <c r="V49" s="184"/>
      <c r="W49" s="11"/>
      <c r="X49" s="11"/>
      <c r="Y49" s="220"/>
      <c r="Z49" s="184"/>
      <c r="AA49" s="184"/>
      <c r="AB49" s="11"/>
      <c r="AC49" s="11"/>
      <c r="AD49" s="220"/>
      <c r="AE49" s="184"/>
      <c r="AF49" s="184"/>
      <c r="AG49" s="11"/>
      <c r="AH49" s="11"/>
      <c r="AI49" s="220"/>
      <c r="AJ49" s="184"/>
      <c r="AK49" s="184"/>
      <c r="AL49" s="11"/>
      <c r="AM49" s="11"/>
      <c r="AN49" s="220"/>
      <c r="AO49" s="184"/>
      <c r="AP49" s="184"/>
      <c r="AQ49" s="11"/>
      <c r="AR49" s="11"/>
      <c r="AS49" s="220"/>
      <c r="AT49" s="184"/>
      <c r="AU49" s="184"/>
      <c r="AV49" s="11"/>
      <c r="AW49" s="11"/>
      <c r="AX49" s="220"/>
      <c r="AY49" s="184"/>
      <c r="AZ49" s="184"/>
      <c r="BA49" s="11"/>
      <c r="BB49" s="11"/>
      <c r="BC49" s="220"/>
      <c r="BD49" s="184"/>
      <c r="BE49" s="184"/>
      <c r="BF49" s="11"/>
      <c r="BG49" s="11"/>
      <c r="BH49" s="220"/>
      <c r="BI49" s="184"/>
      <c r="BJ49" s="184"/>
      <c r="BK49" s="184"/>
      <c r="BL49" s="184"/>
      <c r="BM49" s="184"/>
      <c r="BN49" s="184"/>
      <c r="BO49" s="184"/>
      <c r="BP49" s="184"/>
    </row>
    <row r="50">
      <c r="A50" s="228" t="str">
        <f>IFERROR(__xludf.DUMMYFUNCTION("TEXTJOIN(CHAR(10),TRUE,FILTER(ARRAYFORMULA(IF(AN$14:AN72&lt;&gt;"""",AM$14:AM72&amp;"" : ""&amp; AN$14:AN72 &amp;"" cm"" &amp; ""（仕上がり寸：cm）"","""")), AM$14:AM72 &lt;&gt;""""))"),"")</f>
        <v/>
      </c>
      <c r="B50" s="240"/>
      <c r="C50" s="11"/>
      <c r="D50" s="11"/>
      <c r="E50" s="220"/>
      <c r="F50" s="220"/>
      <c r="G50" s="220"/>
      <c r="H50" s="11"/>
      <c r="I50" s="11"/>
      <c r="J50" s="220"/>
      <c r="K50" s="184"/>
      <c r="L50" s="184"/>
      <c r="M50" s="11"/>
      <c r="N50" s="11"/>
      <c r="O50" s="195"/>
      <c r="P50" s="11"/>
      <c r="Q50" s="11"/>
      <c r="R50" s="12"/>
      <c r="S50" s="11"/>
      <c r="T50" s="220"/>
      <c r="U50" s="184"/>
      <c r="V50" s="184"/>
      <c r="W50" s="11"/>
      <c r="X50" s="11"/>
      <c r="Y50" s="220"/>
      <c r="Z50" s="184"/>
      <c r="AA50" s="184"/>
      <c r="AB50" s="11"/>
      <c r="AC50" s="11"/>
      <c r="AD50" s="220"/>
      <c r="AE50" s="184"/>
      <c r="AF50" s="184"/>
      <c r="AG50" s="11"/>
      <c r="AH50" s="11"/>
      <c r="AI50" s="220"/>
      <c r="AJ50" s="184"/>
      <c r="AK50" s="184"/>
      <c r="AL50" s="11"/>
      <c r="AM50" s="11"/>
      <c r="AN50" s="220"/>
      <c r="AO50" s="184"/>
      <c r="AP50" s="184"/>
      <c r="AQ50" s="11"/>
      <c r="AR50" s="11"/>
      <c r="AS50" s="220"/>
      <c r="AT50" s="184"/>
      <c r="AU50" s="184"/>
      <c r="AV50" s="11"/>
      <c r="AW50" s="11"/>
      <c r="AX50" s="220"/>
      <c r="AY50" s="184"/>
      <c r="AZ50" s="184"/>
      <c r="BA50" s="11"/>
      <c r="BB50" s="11"/>
      <c r="BC50" s="220"/>
      <c r="BD50" s="184"/>
      <c r="BE50" s="184"/>
      <c r="BF50" s="11"/>
      <c r="BG50" s="11"/>
      <c r="BH50" s="220"/>
      <c r="BI50" s="184"/>
      <c r="BJ50" s="184"/>
      <c r="BK50" s="184"/>
      <c r="BL50" s="184"/>
      <c r="BM50" s="184"/>
      <c r="BN50" s="184"/>
      <c r="BO50" s="184"/>
      <c r="BP50" s="184"/>
    </row>
    <row r="51">
      <c r="A51" s="244" t="str">
        <f>if($A$49&lt;&gt;"", "《仕上がり数値》","")</f>
        <v/>
      </c>
      <c r="B51" s="240"/>
      <c r="C51" s="11"/>
      <c r="D51" s="11"/>
      <c r="E51" s="220"/>
      <c r="F51" s="220"/>
      <c r="G51" s="220"/>
      <c r="H51" s="11"/>
      <c r="I51" s="11"/>
      <c r="J51" s="220"/>
      <c r="K51" s="184"/>
      <c r="L51" s="184"/>
      <c r="M51" s="11"/>
      <c r="N51" s="11"/>
      <c r="O51" s="195"/>
      <c r="P51" s="11"/>
      <c r="Q51" s="11"/>
      <c r="R51" s="12"/>
      <c r="S51" s="11"/>
      <c r="T51" s="220"/>
      <c r="U51" s="184"/>
      <c r="V51" s="184"/>
      <c r="W51" s="11"/>
      <c r="X51" s="11"/>
      <c r="Y51" s="220"/>
      <c r="Z51" s="184"/>
      <c r="AA51" s="184"/>
      <c r="AB51" s="11"/>
      <c r="AC51" s="11"/>
      <c r="AD51" s="220"/>
      <c r="AE51" s="184"/>
      <c r="AF51" s="184"/>
      <c r="AG51" s="11"/>
      <c r="AH51" s="11"/>
      <c r="AI51" s="220"/>
      <c r="AJ51" s="184"/>
      <c r="AK51" s="184"/>
      <c r="AL51" s="11"/>
      <c r="AM51" s="11"/>
      <c r="AN51" s="220"/>
      <c r="AO51" s="184"/>
      <c r="AP51" s="184"/>
      <c r="AQ51" s="11"/>
      <c r="AR51" s="11"/>
      <c r="AS51" s="220"/>
      <c r="AT51" s="184"/>
      <c r="AU51" s="184"/>
      <c r="AV51" s="11"/>
      <c r="AW51" s="11"/>
      <c r="AX51" s="220"/>
      <c r="AY51" s="184"/>
      <c r="AZ51" s="184"/>
      <c r="BA51" s="11"/>
      <c r="BB51" s="11"/>
      <c r="BC51" s="220"/>
      <c r="BD51" s="184"/>
      <c r="BE51" s="184"/>
      <c r="BF51" s="11"/>
      <c r="BG51" s="11"/>
      <c r="BH51" s="220"/>
      <c r="BI51" s="184"/>
      <c r="BJ51" s="184"/>
      <c r="BK51" s="184"/>
      <c r="BL51" s="184"/>
      <c r="BM51" s="184"/>
      <c r="BN51" s="184"/>
      <c r="BO51" s="184"/>
      <c r="BP51" s="184"/>
    </row>
    <row r="52">
      <c r="A52" s="228" t="str">
        <f>IFERROR(__xludf.DUMMYFUNCTION("TEXTJOIN(CHAR(10),TRUE,FILTER(ARRAYFORMULA(IF(AN$14:AN72&lt;&gt;"""",AM$14:AM72&amp;"" : ""&amp; AN$14:AN72 &amp;"" cm"" &amp; ""（仕上がり寸：cm）"","""")), AM$14:AM72 &lt;&gt;""""))"),"")</f>
        <v/>
      </c>
      <c r="B52" s="240"/>
      <c r="C52" s="11"/>
      <c r="D52" s="11"/>
      <c r="E52" s="220"/>
      <c r="F52" s="220"/>
      <c r="G52" s="220"/>
      <c r="H52" s="11"/>
      <c r="I52" s="11"/>
      <c r="J52" s="220"/>
      <c r="K52" s="184"/>
      <c r="L52" s="184"/>
      <c r="M52" s="11"/>
      <c r="N52" s="11"/>
      <c r="O52" s="195"/>
      <c r="P52" s="11"/>
      <c r="Q52" s="11"/>
      <c r="R52" s="12"/>
      <c r="S52" s="11"/>
      <c r="T52" s="220"/>
      <c r="U52" s="184"/>
      <c r="V52" s="184"/>
      <c r="W52" s="11"/>
      <c r="X52" s="11"/>
      <c r="Y52" s="220"/>
      <c r="Z52" s="184"/>
      <c r="AA52" s="184"/>
      <c r="AB52" s="11"/>
      <c r="AC52" s="11"/>
      <c r="AD52" s="220"/>
      <c r="AE52" s="184"/>
      <c r="AF52" s="184"/>
      <c r="AG52" s="11"/>
      <c r="AH52" s="11"/>
      <c r="AI52" s="220"/>
      <c r="AJ52" s="184"/>
      <c r="AK52" s="184"/>
      <c r="AL52" s="11"/>
      <c r="AM52" s="11"/>
      <c r="AN52" s="220"/>
      <c r="AO52" s="184"/>
      <c r="AP52" s="184"/>
      <c r="AQ52" s="11"/>
      <c r="AR52" s="11"/>
      <c r="AS52" s="220"/>
      <c r="AT52" s="184"/>
      <c r="AU52" s="184"/>
      <c r="AV52" s="11"/>
      <c r="AW52" s="11"/>
      <c r="AX52" s="220"/>
      <c r="AY52" s="184"/>
      <c r="AZ52" s="184"/>
      <c r="BA52" s="11"/>
      <c r="BB52" s="11"/>
      <c r="BC52" s="220"/>
      <c r="BD52" s="184"/>
      <c r="BE52" s="184"/>
      <c r="BF52" s="11"/>
      <c r="BG52" s="11"/>
      <c r="BH52" s="220"/>
      <c r="BI52" s="184"/>
      <c r="BJ52" s="184"/>
      <c r="BK52" s="184"/>
      <c r="BL52" s="184"/>
      <c r="BM52" s="184"/>
      <c r="BN52" s="184"/>
      <c r="BO52" s="184"/>
      <c r="BP52" s="184"/>
    </row>
    <row r="53">
      <c r="A53" s="243" t="s">
        <v>123</v>
      </c>
      <c r="B53" s="240"/>
      <c r="C53" s="11"/>
      <c r="D53" s="11"/>
      <c r="E53" s="220"/>
      <c r="F53" s="220"/>
      <c r="G53" s="220"/>
      <c r="H53" s="11"/>
      <c r="I53" s="11"/>
      <c r="J53" s="220"/>
      <c r="K53" s="184"/>
      <c r="L53" s="184"/>
      <c r="M53" s="11"/>
      <c r="N53" s="11"/>
      <c r="O53" s="195"/>
      <c r="P53" s="11"/>
      <c r="Q53" s="11"/>
      <c r="R53" s="12"/>
      <c r="S53" s="11"/>
      <c r="T53" s="220"/>
      <c r="U53" s="184"/>
      <c r="V53" s="184"/>
      <c r="W53" s="11"/>
      <c r="X53" s="11"/>
      <c r="Y53" s="220"/>
      <c r="Z53" s="184"/>
      <c r="AA53" s="184"/>
      <c r="AB53" s="11"/>
      <c r="AC53" s="11"/>
      <c r="AD53" s="220"/>
      <c r="AE53" s="184"/>
      <c r="AF53" s="184"/>
      <c r="AG53" s="11"/>
      <c r="AH53" s="11"/>
      <c r="AI53" s="220"/>
      <c r="AJ53" s="184"/>
      <c r="AK53" s="184"/>
      <c r="AL53" s="11"/>
      <c r="AM53" s="11"/>
      <c r="AN53" s="220"/>
      <c r="AO53" s="184"/>
      <c r="AP53" s="184"/>
      <c r="AQ53" s="11"/>
      <c r="AR53" s="11"/>
      <c r="AS53" s="220"/>
      <c r="AT53" s="184"/>
      <c r="AU53" s="184"/>
      <c r="AV53" s="11"/>
      <c r="AW53" s="11"/>
      <c r="AX53" s="220"/>
      <c r="AY53" s="184"/>
      <c r="AZ53" s="184"/>
      <c r="BA53" s="11"/>
      <c r="BB53" s="11"/>
      <c r="BC53" s="220"/>
      <c r="BD53" s="184"/>
      <c r="BE53" s="184"/>
      <c r="BF53" s="11"/>
      <c r="BG53" s="11"/>
      <c r="BH53" s="220"/>
      <c r="BI53" s="184"/>
      <c r="BJ53" s="184"/>
      <c r="BK53" s="184"/>
      <c r="BL53" s="184"/>
      <c r="BM53" s="184"/>
      <c r="BN53" s="184"/>
      <c r="BO53" s="184"/>
      <c r="BP53" s="184"/>
    </row>
    <row r="54">
      <c r="A54" s="245" t="str">
        <f>IF( $AR$11 = "再製作", "◼︎ ステンカラーコート（対応着地：再製作）" &amp;char(10)&amp; "《修正数値》", IF($AR$11 &lt;&gt; "", "◼︎ ステンカラーコート（対応着地：お直し）" &amp;char(10)&amp; "《修正数値》", ""))</f>
        <v/>
      </c>
      <c r="B54" s="240"/>
      <c r="C54" s="11"/>
      <c r="D54" s="11"/>
      <c r="E54" s="220"/>
      <c r="F54" s="220"/>
      <c r="G54" s="220"/>
      <c r="H54" s="11"/>
      <c r="I54" s="11"/>
      <c r="J54" s="220"/>
      <c r="K54" s="184"/>
      <c r="L54" s="184"/>
      <c r="M54" s="11"/>
      <c r="N54" s="11"/>
      <c r="O54" s="195"/>
      <c r="P54" s="11"/>
      <c r="Q54" s="11"/>
      <c r="R54" s="12"/>
      <c r="S54" s="11"/>
      <c r="T54" s="220"/>
      <c r="U54" s="184"/>
      <c r="V54" s="184"/>
      <c r="W54" s="11"/>
      <c r="X54" s="11"/>
      <c r="Y54" s="220"/>
      <c r="Z54" s="184"/>
      <c r="AA54" s="184"/>
      <c r="AB54" s="11"/>
      <c r="AC54" s="11"/>
      <c r="AD54" s="220"/>
      <c r="AE54" s="184"/>
      <c r="AF54" s="184"/>
      <c r="AG54" s="11"/>
      <c r="AH54" s="11"/>
      <c r="AI54" s="220"/>
      <c r="AJ54" s="184"/>
      <c r="AK54" s="184"/>
      <c r="AL54" s="11"/>
      <c r="AM54" s="11"/>
      <c r="AN54" s="220"/>
      <c r="AO54" s="184"/>
      <c r="AP54" s="184"/>
      <c r="AQ54" s="11"/>
      <c r="AR54" s="11"/>
      <c r="AS54" s="220"/>
      <c r="AT54" s="184"/>
      <c r="AU54" s="184"/>
      <c r="AV54" s="11"/>
      <c r="AW54" s="11"/>
      <c r="AX54" s="220"/>
      <c r="AY54" s="184"/>
      <c r="AZ54" s="184"/>
      <c r="BA54" s="11"/>
      <c r="BB54" s="11"/>
      <c r="BC54" s="220"/>
      <c r="BD54" s="184"/>
      <c r="BE54" s="184"/>
      <c r="BF54" s="11"/>
      <c r="BG54" s="11"/>
      <c r="BH54" s="220"/>
      <c r="BI54" s="184"/>
      <c r="BJ54" s="184"/>
      <c r="BK54" s="184"/>
      <c r="BL54" s="184"/>
      <c r="BM54" s="184"/>
      <c r="BN54" s="184"/>
      <c r="BO54" s="184"/>
      <c r="BP54" s="184"/>
    </row>
    <row r="55">
      <c r="A55" s="228" t="str">
        <f>IFERROR(__xludf.DUMMYFUNCTION("TEXTJOIN(CHAR(10),TRUE,FILTER(ARRAYFORMULA(IF(AS$14:AS72&lt;&gt;"""",AR$14:AR72&amp;"" : ""&amp; AS$14:AS72 &amp;"" cm"","""")), AR$14:AR72 &lt;&gt;""""))"),"")</f>
        <v/>
      </c>
      <c r="B55" s="240"/>
      <c r="C55" s="11"/>
      <c r="D55" s="11"/>
      <c r="E55" s="220"/>
      <c r="F55" s="220"/>
      <c r="G55" s="220"/>
      <c r="H55" s="11"/>
      <c r="I55" s="11"/>
      <c r="J55" s="220"/>
      <c r="K55" s="184"/>
      <c r="L55" s="184"/>
      <c r="M55" s="11"/>
      <c r="N55" s="11"/>
      <c r="O55" s="195"/>
      <c r="P55" s="11"/>
      <c r="Q55" s="11"/>
      <c r="R55" s="12"/>
      <c r="S55" s="11"/>
      <c r="T55" s="220"/>
      <c r="U55" s="184"/>
      <c r="V55" s="184"/>
      <c r="W55" s="11"/>
      <c r="X55" s="11"/>
      <c r="Y55" s="220"/>
      <c r="Z55" s="184"/>
      <c r="AA55" s="184"/>
      <c r="AB55" s="11"/>
      <c r="AC55" s="11"/>
      <c r="AD55" s="220"/>
      <c r="AE55" s="184"/>
      <c r="AF55" s="184"/>
      <c r="AG55" s="11"/>
      <c r="AH55" s="11"/>
      <c r="AI55" s="220"/>
      <c r="AJ55" s="184"/>
      <c r="AK55" s="184"/>
      <c r="AL55" s="11"/>
      <c r="AM55" s="11"/>
      <c r="AN55" s="220"/>
      <c r="AO55" s="184"/>
      <c r="AP55" s="184"/>
      <c r="AQ55" s="11"/>
      <c r="AR55" s="11"/>
      <c r="AS55" s="220"/>
      <c r="AT55" s="184"/>
      <c r="AU55" s="184"/>
      <c r="AV55" s="11"/>
      <c r="AW55" s="11"/>
      <c r="AX55" s="220"/>
      <c r="AY55" s="184"/>
      <c r="AZ55" s="184"/>
      <c r="BA55" s="11"/>
      <c r="BB55" s="11"/>
      <c r="BC55" s="220"/>
      <c r="BD55" s="184"/>
      <c r="BE55" s="184"/>
      <c r="BF55" s="11"/>
      <c r="BG55" s="11"/>
      <c r="BH55" s="220"/>
      <c r="BI55" s="184"/>
      <c r="BJ55" s="184"/>
      <c r="BK55" s="184"/>
      <c r="BL55" s="184"/>
      <c r="BM55" s="184"/>
      <c r="BN55" s="184"/>
      <c r="BO55" s="184"/>
      <c r="BP55" s="184"/>
    </row>
    <row r="56">
      <c r="A56" s="244" t="str">
        <f>if($A$54&lt;&gt;"", "《仕上がり数値》","")</f>
        <v/>
      </c>
      <c r="B56" s="240"/>
      <c r="C56" s="11"/>
      <c r="D56" s="11"/>
      <c r="E56" s="220"/>
      <c r="F56" s="220"/>
      <c r="G56" s="220"/>
      <c r="H56" s="11"/>
      <c r="I56" s="11"/>
      <c r="J56" s="220"/>
      <c r="K56" s="184"/>
      <c r="L56" s="184"/>
      <c r="M56" s="11"/>
      <c r="N56" s="11"/>
      <c r="O56" s="195"/>
      <c r="P56" s="11"/>
      <c r="Q56" s="11"/>
      <c r="R56" s="12"/>
      <c r="S56" s="11"/>
      <c r="T56" s="220"/>
      <c r="U56" s="184"/>
      <c r="V56" s="184"/>
      <c r="W56" s="11"/>
      <c r="X56" s="11"/>
      <c r="Y56" s="220"/>
      <c r="Z56" s="184"/>
      <c r="AA56" s="184"/>
      <c r="AB56" s="11"/>
      <c r="AC56" s="11"/>
      <c r="AD56" s="220"/>
      <c r="AE56" s="184"/>
      <c r="AF56" s="184"/>
      <c r="AG56" s="11"/>
      <c r="AH56" s="11"/>
      <c r="AI56" s="220"/>
      <c r="AJ56" s="184"/>
      <c r="AK56" s="184"/>
      <c r="AL56" s="11"/>
      <c r="AM56" s="11"/>
      <c r="AN56" s="220"/>
      <c r="AO56" s="184"/>
      <c r="AP56" s="184"/>
      <c r="AQ56" s="11"/>
      <c r="AR56" s="11"/>
      <c r="AS56" s="220"/>
      <c r="AT56" s="184"/>
      <c r="AU56" s="184"/>
      <c r="AV56" s="11"/>
      <c r="AW56" s="11"/>
      <c r="AX56" s="220"/>
      <c r="AY56" s="184"/>
      <c r="AZ56" s="184"/>
      <c r="BA56" s="11"/>
      <c r="BB56" s="11"/>
      <c r="BC56" s="220"/>
      <c r="BD56" s="184"/>
      <c r="BE56" s="184"/>
      <c r="BF56" s="11"/>
      <c r="BG56" s="11"/>
      <c r="BH56" s="220"/>
      <c r="BI56" s="184"/>
      <c r="BJ56" s="184"/>
      <c r="BK56" s="184"/>
      <c r="BL56" s="184"/>
      <c r="BM56" s="184"/>
      <c r="BN56" s="184"/>
      <c r="BO56" s="184"/>
      <c r="BP56" s="184"/>
    </row>
    <row r="57">
      <c r="A57" s="228" t="str">
        <f>IFERROR(__xludf.DUMMYFUNCTION("TEXTJOIN(CHAR(10),TRUE,FILTER(ARRAYFORMULA(IF(AS$14:AS72&lt;&gt;"""",AR$14:AR72&amp;"" :  cm"","""")), AR$14:AR72 &lt;&gt;""""))"),"")</f>
        <v/>
      </c>
      <c r="B57" s="240"/>
      <c r="C57" s="11"/>
      <c r="D57" s="11"/>
      <c r="E57" s="220"/>
      <c r="F57" s="220"/>
      <c r="G57" s="220"/>
      <c r="H57" s="11"/>
      <c r="I57" s="11"/>
      <c r="J57" s="220"/>
      <c r="K57" s="184"/>
      <c r="L57" s="184"/>
      <c r="M57" s="11"/>
      <c r="N57" s="11"/>
      <c r="O57" s="195"/>
      <c r="P57" s="11"/>
      <c r="Q57" s="11"/>
      <c r="R57" s="12"/>
      <c r="S57" s="11"/>
      <c r="T57" s="220"/>
      <c r="U57" s="184"/>
      <c r="V57" s="184"/>
      <c r="W57" s="11"/>
      <c r="X57" s="11"/>
      <c r="Y57" s="220"/>
      <c r="Z57" s="184"/>
      <c r="AA57" s="184"/>
      <c r="AB57" s="11"/>
      <c r="AC57" s="11"/>
      <c r="AD57" s="220"/>
      <c r="AE57" s="184"/>
      <c r="AF57" s="184"/>
      <c r="AG57" s="11"/>
      <c r="AH57" s="11"/>
      <c r="AI57" s="220"/>
      <c r="AJ57" s="184"/>
      <c r="AK57" s="184"/>
      <c r="AL57" s="11"/>
      <c r="AM57" s="11"/>
      <c r="AN57" s="220"/>
      <c r="AO57" s="184"/>
      <c r="AP57" s="184"/>
      <c r="AQ57" s="11"/>
      <c r="AR57" s="11"/>
      <c r="AS57" s="220"/>
      <c r="AT57" s="184"/>
      <c r="AU57" s="184"/>
      <c r="AV57" s="11"/>
      <c r="AW57" s="11"/>
      <c r="AX57" s="220"/>
      <c r="AY57" s="184"/>
      <c r="AZ57" s="184"/>
      <c r="BA57" s="11"/>
      <c r="BB57" s="11"/>
      <c r="BC57" s="220"/>
      <c r="BD57" s="184"/>
      <c r="BE57" s="184"/>
      <c r="BF57" s="11"/>
      <c r="BG57" s="11"/>
      <c r="BH57" s="220"/>
      <c r="BI57" s="184"/>
      <c r="BJ57" s="184"/>
      <c r="BK57" s="184"/>
      <c r="BL57" s="184"/>
      <c r="BM57" s="184"/>
      <c r="BN57" s="184"/>
      <c r="BO57" s="184"/>
      <c r="BP57" s="184"/>
    </row>
    <row r="58">
      <c r="A58" s="243" t="s">
        <v>124</v>
      </c>
      <c r="B58" s="240"/>
      <c r="C58" s="11"/>
      <c r="D58" s="11"/>
      <c r="E58" s="220"/>
      <c r="F58" s="220"/>
      <c r="G58" s="220"/>
      <c r="H58" s="11"/>
      <c r="I58" s="11"/>
      <c r="J58" s="220"/>
      <c r="K58" s="184"/>
      <c r="L58" s="184"/>
      <c r="M58" s="11"/>
      <c r="N58" s="11"/>
      <c r="O58" s="195"/>
      <c r="P58" s="11"/>
      <c r="Q58" s="11"/>
      <c r="R58" s="12"/>
      <c r="S58" s="11"/>
      <c r="T58" s="220"/>
      <c r="U58" s="184"/>
      <c r="V58" s="184"/>
      <c r="W58" s="11"/>
      <c r="X58" s="11"/>
      <c r="Y58" s="220"/>
      <c r="Z58" s="184"/>
      <c r="AA58" s="184"/>
      <c r="AB58" s="11"/>
      <c r="AC58" s="11"/>
      <c r="AD58" s="220"/>
      <c r="AE58" s="184"/>
      <c r="AF58" s="184"/>
      <c r="AG58" s="11"/>
      <c r="AH58" s="11"/>
      <c r="AI58" s="220"/>
      <c r="AJ58" s="184"/>
      <c r="AK58" s="184"/>
      <c r="AL58" s="11"/>
      <c r="AM58" s="11"/>
      <c r="AN58" s="220"/>
      <c r="AO58" s="184"/>
      <c r="AP58" s="184"/>
      <c r="AQ58" s="11"/>
      <c r="AR58" s="11"/>
      <c r="AS58" s="220"/>
      <c r="AT58" s="184"/>
      <c r="AU58" s="184"/>
      <c r="AV58" s="11"/>
      <c r="AW58" s="11"/>
      <c r="AX58" s="220"/>
      <c r="AY58" s="184"/>
      <c r="AZ58" s="184"/>
      <c r="BA58" s="11"/>
      <c r="BB58" s="11"/>
      <c r="BC58" s="220"/>
      <c r="BD58" s="184"/>
      <c r="BE58" s="184"/>
      <c r="BF58" s="11"/>
      <c r="BG58" s="11"/>
      <c r="BH58" s="220"/>
      <c r="BI58" s="184"/>
      <c r="BJ58" s="184"/>
      <c r="BK58" s="184"/>
      <c r="BL58" s="184"/>
      <c r="BM58" s="184"/>
      <c r="BN58" s="184"/>
      <c r="BO58" s="184"/>
      <c r="BP58" s="184"/>
    </row>
    <row r="59">
      <c r="A59" s="245" t="str">
        <f>IF( $AW$11 = "再製作", "◼︎ チェスターコート（対応着地：再製作）" &amp;char(10)&amp;"《修正数値》", IF($AW$11 &lt;&gt; "", "◼︎ チェスターコート（対応着地：お直し）" &amp;char(10)&amp;"《修正数値》", ""))</f>
        <v/>
      </c>
      <c r="B59" s="240"/>
      <c r="C59" s="11"/>
      <c r="D59" s="11"/>
      <c r="E59" s="220"/>
      <c r="F59" s="220"/>
      <c r="G59" s="220"/>
      <c r="H59" s="11"/>
      <c r="I59" s="11"/>
      <c r="J59" s="220"/>
      <c r="K59" s="184"/>
      <c r="L59" s="184"/>
      <c r="M59" s="11"/>
      <c r="N59" s="11"/>
      <c r="O59" s="195"/>
      <c r="P59" s="11"/>
      <c r="Q59" s="11"/>
      <c r="R59" s="12"/>
      <c r="S59" s="11"/>
      <c r="T59" s="220"/>
      <c r="U59" s="184"/>
      <c r="V59" s="184"/>
      <c r="W59" s="11"/>
      <c r="X59" s="11"/>
      <c r="Y59" s="220"/>
      <c r="Z59" s="184"/>
      <c r="AA59" s="184"/>
      <c r="AB59" s="11"/>
      <c r="AC59" s="11"/>
      <c r="AD59" s="220"/>
      <c r="AE59" s="184"/>
      <c r="AF59" s="184"/>
      <c r="AG59" s="11"/>
      <c r="AH59" s="11"/>
      <c r="AI59" s="220"/>
      <c r="AJ59" s="184"/>
      <c r="AK59" s="184"/>
      <c r="AL59" s="11"/>
      <c r="AM59" s="11"/>
      <c r="AN59" s="220"/>
      <c r="AO59" s="184"/>
      <c r="AP59" s="184"/>
      <c r="AQ59" s="11"/>
      <c r="AR59" s="11"/>
      <c r="AS59" s="220"/>
      <c r="AT59" s="184"/>
      <c r="AU59" s="184"/>
      <c r="AV59" s="11"/>
      <c r="AW59" s="11"/>
      <c r="AX59" s="220"/>
      <c r="AY59" s="184"/>
      <c r="AZ59" s="184"/>
      <c r="BA59" s="11"/>
      <c r="BB59" s="11"/>
      <c r="BC59" s="220"/>
      <c r="BD59" s="184"/>
      <c r="BE59" s="184"/>
      <c r="BF59" s="11"/>
      <c r="BG59" s="11"/>
      <c r="BH59" s="220"/>
      <c r="BI59" s="184"/>
      <c r="BJ59" s="184"/>
      <c r="BK59" s="184"/>
      <c r="BL59" s="184"/>
      <c r="BM59" s="184"/>
      <c r="BN59" s="184"/>
      <c r="BO59" s="184"/>
      <c r="BP59" s="184"/>
    </row>
    <row r="60">
      <c r="A60" s="228" t="str">
        <f>IFERROR(__xludf.DUMMYFUNCTION("TEXTJOIN(CHAR(10),TRUE,FILTER(ARRAYFORMULA(IF(AX$14:AX72&lt;&gt;"""",AW$14:AW72&amp;"" : ""&amp; AX$14:AX72 &amp;"" cm"","""")), AC$14:AC72 &lt;&gt;""""))"),"")</f>
        <v/>
      </c>
      <c r="B60" s="240"/>
      <c r="C60" s="11"/>
      <c r="D60" s="11"/>
      <c r="E60" s="220"/>
      <c r="F60" s="220"/>
      <c r="G60" s="220"/>
      <c r="H60" s="11"/>
      <c r="I60" s="11"/>
      <c r="J60" s="220"/>
      <c r="K60" s="184"/>
      <c r="L60" s="184"/>
      <c r="M60" s="11"/>
      <c r="N60" s="11"/>
      <c r="O60" s="195"/>
      <c r="P60" s="11"/>
      <c r="Q60" s="11"/>
      <c r="R60" s="12"/>
      <c r="S60" s="11"/>
      <c r="T60" s="220"/>
      <c r="U60" s="184"/>
      <c r="V60" s="184"/>
      <c r="W60" s="11"/>
      <c r="X60" s="11"/>
      <c r="Y60" s="220"/>
      <c r="Z60" s="184"/>
      <c r="AA60" s="184"/>
      <c r="AB60" s="11"/>
      <c r="AC60" s="11"/>
      <c r="AD60" s="220"/>
      <c r="AE60" s="184"/>
      <c r="AF60" s="184"/>
      <c r="AG60" s="11"/>
      <c r="AH60" s="11"/>
      <c r="AI60" s="220"/>
      <c r="AJ60" s="184"/>
      <c r="AK60" s="184"/>
      <c r="AL60" s="11"/>
      <c r="AM60" s="11"/>
      <c r="AN60" s="220"/>
      <c r="AO60" s="184"/>
      <c r="AP60" s="184"/>
      <c r="AQ60" s="11"/>
      <c r="AR60" s="11"/>
      <c r="AS60" s="220"/>
      <c r="AT60" s="184"/>
      <c r="AU60" s="184"/>
      <c r="AV60" s="11"/>
      <c r="AW60" s="11"/>
      <c r="AX60" s="220"/>
      <c r="AY60" s="184"/>
      <c r="AZ60" s="184"/>
      <c r="BA60" s="11"/>
      <c r="BB60" s="11"/>
      <c r="BC60" s="220"/>
      <c r="BD60" s="184"/>
      <c r="BE60" s="184"/>
      <c r="BF60" s="11"/>
      <c r="BG60" s="11"/>
      <c r="BH60" s="220"/>
      <c r="BI60" s="184"/>
      <c r="BJ60" s="184"/>
      <c r="BK60" s="184"/>
      <c r="BL60" s="184"/>
      <c r="BM60" s="184"/>
      <c r="BN60" s="184"/>
      <c r="BO60" s="184"/>
      <c r="BP60" s="184"/>
    </row>
    <row r="61">
      <c r="A61" s="244" t="str">
        <f>if($A$59&lt;&gt;"", "《仕上がり数値》","")</f>
        <v/>
      </c>
      <c r="B61" s="240"/>
      <c r="C61" s="11"/>
      <c r="D61" s="11"/>
      <c r="E61" s="220"/>
      <c r="F61" s="220"/>
      <c r="G61" s="220"/>
      <c r="H61" s="11"/>
      <c r="I61" s="11"/>
      <c r="J61" s="220"/>
      <c r="K61" s="184"/>
      <c r="L61" s="184"/>
      <c r="M61" s="11"/>
      <c r="N61" s="11"/>
      <c r="O61" s="195"/>
      <c r="P61" s="11"/>
      <c r="Q61" s="11"/>
      <c r="R61" s="12"/>
      <c r="S61" s="11"/>
      <c r="T61" s="220"/>
      <c r="U61" s="184"/>
      <c r="V61" s="184"/>
      <c r="W61" s="11"/>
      <c r="X61" s="11"/>
      <c r="Y61" s="220"/>
      <c r="Z61" s="184"/>
      <c r="AA61" s="184"/>
      <c r="AB61" s="11"/>
      <c r="AC61" s="11"/>
      <c r="AD61" s="220"/>
      <c r="AE61" s="184"/>
      <c r="AF61" s="184"/>
      <c r="AG61" s="11"/>
      <c r="AH61" s="11"/>
      <c r="AI61" s="220"/>
      <c r="AJ61" s="184"/>
      <c r="AK61" s="184"/>
      <c r="AL61" s="11"/>
      <c r="AM61" s="11"/>
      <c r="AN61" s="220"/>
      <c r="AO61" s="184"/>
      <c r="AP61" s="184"/>
      <c r="AQ61" s="11"/>
      <c r="AR61" s="11"/>
      <c r="AS61" s="220"/>
      <c r="AT61" s="184"/>
      <c r="AU61" s="184"/>
      <c r="AV61" s="11"/>
      <c r="AW61" s="11"/>
      <c r="AX61" s="220"/>
      <c r="AY61" s="184"/>
      <c r="AZ61" s="184"/>
      <c r="BA61" s="11"/>
      <c r="BB61" s="11"/>
      <c r="BC61" s="220"/>
      <c r="BD61" s="184"/>
      <c r="BE61" s="184"/>
      <c r="BF61" s="11"/>
      <c r="BG61" s="11"/>
      <c r="BH61" s="220"/>
      <c r="BI61" s="184"/>
      <c r="BJ61" s="184"/>
      <c r="BK61" s="184"/>
      <c r="BL61" s="184"/>
      <c r="BM61" s="184"/>
      <c r="BN61" s="184"/>
      <c r="BO61" s="184"/>
      <c r="BP61" s="184"/>
    </row>
    <row r="62">
      <c r="A62" s="228" t="str">
        <f>IFERROR(__xludf.DUMMYFUNCTION("TEXTJOIN(CHAR(10),TRUE,FILTER(ARRAYFORMULA(IF(AX$14:AX72&lt;&gt;"""",AW$14:AW72&amp;"" :  cm"","""")), AC$14:AC72 &lt;&gt;""""))"),"")</f>
        <v/>
      </c>
      <c r="B62" s="240"/>
      <c r="C62" s="11"/>
      <c r="D62" s="11"/>
      <c r="E62" s="220"/>
      <c r="F62" s="220"/>
      <c r="G62" s="220"/>
      <c r="H62" s="11"/>
      <c r="I62" s="11"/>
      <c r="J62" s="220"/>
      <c r="K62" s="184"/>
      <c r="L62" s="184"/>
      <c r="M62" s="11"/>
      <c r="N62" s="11"/>
      <c r="O62" s="195"/>
      <c r="P62" s="11"/>
      <c r="Q62" s="11"/>
      <c r="R62" s="12"/>
      <c r="S62" s="11"/>
      <c r="T62" s="220"/>
      <c r="U62" s="184"/>
      <c r="V62" s="184"/>
      <c r="W62" s="11"/>
      <c r="X62" s="11"/>
      <c r="Y62" s="220"/>
      <c r="Z62" s="184"/>
      <c r="AA62" s="184"/>
      <c r="AB62" s="11"/>
      <c r="AC62" s="11"/>
      <c r="AD62" s="220"/>
      <c r="AE62" s="184"/>
      <c r="AF62" s="184"/>
      <c r="AG62" s="11"/>
      <c r="AH62" s="11"/>
      <c r="AI62" s="220"/>
      <c r="AJ62" s="184"/>
      <c r="AK62" s="184"/>
      <c r="AL62" s="11"/>
      <c r="AM62" s="11"/>
      <c r="AN62" s="220"/>
      <c r="AO62" s="184"/>
      <c r="AP62" s="184"/>
      <c r="AQ62" s="11"/>
      <c r="AR62" s="11"/>
      <c r="AS62" s="220"/>
      <c r="AT62" s="184"/>
      <c r="AU62" s="184"/>
      <c r="AV62" s="11"/>
      <c r="AW62" s="11"/>
      <c r="AX62" s="220"/>
      <c r="AY62" s="184"/>
      <c r="AZ62" s="184"/>
      <c r="BA62" s="11"/>
      <c r="BB62" s="11"/>
      <c r="BC62" s="220"/>
      <c r="BD62" s="184"/>
      <c r="BE62" s="184"/>
      <c r="BF62" s="11"/>
      <c r="BG62" s="11"/>
      <c r="BH62" s="220"/>
      <c r="BI62" s="184"/>
      <c r="BJ62" s="184"/>
      <c r="BK62" s="184"/>
      <c r="BL62" s="184"/>
      <c r="BM62" s="184"/>
      <c r="BN62" s="184"/>
      <c r="BO62" s="184"/>
      <c r="BP62" s="184"/>
    </row>
    <row r="63">
      <c r="A63" s="243" t="s">
        <v>125</v>
      </c>
      <c r="B63" s="240"/>
      <c r="C63" s="11"/>
      <c r="D63" s="11"/>
      <c r="E63" s="220"/>
      <c r="F63" s="220"/>
      <c r="G63" s="220"/>
      <c r="H63" s="11"/>
      <c r="I63" s="11"/>
      <c r="J63" s="220"/>
      <c r="K63" s="184"/>
      <c r="L63" s="184"/>
      <c r="M63" s="11"/>
      <c r="N63" s="11"/>
      <c r="O63" s="195"/>
      <c r="P63" s="11"/>
      <c r="Q63" s="11"/>
      <c r="R63" s="12"/>
      <c r="S63" s="11"/>
      <c r="T63" s="220"/>
      <c r="U63" s="184"/>
      <c r="V63" s="184"/>
      <c r="W63" s="11"/>
      <c r="X63" s="11"/>
      <c r="Y63" s="220"/>
      <c r="Z63" s="184"/>
      <c r="AA63" s="184"/>
      <c r="AB63" s="11"/>
      <c r="AC63" s="11"/>
      <c r="AD63" s="220"/>
      <c r="AE63" s="184"/>
      <c r="AF63" s="184"/>
      <c r="AG63" s="11"/>
      <c r="AH63" s="11"/>
      <c r="AI63" s="220"/>
      <c r="AJ63" s="184"/>
      <c r="AK63" s="184"/>
      <c r="AL63" s="11"/>
      <c r="AM63" s="11"/>
      <c r="AN63" s="220"/>
      <c r="AO63" s="184"/>
      <c r="AP63" s="184"/>
      <c r="AQ63" s="11"/>
      <c r="AR63" s="11"/>
      <c r="AS63" s="220"/>
      <c r="AT63" s="184"/>
      <c r="AU63" s="184"/>
      <c r="AV63" s="11"/>
      <c r="AW63" s="11"/>
      <c r="AX63" s="220"/>
      <c r="AY63" s="184"/>
      <c r="AZ63" s="184"/>
      <c r="BA63" s="11"/>
      <c r="BB63" s="11"/>
      <c r="BC63" s="220"/>
      <c r="BD63" s="184"/>
      <c r="BE63" s="184"/>
      <c r="BF63" s="11"/>
      <c r="BG63" s="11"/>
      <c r="BH63" s="220"/>
      <c r="BI63" s="184"/>
      <c r="BJ63" s="184"/>
      <c r="BK63" s="184"/>
      <c r="BL63" s="184"/>
      <c r="BM63" s="184"/>
      <c r="BN63" s="184"/>
      <c r="BO63" s="184"/>
      <c r="BP63" s="184"/>
    </row>
    <row r="64">
      <c r="A64" s="245" t="str">
        <f>IF( $BB$11 = "再製作", "◼︎ トレンチコート（対応着地：再製作）" &amp;char(10)&amp; "《修正数値》", IF($BB$11 &lt;&gt; "", "◼︎ トレンチコート（対応着地：お直し）" &amp;char(10)&amp; "《修正数値》", ""))</f>
        <v/>
      </c>
      <c r="B64" s="240"/>
      <c r="C64" s="11"/>
      <c r="D64" s="11"/>
      <c r="E64" s="220"/>
      <c r="F64" s="220"/>
      <c r="G64" s="220"/>
      <c r="H64" s="11"/>
      <c r="I64" s="11"/>
      <c r="J64" s="220"/>
      <c r="K64" s="184"/>
      <c r="L64" s="184"/>
      <c r="M64" s="11"/>
      <c r="N64" s="11"/>
      <c r="O64" s="195"/>
      <c r="P64" s="11"/>
      <c r="Q64" s="11"/>
      <c r="R64" s="12"/>
      <c r="S64" s="11"/>
      <c r="T64" s="220"/>
      <c r="U64" s="184"/>
      <c r="V64" s="184"/>
      <c r="W64" s="11"/>
      <c r="X64" s="11"/>
      <c r="Y64" s="220"/>
      <c r="Z64" s="184"/>
      <c r="AA64" s="184"/>
      <c r="AB64" s="11"/>
      <c r="AC64" s="11"/>
      <c r="AD64" s="220"/>
      <c r="AE64" s="184"/>
      <c r="AF64" s="184"/>
      <c r="AG64" s="11"/>
      <c r="AH64" s="11"/>
      <c r="AI64" s="220"/>
      <c r="AJ64" s="184"/>
      <c r="AK64" s="184"/>
      <c r="AL64" s="11"/>
      <c r="AM64" s="11"/>
      <c r="AN64" s="220"/>
      <c r="AO64" s="184"/>
      <c r="AP64" s="184"/>
      <c r="AQ64" s="11"/>
      <c r="AR64" s="11"/>
      <c r="AS64" s="220"/>
      <c r="AT64" s="184"/>
      <c r="AU64" s="184"/>
      <c r="AV64" s="11"/>
      <c r="AW64" s="11"/>
      <c r="AX64" s="220"/>
      <c r="AY64" s="184"/>
      <c r="AZ64" s="184"/>
      <c r="BA64" s="11"/>
      <c r="BB64" s="11"/>
      <c r="BC64" s="220"/>
      <c r="BD64" s="184"/>
      <c r="BE64" s="184"/>
      <c r="BF64" s="11"/>
      <c r="BG64" s="11"/>
      <c r="BH64" s="220"/>
      <c r="BI64" s="184"/>
      <c r="BJ64" s="184"/>
      <c r="BK64" s="184"/>
      <c r="BL64" s="184"/>
      <c r="BM64" s="184"/>
      <c r="BN64" s="184"/>
      <c r="BO64" s="184"/>
      <c r="BP64" s="184"/>
    </row>
    <row r="65">
      <c r="A65" s="228" t="str">
        <f>IFERROR(__xludf.DUMMYFUNCTION("TEXTJOIN(CHAR(10),TRUE,FILTER(ARRAYFORMULA(IF(BC$14:BC72&lt;&gt;"""",BB$14:BB72&amp;"" : ""&amp; BC$14:BC72 &amp;"" cm"","""")), BB$14:BB72 &lt;&gt;""""))"),"")</f>
        <v/>
      </c>
      <c r="B65" s="240"/>
      <c r="C65" s="11"/>
      <c r="D65" s="11"/>
      <c r="E65" s="220"/>
      <c r="F65" s="220"/>
      <c r="G65" s="220"/>
      <c r="H65" s="11"/>
      <c r="I65" s="11"/>
      <c r="J65" s="220"/>
      <c r="K65" s="184"/>
      <c r="L65" s="184"/>
      <c r="M65" s="11"/>
      <c r="N65" s="11"/>
      <c r="O65" s="195"/>
      <c r="P65" s="11"/>
      <c r="Q65" s="11"/>
      <c r="R65" s="12"/>
      <c r="S65" s="11"/>
      <c r="T65" s="220"/>
      <c r="U65" s="184"/>
      <c r="V65" s="184"/>
      <c r="W65" s="11"/>
      <c r="X65" s="11"/>
      <c r="Y65" s="220"/>
      <c r="Z65" s="184"/>
      <c r="AA65" s="184"/>
      <c r="AB65" s="11"/>
      <c r="AC65" s="11"/>
      <c r="AD65" s="220"/>
      <c r="AE65" s="184"/>
      <c r="AF65" s="184"/>
      <c r="AG65" s="11"/>
      <c r="AH65" s="11"/>
      <c r="AI65" s="220"/>
      <c r="AJ65" s="184"/>
      <c r="AK65" s="184"/>
      <c r="AL65" s="11"/>
      <c r="AM65" s="11"/>
      <c r="AN65" s="220"/>
      <c r="AO65" s="184"/>
      <c r="AP65" s="184"/>
      <c r="AQ65" s="11"/>
      <c r="AR65" s="11"/>
      <c r="AS65" s="220"/>
      <c r="AT65" s="184"/>
      <c r="AU65" s="184"/>
      <c r="AV65" s="11"/>
      <c r="AW65" s="11"/>
      <c r="AX65" s="220"/>
      <c r="AY65" s="184"/>
      <c r="AZ65" s="184"/>
      <c r="BA65" s="11"/>
      <c r="BB65" s="11"/>
      <c r="BC65" s="220"/>
      <c r="BD65" s="184"/>
      <c r="BE65" s="184"/>
      <c r="BF65" s="11"/>
      <c r="BG65" s="11"/>
      <c r="BH65" s="220"/>
      <c r="BI65" s="184"/>
      <c r="BJ65" s="184"/>
      <c r="BK65" s="184"/>
      <c r="BL65" s="184"/>
      <c r="BM65" s="184"/>
      <c r="BN65" s="184"/>
      <c r="BO65" s="184"/>
      <c r="BP65" s="184"/>
    </row>
    <row r="66">
      <c r="A66" s="244" t="str">
        <f>if($A$64&lt;&gt;"", "《仕上がり数値》","")</f>
        <v/>
      </c>
      <c r="B66" s="240"/>
      <c r="C66" s="11"/>
      <c r="D66" s="11"/>
      <c r="E66" s="220"/>
      <c r="F66" s="220"/>
      <c r="G66" s="220"/>
      <c r="H66" s="11"/>
      <c r="I66" s="11"/>
      <c r="J66" s="220"/>
      <c r="K66" s="184"/>
      <c r="L66" s="184"/>
      <c r="M66" s="11"/>
      <c r="N66" s="11"/>
      <c r="O66" s="195"/>
      <c r="P66" s="11"/>
      <c r="Q66" s="11"/>
      <c r="R66" s="12"/>
      <c r="S66" s="11"/>
      <c r="T66" s="220"/>
      <c r="U66" s="184"/>
      <c r="V66" s="184"/>
      <c r="W66" s="11"/>
      <c r="X66" s="11"/>
      <c r="Y66" s="220"/>
      <c r="Z66" s="184"/>
      <c r="AA66" s="184"/>
      <c r="AB66" s="11"/>
      <c r="AC66" s="11"/>
      <c r="AD66" s="220"/>
      <c r="AE66" s="184"/>
      <c r="AF66" s="184"/>
      <c r="AG66" s="11"/>
      <c r="AH66" s="11"/>
      <c r="AI66" s="220"/>
      <c r="AJ66" s="184"/>
      <c r="AK66" s="184"/>
      <c r="AL66" s="11"/>
      <c r="AM66" s="11"/>
      <c r="AN66" s="220"/>
      <c r="AO66" s="184"/>
      <c r="AP66" s="184"/>
      <c r="AQ66" s="11"/>
      <c r="AR66" s="11"/>
      <c r="AS66" s="220"/>
      <c r="AT66" s="184"/>
      <c r="AU66" s="184"/>
      <c r="AV66" s="11"/>
      <c r="AW66" s="11"/>
      <c r="AX66" s="220"/>
      <c r="AY66" s="184"/>
      <c r="AZ66" s="184"/>
      <c r="BA66" s="11"/>
      <c r="BB66" s="11"/>
      <c r="BC66" s="220"/>
      <c r="BD66" s="184"/>
      <c r="BE66" s="184"/>
      <c r="BF66" s="11"/>
      <c r="BG66" s="11"/>
      <c r="BH66" s="220"/>
      <c r="BI66" s="184"/>
      <c r="BJ66" s="184"/>
      <c r="BK66" s="184"/>
      <c r="BL66" s="184"/>
      <c r="BM66" s="184"/>
      <c r="BN66" s="184"/>
      <c r="BO66" s="184"/>
      <c r="BP66" s="184"/>
    </row>
    <row r="67">
      <c r="A67" s="228" t="str">
        <f>IFERROR(__xludf.DUMMYFUNCTION("TEXTJOIN(CHAR(10),TRUE,FILTER(ARRAYFORMULA(IF(BC$14:BC72&lt;&gt;"""",BB$14:BB72&amp;"" :  cm"","""")), BB$14:BB72 &lt;&gt;""""))"),"")</f>
        <v/>
      </c>
      <c r="B67" s="240"/>
      <c r="C67" s="11"/>
      <c r="D67" s="11"/>
      <c r="E67" s="220"/>
      <c r="F67" s="220"/>
      <c r="G67" s="220"/>
      <c r="H67" s="11"/>
      <c r="I67" s="11"/>
      <c r="J67" s="220"/>
      <c r="K67" s="184"/>
      <c r="L67" s="184"/>
      <c r="M67" s="11"/>
      <c r="N67" s="11"/>
      <c r="O67" s="195"/>
      <c r="P67" s="11"/>
      <c r="Q67" s="11"/>
      <c r="R67" s="12"/>
      <c r="S67" s="11"/>
      <c r="T67" s="220"/>
      <c r="U67" s="184"/>
      <c r="V67" s="184"/>
      <c r="W67" s="11"/>
      <c r="X67" s="11"/>
      <c r="Y67" s="220"/>
      <c r="Z67" s="184"/>
      <c r="AA67" s="184"/>
      <c r="AB67" s="11"/>
      <c r="AC67" s="11"/>
      <c r="AD67" s="220"/>
      <c r="AE67" s="184"/>
      <c r="AF67" s="184"/>
      <c r="AG67" s="11"/>
      <c r="AH67" s="11"/>
      <c r="AI67" s="220"/>
      <c r="AJ67" s="184"/>
      <c r="AK67" s="184"/>
      <c r="AL67" s="11"/>
      <c r="AM67" s="11"/>
      <c r="AN67" s="220"/>
      <c r="AO67" s="184"/>
      <c r="AP67" s="184"/>
      <c r="AQ67" s="11"/>
      <c r="AR67" s="11"/>
      <c r="AS67" s="220"/>
      <c r="AT67" s="184"/>
      <c r="AU67" s="184"/>
      <c r="AV67" s="11"/>
      <c r="AW67" s="11"/>
      <c r="AX67" s="220"/>
      <c r="AY67" s="184"/>
      <c r="AZ67" s="184"/>
      <c r="BA67" s="11"/>
      <c r="BB67" s="11"/>
      <c r="BC67" s="220"/>
      <c r="BD67" s="184"/>
      <c r="BE67" s="184"/>
      <c r="BF67" s="11"/>
      <c r="BG67" s="11"/>
      <c r="BH67" s="220"/>
      <c r="BI67" s="184"/>
      <c r="BJ67" s="184"/>
      <c r="BK67" s="184"/>
      <c r="BL67" s="184"/>
      <c r="BM67" s="184"/>
      <c r="BN67" s="184"/>
      <c r="BO67" s="184"/>
      <c r="BP67" s="184"/>
    </row>
    <row r="68">
      <c r="A68" s="243" t="s">
        <v>126</v>
      </c>
      <c r="B68" s="240"/>
      <c r="C68" s="11"/>
      <c r="D68" s="11"/>
      <c r="E68" s="220"/>
      <c r="F68" s="220"/>
      <c r="G68" s="220"/>
      <c r="H68" s="11"/>
      <c r="I68" s="11"/>
      <c r="J68" s="220"/>
      <c r="K68" s="184"/>
      <c r="L68" s="184"/>
      <c r="M68" s="11"/>
      <c r="N68" s="11"/>
      <c r="O68" s="195"/>
      <c r="P68" s="11"/>
      <c r="Q68" s="11"/>
      <c r="R68" s="12"/>
      <c r="S68" s="11"/>
      <c r="T68" s="220"/>
      <c r="U68" s="184"/>
      <c r="V68" s="184"/>
      <c r="W68" s="11"/>
      <c r="X68" s="11"/>
      <c r="Y68" s="220"/>
      <c r="Z68" s="184"/>
      <c r="AA68" s="184"/>
      <c r="AB68" s="11"/>
      <c r="AC68" s="11"/>
      <c r="AD68" s="220"/>
      <c r="AE68" s="184"/>
      <c r="AF68" s="184"/>
      <c r="AG68" s="11"/>
      <c r="AH68" s="11"/>
      <c r="AI68" s="220"/>
      <c r="AJ68" s="184"/>
      <c r="AK68" s="184"/>
      <c r="AL68" s="11"/>
      <c r="AM68" s="11"/>
      <c r="AN68" s="220"/>
      <c r="AO68" s="184"/>
      <c r="AP68" s="184"/>
      <c r="AQ68" s="11"/>
      <c r="AR68" s="11"/>
      <c r="AS68" s="220"/>
      <c r="AT68" s="184"/>
      <c r="AU68" s="184"/>
      <c r="AV68" s="11"/>
      <c r="AW68" s="11"/>
      <c r="AX68" s="220"/>
      <c r="AY68" s="184"/>
      <c r="AZ68" s="184"/>
      <c r="BA68" s="11"/>
      <c r="BB68" s="11"/>
      <c r="BC68" s="220"/>
      <c r="BD68" s="184"/>
      <c r="BE68" s="184"/>
      <c r="BF68" s="11"/>
      <c r="BG68" s="11"/>
      <c r="BH68" s="220"/>
      <c r="BI68" s="184"/>
      <c r="BJ68" s="184"/>
      <c r="BK68" s="184"/>
      <c r="BL68" s="184"/>
      <c r="BM68" s="184"/>
      <c r="BN68" s="184"/>
      <c r="BO68" s="184"/>
      <c r="BP68" s="184"/>
    </row>
    <row r="69">
      <c r="A69" s="245" t="str">
        <f>IF( $BG$11 = "再製作", "◼︎ フーデッドコート（対応着地：再製作）"&amp;char(10)&amp;"《修正数値》", IF($BG$11 &lt;&gt; "", "◼︎ フーデッドコート（対応着地：お直し）"&amp;char(10)&amp;"《修正数値》", ""))</f>
        <v/>
      </c>
      <c r="B69" s="240"/>
      <c r="C69" s="11"/>
      <c r="D69" s="11"/>
      <c r="E69" s="220"/>
      <c r="F69" s="220"/>
      <c r="G69" s="220"/>
      <c r="H69" s="11"/>
      <c r="I69" s="11"/>
      <c r="J69" s="220"/>
      <c r="K69" s="184"/>
      <c r="L69" s="184"/>
      <c r="M69" s="11"/>
      <c r="N69" s="11"/>
      <c r="O69" s="195"/>
      <c r="P69" s="11"/>
      <c r="Q69" s="11"/>
      <c r="R69" s="12"/>
      <c r="S69" s="11"/>
      <c r="T69" s="220"/>
      <c r="U69" s="184"/>
      <c r="V69" s="184"/>
      <c r="W69" s="11"/>
      <c r="X69" s="11"/>
      <c r="Y69" s="220"/>
      <c r="Z69" s="184"/>
      <c r="AA69" s="184"/>
      <c r="AB69" s="11"/>
      <c r="AC69" s="11"/>
      <c r="AD69" s="220"/>
      <c r="AE69" s="184"/>
      <c r="AF69" s="184"/>
      <c r="AG69" s="11"/>
      <c r="AH69" s="11"/>
      <c r="AI69" s="220"/>
      <c r="AJ69" s="184"/>
      <c r="AK69" s="184"/>
      <c r="AL69" s="11"/>
      <c r="AM69" s="11"/>
      <c r="AN69" s="220"/>
      <c r="AO69" s="184"/>
      <c r="AP69" s="184"/>
      <c r="AQ69" s="11"/>
      <c r="AR69" s="11"/>
      <c r="AS69" s="220"/>
      <c r="AT69" s="184"/>
      <c r="AU69" s="184"/>
      <c r="AV69" s="11"/>
      <c r="AW69" s="11"/>
      <c r="AX69" s="220"/>
      <c r="AY69" s="184"/>
      <c r="AZ69" s="184"/>
      <c r="BA69" s="11"/>
      <c r="BB69" s="11"/>
      <c r="BC69" s="220"/>
      <c r="BD69" s="184"/>
      <c r="BE69" s="184"/>
      <c r="BF69" s="11"/>
      <c r="BG69" s="11"/>
      <c r="BH69" s="220"/>
      <c r="BI69" s="184"/>
      <c r="BJ69" s="184"/>
      <c r="BK69" s="184"/>
      <c r="BL69" s="184"/>
      <c r="BM69" s="184"/>
      <c r="BN69" s="184"/>
      <c r="BO69" s="184"/>
      <c r="BP69" s="184"/>
    </row>
    <row r="70">
      <c r="A70" s="228" t="str">
        <f>IFERROR(__xludf.DUMMYFUNCTION("TEXTJOIN(CHAR(10),TRUE,FILTER(ARRAYFORMULA(IF(BH$14:BH72&lt;&gt;"""",BG$14:BG72&amp;"" : ""&amp; BH$14:BH72 &amp;"" cm"","""")), BG$14:BG72 &lt;&gt;""""))"),"")</f>
        <v/>
      </c>
      <c r="B70" s="240"/>
      <c r="C70" s="11"/>
      <c r="D70" s="11"/>
      <c r="E70" s="220"/>
      <c r="F70" s="220"/>
      <c r="G70" s="220"/>
      <c r="H70" s="11"/>
      <c r="I70" s="11"/>
      <c r="J70" s="220"/>
      <c r="K70" s="184"/>
      <c r="L70" s="184"/>
      <c r="M70" s="11"/>
      <c r="N70" s="11"/>
      <c r="O70" s="195"/>
      <c r="P70" s="11"/>
      <c r="Q70" s="11"/>
      <c r="R70" s="12"/>
      <c r="S70" s="11"/>
      <c r="T70" s="220"/>
      <c r="U70" s="184"/>
      <c r="V70" s="184"/>
      <c r="W70" s="11"/>
      <c r="X70" s="11"/>
      <c r="Y70" s="220"/>
      <c r="Z70" s="184"/>
      <c r="AA70" s="184"/>
      <c r="AB70" s="11"/>
      <c r="AC70" s="11"/>
      <c r="AD70" s="220"/>
      <c r="AE70" s="184"/>
      <c r="AF70" s="184"/>
      <c r="AG70" s="11"/>
      <c r="AH70" s="11"/>
      <c r="AI70" s="220"/>
      <c r="AJ70" s="184"/>
      <c r="AK70" s="184"/>
      <c r="AL70" s="11"/>
      <c r="AM70" s="11"/>
      <c r="AN70" s="220"/>
      <c r="AO70" s="184"/>
      <c r="AP70" s="184"/>
      <c r="AQ70" s="11"/>
      <c r="AR70" s="11"/>
      <c r="AS70" s="220"/>
      <c r="AT70" s="184"/>
      <c r="AU70" s="184"/>
      <c r="AV70" s="11"/>
      <c r="AW70" s="11"/>
      <c r="AX70" s="220"/>
      <c r="AY70" s="184"/>
      <c r="AZ70" s="184"/>
      <c r="BA70" s="11"/>
      <c r="BB70" s="11"/>
      <c r="BC70" s="220"/>
      <c r="BD70" s="184"/>
      <c r="BE70" s="184"/>
      <c r="BF70" s="11"/>
      <c r="BG70" s="11"/>
      <c r="BH70" s="220"/>
      <c r="BI70" s="184"/>
      <c r="BJ70" s="184"/>
      <c r="BK70" s="184"/>
      <c r="BL70" s="184"/>
      <c r="BM70" s="184"/>
      <c r="BN70" s="184"/>
      <c r="BO70" s="184"/>
      <c r="BP70" s="184"/>
    </row>
    <row r="71">
      <c r="A71" s="244" t="str">
        <f>if($A$69&lt;&gt;"", "《仕上がり数値》","")</f>
        <v/>
      </c>
      <c r="B71" s="240"/>
      <c r="C71" s="11"/>
      <c r="D71" s="11"/>
      <c r="E71" s="220"/>
      <c r="F71" s="220"/>
      <c r="G71" s="220"/>
      <c r="H71" s="11"/>
      <c r="I71" s="11"/>
      <c r="J71" s="220"/>
      <c r="K71" s="184"/>
      <c r="L71" s="184"/>
      <c r="M71" s="11"/>
      <c r="N71" s="11"/>
      <c r="O71" s="195"/>
      <c r="P71" s="11"/>
      <c r="Q71" s="11"/>
      <c r="R71" s="12"/>
      <c r="S71" s="11"/>
      <c r="T71" s="220"/>
      <c r="U71" s="184"/>
      <c r="V71" s="184"/>
      <c r="W71" s="11"/>
      <c r="X71" s="11"/>
      <c r="Y71" s="220"/>
      <c r="Z71" s="184"/>
      <c r="AA71" s="184"/>
      <c r="AB71" s="11"/>
      <c r="AC71" s="11"/>
      <c r="AD71" s="220"/>
      <c r="AE71" s="184"/>
      <c r="AF71" s="184"/>
      <c r="AG71" s="11"/>
      <c r="AH71" s="11"/>
      <c r="AI71" s="220"/>
      <c r="AJ71" s="184"/>
      <c r="AK71" s="184"/>
      <c r="AL71" s="11"/>
      <c r="AM71" s="11"/>
      <c r="AN71" s="220"/>
      <c r="AO71" s="184"/>
      <c r="AP71" s="184"/>
      <c r="AQ71" s="11"/>
      <c r="AR71" s="11"/>
      <c r="AS71" s="220"/>
      <c r="AT71" s="184"/>
      <c r="AU71" s="184"/>
      <c r="AV71" s="11"/>
      <c r="AW71" s="11"/>
      <c r="AX71" s="220"/>
      <c r="AY71" s="184"/>
      <c r="AZ71" s="184"/>
      <c r="BA71" s="11"/>
      <c r="BB71" s="11"/>
      <c r="BC71" s="220"/>
      <c r="BD71" s="184"/>
      <c r="BE71" s="184"/>
      <c r="BF71" s="11"/>
      <c r="BG71" s="11"/>
      <c r="BH71" s="220"/>
      <c r="BI71" s="184"/>
      <c r="BJ71" s="184"/>
      <c r="BK71" s="184"/>
      <c r="BL71" s="184"/>
      <c r="BM71" s="184"/>
      <c r="BN71" s="184"/>
      <c r="BO71" s="184"/>
      <c r="BP71" s="184"/>
    </row>
    <row r="72">
      <c r="A72" s="228" t="str">
        <f>IFERROR(__xludf.DUMMYFUNCTION("TEXTJOIN(CHAR(10),TRUE,FILTER(ARRAYFORMULA(IF(BH$14:BH72&lt;&gt;"""",BG$14:BG72&amp;"" :  cm"","""")), BG$14:BG72 &lt;&gt;""""))"),"")</f>
        <v/>
      </c>
      <c r="B72" s="240"/>
      <c r="C72" s="11"/>
      <c r="D72" s="11"/>
      <c r="E72" s="220"/>
      <c r="F72" s="220"/>
      <c r="G72" s="220"/>
      <c r="H72" s="11"/>
      <c r="I72" s="11"/>
      <c r="J72" s="220"/>
      <c r="K72" s="184"/>
      <c r="L72" s="184"/>
      <c r="M72" s="11"/>
      <c r="N72" s="11"/>
      <c r="O72" s="195"/>
      <c r="P72" s="11"/>
      <c r="Q72" s="11"/>
      <c r="R72" s="12"/>
      <c r="S72" s="11"/>
      <c r="T72" s="220"/>
      <c r="U72" s="184"/>
      <c r="V72" s="184"/>
      <c r="W72" s="11"/>
      <c r="X72" s="11"/>
      <c r="Y72" s="220"/>
      <c r="Z72" s="184"/>
      <c r="AA72" s="184"/>
      <c r="AB72" s="11"/>
      <c r="AC72" s="11"/>
      <c r="AD72" s="220"/>
      <c r="AE72" s="184"/>
      <c r="AF72" s="184"/>
      <c r="AG72" s="11"/>
      <c r="AH72" s="11"/>
      <c r="AI72" s="220"/>
      <c r="AJ72" s="184"/>
      <c r="AK72" s="184"/>
      <c r="AL72" s="11"/>
      <c r="AM72" s="11"/>
      <c r="AN72" s="220"/>
      <c r="AO72" s="184"/>
      <c r="AP72" s="184"/>
      <c r="AQ72" s="11"/>
      <c r="AR72" s="11"/>
      <c r="AS72" s="220"/>
      <c r="AT72" s="184"/>
      <c r="AU72" s="184"/>
      <c r="AV72" s="11"/>
      <c r="AW72" s="11"/>
      <c r="AX72" s="220"/>
      <c r="AY72" s="184"/>
      <c r="AZ72" s="184"/>
      <c r="BA72" s="11"/>
      <c r="BB72" s="11"/>
      <c r="BC72" s="220"/>
      <c r="BD72" s="184"/>
      <c r="BE72" s="184"/>
      <c r="BF72" s="11"/>
      <c r="BG72" s="11"/>
      <c r="BH72" s="220"/>
      <c r="BI72" s="184"/>
      <c r="BJ72" s="184"/>
      <c r="BK72" s="184"/>
      <c r="BL72" s="184"/>
      <c r="BM72" s="184"/>
      <c r="BN72" s="184"/>
      <c r="BO72" s="184"/>
      <c r="BP72" s="184"/>
    </row>
  </sheetData>
  <mergeCells count="1">
    <mergeCell ref="D5:G5"/>
  </mergeCells>
  <hyperlinks>
    <hyperlink r:id="rId1" location="gid=1551873484" ref="K5"/>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sheetViews>
  <sheetFormatPr customHeight="1" defaultColWidth="12.63" defaultRowHeight="15.75"/>
  <cols>
    <col customWidth="1" hidden="1" min="1" max="2" width="20.88"/>
    <col customWidth="1" min="3" max="3" width="3.88"/>
    <col customWidth="1" min="4" max="4" width="25.13"/>
    <col customWidth="1" min="5" max="6" width="12.63"/>
    <col customWidth="1" hidden="1" min="7" max="7" width="12.63"/>
    <col customWidth="1" min="8" max="8" width="6.38"/>
    <col customWidth="1" min="9" max="9" width="25.13"/>
    <col customWidth="1" min="10" max="11" width="12.63"/>
    <col customWidth="1" hidden="1" min="12" max="12" width="12.63"/>
    <col customWidth="1" min="13" max="13" width="6.38"/>
    <col customWidth="1" min="14" max="14" width="25.13"/>
    <col customWidth="1" min="15" max="16" width="12.63"/>
    <col customWidth="1" hidden="1" min="17" max="17" width="12.63"/>
    <col customWidth="1" min="18" max="18" width="6.25"/>
    <col customWidth="1" min="19" max="19" width="25.13"/>
    <col customWidth="1" min="20" max="21" width="12.63"/>
    <col customWidth="1" hidden="1" min="22" max="22" width="12.63"/>
    <col customWidth="1" min="23" max="23" width="6.38"/>
    <col customWidth="1" min="24" max="24" width="25.13"/>
    <col customWidth="1" min="25" max="26" width="12.63"/>
    <col customWidth="1" hidden="1" min="27" max="27" width="12.63"/>
    <col customWidth="1" min="28" max="28" width="6.38"/>
    <col customWidth="1" min="29" max="29" width="25.13"/>
    <col customWidth="1" min="30" max="31" width="12.63"/>
    <col customWidth="1" hidden="1" min="32" max="32" width="12.63"/>
    <col customWidth="1" min="33" max="33" width="7.13"/>
    <col customWidth="1" min="34" max="34" width="25.13"/>
    <col customWidth="1" min="35" max="36" width="12.63"/>
    <col customWidth="1" hidden="1" min="37" max="37" width="12.63"/>
    <col customWidth="1" min="38" max="38" width="7.13"/>
    <col customWidth="1" min="39" max="39" width="25.13"/>
    <col customWidth="1" min="40" max="41" width="12.63"/>
    <col customWidth="1" hidden="1" min="42" max="42" width="12.63"/>
    <col customWidth="1" min="43" max="43" width="7.13"/>
    <col customWidth="1" min="44" max="44" width="25.13"/>
    <col customWidth="1" min="45" max="46" width="12.63"/>
    <col customWidth="1" hidden="1" min="47" max="47" width="12.63"/>
    <col customWidth="1" min="48" max="48" width="12.63"/>
    <col customWidth="1" min="49" max="49" width="25.13"/>
    <col customWidth="1" min="50" max="51" width="12.63"/>
    <col customWidth="1" hidden="1" min="52" max="52" width="12.63"/>
    <col customWidth="1" min="53" max="53" width="12.63"/>
    <col customWidth="1" min="54" max="54" width="25.13"/>
    <col customWidth="1" min="55" max="56" width="12.63"/>
    <col customWidth="1" hidden="1" min="57" max="57" width="12.63"/>
    <col customWidth="1" min="58" max="58" width="12.63"/>
    <col customWidth="1" min="59" max="59" width="25.13"/>
    <col customWidth="1" min="60" max="61" width="12.63"/>
    <col customWidth="1" hidden="1" min="62" max="62" width="12.63"/>
    <col customWidth="1" min="63" max="63" width="12.63"/>
    <col customWidth="1" min="64" max="64" width="19.25"/>
    <col customWidth="1" min="65" max="66" width="12.63"/>
    <col customWidth="1" hidden="1" min="67" max="67" width="12.63"/>
    <col customWidth="1" min="68" max="68" width="12.63"/>
  </cols>
  <sheetData>
    <row r="1">
      <c r="A1" s="256">
        <f>today()</f>
        <v>45991</v>
      </c>
      <c r="B1" s="257"/>
      <c r="C1" s="262"/>
      <c r="D1" s="258" t="s">
        <v>15</v>
      </c>
      <c r="E1" s="259"/>
      <c r="F1" s="259"/>
      <c r="G1" s="259"/>
      <c r="H1" s="260"/>
      <c r="I1" s="260"/>
      <c r="J1" s="259"/>
      <c r="K1" s="259"/>
      <c r="L1" s="259"/>
      <c r="M1" s="260"/>
      <c r="N1" s="259"/>
      <c r="O1" s="259"/>
      <c r="P1" s="259"/>
      <c r="Q1" s="259"/>
      <c r="R1" s="260"/>
      <c r="S1" s="260"/>
      <c r="T1" s="261"/>
      <c r="U1" s="261"/>
      <c r="V1" s="261"/>
      <c r="W1" s="260"/>
      <c r="X1" s="259"/>
      <c r="Y1" s="261"/>
      <c r="Z1" s="261"/>
      <c r="AA1" s="261"/>
      <c r="AB1" s="260"/>
      <c r="AC1" s="259"/>
      <c r="AD1" s="261"/>
      <c r="AE1" s="261"/>
      <c r="AF1" s="261"/>
      <c r="AG1" s="260"/>
      <c r="AH1" s="259"/>
      <c r="AI1" s="261"/>
      <c r="AJ1" s="261"/>
      <c r="AK1" s="261"/>
      <c r="AL1" s="260"/>
      <c r="AM1" s="259"/>
      <c r="AN1" s="261"/>
      <c r="AO1" s="261"/>
      <c r="AP1" s="261"/>
      <c r="AQ1" s="260"/>
      <c r="AR1" s="259"/>
      <c r="AS1" s="261"/>
      <c r="AT1" s="261"/>
      <c r="AU1" s="261"/>
      <c r="AV1" s="260"/>
      <c r="AW1" s="259"/>
      <c r="AX1" s="261"/>
      <c r="AY1" s="261"/>
      <c r="AZ1" s="261"/>
      <c r="BA1" s="260"/>
      <c r="BB1" s="259"/>
      <c r="BC1" s="261"/>
      <c r="BD1" s="261"/>
      <c r="BE1" s="261"/>
      <c r="BF1" s="260"/>
      <c r="BG1" s="259"/>
      <c r="BH1" s="261"/>
      <c r="BI1" s="261"/>
      <c r="BJ1" s="261"/>
      <c r="BK1" s="261"/>
      <c r="BL1" s="261"/>
      <c r="BM1" s="261"/>
      <c r="BN1" s="261"/>
      <c r="BO1" s="261"/>
      <c r="BP1" s="261"/>
    </row>
    <row r="2">
      <c r="A2" s="11"/>
      <c r="B2" s="183"/>
      <c r="C2" s="12"/>
      <c r="D2" s="12"/>
      <c r="E2" s="12"/>
      <c r="F2" s="12"/>
      <c r="G2" s="12"/>
      <c r="H2" s="11"/>
      <c r="I2" s="11"/>
      <c r="J2" s="12"/>
      <c r="K2" s="12"/>
      <c r="L2" s="12"/>
      <c r="M2" s="11"/>
      <c r="N2" s="12"/>
      <c r="O2" s="12"/>
      <c r="P2" s="12"/>
      <c r="Q2" s="12"/>
      <c r="R2" s="11"/>
      <c r="S2" s="11"/>
      <c r="T2" s="184"/>
      <c r="U2" s="184"/>
      <c r="V2" s="184"/>
      <c r="W2" s="11"/>
      <c r="X2" s="12"/>
      <c r="Y2" s="184"/>
      <c r="Z2" s="184"/>
      <c r="AA2" s="184"/>
      <c r="AB2" s="11"/>
      <c r="AC2" s="12"/>
      <c r="AD2" s="184"/>
      <c r="AE2" s="184"/>
      <c r="AF2" s="184"/>
      <c r="AG2" s="11"/>
      <c r="AH2" s="12"/>
      <c r="AI2" s="184"/>
      <c r="AJ2" s="184"/>
      <c r="AK2" s="184"/>
      <c r="AL2" s="11"/>
      <c r="AM2" s="12"/>
      <c r="AN2" s="184"/>
      <c r="AO2" s="184"/>
      <c r="AP2" s="184"/>
      <c r="AQ2" s="11"/>
      <c r="AR2" s="12"/>
      <c r="AS2" s="184"/>
      <c r="AT2" s="184"/>
      <c r="AU2" s="184"/>
      <c r="AV2" s="11"/>
      <c r="AW2" s="12"/>
      <c r="AX2" s="184"/>
      <c r="AY2" s="184"/>
      <c r="AZ2" s="184"/>
      <c r="BA2" s="11"/>
      <c r="BB2" s="12"/>
      <c r="BC2" s="184"/>
      <c r="BD2" s="184"/>
      <c r="BE2" s="184"/>
      <c r="BF2" s="11"/>
      <c r="BG2" s="12"/>
      <c r="BH2" s="184"/>
      <c r="BI2" s="184"/>
      <c r="BJ2" s="184"/>
      <c r="BK2" s="184"/>
      <c r="BL2" s="184"/>
      <c r="BM2" s="184"/>
      <c r="BN2" s="184"/>
      <c r="BO2" s="184"/>
      <c r="BP2" s="184"/>
    </row>
    <row r="3">
      <c r="A3" s="12"/>
      <c r="B3" s="185"/>
      <c r="C3" s="12"/>
      <c r="D3" s="12" t="str">
        <f t="array" ref="D3:D5">index(A3:A5,0)</f>
        <v/>
      </c>
      <c r="E3" s="12"/>
      <c r="F3" s="12"/>
      <c r="G3" s="12"/>
      <c r="H3" s="11"/>
      <c r="I3" s="11"/>
      <c r="J3" s="12"/>
      <c r="K3" s="12"/>
      <c r="L3" s="12"/>
      <c r="M3" s="11"/>
      <c r="N3" s="12"/>
      <c r="O3" s="12"/>
      <c r="P3" s="12"/>
      <c r="Q3" s="12"/>
      <c r="R3" s="11"/>
      <c r="S3" s="11"/>
      <c r="T3" s="184"/>
      <c r="U3" s="184"/>
      <c r="V3" s="184"/>
      <c r="W3" s="11"/>
      <c r="X3" s="12"/>
      <c r="Y3" s="184"/>
      <c r="Z3" s="184"/>
      <c r="AA3" s="184"/>
      <c r="AB3" s="11"/>
      <c r="AC3" s="12"/>
      <c r="AD3" s="184"/>
      <c r="AE3" s="184"/>
      <c r="AF3" s="184"/>
      <c r="AG3" s="11"/>
      <c r="AH3" s="12"/>
      <c r="AI3" s="184"/>
      <c r="AJ3" s="184"/>
      <c r="AK3" s="184"/>
      <c r="AL3" s="11"/>
      <c r="AM3" s="12"/>
      <c r="AN3" s="184"/>
      <c r="AO3" s="184"/>
      <c r="AP3" s="184"/>
      <c r="AQ3" s="11"/>
      <c r="AR3" s="12"/>
      <c r="AS3" s="184"/>
      <c r="AT3" s="184"/>
      <c r="AU3" s="184"/>
      <c r="AV3" s="11"/>
      <c r="AW3" s="12"/>
      <c r="AX3" s="184"/>
      <c r="AY3" s="184"/>
      <c r="AZ3" s="184"/>
      <c r="BA3" s="11"/>
      <c r="BB3" s="12"/>
      <c r="BC3" s="184"/>
      <c r="BD3" s="184"/>
      <c r="BE3" s="184"/>
      <c r="BF3" s="11"/>
      <c r="BG3" s="12"/>
      <c r="BH3" s="184"/>
      <c r="BI3" s="184"/>
      <c r="BJ3" s="184"/>
      <c r="BK3" s="184"/>
      <c r="BL3" s="184"/>
      <c r="BM3" s="184"/>
      <c r="BN3" s="184"/>
      <c r="BO3" s="184"/>
      <c r="BP3" s="184"/>
    </row>
    <row r="4">
      <c r="A4" s="186" t="s">
        <v>28</v>
      </c>
      <c r="B4" s="185"/>
      <c r="C4" s="12"/>
      <c r="D4" s="12" t="s">
        <v>28</v>
      </c>
      <c r="E4" s="12"/>
      <c r="F4" s="12"/>
      <c r="G4" s="12"/>
      <c r="H4" s="11"/>
      <c r="I4" s="11"/>
      <c r="J4" s="12"/>
      <c r="K4" s="12"/>
      <c r="L4" s="12"/>
      <c r="M4" s="11"/>
      <c r="N4" s="12"/>
      <c r="O4" s="12"/>
      <c r="P4" s="12"/>
      <c r="Q4" s="12"/>
      <c r="R4" s="11"/>
      <c r="S4" s="11"/>
      <c r="T4" s="184"/>
      <c r="U4" s="184"/>
      <c r="V4" s="184"/>
      <c r="W4" s="11"/>
      <c r="X4" s="12"/>
      <c r="Y4" s="184"/>
      <c r="Z4" s="184"/>
      <c r="AA4" s="184"/>
      <c r="AB4" s="11"/>
      <c r="AC4" s="12"/>
      <c r="AD4" s="184"/>
      <c r="AE4" s="184"/>
      <c r="AF4" s="184"/>
      <c r="AG4" s="11"/>
      <c r="AH4" s="12"/>
      <c r="AI4" s="184"/>
      <c r="AJ4" s="184"/>
      <c r="AK4" s="184"/>
      <c r="AL4" s="11"/>
      <c r="AM4" s="12"/>
      <c r="AN4" s="184"/>
      <c r="AO4" s="184"/>
      <c r="AP4" s="184"/>
      <c r="AQ4" s="11"/>
      <c r="AR4" s="12"/>
      <c r="AS4" s="184"/>
      <c r="AT4" s="184"/>
      <c r="AU4" s="184"/>
      <c r="AV4" s="11"/>
      <c r="AW4" s="12"/>
      <c r="AX4" s="184"/>
      <c r="AY4" s="184"/>
      <c r="AZ4" s="184"/>
      <c r="BA4" s="11"/>
      <c r="BB4" s="12"/>
      <c r="BC4" s="184"/>
      <c r="BD4" s="184"/>
      <c r="BE4" s="184"/>
      <c r="BF4" s="11"/>
      <c r="BG4" s="12"/>
      <c r="BH4" s="184"/>
      <c r="BI4" s="184"/>
      <c r="BJ4" s="184"/>
      <c r="BK4" s="184"/>
      <c r="BL4" s="184"/>
      <c r="BM4" s="184"/>
      <c r="BN4" s="184"/>
      <c r="BO4" s="184"/>
      <c r="BP4" s="184"/>
    </row>
    <row r="5" ht="225.0" customHeight="1">
      <c r="A5" s="187" t="str">
        <f>$A$7 &amp; $A$8 &amp; CHAR(10) &amp; $A$10 &amp; CHAR(10) &amp; CHAR(10) &amp; $A$11</f>
        <v>FABRIC TOKYO 日本橋 2025-11-30 お直し適用サイズ
◼︎ パンツ（対応着地：再製作）
《修正数値》
パンツウエスト : -2 cm
股上 : 2 cm
股下 / ダブル(3.5cm以下) : 5 cm
《仕上がり数値》
パンツウエスト : cm
股上 : cm
股下 / ダブル(3.5cm以下)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v>
      </c>
      <c r="B5" s="188" t="str">
        <f>"【お直し来店済み】" &amp; CHAR(10) &amp; 
 "来店⽇時：" &amp; text($A$1," yyyy/mm/dd")&amp; CHAR(10) &amp;
 "来店店舗：" &amp; $D$1 &amp; CHAR(10) &amp; CHAR(10) &amp;
 "お直し着地：" &amp; CHAR(10) &amp; $A$10</f>
        <v>【お直し来店済み】
来店⽇時： 2025/11/30
来店店舗：日本橋
お直し着地：
◼︎ パンツ（対応着地：再製作）
《修正数値》
パンツウエスト : -2 cm
股上 : 2 cm
股下 / ダブル(3.5cm以下) : 5 cm
《仕上がり数値》
パンツウエスト : cm
股上 : cm
股下 / ダブル(3.5cm以下) : cm</v>
      </c>
      <c r="C5" s="12"/>
      <c r="D5" s="189" t="s">
        <v>136</v>
      </c>
      <c r="H5" s="11"/>
      <c r="I5" s="190" t="str">
        <f>"【お直し来店済み】" &amp; CHAR(10) &amp; 
 "来店⽇時：" &amp; text($A$1," yyyy/mm/dd")&amp; CHAR(10) &amp;
 "来店店舗：" &amp; $D$1 &amp; CHAR(10) &amp; CHAR(10) &amp;
 "お直し着地：" &amp; CHAR(10) &amp; $A$10</f>
        <v>【お直し来店済み】
来店⽇時： 2025/11/30
来店店舗：日本橋
お直し着地：
◼︎ パンツ（対応着地：再製作）
《修正数値》
パンツウエスト : -2 cm
股上 : 2 cm
股下 / ダブル(3.5cm以下) : 5 cm
《仕上がり数値》
パンツウエスト : cm
股上 : cm
股下 / ダブル(3.5cm以下) : cm</v>
      </c>
      <c r="J5" s="12"/>
      <c r="K5" s="191" t="s">
        <v>30</v>
      </c>
      <c r="L5" s="12"/>
      <c r="M5" s="11"/>
      <c r="N5" s="12"/>
      <c r="O5" s="12"/>
      <c r="P5" s="12"/>
      <c r="Q5" s="12"/>
      <c r="R5" s="11"/>
      <c r="S5" s="11"/>
      <c r="T5" s="184"/>
      <c r="U5" s="184"/>
      <c r="V5" s="184"/>
      <c r="W5" s="11"/>
      <c r="X5" s="12"/>
      <c r="Y5" s="184"/>
      <c r="Z5" s="184"/>
      <c r="AA5" s="184"/>
      <c r="AB5" s="11"/>
      <c r="AC5" s="12"/>
      <c r="AD5" s="184"/>
      <c r="AE5" s="184"/>
      <c r="AF5" s="184"/>
      <c r="AG5" s="11"/>
      <c r="AH5" s="12"/>
      <c r="AI5" s="184"/>
      <c r="AJ5" s="184"/>
      <c r="AK5" s="184"/>
      <c r="AL5" s="11"/>
      <c r="AM5" s="12"/>
      <c r="AN5" s="184"/>
      <c r="AO5" s="184"/>
      <c r="AP5" s="184"/>
      <c r="AQ5" s="11"/>
      <c r="AR5" s="12"/>
      <c r="AS5" s="184"/>
      <c r="AT5" s="184"/>
      <c r="AU5" s="184"/>
      <c r="AV5" s="11"/>
      <c r="AW5" s="12"/>
      <c r="AX5" s="184"/>
      <c r="AY5" s="184"/>
      <c r="AZ5" s="184"/>
      <c r="BA5" s="11"/>
      <c r="BB5" s="12"/>
      <c r="BC5" s="184"/>
      <c r="BD5" s="184"/>
      <c r="BE5" s="184"/>
      <c r="BF5" s="11"/>
      <c r="BG5" s="12"/>
      <c r="BH5" s="184"/>
      <c r="BI5" s="184"/>
      <c r="BJ5" s="184"/>
      <c r="BK5" s="184"/>
      <c r="BL5" s="184"/>
      <c r="BM5" s="184"/>
      <c r="BN5" s="184"/>
      <c r="BO5" s="184"/>
      <c r="BP5" s="184"/>
    </row>
    <row r="6">
      <c r="A6" s="12"/>
      <c r="B6" s="186"/>
      <c r="C6" s="12"/>
      <c r="D6" s="12"/>
      <c r="E6" s="12"/>
      <c r="F6" s="12"/>
      <c r="G6" s="12"/>
      <c r="H6" s="11"/>
      <c r="I6" s="11"/>
      <c r="J6" s="12"/>
      <c r="K6" s="12"/>
      <c r="L6" s="12"/>
      <c r="M6" s="11"/>
      <c r="N6" s="12"/>
      <c r="O6" s="12"/>
      <c r="P6" s="12"/>
      <c r="Q6" s="12"/>
      <c r="R6" s="11"/>
      <c r="S6" s="11"/>
      <c r="T6" s="184"/>
      <c r="U6" s="184"/>
      <c r="V6" s="184"/>
      <c r="W6" s="11"/>
      <c r="X6" s="12"/>
      <c r="Y6" s="184"/>
      <c r="Z6" s="184"/>
      <c r="AA6" s="184"/>
      <c r="AB6" s="11"/>
      <c r="AC6" s="12"/>
      <c r="AD6" s="184"/>
      <c r="AE6" s="184"/>
      <c r="AF6" s="184"/>
      <c r="AG6" s="11"/>
      <c r="AH6" s="12"/>
      <c r="AI6" s="184"/>
      <c r="AJ6" s="184"/>
      <c r="AK6" s="184"/>
      <c r="AL6" s="11"/>
      <c r="AM6" s="12"/>
      <c r="AN6" s="184"/>
      <c r="AO6" s="184"/>
      <c r="AP6" s="184"/>
      <c r="AQ6" s="11"/>
      <c r="AR6" s="12"/>
      <c r="AS6" s="184"/>
      <c r="AT6" s="184"/>
      <c r="AU6" s="184"/>
      <c r="AV6" s="11"/>
      <c r="AW6" s="12"/>
      <c r="AX6" s="184"/>
      <c r="AY6" s="184"/>
      <c r="AZ6" s="184"/>
      <c r="BA6" s="11"/>
      <c r="BB6" s="12"/>
      <c r="BC6" s="184"/>
      <c r="BD6" s="184"/>
      <c r="BE6" s="184"/>
      <c r="BF6" s="11"/>
      <c r="BG6" s="12"/>
      <c r="BH6" s="184"/>
      <c r="BI6" s="184"/>
      <c r="BJ6" s="184"/>
      <c r="BK6" s="184"/>
      <c r="BL6" s="184"/>
      <c r="BM6" s="184"/>
      <c r="BN6" s="184"/>
      <c r="BO6" s="184"/>
      <c r="BP6" s="184"/>
    </row>
    <row r="7" ht="28.5" customHeight="1">
      <c r="A7" s="192" t="str">
        <f>IF((SUM(LEN(I11), LEN(N11), LEN(S11), LEN(X11), LEN(AC11), LEN(AH11), LEN(AM11), LEN(AR11), LEN(AW11), LEN(BB11), LEN(BG11)))&gt;0, "FABRIC TOKYO "&amp; $D$1 &amp; " " &amp; TEXT($A$1, "yyyy-m-d") &amp; " お直し適用サイズ" &amp; CHAR(10), "")</f>
        <v>FABRIC TOKYO 日本橋 2025-11-30 お直し適用サイズ
</v>
      </c>
      <c r="B7" s="193"/>
      <c r="C7" s="12"/>
      <c r="D7" s="194" t="s">
        <v>31</v>
      </c>
      <c r="E7" s="12"/>
      <c r="F7" s="12"/>
      <c r="G7" s="12"/>
      <c r="H7" s="11"/>
      <c r="I7" s="11"/>
      <c r="J7" s="12"/>
      <c r="K7" s="12"/>
      <c r="L7" s="12"/>
      <c r="M7" s="11"/>
      <c r="N7" s="12"/>
      <c r="O7" s="12"/>
      <c r="P7" s="12"/>
      <c r="Q7" s="12"/>
      <c r="R7" s="11"/>
      <c r="S7" s="11"/>
      <c r="T7" s="184"/>
      <c r="U7" s="184"/>
      <c r="V7" s="184"/>
      <c r="W7" s="11"/>
      <c r="X7" s="12"/>
      <c r="Y7" s="184"/>
      <c r="Z7" s="184"/>
      <c r="AA7" s="184"/>
      <c r="AB7" s="11"/>
      <c r="AC7" s="12"/>
      <c r="AD7" s="184"/>
      <c r="AE7" s="184"/>
      <c r="AF7" s="184"/>
      <c r="AG7" s="11"/>
      <c r="AH7" s="12"/>
      <c r="AI7" s="184"/>
      <c r="AJ7" s="184"/>
      <c r="AK7" s="184"/>
      <c r="AL7" s="11"/>
      <c r="AM7" s="12"/>
      <c r="AN7" s="184"/>
      <c r="AO7" s="184"/>
      <c r="AP7" s="184"/>
      <c r="AQ7" s="11"/>
      <c r="AR7" s="12"/>
      <c r="AS7" s="184"/>
      <c r="AT7" s="184"/>
      <c r="AU7" s="184"/>
      <c r="AV7" s="11"/>
      <c r="AW7" s="12"/>
      <c r="AX7" s="184"/>
      <c r="AY7" s="184"/>
      <c r="AZ7" s="184"/>
      <c r="BA7" s="11"/>
      <c r="BB7" s="12"/>
      <c r="BC7" s="184"/>
      <c r="BD7" s="184"/>
      <c r="BE7" s="184"/>
      <c r="BF7" s="11"/>
      <c r="BG7" s="12"/>
      <c r="BH7" s="184"/>
      <c r="BI7" s="184"/>
      <c r="BJ7" s="184"/>
      <c r="BK7" s="184"/>
      <c r="BL7" s="184"/>
      <c r="BM7" s="184"/>
      <c r="BN7" s="184"/>
      <c r="BO7" s="184"/>
      <c r="BP7" s="184"/>
    </row>
    <row r="8">
      <c r="A8" s="192" t="str">
        <f>ifs($D$11&lt;&gt;"", 
"FABRIC TOKYO "&amp; $D$1&amp; "" &amp; text($A$1," yyyy-m-d"&amp;" お直し適用サイズ ＊スーツサイズ")
&amp; CHAR(10) &amp;
"FABRIC TOKYO "&amp; $D$1&amp; "" &amp; text($A$1," yyyy-m-d"&amp;" お直し適用サイズ ＊ビジネスカジュアルサイズ" &amp; CHAR(10))
,
$D$11="", "")</f>
        <v/>
      </c>
      <c r="B8" s="193"/>
      <c r="C8" s="195"/>
      <c r="D8" s="196" t="str">
        <f>IF(OR($D$11="再製作", $I$11="再製作", $N$11="再製作"), "再製作", 
  IF(AND(COUNTIF($E$11:$O$11, "&gt;=" &amp;  TODAY()), COUNTIF($E$11:$O11, "&lt;&gt;")), MAX($D$11, $I$11, $N$11), ""))</f>
        <v>再製作</v>
      </c>
      <c r="E8" s="197" t="s">
        <v>32</v>
      </c>
      <c r="F8" s="12"/>
      <c r="G8" s="12"/>
      <c r="H8" s="12"/>
      <c r="I8" s="12"/>
      <c r="J8" s="195"/>
      <c r="K8" s="195"/>
      <c r="L8" s="195"/>
      <c r="M8" s="11"/>
      <c r="N8" s="198" t="s">
        <v>33</v>
      </c>
      <c r="O8" s="12"/>
      <c r="P8" s="12"/>
      <c r="Q8" s="12"/>
      <c r="R8" s="11"/>
      <c r="S8" s="11"/>
      <c r="T8" s="184"/>
      <c r="U8" s="184"/>
      <c r="V8" s="184"/>
      <c r="W8" s="11"/>
      <c r="X8" s="12"/>
      <c r="Y8" s="184"/>
      <c r="Z8" s="184"/>
      <c r="AA8" s="184"/>
      <c r="AB8" s="11"/>
      <c r="AC8" s="12"/>
      <c r="AD8" s="184"/>
      <c r="AE8" s="184"/>
      <c r="AF8" s="184"/>
      <c r="AG8" s="11"/>
      <c r="AH8" s="12"/>
      <c r="AI8" s="184"/>
      <c r="AJ8" s="184"/>
      <c r="AK8" s="184"/>
      <c r="AL8" s="11"/>
      <c r="AM8" s="12"/>
      <c r="AN8" s="184"/>
      <c r="AO8" s="184"/>
      <c r="AP8" s="184"/>
      <c r="AQ8" s="11"/>
      <c r="AR8" s="12"/>
      <c r="AS8" s="184"/>
      <c r="AT8" s="184"/>
      <c r="AU8" s="184"/>
      <c r="AV8" s="11"/>
      <c r="AW8" s="12"/>
      <c r="AX8" s="184"/>
      <c r="AY8" s="184"/>
      <c r="AZ8" s="184"/>
      <c r="BA8" s="11"/>
      <c r="BB8" s="12"/>
      <c r="BC8" s="184"/>
      <c r="BD8" s="184"/>
      <c r="BE8" s="184"/>
      <c r="BF8" s="11"/>
      <c r="BG8" s="12"/>
      <c r="BH8" s="184"/>
      <c r="BI8" s="184"/>
      <c r="BJ8" s="184"/>
      <c r="BK8" s="184"/>
      <c r="BL8" s="184"/>
      <c r="BM8" s="184"/>
      <c r="BN8" s="184"/>
      <c r="BO8" s="184"/>
      <c r="BP8" s="184"/>
    </row>
    <row r="9">
      <c r="A9" s="12"/>
      <c r="B9" s="186"/>
      <c r="C9" s="12"/>
      <c r="D9" s="12"/>
      <c r="E9" s="11"/>
      <c r="F9" s="11"/>
      <c r="G9" s="11"/>
      <c r="H9" s="11"/>
      <c r="I9" s="11"/>
      <c r="J9" s="11"/>
      <c r="K9" s="11"/>
      <c r="L9" s="11"/>
      <c r="M9" s="11"/>
      <c r="N9" s="11"/>
      <c r="O9" s="11"/>
      <c r="P9" s="11"/>
      <c r="Q9" s="11"/>
      <c r="R9" s="11"/>
      <c r="S9" s="12"/>
      <c r="T9" s="184"/>
      <c r="U9" s="184"/>
      <c r="V9" s="184"/>
      <c r="W9" s="11"/>
      <c r="X9" s="12"/>
      <c r="Y9" s="184"/>
      <c r="Z9" s="184"/>
      <c r="AA9" s="184"/>
      <c r="AB9" s="11"/>
      <c r="AC9" s="12"/>
      <c r="AD9" s="184"/>
      <c r="AE9" s="184"/>
      <c r="AF9" s="184"/>
      <c r="AG9" s="11"/>
      <c r="AH9" s="12"/>
      <c r="AI9" s="184"/>
      <c r="AJ9" s="184"/>
      <c r="AK9" s="184"/>
      <c r="AL9" s="11"/>
      <c r="AM9" s="12"/>
      <c r="AN9" s="184"/>
      <c r="AO9" s="184"/>
      <c r="AP9" s="184"/>
      <c r="AQ9" s="11"/>
      <c r="AR9" s="12"/>
      <c r="AS9" s="184"/>
      <c r="AT9" s="184"/>
      <c r="AU9" s="184"/>
      <c r="AV9" s="11"/>
      <c r="AW9" s="12"/>
      <c r="AX9" s="184"/>
      <c r="AY9" s="184"/>
      <c r="AZ9" s="184"/>
      <c r="BA9" s="11"/>
      <c r="BB9" s="12"/>
      <c r="BC9" s="184"/>
      <c r="BD9" s="184"/>
      <c r="BE9" s="184"/>
      <c r="BF9" s="11"/>
      <c r="BG9" s="12"/>
      <c r="BH9" s="184"/>
      <c r="BI9" s="184"/>
      <c r="BJ9" s="184"/>
      <c r="BK9" s="184"/>
      <c r="BL9" s="184"/>
      <c r="BM9" s="184"/>
      <c r="BN9" s="184"/>
      <c r="BO9" s="184"/>
      <c r="BP9" s="184"/>
    </row>
    <row r="10" ht="15.75" customHeight="1">
      <c r="A10" s="199" t="str">
        <f t="array" ref="A10">TRIM(
 IF($A$14&lt;&gt;"",TEXTJOIN(CHAR(10),TRUE,IF($A$14:$A$17&lt;&gt;"",$A$14:$A$17,"")) &amp; CHAR(10) &amp; CHAR(10),"") &amp;
 IF($A$19&lt;&gt;"",TEXTJOIN(CHAR(10),TRUE,IF($A$19:$A$22&lt;&gt;"",$A$19:$A$22,"")) &amp; CHAR(10) &amp; CHAR(10),"") &amp;
 IF($A$24&lt;&gt;"",TEXTJOIN(CHAR(10),TRUE,IF($A$24:$A$27&lt;&gt;"",$A$24:$A$27,"")) &amp; CHAR(10) &amp; CHAR(10),"") &amp;
 IF($A$29&lt;&gt;"",TEXTJOIN(CHAR(10),TRUE,IF($A$29:$A$32&lt;&gt;"",$A$29:$A$32,"")) &amp; CHAR(10) &amp; CHAR(10),"") &amp;
 IF($A$34&lt;&gt;"",TEXTJOIN(CHAR(10),TRUE,IF($A$34:$A$37&lt;&gt;"",$A$34:$A$37,"")) &amp; CHAR(10) &amp; CHAR(10),"") &amp;
 IF($A$39&lt;&gt;"",TEXTJOIN(CHAR(10),TRUE,IF($A$39:$A$42&lt;&gt;"",$A$39:$A$42,"")) &amp; CHAR(10) &amp; CHAR(10),"") &amp;
 IF($A$44&lt;&gt;"",TEXTJOIN(CHAR(10),TRUE,IF($A$44:$A$47&lt;&gt;"",$A$44:$A$47,"")) &amp; CHAR(10) &amp; CHAR(10),"") &amp;
 IF($A$49&lt;&gt;"",TEXTJOIN(CHAR(10),TRUE,IF($A$49:$A$52&lt;&gt;"",$A$49:$A$52,"")) &amp; CHAR(10) &amp; CHAR(10),"") &amp;
 IF($A$54&lt;&gt;"",TEXTJOIN(CHAR(10),TRUE,IF($A$54:$A$57&lt;&gt;"",$A$54:$A$57,"")) &amp; CHAR(10) &amp; CHAR(10),"") &amp;
 IF($A$59&lt;&gt;"",TEXTJOIN(CHAR(10),TRUE,IF($A$59:$A$62&lt;&gt;"",$A$59:$A$62,"")) &amp; CHAR(10) &amp; CHAR(10),"") &amp;
 IF($A$64&lt;&gt;"",TEXTJOIN(CHAR(10),TRUE,IF($A$64:$A$67&lt;&gt;"",$A$64:$A$67,"")) &amp; CHAR(10) &amp; CHAR(10),"") &amp;
 IF($A$69&lt;&gt;"",TEXTJOIN(CHAR(10),TRUE,IF($A$69:$A$72&lt;&gt;"",$A$69:$A$72,"")) &amp; CHAR(10) &amp; CHAR(10),"") 
)
</f>
        <v>◼︎ パンツ（対応着地：再製作）
《修正数値》
パンツウエスト : -2 cm
股上 : 2 cm
股下 / ダブル(3.5cm以下) : 5 cm
《仕上がり数値》
パンツウエスト : cm
股上 : cm
股下 / ダブル(3.5cm以下) : cm</v>
      </c>
      <c r="B10" s="12"/>
      <c r="C10" s="12"/>
      <c r="D10" s="200" t="s">
        <v>34</v>
      </c>
      <c r="E10" s="201"/>
      <c r="F10" s="201"/>
      <c r="G10" s="202" t="s">
        <v>35</v>
      </c>
      <c r="H10" s="11"/>
      <c r="I10" s="200" t="s">
        <v>36</v>
      </c>
      <c r="J10" s="203"/>
      <c r="K10" s="201"/>
      <c r="L10" s="202" t="s">
        <v>35</v>
      </c>
      <c r="M10" s="11"/>
      <c r="N10" s="204" t="s">
        <v>37</v>
      </c>
      <c r="O10" s="203"/>
      <c r="P10" s="201"/>
      <c r="Q10" s="202" t="s">
        <v>35</v>
      </c>
      <c r="R10" s="11"/>
      <c r="S10" s="200" t="s">
        <v>38</v>
      </c>
      <c r="T10" s="203"/>
      <c r="U10" s="201"/>
      <c r="V10" s="202" t="s">
        <v>35</v>
      </c>
      <c r="W10" s="11"/>
      <c r="X10" s="200" t="s">
        <v>39</v>
      </c>
      <c r="Y10" s="203"/>
      <c r="Z10" s="201"/>
      <c r="AA10" s="202" t="s">
        <v>35</v>
      </c>
      <c r="AB10" s="11"/>
      <c r="AC10" s="200" t="s">
        <v>40</v>
      </c>
      <c r="AD10" s="203"/>
      <c r="AE10" s="201"/>
      <c r="AF10" s="202" t="s">
        <v>35</v>
      </c>
      <c r="AG10" s="11"/>
      <c r="AH10" s="200" t="s">
        <v>41</v>
      </c>
      <c r="AI10" s="203"/>
      <c r="AJ10" s="201"/>
      <c r="AK10" s="202" t="s">
        <v>35</v>
      </c>
      <c r="AL10" s="11"/>
      <c r="AM10" s="200" t="s">
        <v>42</v>
      </c>
      <c r="AN10" s="203"/>
      <c r="AO10" s="201"/>
      <c r="AP10" s="202" t="s">
        <v>35</v>
      </c>
      <c r="AQ10" s="11"/>
      <c r="AR10" s="200" t="s">
        <v>43</v>
      </c>
      <c r="AS10" s="203"/>
      <c r="AT10" s="201"/>
      <c r="AU10" s="202" t="s">
        <v>35</v>
      </c>
      <c r="AV10" s="12"/>
      <c r="AW10" s="200" t="s">
        <v>44</v>
      </c>
      <c r="AX10" s="203"/>
      <c r="AY10" s="201"/>
      <c r="AZ10" s="202" t="s">
        <v>35</v>
      </c>
      <c r="BA10" s="12"/>
      <c r="BB10" s="200" t="s">
        <v>45</v>
      </c>
      <c r="BC10" s="203"/>
      <c r="BD10" s="201"/>
      <c r="BE10" s="202" t="s">
        <v>35</v>
      </c>
      <c r="BF10" s="12"/>
      <c r="BG10" s="200" t="s">
        <v>46</v>
      </c>
      <c r="BH10" s="203"/>
      <c r="BI10" s="201"/>
      <c r="BJ10" s="202" t="s">
        <v>35</v>
      </c>
      <c r="BK10" s="12"/>
      <c r="BL10" s="200" t="s">
        <v>47</v>
      </c>
      <c r="BM10" s="201"/>
      <c r="BN10" s="201"/>
      <c r="BO10" s="202" t="s">
        <v>35</v>
      </c>
      <c r="BP10" s="12"/>
    </row>
    <row r="11" ht="37.5" customHeight="1">
      <c r="A11" s="205" t="s">
        <v>48</v>
      </c>
      <c r="B11" s="206"/>
      <c r="C11" s="207"/>
      <c r="D11" s="196" t="str">
        <f t="array" ref="D11">IFS( COUNTA(F$13:F27) = 0, "", COUNTIF(F$13:F27, "再製作") &gt; 0, "再製作", COUNTIF(F$13:F27, "&gt;0") = 1, INDEX(F$13:F27, MATCH(TRUE, ISNUMBER(F$13:F27), 0)), COUNTIF(F$13:F27, "&gt;0") = 2, 'アイテム別限界値DB'!$S$4, COUNTIF(F$13:F27, "&gt;0") &gt;= 3, 'アイテム別限界値DB'!$S$6, TRUE, "" ) </f>
        <v/>
      </c>
      <c r="E11" s="208" t="s">
        <v>49</v>
      </c>
      <c r="F11" s="202" t="s">
        <v>50</v>
      </c>
      <c r="G11" s="209">
        <f>sum(G12:G72)</f>
        <v>0</v>
      </c>
      <c r="H11" s="206"/>
      <c r="I11" s="196" t="str">
        <f t="array" ref="I11">IFS( COUNTA(K$13:K27) = 0, "", COUNTIF(K$13:K27, "再製作") &gt; 0, "再製作", COUNTIF(K$13:K27, "&gt;0") = 1, INDEX(K$13:K27, MATCH(TRUE, ISNUMBER(K$13:K27), 0)), COUNTIF(K$13:K27, "&gt;0") = 2, 'アイテム別限界値DB'!$S$8, COUNTIF(K$13:K27, "&gt;0") &gt;= 3, 'アイテム別限界値DB'!$S$10, TRUE, "" ) </f>
        <v>再製作</v>
      </c>
      <c r="J11" s="210" t="s">
        <v>49</v>
      </c>
      <c r="K11" s="202" t="s">
        <v>50</v>
      </c>
      <c r="L11" s="209">
        <f>sum(L12:L72)</f>
        <v>0</v>
      </c>
      <c r="M11" s="206"/>
      <c r="N11" s="196" t="str">
        <f t="array" ref="N11">IFS( COUNTA(P$13:P27) = 0, "", COUNTIF(P$13:P27, "再製作") &gt; 0, "再製作", COUNTIF(P$13:P27, "&gt;0") = 1, INDEX(P$13:P27, MATCH(TRUE, ISNUMBER(P$13:P27), 0)), COUNTIF(P$13:P27, "&gt;0") = 2, 'アイテム別限界値DB'!$S$4, COUNTIF(P$13:P27, "&gt;0") &gt;= 3, 'アイテム別限界値DB'!$S$6, TRUE, "" ) </f>
        <v/>
      </c>
      <c r="O11" s="210" t="s">
        <v>49</v>
      </c>
      <c r="P11" s="202" t="s">
        <v>50</v>
      </c>
      <c r="Q11" s="209">
        <f>sum(Q12:Q72)</f>
        <v>0</v>
      </c>
      <c r="R11" s="211"/>
      <c r="S11" s="196" t="str">
        <f t="array" ref="S11">IFS( COUNTA(U$13:U27) = 0, "", COUNTIF(U$13:U27, "再製作") &gt; 0, "再製作", COUNTIF(U$13:U27, "&gt;0") = 1, INDEX(U$13:U27, MATCH(TRUE, ISNUMBER(U$13:U27), 0)), COUNTIF(U$13:U27, "&gt;0") = 2, 'アイテム別限界値DB'!$S$8, COUNTIF(U$13:U27, "&gt;0") &gt;= 3, 'アイテム別限界値DB'!$S$10, TRUE, "" ) </f>
        <v/>
      </c>
      <c r="T11" s="210" t="s">
        <v>49</v>
      </c>
      <c r="U11" s="202" t="s">
        <v>50</v>
      </c>
      <c r="V11" s="209">
        <f>sum(V12:V72)</f>
        <v>0</v>
      </c>
      <c r="W11" s="212"/>
      <c r="X11" s="196" t="str">
        <f t="array" ref="X11">IFS( COUNTA(Z$13:Z27) = 0, "", COUNTIF(Z$13:Z27, "再製作") &gt; 0, "再製作", COUNTIF(Z$13:Z27, "&gt;0") = 1, INDEX(Z$13:Z27, MATCH(TRUE, ISNUMBER(Z$13:Z27), 0)), COUNTIF(Z$13:Z27, "&gt;0") = 2, 'アイテム別限界値DB'!$S$4, COUNTIF(Z$13:Z27, "&gt;0") &gt;= 3, 'アイテム別限界値DB'!$S$6, TRUE, "" ) </f>
        <v/>
      </c>
      <c r="Y11" s="210" t="s">
        <v>49</v>
      </c>
      <c r="Z11" s="202" t="s">
        <v>50</v>
      </c>
      <c r="AA11" s="209">
        <f>sum(AA12:AA72)</f>
        <v>0</v>
      </c>
      <c r="AB11" s="211"/>
      <c r="AC11" s="196" t="str">
        <f t="array" ref="AC11">IFS( COUNTA(AE$13:AE27) = 0, "", COUNTIF(AE$13:AE27, "再製作") &gt; 0, "再製作", COUNTIF(AE$13:AE27, "&gt;0") = 1, INDEX(AE$13:AE27, MATCH(TRUE, ISNUMBER(AE$13:AE27), 0)), COUNTIF(AE$13:AE27, "&gt;0") = 2, 'アイテム別限界値DB'!$S$4, COUNTIF(AE$13:AE27, "&gt;0") &gt;= 3, 'アイテム別限界値DB'!$S$6, TRUE, "" ) </f>
        <v/>
      </c>
      <c r="AD11" s="210" t="s">
        <v>49</v>
      </c>
      <c r="AE11" s="202" t="s">
        <v>50</v>
      </c>
      <c r="AF11" s="209">
        <f>sum(AF12:AF72)</f>
        <v>0</v>
      </c>
      <c r="AG11" s="211"/>
      <c r="AH11" s="196" t="str">
        <f t="array" ref="AH11">IFS( COUNTA(AJ$13:AJ27) = 0, "", COUNTIF(AJ$13:AJ27, "再製作") &gt; 0, "再製作", COUNTIF(AJ$13:AJ27, "&gt;0") = 1, INDEX(AJ$13:AJ27, MATCH(TRUE, ISNUMBER(AJ$13:AJ27), 0)), COUNTIF(AJ$13:AJ27, "&gt;0") = 2, 'アイテム別限界値DB'!$S$4, COUNTIF(AJ$13:AJ27, "&gt;0") &gt;= 3, 'アイテム別限界値DB'!$S$6, TRUE, "" ) </f>
        <v/>
      </c>
      <c r="AI11" s="210" t="s">
        <v>49</v>
      </c>
      <c r="AJ11" s="202" t="s">
        <v>50</v>
      </c>
      <c r="AK11" s="209">
        <f>sum(AK12:AK72)</f>
        <v>0</v>
      </c>
      <c r="AL11" s="211"/>
      <c r="AM11" s="196" t="str">
        <f t="array" ref="AM11">IFS( COUNTA(AO$13:AO27) = 0, "", COUNTIF(AO$13:AO27, "再製作") &gt; 0, "再製作", COUNTIF(AO$13:AO27, "&gt;0") = 1, INDEX(AO$13:AO27, MATCH(TRUE, ISNUMBER(AO$13:AO27), 0)), COUNTIF(AO$13:AO27, "&gt;0") = 2, 'アイテム別限界値DB'!$S$4, COUNTIF(AO$13:AO27, "&gt;0") &gt;= 3, 'アイテム別限界値DB'!$S$6, TRUE, "" ) </f>
        <v/>
      </c>
      <c r="AN11" s="210" t="s">
        <v>49</v>
      </c>
      <c r="AO11" s="202" t="s">
        <v>50</v>
      </c>
      <c r="AP11" s="209">
        <f>sum(AP12:AP72)</f>
        <v>0</v>
      </c>
      <c r="AQ11" s="211"/>
      <c r="AR11" s="196" t="str">
        <f t="array" ref="AR11">IFS( COUNTA(AT$13:AT27) = 0, "", COUNTIF(AT$13:AT27, "再製作") &gt; 0, "再製作", COUNTIF(AT$13:AT27, "&gt;0") = 1, INDEX(AT$13:AT27, MATCH(TRUE, ISNUMBER(AT$13:AT27), 0)), COUNTIF(AT$13:AT27, "&gt;0") = 2, 'アイテム別限界値DB'!$S$4, COUNTIF(AT$13:AT27, "&gt;0") &gt;= 3, 'アイテム別限界値DB'!$S$6, TRUE, "" ) </f>
        <v/>
      </c>
      <c r="AS11" s="210" t="s">
        <v>49</v>
      </c>
      <c r="AT11" s="202" t="s">
        <v>50</v>
      </c>
      <c r="AU11" s="209">
        <f>sum(AU12:AU72)</f>
        <v>0</v>
      </c>
      <c r="AV11" s="213"/>
      <c r="AW11" s="196" t="str">
        <f t="array" ref="AW11">IFS( COUNTA(AY$13:AY27) = 0, "", COUNTIF(AY$13:AY27, "再製作") &gt; 0, "再製作", COUNTIF(AY$13:AY27, "&gt;0") = 1, INDEX(AY$13:AY27, MATCH(TRUE, ISNUMBER(AY$13:AY27), 0)), COUNTIF(AY$13:AY27, "&gt;0") = 2, 'アイテム別限界値DB'!$S$4, COUNTIF(AY$13:AY27, "&gt;0") &gt;= 3, 'アイテム別限界値DB'!$S$6, TRUE, "" ) </f>
        <v/>
      </c>
      <c r="AX11" s="210" t="s">
        <v>49</v>
      </c>
      <c r="AY11" s="202" t="s">
        <v>50</v>
      </c>
      <c r="AZ11" s="209">
        <f>sum(AZ12:AZ72)</f>
        <v>0</v>
      </c>
      <c r="BA11" s="213"/>
      <c r="BB11" s="196" t="str">
        <f t="array" ref="BB11">IFS( COUNTA(BD$13:BD27) = 0, "", COUNTIF(BD$13:BD27, "再製作") &gt; 0, "再製作", COUNTIF(BD$13:BD27, "&gt;0") = 1, INDEX(BD$13:BD27, MATCH(TRUE, ISNUMBER(BD$13:BD27), 0)), COUNTIF(BD$13:BD27, "&gt;0") = 2, 'アイテム別限界値DB'!$S$4, COUNTIF(BD$13:BD27, "&gt;0") &gt;= 3, 'アイテム別限界値DB'!$S$6, TRUE, "" ) </f>
        <v/>
      </c>
      <c r="BC11" s="210" t="s">
        <v>49</v>
      </c>
      <c r="BD11" s="202" t="s">
        <v>50</v>
      </c>
      <c r="BE11" s="209">
        <f>sum(BE12:BE72)</f>
        <v>0</v>
      </c>
      <c r="BF11" s="213"/>
      <c r="BG11" s="196" t="str">
        <f t="array" ref="BG11">IFS( COUNTA(BI$13:BI27) = 0, "", COUNTIF(BI$13:BI27, "再製作") &gt; 0, "再製作", COUNTIF(BI$13:BI27, "&gt;0") = 1, INDEX(BI$13:BI27, MATCH(TRUE, ISNUMBER(BI$13:BI27), 0)), COUNTIF(BI$13:BI27, "&gt;0") = 2, 'アイテム別限界値DB'!$S$4, COUNTIF(BI$13:BI27, "&gt;0") &gt;= 3, 'アイテム別限界値DB'!$S$6, TRUE, "" ) </f>
        <v/>
      </c>
      <c r="BH11" s="210" t="s">
        <v>49</v>
      </c>
      <c r="BI11" s="202" t="s">
        <v>50</v>
      </c>
      <c r="BJ11" s="209">
        <f>sum(BJ12:BJ72)</f>
        <v>0</v>
      </c>
      <c r="BK11" s="213"/>
      <c r="BL11" s="196" t="str">
        <f t="array" ref="BL11">IFS( COUNTA(BN$13:BN27) = 0, "", COUNTIF(BN$13:BN27, "再製作") &gt; 0, "再製作", COUNTIF(BN$13:BN27, "&gt;0") = 1, INDEX(BN$13:BN27, MATCH(TRUE, ISNUMBER(BN$13:BN27), 0)), COUNTIF(BN$13:BN27, "&gt;0") = 2, 'アイテム別限界値DB'!$S$4, COUNTIF(BN$13:BN27, "&gt;0") &gt;= 3, 'アイテム別限界値DB'!$S$6, TRUE, "" ) </f>
        <v/>
      </c>
      <c r="BM11" s="214" t="s">
        <v>49</v>
      </c>
      <c r="BN11" s="215" t="s">
        <v>50</v>
      </c>
      <c r="BO11" s="209">
        <f>sum(BO12:BO72)</f>
        <v>0</v>
      </c>
      <c r="BP11" s="213"/>
    </row>
    <row r="12" ht="15.75" hidden="1" customHeight="1">
      <c r="A12" s="11"/>
      <c r="B12" s="11"/>
      <c r="C12" s="11"/>
      <c r="D12" s="216" t="s">
        <v>51</v>
      </c>
      <c r="E12" s="217" t="str">
        <f>IF(D11="再製作", "再製作", IF(D11&lt;&gt;"", "お直し", ""))
</f>
        <v/>
      </c>
      <c r="F12" s="195"/>
      <c r="G12" s="218" t="str">
        <f t="array" ref="G12">IF(
  E12 = "再製作", 
  "", 
 if(E12="", "",
  IFERROR(
    INDEX(
      'アイテム別限界値DB'!$L:$L, 
      MATCH(
        1, 
        ('アイテム別限界値DB'!$B:$B = D$10) * 
        ('アイテム別限界値DB'!$C:$C = D12), 
        0
      )
    ), 
    "再製作"
  )
))
</f>
        <v/>
      </c>
      <c r="H12" s="12"/>
      <c r="I12" s="216" t="s">
        <v>51</v>
      </c>
      <c r="J12" s="217" t="str">
        <f>IF(I11="再製作", "再製作", IF(I11&lt;&gt;"", "お直し", ""))
</f>
        <v>再製作</v>
      </c>
      <c r="K12" s="195"/>
      <c r="L12" s="218" t="str">
        <f t="array" ref="L12">IF(
  J12 = "再製作", 
  "", 
 if(J12="", "",
  IFERROR(
    INDEX(
      'アイテム別限界値DB'!$L:$L, 
      MATCH(
        1, 
        ('アイテム別限界値DB'!$B:$B = I$10) * 
        ('アイテム別限界値DB'!$C:$C = I12), 
        0
      )
    ), 
    "再製作"
  )
))
</f>
        <v/>
      </c>
      <c r="M12" s="121"/>
      <c r="N12" s="216" t="s">
        <v>51</v>
      </c>
      <c r="O12" s="217" t="str">
        <f>IF(N11="再製作", "再製作", IF(N11&lt;&gt;"", "お直し", ""))
</f>
        <v/>
      </c>
      <c r="P12" s="195"/>
      <c r="Q12" s="218" t="str">
        <f t="array" ref="Q12">IF(
  O12 = "再製作", 
  "", 
 if(O12="", "",
  IFERROR(
    INDEX(
      'アイテム別限界値DB'!$L:$L, 
      MATCH(
        1, 
        ('アイテム別限界値DB'!$B:$B = N$10) * 
        ('アイテム別限界値DB'!$C:$C = N12), 
        0
      )
    ), 
    "再製作"
  )
))
</f>
        <v/>
      </c>
      <c r="R12" s="11"/>
      <c r="S12" s="216" t="s">
        <v>51</v>
      </c>
      <c r="T12" s="219" t="str">
        <f>IF(S11="再製作", "再製作", IF(S11&lt;&gt;"", "お直し", ""))
</f>
        <v/>
      </c>
      <c r="U12" s="220"/>
      <c r="V12" s="218" t="str">
        <f t="array" ref="V12">IF(
  T12 = "再製作", 
  "", 
 if(T12="", "",
  IFERROR(
    INDEX(
      'アイテム別限界値DB'!$L:$L, 
      MATCH(
        1, 
        ('アイテム別限界値DB'!$B:$B = S$10) * 
        ('アイテム別限界値DB'!$C:$C = S12), 
        0
      )
    ), 
    "再製作"
  )
))
</f>
        <v/>
      </c>
      <c r="W12" s="12"/>
      <c r="X12" s="216" t="s">
        <v>51</v>
      </c>
      <c r="Y12" s="219" t="str">
        <f>IF(X11="再製作", "再製作", IF(X11&lt;&gt;"", "お直し", ""))
</f>
        <v/>
      </c>
      <c r="Z12" s="220"/>
      <c r="AA12" s="218" t="str">
        <f t="array" ref="AA12">IF(
  Y12 = "再製作", 
  "", 
 if(Y12="", "",
  IFERROR(
    INDEX(
      'アイテム別限界値DB'!$L:$L, 
      MATCH(
        1, 
        ('アイテム別限界値DB'!$B:$B = X$10) * 
        ('アイテム別限界値DB'!$C:$C = X12), 
        0
      )
    ), 
    "再製作"
  )
))
</f>
        <v/>
      </c>
      <c r="AB12" s="11"/>
      <c r="AC12" s="216" t="s">
        <v>51</v>
      </c>
      <c r="AD12" s="219" t="str">
        <f>IF(AC11="再製作", "再製作", IF(AC11&lt;&gt;"", "お直し", ""))
</f>
        <v/>
      </c>
      <c r="AE12" s="220"/>
      <c r="AF12" s="218" t="str">
        <f t="array" ref="AF12">IF(
  AD12 = "再製作", 
  "", 
 if(AD12="", "",
  IFERROR(
    INDEX(
      'アイテム別限界値DB'!$L:$L, 
      MATCH(
        1, 
        ('アイテム別限界値DB'!$B:$B = AC$10) * 
        ('アイテム別限界値DB'!$C:$C = AC12), 
        0
      )
    ), 
    "再製作"
  )
))
</f>
        <v/>
      </c>
      <c r="AG12" s="11"/>
      <c r="AH12" s="216" t="s">
        <v>51</v>
      </c>
      <c r="AI12" s="219" t="str">
        <f>IF(AH11="再製作", "再製作", IF(AH11&lt;&gt;"", "お直し", ""))
</f>
        <v/>
      </c>
      <c r="AJ12" s="220"/>
      <c r="AK12" s="218" t="str">
        <f t="array" ref="AK12">IF(
  AI12 = "再製作", 
  "", 
 if(AI12="", "",
  IFERROR(
    INDEX(
      'アイテム別限界値DB'!$L:$L, 
      MATCH(
        1, 
        ('アイテム別限界値DB'!$B:$B = AH$10) * 
        ('アイテム別限界値DB'!$C:$C = AH12), 
        0
      )
    ), 
    "再製作"
  )
))
</f>
        <v/>
      </c>
      <c r="AL12" s="11"/>
      <c r="AM12" s="216" t="s">
        <v>51</v>
      </c>
      <c r="AN12" s="219" t="str">
        <f>IF(AM11="再製作", "再製作", IF(AM11&lt;&gt;"", "お直し", ""))
</f>
        <v/>
      </c>
      <c r="AO12" s="220"/>
      <c r="AP12" s="218" t="str">
        <f t="array" ref="AP12">IF(
  AN12 = "再製作", 
  "", 
 if(AN12="", "",
  IFERROR(
    INDEX(
      'アイテム別限界値DB'!$L:$L, 
      MATCH(
        1, 
        ('アイテム別限界値DB'!$B:$B = AM$10) * 
        ('アイテム別限界値DB'!$C:$C = AM12), 
        0
      )
    ), 
    "再製作"
  )
))
</f>
        <v/>
      </c>
      <c r="AQ12" s="11"/>
      <c r="AR12" s="216" t="s">
        <v>51</v>
      </c>
      <c r="AS12" s="219" t="str">
        <f>IF(AR11="再製作", "再製作", IF(AR11&lt;&gt;"", "お直し", ""))
</f>
        <v/>
      </c>
      <c r="AT12" s="220"/>
      <c r="AU12" s="218" t="str">
        <f t="array" ref="AU12">IF(
  AS12 = "再製作", 
  "", 
 if(AS12="", "",
  IFERROR(
    INDEX(
      'アイテム別限界値DB'!$L:$L, 
      MATCH(
        1, 
        ('アイテム別限界値DB'!$B:$B = AR$10) * 
        ('アイテム別限界値DB'!$C:$C = AR12), 
        0
      )
    ), 
    "再製作"
  )
))
</f>
        <v/>
      </c>
      <c r="AV12" s="121"/>
      <c r="AW12" s="216" t="s">
        <v>51</v>
      </c>
      <c r="AX12" s="219" t="str">
        <f>IF(AW11="再製作", "再製作", IF(AW11&lt;&gt;"", "お直し", ""))
</f>
        <v/>
      </c>
      <c r="AY12" s="220"/>
      <c r="AZ12" s="218" t="str">
        <f t="array" ref="AZ12">IF(
  AX12 = "再製作", 
  "", 
 if(AX12="", "",
  IFERROR(
    INDEX(
      'アイテム別限界値DB'!$L:$L, 
      MATCH(
        1, 
        ('アイテム別限界値DB'!$B:$B = AW$10) * 
        ('アイテム別限界値DB'!$C:$C = AW12), 
        0
      )
    ), 
    "再製作"
  )
))
</f>
        <v/>
      </c>
      <c r="BA12" s="121"/>
      <c r="BB12" s="216" t="s">
        <v>51</v>
      </c>
      <c r="BC12" s="217" t="str">
        <f>IF(BB11="再製作", "再製作", IF(BB11&lt;&gt;"", "お直し", ""))
</f>
        <v/>
      </c>
      <c r="BD12" s="195"/>
      <c r="BE12" s="218" t="str">
        <f t="array" ref="BE12">IF(
  BC12 = "再製作", 
  "", 
 if(BC12="", "",
  IFERROR(
    INDEX(
      'アイテム別限界値DB'!$L:$L, 
      MATCH(
        1, 
        ('アイテム別限界値DB'!$B:$B = BB$10) * 
        ('アイテム別限界値DB'!$C:$C = BB12), 
        0
      )
    ), 
    "再製作"
  )
))
</f>
        <v/>
      </c>
      <c r="BF12" s="121"/>
      <c r="BG12" s="216" t="s">
        <v>51</v>
      </c>
      <c r="BH12" s="217" t="str">
        <f>IF(BG11="再製作", "再製作", IF(BG11&lt;&gt;"", "お直し", ""))
</f>
        <v/>
      </c>
      <c r="BI12" s="195"/>
      <c r="BJ12" s="218" t="str">
        <f t="array" ref="BJ12">IF(
  BH12 = "再製作", 
  "", 
 if(BH12="", "",
  IFERROR(
    INDEX(
      'アイテム別限界値DB'!$L:$L, 
      MATCH(
        1, 
        ('アイテム別限界値DB'!$B:$B = BG$10) * 
        ('アイテム別限界値DB'!$C:$C = BG12), 
        0
      )
    ), 
    "再製作"
  )
))
</f>
        <v/>
      </c>
      <c r="BK12" s="121"/>
      <c r="BL12" s="221" t="s">
        <v>51</v>
      </c>
      <c r="BM12" s="219" t="str">
        <f>IF(BL11="再製作", "再製作", IF(BL11&lt;&gt;"", "お直し", ""))
</f>
        <v/>
      </c>
      <c r="BN12" s="195"/>
      <c r="BO12" s="218" t="str">
        <f t="array" ref="BO12">IF(
  BM12 = "再製作", 
  "", 
 if(BM12="", "",
  IFERROR(
    INDEX(
      'アイテム別限界値DB'!$L:$L, 
      MATCH(
        1, 
        ('アイテム別限界値DB'!$B:$B = BL$10) * 
        ('アイテム別限界値DB'!$C:$C = BL12), 
        0
      )
    ), 
    "再製作"
  )
))
</f>
        <v/>
      </c>
      <c r="BP12" s="195"/>
    </row>
    <row r="13" ht="18.75" hidden="1" customHeight="1">
      <c r="A13" s="222" t="s">
        <v>52</v>
      </c>
      <c r="B13" s="12"/>
      <c r="C13" s="12"/>
      <c r="D13" s="223" t="b">
        <f t="array" ref="D13:D42">UNIQUE(IF( ('アイテム別限界値DB'!$B:$B = D$10) * ('アイテム別限界値DB'!$A:$A = "サイズ"),  IF('アイテム別限界値DB'!$B:$B = D$10, 'アイテム別限界値DB'!$F:$F, "") ))</f>
        <v>0</v>
      </c>
      <c r="E13" s="224"/>
      <c r="F13" s="12"/>
      <c r="G13" s="121"/>
      <c r="H13" s="12"/>
      <c r="I13" s="223" t="b">
        <f t="array" ref="I13:I27">UNIQUE(IF( ('アイテム別限界値DB'!$B:$B = I$10) * ('アイテム別限界値DB'!$A:$A = "サイズ"),  IF('アイテム別限界値DB'!$B:$B = I$10, 'アイテム別限界値DB'!$F:$F, "") ))</f>
        <v>0</v>
      </c>
      <c r="J13" s="224"/>
      <c r="K13" s="12"/>
      <c r="L13" s="121"/>
      <c r="M13" s="12"/>
      <c r="N13" s="223" t="b">
        <f t="array" ref="N13:N21">UNIQUE(IF( ('アイテム別限界値DB'!$B:$B = N$10) * ('アイテム別限界値DB'!$A:$A = "サイズ"),  IF('アイテム別限界値DB'!$B:$B = N$10, 'アイテム別限界値DB'!$C:$C, "") ))</f>
        <v>0</v>
      </c>
      <c r="O13" s="224"/>
      <c r="P13" s="12"/>
      <c r="Q13" s="121"/>
      <c r="R13" s="11"/>
      <c r="S13" s="223" t="b">
        <f t="array" ref="S13:S28">UNIQUE(IF( ('アイテム別限界値DB'!$B:$B = S$10) * ('アイテム別限界値DB'!$A:$A = "サイズ"),  IF('アイテム別限界値DB'!$B:$B = S$10, 'アイテム別限界値DB'!$F:$F, "") ))</f>
        <v>0</v>
      </c>
      <c r="T13" s="225"/>
      <c r="U13" s="226"/>
      <c r="V13" s="121"/>
      <c r="W13" s="12"/>
      <c r="X13" s="223" t="b">
        <f t="array" ref="X13:X31">UNIQUE(IF( ('アイテム別限界値DB'!$B:$B = X$10) * ('アイテム別限界値DB'!$A:$A = "サイズ"),  IF('アイテム別限界値DB'!$B:$B = X$10, 'アイテム別限界値DB'!$C:$C, "") ))</f>
        <v>0</v>
      </c>
      <c r="Y13" s="225"/>
      <c r="Z13" s="226"/>
      <c r="AA13" s="121"/>
      <c r="AB13" s="11"/>
      <c r="AC13" s="223" t="b">
        <f t="array" ref="AC13:AC29">UNIQUE(IF( ('アイテム別限界値DB'!$B:$B = AC$10) * ('アイテム別限界値DB'!$A:$A = "サイズ"),  IF('アイテム別限界値DB'!$B:$B = AC$10, 'アイテム別限界値DB'!$F:$F, "") ))</f>
        <v>0</v>
      </c>
      <c r="AD13" s="225"/>
      <c r="AE13" s="226"/>
      <c r="AF13" s="121"/>
      <c r="AG13" s="11"/>
      <c r="AH13" s="223" t="b">
        <f t="array" ref="AH13:AH20">UNIQUE(IF( ('アイテム別限界値DB'!$B:$B = AH$10) * ('アイテム別限界値DB'!$A:$A = "サイズ"),  IF('アイテム別限界値DB'!$B:$B = AH$10, 'アイテム別限界値DB'!$F:$F, "") ))</f>
        <v>0</v>
      </c>
      <c r="AI13" s="225"/>
      <c r="AJ13" s="226"/>
      <c r="AK13" s="121"/>
      <c r="AL13" s="11"/>
      <c r="AM13" s="223" t="b">
        <f t="array" ref="AM13:AM20">UNIQUE(IF( ('アイテム別限界値DB'!$B:$B = AM$10) * ('アイテム別限界値DB'!$A:$A = "サイズ"),  IF('アイテム別限界値DB'!$B:$B = AM$10, 'アイテム別限界値DB'!$F:$F, "") ))</f>
        <v>0</v>
      </c>
      <c r="AN13" s="225"/>
      <c r="AO13" s="226"/>
      <c r="AP13" s="121"/>
      <c r="AQ13" s="11"/>
      <c r="AR13" s="223" t="b">
        <f t="array" ref="AR13:AR20">UNIQUE(IF( ('アイテム別限界値DB'!$B:$B = AR$10) * ('アイテム別限界値DB'!$A:$A = "サイズ"),  IF('アイテム別限界値DB'!$B:$B = AR$10, 'アイテム別限界値DB'!$F:$F, "") ))</f>
        <v>0</v>
      </c>
      <c r="AS13" s="225"/>
      <c r="AT13" s="226"/>
      <c r="AU13" s="121"/>
      <c r="AV13" s="121"/>
      <c r="AW13" s="223" t="b">
        <f t="array" ref="AW13:AW20">UNIQUE(IF( ('アイテム別限界値DB'!$B:$B = AW$10) * ('アイテム別限界値DB'!$A:$A = "サイズ"),  IF('アイテム別限界値DB'!$B:$B = AW$10, 'アイテム別限界値DB'!$F:$F, "") ))</f>
        <v>0</v>
      </c>
      <c r="AX13" s="225"/>
      <c r="AY13" s="226"/>
      <c r="AZ13" s="121"/>
      <c r="BA13" s="121"/>
      <c r="BB13" s="223" t="b">
        <f t="array" ref="BB13:BB20">UNIQUE(IF( ('アイテム別限界値DB'!$B:$B = BB$10) * ('アイテム別限界値DB'!$A:$A = "サイズ"),  IF('アイテム別限界値DB'!$B:$B = BB$10, 'アイテム別限界値DB'!$F:$F, "") ))</f>
        <v>0</v>
      </c>
      <c r="BC13" s="224"/>
      <c r="BD13" s="12"/>
      <c r="BE13" s="121"/>
      <c r="BF13" s="121"/>
      <c r="BG13" s="223" t="b">
        <f t="array" ref="BG13:BG20">UNIQUE(IF( ('アイテム別限界値DB'!$B:$B = BG$10) * ('アイテム別限界値DB'!$A:$A = "サイズ"),  IF('アイテム別限界値DB'!$B:$B = BG$10, 'アイテム別限界値DB'!$F:$F, "") ))</f>
        <v>0</v>
      </c>
      <c r="BH13" s="224"/>
      <c r="BI13" s="12"/>
      <c r="BJ13" s="121"/>
      <c r="BK13" s="121"/>
      <c r="BL13" s="227" t="b">
        <f t="array" ref="BL13:BL23">UNIQUE(IF( ('アイテム別限界値DB'!$B:$B = BL$10) * ('アイテム別限界値DB'!$A:$A = "サイズ"),  IF('アイテム別限界値DB'!$B:$B = BL$10, 'アイテム別限界値DB'!$F:$F, "") ))</f>
        <v>0</v>
      </c>
      <c r="BM13" s="224"/>
      <c r="BN13" s="121"/>
      <c r="BO13" s="121"/>
      <c r="BP13" s="121"/>
    </row>
    <row r="14" ht="18.75" customHeight="1">
      <c r="A14" s="228" t="str">
        <f>IF($D$11 = "再製作", "◼︎ ジャケット（対応着地：再製作）" &amp; char(10) &amp; "《修正数値》", IF( $D$11 &lt;&gt;"", "◼︎ ジャケット（対応着地：お直し）" &amp; char(10) &amp; "《修正数値》", ""))</f>
        <v/>
      </c>
      <c r="B14" s="229"/>
      <c r="C14" s="224"/>
      <c r="D14" s="224" t="s">
        <v>51</v>
      </c>
      <c r="E14" s="232"/>
      <c r="F14" s="231" t="str">
        <f t="array" ref="F14">IF(
  E14 = 0, 
  "", 
  IFERROR(
    INDEX(
      'アイテム別限界値DB'!$K:$K, 
      MATCH(
        1, 
        ('アイテム別限界値DB'!$B:$B = D$10) * 
        ('アイテム別限界値DB'!$F:$F = D14) * 
        ('アイテム別限界値DB'!$H:$H = E14), 
        0
      )
    ), 
    "再製作"
  )
)
</f>
        <v/>
      </c>
      <c r="G14" s="218" t="str">
        <f t="array" ref="G14">IF(
  E14 = 0, 
  "", 
  IFERROR(
    INDEX(
      'アイテム別限界値DB'!$L:$L, 
      MATCH(
        1, 
        ('アイテム別限界値DB'!$B:$B = D$10) * 
        ('アイテム別限界値DB'!$C:$C = D14) * 
        ('アイテム別限界値DB'!$F:$F = E14), 
        0
      )
    ), 
    ""
  )
)
</f>
        <v/>
      </c>
      <c r="H14" s="195"/>
      <c r="I14" s="224" t="s">
        <v>51</v>
      </c>
      <c r="J14" s="230"/>
      <c r="K14" s="231" t="str">
        <f t="array" ref="K14">IF(
  J14 = 0, 
  "", 
  IFERROR(
    INDEX(
      'アイテム別限界値DB'!$K:$K, 
      MATCH(
        1, 
        ('アイテム別限界値DB'!$B:$B = I$10) * 
        ('アイテム別限界値DB'!$F:$F = I14) * 
        ('アイテム別限界値DB'!$H:$H = J14), 
        0
      )
    ), 
    "再製作"
  )
)
</f>
        <v/>
      </c>
      <c r="L14" s="218" t="str">
        <f t="array" ref="L14">IF(
  J14 = 0, 
  "", 
  IFERROR(
    INDEX(
      'アイテム別限界値DB'!$L:$L, 
      MATCH(
        1, 
        ('アイテム別限界値DB'!$B:$B = I$10) * 
        ('アイテム別限界値DB'!$C:$C = I14) * 
        ('アイテム別限界値DB'!$F:$F = J14), 
        0
      )
    ), 
    ""
  )
)
</f>
        <v/>
      </c>
      <c r="M14" s="12"/>
      <c r="N14" s="224" t="s">
        <v>51</v>
      </c>
      <c r="O14" s="232"/>
      <c r="P14" s="231" t="str">
        <f t="array" ref="P14">IF(
  O14 = 0, 
  "", 
  IFERROR(
    INDEX(
      'アイテム別限界値DB'!$K:$K, 
      MATCH(
        1, 
        ('アイテム別限界値DB'!$B:$B = N$10) * 
        ('アイテム別限界値DB'!$F:$F = N14) * 
        ('アイテム別限界値DB'!$H:$H = O14), 
        0
      )
    ), 
    "再製作"
  )
)
</f>
        <v/>
      </c>
      <c r="Q14" s="218" t="str">
        <f t="array" ref="Q14">IF(
  O14 = 0, 
  "", 
  IFERROR(
    INDEX(
      'アイテム別限界値DB'!$L:$L, 
      MATCH(
        1, 
        ('アイテム別限界値DB'!$B:$B = N$10) * 
        ('アイテム別限界値DB'!$C:$C = N14) * 
        ('アイテム別限界値DB'!$F:$F = O14), 
        0
      )
    ), 
    ""
  )
)
</f>
        <v/>
      </c>
      <c r="R14" s="12"/>
      <c r="S14" s="224" t="s">
        <v>51</v>
      </c>
      <c r="T14" s="232"/>
      <c r="U14" s="231" t="str">
        <f t="array" ref="U14">IF(
  T14 = 0, 
  "", 
  IFERROR(
    INDEX(
      'アイテム別限界値DB'!$K:$K, 
      MATCH(
        1, 
        ('アイテム別限界値DB'!$B:$B = S$10) * 
        ('アイテム別限界値DB'!$F:$F = S14) * 
        ('アイテム別限界値DB'!$H:$H = T14), 
        0
      )
    ), 
    "再製作"
  )
)
</f>
        <v/>
      </c>
      <c r="V14" s="218" t="str">
        <f t="array" ref="V14">IF(
  T14 = 0, 
  "", 
  IFERROR(
    INDEX(
      'アイテム別限界値DB'!$L:$L, 
      MATCH(
        1, 
        ('アイテム別限界値DB'!$B:$B = S$10) * 
        ('アイテム別限界値DB'!$C:$C = S14) * 
        ('アイテム別限界値DB'!$F:$F = T14), 
        0
      )
    ), 
    ""
  )
)
</f>
        <v/>
      </c>
      <c r="W14" s="12"/>
      <c r="X14" s="224" t="s">
        <v>51</v>
      </c>
      <c r="Y14" s="232"/>
      <c r="Z14" s="231" t="str">
        <f t="array" ref="Z14">IF(
  Y14 = 0, 
  "", 
  IFERROR(
    INDEX(
      'アイテム別限界値DB'!$K:$K, 
      MATCH(
        1, 
        ('アイテム別限界値DB'!$B:$B = X$10) * 
        ('アイテム別限界値DB'!$F:$F = X14) * 
        ('アイテム別限界値DB'!$H:$H = Y14), 
        0
      )
    ), 
    "再製作"
  )
)
</f>
        <v/>
      </c>
      <c r="AA14" s="218" t="str">
        <f t="array" ref="AA14">IF(
  Y14 = 0, 
  "", 
  IFERROR(
    INDEX(
      'アイテム別限界値DB'!$L:$L, 
      MATCH(
        1, 
        ('アイテム別限界値DB'!$B:$B = X$10) * 
        ('アイテム別限界値DB'!$C:$C = X14) * 
        ('アイテム別限界値DB'!$F:$F = Y14), 
        0
      )
    ), 
    ""
  )
)
</f>
        <v/>
      </c>
      <c r="AB14" s="11"/>
      <c r="AC14" s="224" t="s">
        <v>51</v>
      </c>
      <c r="AD14" s="232"/>
      <c r="AE14" s="231" t="str">
        <f t="array" ref="AE14">IF(
  AD14 = 0, 
  "", 
  IFERROR(
    INDEX(
      'アイテム別限界値DB'!$K:$K, 
      MATCH(
        1, 
        ('アイテム別限界値DB'!$B:$B = AC$10) * 
        ('アイテム別限界値DB'!$F:$F = AC14) * 
        ('アイテム別限界値DB'!$H:$H = AD14), 
        0
      )
    ), 
    "再製作"
  )
)
</f>
        <v/>
      </c>
      <c r="AF14" s="218" t="str">
        <f t="array" ref="AF14">IF(
  AD14 = 0, 
  "", 
  IFERROR(
    INDEX(
      'アイテム別限界値DB'!$L:$L, 
      MATCH(
        1, 
        ('アイテム別限界値DB'!$B:$B = AC$10) * 
        ('アイテム別限界値DB'!$C:$C = AC14) * 
        ('アイテム別限界値DB'!$F:$F = AD14), 
        0
      )
    ), 
    ""
  )
)
</f>
        <v/>
      </c>
      <c r="AG14" s="11"/>
      <c r="AH14" s="224" t="s">
        <v>51</v>
      </c>
      <c r="AI14" s="232"/>
      <c r="AJ14" s="231" t="str">
        <f t="array" ref="AJ14">IF(
  AI14 = 0, 
  "", 
  IFERROR(
    INDEX(
      'アイテム別限界値DB'!$K:$K, 
      MATCH(
        1, 
        ('アイテム別限界値DB'!$B:$B = AH$10) * 
        ('アイテム別限界値DB'!$F:$F = AH14) * 
        ('アイテム別限界値DB'!$H:$H = AI14), 
        0
      )
    ), 
    "再製作"
  )
)
</f>
        <v/>
      </c>
      <c r="AK14" s="218" t="str">
        <f t="array" ref="AK14">IF(
  AI14 = 0, 
  "", 
  IFERROR(
    INDEX(
      'アイテム別限界値DB'!$L:$L, 
      MATCH(
        1, 
        ('アイテム別限界値DB'!$B:$B = AH$10) * 
        ('アイテム別限界値DB'!$C:$C = AH14) * 
        ('アイテム別限界値DB'!$F:$F = AI14), 
        0
      )
    ), 
    ""
  )
)
</f>
        <v/>
      </c>
      <c r="AL14" s="11"/>
      <c r="AM14" s="224" t="s">
        <v>51</v>
      </c>
      <c r="AN14" s="232"/>
      <c r="AO14" s="231" t="str">
        <f t="array" ref="AO14">IF(
  AN14 = 0, 
  "", 
  IFERROR(
    INDEX(
      'アイテム別限界値DB'!$K:$K, 
      MATCH(
        1, 
        ('アイテム別限界値DB'!$B:$B = AM$10) * 
        ('アイテム別限界値DB'!$F:$F = AM14) * 
        ('アイテム別限界値DB'!$H:$H = AN14), 
        0
      )
    ), 
    "再製作"
  )
)
</f>
        <v/>
      </c>
      <c r="AP14" s="218" t="str">
        <f t="array" ref="AP14">IF(
  AN14 = 0, 
  "", 
  IFERROR(
    INDEX(
      'アイテム別限界値DB'!$L:$L, 
      MATCH(
        1, 
        ('アイテム別限界値DB'!$B:$B = AM$10) * 
        ('アイテム別限界値DB'!$C:$C = AM14) * 
        ('アイテム別限界値DB'!$F:$F = AN14), 
        0
      )
    ), 
    ""
  )
)
</f>
        <v/>
      </c>
      <c r="AQ14" s="11"/>
      <c r="AR14" s="224" t="s">
        <v>51</v>
      </c>
      <c r="AS14" s="232"/>
      <c r="AT14" s="231" t="str">
        <f t="array" ref="AT14">IF(
  AS14 = 0, 
  "", 
  IFERROR(
    INDEX(
      'アイテム別限界値DB'!$K:$K, 
      MATCH(
        1, 
        ('アイテム別限界値DB'!$B:$B = AR$10) * 
        ('アイテム別限界値DB'!$F:$F = AR14) * 
        ('アイテム別限界値DB'!$H:$H = AS14), 
        0
      )
    ), 
    "再製作"
  )
)
</f>
        <v/>
      </c>
      <c r="AU14" s="218" t="str">
        <f t="array" ref="AU14">IF(
  AS14 = 0, 
  "", 
  IFERROR(
    INDEX(
      'アイテム別限界値DB'!$L:$L, 
      MATCH(
        1, 
        ('アイテム別限界値DB'!$B:$B = AR$10) * 
        ('アイテム別限界値DB'!$C:$C = AR14) * 
        ('アイテム別限界値DB'!$F:$F = AS14), 
        0
      )
    ), 
    ""
  )
)
</f>
        <v/>
      </c>
      <c r="AV14" s="121"/>
      <c r="AW14" s="224" t="s">
        <v>51</v>
      </c>
      <c r="AX14" s="232"/>
      <c r="AY14" s="231" t="str">
        <f t="array" ref="AY14">IF(
  AX14 = 0, 
  "", 
  IFERROR(
    INDEX(
      'アイテム別限界値DB'!$K:$K, 
      MATCH(
        1, 
        ('アイテム別限界値DB'!$B:$B = AW$10) * 
        ('アイテム別限界値DB'!$F:$F = AW14) * 
        ('アイテム別限界値DB'!$H:$H = AX14), 
        0
      )
    ), 
    "再製作"
  )
)
</f>
        <v/>
      </c>
      <c r="AZ14" s="218" t="str">
        <f t="array" ref="AZ14">IF(
  AX14 = 0, 
  "", 
  IFERROR(
    INDEX(
      'アイテム別限界値DB'!$L:$L, 
      MATCH(
        1, 
        ('アイテム別限界値DB'!$B:$B = AW$10) * 
        ('アイテム別限界値DB'!$C:$C = AW14) * 
        ('アイテム別限界値DB'!$F:$F = AX14), 
        0
      )
    ), 
    ""
  )
)
</f>
        <v/>
      </c>
      <c r="BA14" s="121"/>
      <c r="BB14" s="224" t="s">
        <v>51</v>
      </c>
      <c r="BC14" s="232"/>
      <c r="BD14" s="231" t="str">
        <f t="array" ref="BD14">IF(
  BC14 = 0, 
  "", 
  IFERROR(
    INDEX(
      'アイテム別限界値DB'!$K:$K, 
      MATCH(
        1, 
        ('アイテム別限界値DB'!$B:$B = BB$10) * 
        ('アイテム別限界値DB'!$F:$F = BB14) * 
        ('アイテム別限界値DB'!$H:$H = BC14), 
        0
      )
    ), 
    "再製作"
  )
)
</f>
        <v/>
      </c>
      <c r="BE14" s="218" t="str">
        <f t="array" ref="BE14">IF(
  BC14 = 0, 
  "", 
  IFERROR(
    INDEX(
      'アイテム別限界値DB'!$L:$L, 
      MATCH(
        1, 
        ('アイテム別限界値DB'!$B:$B = BB$10) * 
        ('アイテム別限界値DB'!$C:$C = BB14) * 
        ('アイテム別限界値DB'!$F:$F = BC14), 
        0
      )
    ), 
    ""
  )
)
</f>
        <v/>
      </c>
      <c r="BF14" s="121"/>
      <c r="BG14" s="224" t="s">
        <v>51</v>
      </c>
      <c r="BH14" s="233"/>
      <c r="BI14" s="234" t="str">
        <f t="array" ref="BI14">IF(
  BH14 = 0, 
  "", 
  IFERROR(
    INDEX(
      'アイテム別限界値DB'!$K:$K, 
      MATCH(
        1, 
        ('アイテム別限界値DB'!$B:$B = BG$10) * 
        ('アイテム別限界値DB'!$F:$F = BG14) * 
        ('アイテム別限界値DB'!$H:$H = BH14), 
        0
      )
    ), 
    "再製作"
  )
)
</f>
        <v/>
      </c>
      <c r="BJ14" s="218" t="str">
        <f t="array" ref="BJ14">IF(
  BH14 = 0, 
  "", 
  IFERROR(
    INDEX(
      'アイテム別限界値DB'!$L:$L, 
      MATCH(
        1, 
        ('アイテム別限界値DB'!$B:$B = BG$10) * 
        ('アイテム別限界値DB'!$C:$C = BG14) * 
        ('アイテム別限界値DB'!$F:$F = BH14), 
        0
      )
    ), 
    ""
  )
)
</f>
        <v/>
      </c>
      <c r="BK14" s="121"/>
      <c r="BL14" s="224" t="s">
        <v>51</v>
      </c>
      <c r="BM14" s="232"/>
      <c r="BN14" s="231" t="str">
        <f t="array" ref="BN14">IF(
  BM14 = 0, 
  "", 
  IFERROR(
    INDEX(
      'アイテム別限界値DB'!$K:$K, 
      MATCH(
        1, 
        ('アイテム別限界値DB'!$B:$B = BL$10) * 
        ('アイテム別限界値DB'!$F:$F = BL14) * 
        ('アイテム別限界値DB'!$H:$H = BM14), 
        0
      )
    ), 
    "再製作"
  )
)
</f>
        <v/>
      </c>
      <c r="BO14" s="218" t="str">
        <f t="array" ref="BO14">IF(
  BM14 = 0, 
  "", 
  IFERROR(
    INDEX(
      'アイテム別限界値DB'!$L:$L, 
      MATCH(
        1, 
        ('アイテム別限界値DB'!$B:$B = BL$10) * 
        ('アイテム別限界値DB'!$C:$C = BL14) * 
        ('アイテム別限界値DB'!$F:$F = BM14), 
        0
      )
    ), 
    ""
  )
)
</f>
        <v/>
      </c>
      <c r="BP14" s="195"/>
    </row>
    <row r="15" ht="18.75" customHeight="1">
      <c r="A15" s="228" t="str">
        <f>IFERROR(__xludf.DUMMYFUNCTION("TEXTJOIN(CHAR(10),TRUE,FILTER(ARRAYFORMULA(IF(E$14:E72&lt;&gt;"""",D$14:D72&amp;"" : ""&amp; E$14:E72 &amp;"" cm"","""")), D$14:D72 &lt;&gt;""""))"),"")</f>
        <v/>
      </c>
      <c r="B15" s="235"/>
      <c r="C15" s="224"/>
      <c r="D15" s="224" t="s">
        <v>53</v>
      </c>
      <c r="E15" s="230"/>
      <c r="F15" s="231" t="str">
        <f t="array" ref="F15">IF(
  E15 = 0, 
  "", 
  IFERROR(
    INDEX(
      'アイテム別限界値DB'!$K:$K, 
      MATCH(
        1, 
        ('アイテム別限界値DB'!$B:$B = D$10) * 
        ('アイテム別限界値DB'!$F:$F = D15) * 
        ('アイテム別限界値DB'!$H:$H = E15), 
        0
      )
    ), 
    "再製作"
  )
)
</f>
        <v/>
      </c>
      <c r="G15" s="218" t="str">
        <f t="array" ref="G15">IF(
  E15 = 0, 
  "", 
  IFERROR(
    INDEX(
      'アイテム別限界値DB'!$L:$L, 
      MATCH(
        1, 
        ('アイテム別限界値DB'!$B:$B = D$10) * 
        ('アイテム別限界値DB'!$C:$C = D15) * 
        ('アイテム別限界値DB'!$F:$F = E15), 
        0
      )
    ), 
    ""
  )
)
</f>
        <v/>
      </c>
      <c r="H15" s="12"/>
      <c r="I15" s="224" t="s">
        <v>54</v>
      </c>
      <c r="J15" s="230" t="s">
        <v>129</v>
      </c>
      <c r="K15" s="231">
        <f t="array" ref="K15">IF(
  J15 = 0, 
  "", 
  IFERROR(
    INDEX(
      'アイテム別限界値DB'!$K:$K, 
      MATCH(
        1, 
        ('アイテム別限界値DB'!$B:$B = I$10) * 
        ('アイテム別限界値DB'!$F:$F = I15) * 
        ('アイテム別限界値DB'!$H:$H = J15), 
        0
      )
    ), 
    "再製作"
  )
)
</f>
        <v>45996</v>
      </c>
      <c r="L15" s="218" t="str">
        <f t="array" ref="L15">IF(
  J15 = 0, 
  "", 
  IFERROR(
    INDEX(
      'アイテム別限界値DB'!$L:$L, 
      MATCH(
        1, 
        ('アイテム別限界値DB'!$B:$B = I$10) * 
        ('アイテム別限界値DB'!$C:$C = I15) * 
        ('アイテム別限界値DB'!$F:$F = J15), 
        0
      )
    ), 
    ""
  )
)
</f>
        <v/>
      </c>
      <c r="M15" s="12"/>
      <c r="N15" s="224" t="s">
        <v>55</v>
      </c>
      <c r="O15" s="232"/>
      <c r="P15" s="231" t="str">
        <f t="array" ref="P15">IF(
  O15 = 0, 
  "", 
  IFERROR(
    INDEX(
      'アイテム別限界値DB'!$K:$K, 
      MATCH(
        1, 
        ('アイテム別限界値DB'!$B:$B = N$10) * 
        ('アイテム別限界値DB'!$F:$F = N15) * 
        ('アイテム別限界値DB'!$H:$H = O15), 
        0
      )
    ), 
    "再製作"
  )
)
</f>
        <v/>
      </c>
      <c r="Q15" s="218" t="str">
        <f t="array" ref="Q15">IF(
  O15 = 0, 
  "", 
  IFERROR(
    INDEX(
      'アイテム別限界値DB'!$L:$L, 
      MATCH(
        1, 
        ('アイテム別限界値DB'!$B:$B = N$10) * 
        ('アイテム別限界値DB'!$C:$C = N15) * 
        ('アイテム別限界値DB'!$F:$F = O15), 
        0
      )
    ), 
    ""
  )
)
</f>
        <v/>
      </c>
      <c r="R15" s="12"/>
      <c r="S15" s="224" t="s">
        <v>54</v>
      </c>
      <c r="T15" s="232"/>
      <c r="U15" s="231" t="str">
        <f t="array" ref="U15">IF(
  T15 = 0, 
  "", 
  IFERROR(
    INDEX(
      'アイテム別限界値DB'!$K:$K, 
      MATCH(
        1, 
        ('アイテム別限界値DB'!$B:$B = S$10) * 
        ('アイテム別限界値DB'!$F:$F = S15) * 
        ('アイテム別限界値DB'!$H:$H = T15), 
        0
      )
    ), 
    "再製作"
  )
)
</f>
        <v/>
      </c>
      <c r="V15" s="218" t="str">
        <f t="array" ref="V15">IF(
  T15 = 0, 
  "", 
  IFERROR(
    INDEX(
      'アイテム別限界値DB'!$L:$L, 
      MATCH(
        1, 
        ('アイテム別限界値DB'!$B:$B = S$10) * 
        ('アイテム別限界値DB'!$C:$C = S15) * 
        ('アイテム別限界値DB'!$F:$F = T15), 
        0
      )
    ), 
    ""
  )
)
</f>
        <v/>
      </c>
      <c r="W15" s="12"/>
      <c r="X15" s="224" t="s">
        <v>53</v>
      </c>
      <c r="Y15" s="230"/>
      <c r="Z15" s="231" t="str">
        <f t="array" ref="Z15">IF(
  Y15 = 0, 
  "", 
  IFERROR(
    INDEX(
      'アイテム別限界値DB'!$K:$K, 
      MATCH(
        1, 
        ('アイテム別限界値DB'!$B:$B = X$10) * 
        ('アイテム別限界値DB'!$F:$F = X15) * 
        ('アイテム別限界値DB'!$H:$H = Y15), 
        0
      )
    ), 
    "再製作"
  )
)
</f>
        <v/>
      </c>
      <c r="AA15" s="218" t="str">
        <f t="array" ref="AA15">IF(
  Y15 = 0, 
  "", 
  IFERROR(
    INDEX(
      'アイテム別限界値DB'!$L:$L, 
      MATCH(
        1, 
        ('アイテム別限界値DB'!$B:$B = X$10) * 
        ('アイテム別限界値DB'!$C:$C = X15) * 
        ('アイテム別限界値DB'!$F:$F = Y15), 
        0
      )
    ), 
    ""
  )
)
</f>
        <v/>
      </c>
      <c r="AB15" s="11"/>
      <c r="AC15" s="224" t="s">
        <v>53</v>
      </c>
      <c r="AD15" s="232"/>
      <c r="AE15" s="231" t="str">
        <f t="array" ref="AE15">IF(
  AD15 = 0, 
  "", 
  IFERROR(
    INDEX(
      'アイテム別限界値DB'!$K:$K, 
      MATCH(
        1, 
        ('アイテム別限界値DB'!$B:$B = AC$10) * 
        ('アイテム別限界値DB'!$F:$F = AC15) * 
        ('アイテム別限界値DB'!$H:$H = AD15), 
        0
      )
    ), 
    "再製作"
  )
)
</f>
        <v/>
      </c>
      <c r="AF15" s="218" t="str">
        <f t="array" ref="AF15">IF(
  AD15 = 0, 
  "", 
  IFERROR(
    INDEX(
      'アイテム別限界値DB'!$L:$L, 
      MATCH(
        1, 
        ('アイテム別限界値DB'!$B:$B = AC$10) * 
        ('アイテム別限界値DB'!$C:$C = AC15) * 
        ('アイテム別限界値DB'!$F:$F = AD15), 
        0
      )
    ), 
    ""
  )
)
</f>
        <v/>
      </c>
      <c r="AG15" s="11"/>
      <c r="AH15" s="224" t="s">
        <v>53</v>
      </c>
      <c r="AI15" s="232"/>
      <c r="AJ15" s="231" t="str">
        <f t="array" ref="AJ15">IF(
  AI15 = 0, 
  "", 
  IFERROR(
    INDEX(
      'アイテム別限界値DB'!$K:$K, 
      MATCH(
        1, 
        ('アイテム別限界値DB'!$B:$B = AH$10) * 
        ('アイテム別限界値DB'!$F:$F = AH15) * 
        ('アイテム別限界値DB'!$H:$H = AI15), 
        0
      )
    ), 
    "再製作"
  )
)
</f>
        <v/>
      </c>
      <c r="AK15" s="218" t="str">
        <f t="array" ref="AK15">IF(
  AI15 = 0, 
  "", 
  IFERROR(
    INDEX(
      'アイテム別限界値DB'!$L:$L, 
      MATCH(
        1, 
        ('アイテム別限界値DB'!$B:$B = AH$10) * 
        ('アイテム別限界値DB'!$C:$C = AH15) * 
        ('アイテム別限界値DB'!$F:$F = AI15), 
        0
      )
    ), 
    ""
  )
)
</f>
        <v/>
      </c>
      <c r="AL15" s="11"/>
      <c r="AM15" s="224" t="s">
        <v>53</v>
      </c>
      <c r="AN15" s="232"/>
      <c r="AO15" s="231" t="str">
        <f t="array" ref="AO15">IF(
  AN15 = 0, 
  "", 
  IFERROR(
    INDEX(
      'アイテム別限界値DB'!$K:$K, 
      MATCH(
        1, 
        ('アイテム別限界値DB'!$B:$B = AM$10) * 
        ('アイテム別限界値DB'!$F:$F = AM15) * 
        ('アイテム別限界値DB'!$H:$H = AN15), 
        0
      )
    ), 
    "再製作"
  )
)
</f>
        <v/>
      </c>
      <c r="AP15" s="218" t="str">
        <f t="array" ref="AP15">IF(
  AN15 = 0, 
  "", 
  IFERROR(
    INDEX(
      'アイテム別限界値DB'!$L:$L, 
      MATCH(
        1, 
        ('アイテム別限界値DB'!$B:$B = AM$10) * 
        ('アイテム別限界値DB'!$C:$C = AM15) * 
        ('アイテム別限界値DB'!$F:$F = AN15), 
        0
      )
    ), 
    ""
  )
)
</f>
        <v/>
      </c>
      <c r="AQ15" s="11"/>
      <c r="AR15" s="224" t="s">
        <v>53</v>
      </c>
      <c r="AS15" s="232"/>
      <c r="AT15" s="231" t="str">
        <f t="array" ref="AT15">IF(
  AS15 = 0, 
  "", 
  IFERROR(
    INDEX(
      'アイテム別限界値DB'!$K:$K, 
      MATCH(
        1, 
        ('アイテム別限界値DB'!$B:$B = AR$10) * 
        ('アイテム別限界値DB'!$F:$F = AR15) * 
        ('アイテム別限界値DB'!$H:$H = AS15), 
        0
      )
    ), 
    "再製作"
  )
)
</f>
        <v/>
      </c>
      <c r="AU15" s="218" t="str">
        <f t="array" ref="AU15">IF(
  AS15 = 0, 
  "", 
  IFERROR(
    INDEX(
      'アイテム別限界値DB'!$L:$L, 
      MATCH(
        1, 
        ('アイテム別限界値DB'!$B:$B = AR$10) * 
        ('アイテム別限界値DB'!$C:$C = AR15) * 
        ('アイテム別限界値DB'!$F:$F = AS15), 
        0
      )
    ), 
    ""
  )
)
</f>
        <v/>
      </c>
      <c r="AV15" s="121"/>
      <c r="AW15" s="224" t="s">
        <v>53</v>
      </c>
      <c r="AX15" s="232"/>
      <c r="AY15" s="231" t="str">
        <f t="array" ref="AY15">IF(
  AX15 = 0, 
  "", 
  IFERROR(
    INDEX(
      'アイテム別限界値DB'!$K:$K, 
      MATCH(
        1, 
        ('アイテム別限界値DB'!$B:$B = AW$10) * 
        ('アイテム別限界値DB'!$F:$F = AW15) * 
        ('アイテム別限界値DB'!$H:$H = AX15), 
        0
      )
    ), 
    "再製作"
  )
)
</f>
        <v/>
      </c>
      <c r="AZ15" s="218" t="str">
        <f t="array" ref="AZ15">IF(
  AX15 = 0, 
  "", 
  IFERROR(
    INDEX(
      'アイテム別限界値DB'!$L:$L, 
      MATCH(
        1, 
        ('アイテム別限界値DB'!$B:$B = AW$10) * 
        ('アイテム別限界値DB'!$C:$C = AW15) * 
        ('アイテム別限界値DB'!$F:$F = AX15), 
        0
      )
    ), 
    ""
  )
)
</f>
        <v/>
      </c>
      <c r="BA15" s="121"/>
      <c r="BB15" s="224" t="s">
        <v>53</v>
      </c>
      <c r="BC15" s="232"/>
      <c r="BD15" s="231" t="str">
        <f t="array" ref="BD15">IF(
  BC15 = 0, 
  "", 
  IFERROR(
    INDEX(
      'アイテム別限界値DB'!$K:$K, 
      MATCH(
        1, 
        ('アイテム別限界値DB'!$B:$B = BB$10) * 
        ('アイテム別限界値DB'!$F:$F = BB15) * 
        ('アイテム別限界値DB'!$H:$H = BC15), 
        0
      )
    ), 
    "再製作"
  )
)
</f>
        <v/>
      </c>
      <c r="BE15" s="218" t="str">
        <f t="array" ref="BE15">IF(
  BC15 = 0, 
  "", 
  IFERROR(
    INDEX(
      'アイテム別限界値DB'!$L:$L, 
      MATCH(
        1, 
        ('アイテム別限界値DB'!$B:$B = BB$10) * 
        ('アイテム別限界値DB'!$C:$C = BB15) * 
        ('アイテム別限界値DB'!$F:$F = BC15), 
        0
      )
    ), 
    ""
  )
)
</f>
        <v/>
      </c>
      <c r="BF15" s="121"/>
      <c r="BG15" s="224" t="s">
        <v>53</v>
      </c>
      <c r="BH15" s="232"/>
      <c r="BI15" s="231" t="str">
        <f t="array" ref="BI15">IF(
  BH15 = 0, 
  "", 
  IFERROR(
    INDEX(
      'アイテム別限界値DB'!$K:$K, 
      MATCH(
        1, 
        ('アイテム別限界値DB'!$B:$B = BG$10) * 
        ('アイテム別限界値DB'!$F:$F = BG15) * 
        ('アイテム別限界値DB'!$H:$H = BH15), 
        0
      )
    ), 
    "再製作"
  )
)
</f>
        <v/>
      </c>
      <c r="BJ15" s="218" t="str">
        <f t="array" ref="BJ15">IF(
  BH15 = 0, 
  "", 
  IFERROR(
    INDEX(
      'アイテム別限界値DB'!$L:$L, 
      MATCH(
        1, 
        ('アイテム別限界値DB'!$B:$B = BG$10) * 
        ('アイテム別限界値DB'!$C:$C = BG15) * 
        ('アイテム別限界値DB'!$F:$F = BH15), 
        0
      )
    ), 
    ""
  )
)
</f>
        <v/>
      </c>
      <c r="BK15" s="121"/>
      <c r="BL15" s="224" t="s">
        <v>53</v>
      </c>
      <c r="BM15" s="232"/>
      <c r="BN15" s="231" t="str">
        <f t="array" ref="BN15">IF(
  BM15 = 0, 
  "", 
  IFERROR(
    INDEX(
      'アイテム別限界値DB'!$K:$K, 
      MATCH(
        1, 
        ('アイテム別限界値DB'!$B:$B = BL$10) * 
        ('アイテム別限界値DB'!$F:$F = BL15) * 
        ('アイテム別限界値DB'!$H:$H = BM15), 
        0
      )
    ), 
    "再製作"
  )
)
</f>
        <v/>
      </c>
      <c r="BO15" s="218" t="str">
        <f t="array" ref="BO15">IF(
  BM15 = 0, 
  "", 
  IFERROR(
    INDEX(
      'アイテム別限界値DB'!$L:$L, 
      MATCH(
        1, 
        ('アイテム別限界値DB'!$B:$B = BL$10) * 
        ('アイテム別限界値DB'!$C:$C = BL15) * 
        ('アイテム別限界値DB'!$F:$F = BM15), 
        0
      )
    ), 
    ""
  )
)
</f>
        <v/>
      </c>
      <c r="BP15" s="195"/>
    </row>
    <row r="16" ht="18.75" customHeight="1">
      <c r="A16" s="236" t="str">
        <f>if($A$14&lt;&gt;"", "《仕上がり数値》","")</f>
        <v/>
      </c>
      <c r="B16" s="224"/>
      <c r="C16" s="224"/>
      <c r="D16" s="224" t="s">
        <v>55</v>
      </c>
      <c r="E16" s="230"/>
      <c r="F16" s="231" t="str">
        <f t="array" ref="F16">IF(
  E16 = 0, 
  "", 
  IFERROR(
    INDEX(
      'アイテム別限界値DB'!$K:$K, 
      MATCH(
        1, 
        ('アイテム別限界値DB'!$B:$B = D$10) * 
        ('アイテム別限界値DB'!$F:$F = D16) * 
        ('アイテム別限界値DB'!$H:$H = E16), 
        0
      )
    ), 
    "再製作"
  )
)
</f>
        <v/>
      </c>
      <c r="G16" s="218" t="str">
        <f t="array" ref="G16">IF(
  E16 = 0, 
  "", 
  IFERROR(
    INDEX(
      'アイテム別限界値DB'!$L:$L, 
      MATCH(
        1, 
        ('アイテム別限界値DB'!$B:$B = D$10) * 
        ('アイテム別限界値DB'!$C:$C = D16) * 
        ('アイテム別限界値DB'!$F:$F = E16), 
        0
      )
    ), 
    ""
  )
)
</f>
        <v/>
      </c>
      <c r="H16" s="12"/>
      <c r="I16" s="224" t="s">
        <v>56</v>
      </c>
      <c r="J16" s="230" t="s">
        <v>132</v>
      </c>
      <c r="K16" s="231" t="str">
        <f t="array" ref="K16">IF(
  J16 = 0, 
  "", 
  IFERROR(
    INDEX(
      'アイテム別限界値DB'!$K:$K, 
      MATCH(
        1, 
        ('アイテム別限界値DB'!$B:$B = I$10) * 
        ('アイテム別限界値DB'!$F:$F = I16) * 
        ('アイテム別限界値DB'!$H:$H = J16), 
        0
      )
    ), 
    "再製作"
  )
)
</f>
        <v>再製作</v>
      </c>
      <c r="L16" s="218" t="str">
        <f t="array" ref="L16">IF(
  J16 = 0, 
  "", 
  IFERROR(
    INDEX(
      'アイテム別限界値DB'!$L:$L, 
      MATCH(
        1, 
        ('アイテム別限界値DB'!$B:$B = I$10) * 
        ('アイテム別限界値DB'!$C:$C = I16) * 
        ('アイテム別限界値DB'!$F:$F = J16), 
        0
      )
    ), 
    ""
  )
)
</f>
        <v/>
      </c>
      <c r="M16" s="12"/>
      <c r="N16" s="224" t="s">
        <v>57</v>
      </c>
      <c r="O16" s="232"/>
      <c r="P16" s="231" t="str">
        <f t="array" ref="P16">IF(
  O16 = 0, 
  "", 
  IFERROR(
    INDEX(
      'アイテム別限界値DB'!$K:$K, 
      MATCH(
        1, 
        ('アイテム別限界値DB'!$B:$B = N$10) * 
        ('アイテム別限界値DB'!$F:$F = N16) * 
        ('アイテム別限界値DB'!$H:$H = O16), 
        0
      )
    ), 
    "再製作"
  )
)
</f>
        <v/>
      </c>
      <c r="Q16" s="218" t="str">
        <f t="array" ref="Q16">IF(
  O16 = 0, 
  "", 
  IFERROR(
    INDEX(
      'アイテム別限界値DB'!$L:$L, 
      MATCH(
        1, 
        ('アイテム別限界値DB'!$B:$B = N$10) * 
        ('アイテム別限界値DB'!$C:$C = N16) * 
        ('アイテム別限界値DB'!$F:$F = O16), 
        0
      )
    ), 
    ""
  )
)
</f>
        <v/>
      </c>
      <c r="R16" s="12"/>
      <c r="S16" s="224" t="s">
        <v>56</v>
      </c>
      <c r="T16" s="232"/>
      <c r="U16" s="231" t="str">
        <f t="array" ref="U16">IF(
  T16 = 0, 
  "", 
  IFERROR(
    INDEX(
      'アイテム別限界値DB'!$K:$K, 
      MATCH(
        1, 
        ('アイテム別限界値DB'!$B:$B = S$10) * 
        ('アイテム別限界値DB'!$F:$F = S16) * 
        ('アイテム別限界値DB'!$H:$H = T16), 
        0
      )
    ), 
    "再製作"
  )
)
</f>
        <v/>
      </c>
      <c r="V16" s="218" t="str">
        <f t="array" ref="V16">IF(
  T16 = 0, 
  "", 
  IFERROR(
    INDEX(
      'アイテム別限界値DB'!$L:$L, 
      MATCH(
        1, 
        ('アイテム別限界値DB'!$B:$B = S$10) * 
        ('アイテム別限界値DB'!$C:$C = S16) * 
        ('アイテム別限界値DB'!$F:$F = T16), 
        0
      )
    ), 
    ""
  )
)
</f>
        <v/>
      </c>
      <c r="W16" s="12"/>
      <c r="X16" s="224" t="s">
        <v>58</v>
      </c>
      <c r="Y16" s="230"/>
      <c r="Z16" s="231" t="str">
        <f t="array" ref="Z16">IF(
  Y16 = 0, 
  "", 
  IFERROR(
    INDEX(
      'アイテム別限界値DB'!$K:$K, 
      MATCH(
        1, 
        ('アイテム別限界値DB'!$B:$B = X$10) * 
        ('アイテム別限界値DB'!$F:$F = X16) * 
        ('アイテム別限界値DB'!$H:$H = Y16), 
        0
      )
    ), 
    "再製作"
  )
)
</f>
        <v/>
      </c>
      <c r="AA16" s="218" t="str">
        <f t="array" ref="AA16">IF(
  Y16 = 0, 
  "", 
  IFERROR(
    INDEX(
      'アイテム別限界値DB'!$L:$L, 
      MATCH(
        1, 
        ('アイテム別限界値DB'!$B:$B = X$10) * 
        ('アイテム別限界値DB'!$C:$C = X16) * 
        ('アイテム別限界値DB'!$F:$F = Y16), 
        0
      )
    ), 
    ""
  )
)
</f>
        <v/>
      </c>
      <c r="AB16" s="11"/>
      <c r="AC16" s="224" t="s">
        <v>55</v>
      </c>
      <c r="AD16" s="232"/>
      <c r="AE16" s="231" t="str">
        <f t="array" ref="AE16">IF(
  AD16 = 0, 
  "", 
  IFERROR(
    INDEX(
      'アイテム別限界値DB'!$K:$K, 
      MATCH(
        1, 
        ('アイテム別限界値DB'!$B:$B = AC$10) * 
        ('アイテム別限界値DB'!$F:$F = AC16) * 
        ('アイテム別限界値DB'!$H:$H = AD16), 
        0
      )
    ), 
    "再製作"
  )
)
</f>
        <v/>
      </c>
      <c r="AF16" s="218" t="str">
        <f t="array" ref="AF16">IF(
  AD16 = 0, 
  "", 
  IFERROR(
    INDEX(
      'アイテム別限界値DB'!$L:$L, 
      MATCH(
        1, 
        ('アイテム別限界値DB'!$B:$B = AC$10) * 
        ('アイテム別限界値DB'!$C:$C = AC16) * 
        ('アイテム別限界値DB'!$F:$F = AD16), 
        0
      )
    ), 
    ""
  )
)
</f>
        <v/>
      </c>
      <c r="AG16" s="11"/>
      <c r="AH16" s="224" t="s">
        <v>55</v>
      </c>
      <c r="AI16" s="232"/>
      <c r="AJ16" s="231" t="str">
        <f t="array" ref="AJ16">IF(
  AI16 = 0, 
  "", 
  IFERROR(
    INDEX(
      'アイテム別限界値DB'!$K:$K, 
      MATCH(
        1, 
        ('アイテム別限界値DB'!$B:$B = AH$10) * 
        ('アイテム別限界値DB'!$F:$F = AH16) * 
        ('アイテム別限界値DB'!$H:$H = AI16), 
        0
      )
    ), 
    "再製作"
  )
)
</f>
        <v/>
      </c>
      <c r="AK16" s="218" t="str">
        <f t="array" ref="AK16">IF(
  AI16 = 0, 
  "", 
  IFERROR(
    INDEX(
      'アイテム別限界値DB'!$L:$L, 
      MATCH(
        1, 
        ('アイテム別限界値DB'!$B:$B = AH$10) * 
        ('アイテム別限界値DB'!$C:$C = AH16) * 
        ('アイテム別限界値DB'!$F:$F = AI16), 
        0
      )
    ), 
    ""
  )
)
</f>
        <v/>
      </c>
      <c r="AL16" s="11"/>
      <c r="AM16" s="224" t="s">
        <v>55</v>
      </c>
      <c r="AN16" s="232"/>
      <c r="AO16" s="231" t="str">
        <f t="array" ref="AO16">IF(
  AN16 = 0, 
  "", 
  IFERROR(
    INDEX(
      'アイテム別限界値DB'!$K:$K, 
      MATCH(
        1, 
        ('アイテム別限界値DB'!$B:$B = AM$10) * 
        ('アイテム別限界値DB'!$F:$F = AM16) * 
        ('アイテム別限界値DB'!$H:$H = AN16), 
        0
      )
    ), 
    "再製作"
  )
)
</f>
        <v/>
      </c>
      <c r="AP16" s="218" t="str">
        <f t="array" ref="AP16">IF(
  AN16 = 0, 
  "", 
  IFERROR(
    INDEX(
      'アイテム別限界値DB'!$L:$L, 
      MATCH(
        1, 
        ('アイテム別限界値DB'!$B:$B = AM$10) * 
        ('アイテム別限界値DB'!$C:$C = AM16) * 
        ('アイテム別限界値DB'!$F:$F = AN16), 
        0
      )
    ), 
    ""
  )
)
</f>
        <v/>
      </c>
      <c r="AQ16" s="11"/>
      <c r="AR16" s="224" t="s">
        <v>55</v>
      </c>
      <c r="AS16" s="232"/>
      <c r="AT16" s="231" t="str">
        <f t="array" ref="AT16">IF(
  AS16 = 0, 
  "", 
  IFERROR(
    INDEX(
      'アイテム別限界値DB'!$K:$K, 
      MATCH(
        1, 
        ('アイテム別限界値DB'!$B:$B = AR$10) * 
        ('アイテム別限界値DB'!$F:$F = AR16) * 
        ('アイテム別限界値DB'!$H:$H = AS16), 
        0
      )
    ), 
    "再製作"
  )
)
</f>
        <v/>
      </c>
      <c r="AU16" s="218" t="str">
        <f t="array" ref="AU16">IF(
  AS16 = 0, 
  "", 
  IFERROR(
    INDEX(
      'アイテム別限界値DB'!$L:$L, 
      MATCH(
        1, 
        ('アイテム別限界値DB'!$B:$B = AR$10) * 
        ('アイテム別限界値DB'!$C:$C = AR16) * 
        ('アイテム別限界値DB'!$F:$F = AS16), 
        0
      )
    ), 
    ""
  )
)
</f>
        <v/>
      </c>
      <c r="AV16" s="121"/>
      <c r="AW16" s="224" t="s">
        <v>55</v>
      </c>
      <c r="AX16" s="232"/>
      <c r="AY16" s="231" t="str">
        <f t="array" ref="AY16">IF(
  AX16 = 0, 
  "", 
  IFERROR(
    INDEX(
      'アイテム別限界値DB'!$K:$K, 
      MATCH(
        1, 
        ('アイテム別限界値DB'!$B:$B = AW$10) * 
        ('アイテム別限界値DB'!$F:$F = AW16) * 
        ('アイテム別限界値DB'!$H:$H = AX16), 
        0
      )
    ), 
    "再製作"
  )
)
</f>
        <v/>
      </c>
      <c r="AZ16" s="218" t="str">
        <f t="array" ref="AZ16">IF(
  AX16 = 0, 
  "", 
  IFERROR(
    INDEX(
      'アイテム別限界値DB'!$L:$L, 
      MATCH(
        1, 
        ('アイテム別限界値DB'!$B:$B = AW$10) * 
        ('アイテム別限界値DB'!$C:$C = AW16) * 
        ('アイテム別限界値DB'!$F:$F = AX16), 
        0
      )
    ), 
    ""
  )
)
</f>
        <v/>
      </c>
      <c r="BA16" s="121"/>
      <c r="BB16" s="224" t="s">
        <v>55</v>
      </c>
      <c r="BC16" s="232"/>
      <c r="BD16" s="231" t="str">
        <f t="array" ref="BD16">IF(
  BC16 = 0, 
  "", 
  IFERROR(
    INDEX(
      'アイテム別限界値DB'!$K:$K, 
      MATCH(
        1, 
        ('アイテム別限界値DB'!$B:$B = BB$10) * 
        ('アイテム別限界値DB'!$F:$F = BB16) * 
        ('アイテム別限界値DB'!$H:$H = BC16), 
        0
      )
    ), 
    "再製作"
  )
)
</f>
        <v/>
      </c>
      <c r="BE16" s="218" t="str">
        <f t="array" ref="BE16">IF(
  BC16 = 0, 
  "", 
  IFERROR(
    INDEX(
      'アイテム別限界値DB'!$L:$L, 
      MATCH(
        1, 
        ('アイテム別限界値DB'!$B:$B = BB$10) * 
        ('アイテム別限界値DB'!$C:$C = BB16) * 
        ('アイテム別限界値DB'!$F:$F = BC16), 
        0
      )
    ), 
    ""
  )
)
</f>
        <v/>
      </c>
      <c r="BF16" s="121"/>
      <c r="BG16" s="224" t="s">
        <v>55</v>
      </c>
      <c r="BH16" s="232"/>
      <c r="BI16" s="231" t="str">
        <f t="array" ref="BI16">IF(
  BH16 = 0, 
  "", 
  IFERROR(
    INDEX(
      'アイテム別限界値DB'!$K:$K, 
      MATCH(
        1, 
        ('アイテム別限界値DB'!$B:$B = BG$10) * 
        ('アイテム別限界値DB'!$F:$F = BG16) * 
        ('アイテム別限界値DB'!$H:$H = BH16), 
        0
      )
    ), 
    "再製作"
  )
)
</f>
        <v/>
      </c>
      <c r="BJ16" s="218" t="str">
        <f t="array" ref="BJ16">IF(
  BH16 = 0, 
  "", 
  IFERROR(
    INDEX(
      'アイテム別限界値DB'!$L:$L, 
      MATCH(
        1, 
        ('アイテム別限界値DB'!$B:$B = BG$10) * 
        ('アイテム別限界値DB'!$C:$C = BG16) * 
        ('アイテム別限界値DB'!$F:$F = BH16), 
        0
      )
    ), 
    ""
  )
)
</f>
        <v/>
      </c>
      <c r="BK16" s="121"/>
      <c r="BL16" s="224" t="s">
        <v>55</v>
      </c>
      <c r="BM16" s="232"/>
      <c r="BN16" s="231" t="str">
        <f t="array" ref="BN16">IF(
  BM16 = 0, 
  "", 
  IFERROR(
    INDEX(
      'アイテム別限界値DB'!$K:$K, 
      MATCH(
        1, 
        ('アイテム別限界値DB'!$B:$B = BL$10) * 
        ('アイテム別限界値DB'!$F:$F = BL16) * 
        ('アイテム別限界値DB'!$H:$H = BM16), 
        0
      )
    ), 
    "再製作"
  )
)
</f>
        <v/>
      </c>
      <c r="BO16" s="218" t="str">
        <f t="array" ref="BO16">IF(
  BM16 = 0, 
  "", 
  IFERROR(
    INDEX(
      'アイテム別限界値DB'!$L:$L, 
      MATCH(
        1, 
        ('アイテム別限界値DB'!$B:$B = BL$10) * 
        ('アイテム別限界値DB'!$C:$C = BL16) * 
        ('アイテム別限界値DB'!$F:$F = BM16), 
        0
      )
    ), 
    ""
  )
)
</f>
        <v/>
      </c>
      <c r="BP16" s="195"/>
    </row>
    <row r="17" ht="18.75" customHeight="1">
      <c r="A17" s="228" t="str">
        <f>IFERROR(__xludf.DUMMYFUNCTION("TEXTJOIN(CHAR(10),TRUE,FILTER(ARRAYFORMULA(IF(E$14:E72&lt;&gt;"""",D$14:D72&amp;"" :  cm"","""")), D$14:D72 &lt;&gt;""""))"),"")</f>
        <v/>
      </c>
      <c r="B17" s="229"/>
      <c r="C17" s="224"/>
      <c r="D17" s="224" t="s">
        <v>60</v>
      </c>
      <c r="E17" s="230"/>
      <c r="F17" s="231" t="str">
        <f t="array" ref="F17">IF(
  E17 = 0, 
  "", 
  IFERROR(
    INDEX(
      'アイテム別限界値DB'!$K:$K, 
      MATCH(
        1, 
        ('アイテム別限界値DB'!$B:$B = D$10) * 
        ('アイテム別限界値DB'!$F:$F = D17) * 
        ('アイテム別限界値DB'!$H:$H = E17), 
        0
      )
    ), 
    "再製作"
  )
)
</f>
        <v/>
      </c>
      <c r="G17" s="218" t="str">
        <f t="array" ref="G17">IF(
  E17 = 0, 
  "", 
  IFERROR(
    INDEX(
      'アイテム別限界値DB'!$L:$L, 
      MATCH(
        1, 
        ('アイテム別限界値DB'!$B:$B = D$10) * 
        ('アイテム別限界値DB'!$C:$C = D17) * 
        ('アイテム別限界値DB'!$F:$F = E17), 
        0
      )
    ), 
    ""
  )
)
</f>
        <v/>
      </c>
      <c r="H17" s="12"/>
      <c r="I17" s="224" t="s">
        <v>61</v>
      </c>
      <c r="J17" s="230"/>
      <c r="K17" s="231" t="str">
        <f t="array" ref="K17">IF(
  J17 = 0, 
  "", 
  IFERROR(
    INDEX(
      'アイテム別限界値DB'!$K:$K, 
      MATCH(
        1, 
        ('アイテム別限界値DB'!$B:$B = I$10) * 
        ('アイテム別限界値DB'!$F:$F = I17) * 
        ('アイテム別限界値DB'!$H:$H = J17), 
        0
      )
    ), 
    "再製作"
  )
)
</f>
        <v/>
      </c>
      <c r="L17" s="218" t="str">
        <f t="array" ref="L17">IF(
  J17 = 0, 
  "", 
  IFERROR(
    INDEX(
      'アイテム別限界値DB'!$L:$L, 
      MATCH(
        1, 
        ('アイテム別限界値DB'!$B:$B = I$10) * 
        ('アイテム別限界値DB'!$C:$C = I17) * 
        ('アイテム別限界値DB'!$F:$F = J17), 
        0
      )
    ), 
    ""
  )
)
</f>
        <v/>
      </c>
      <c r="M17" s="12"/>
      <c r="N17" s="224" t="s">
        <v>62</v>
      </c>
      <c r="O17" s="232"/>
      <c r="P17" s="231" t="str">
        <f t="array" ref="P17">IF(
  O17 = 0, 
  "", 
  IFERROR(
    INDEX(
      'アイテム別限界値DB'!$K:$K, 
      MATCH(
        1, 
        ('アイテム別限界値DB'!$B:$B = N$10) * 
        ('アイテム別限界値DB'!$F:$F = N17) * 
        ('アイテム別限界値DB'!$H:$H = O17), 
        0
      )
    ), 
    "再製作"
  )
)
</f>
        <v/>
      </c>
      <c r="Q17" s="218" t="str">
        <f t="array" ref="Q17">IF(
  O17 = 0, 
  "", 
  IFERROR(
    INDEX(
      'アイテム別限界値DB'!$L:$L, 
      MATCH(
        1, 
        ('アイテム別限界値DB'!$B:$B = N$10) * 
        ('アイテム別限界値DB'!$C:$C = N17) * 
        ('アイテム別限界値DB'!$F:$F = O17), 
        0
      )
    ), 
    ""
  )
)
</f>
        <v/>
      </c>
      <c r="R17" s="11"/>
      <c r="S17" s="224" t="s">
        <v>61</v>
      </c>
      <c r="T17" s="232"/>
      <c r="U17" s="231" t="str">
        <f t="array" ref="U17">IF(
  T17 = 0, 
  "", 
  IFERROR(
    INDEX(
      'アイテム別限界値DB'!$K:$K, 
      MATCH(
        1, 
        ('アイテム別限界値DB'!$B:$B = S$10) * 
        ('アイテム別限界値DB'!$F:$F = S17) * 
        ('アイテム別限界値DB'!$H:$H = T17), 
        0
      )
    ), 
    "再製作"
  )
)
</f>
        <v/>
      </c>
      <c r="V17" s="218" t="str">
        <f t="array" ref="V17">IF(
  T17 = 0, 
  "", 
  IFERROR(
    INDEX(
      'アイテム別限界値DB'!$L:$L, 
      MATCH(
        1, 
        ('アイテム別限界値DB'!$B:$B = S$10) * 
        ('アイテム別限界値DB'!$C:$C = S17) * 
        ('アイテム別限界値DB'!$F:$F = T17), 
        0
      )
    ), 
    ""
  )
)
</f>
        <v/>
      </c>
      <c r="W17" s="12"/>
      <c r="X17" s="224" t="s">
        <v>63</v>
      </c>
      <c r="Y17" s="232"/>
      <c r="Z17" s="231" t="str">
        <f t="array" ref="Z17">IF(
  Y17 = 0, 
  "", 
  IFERROR(
    INDEX(
      'アイテム別限界値DB'!$K:$K, 
      MATCH(
        1, 
        ('アイテム別限界値DB'!$B:$B = X$10) * 
        ('アイテム別限界値DB'!$F:$F = X17) * 
        ('アイテム別限界値DB'!$H:$H = Y17), 
        0
      )
    ), 
    "再製作"
  )
)
</f>
        <v/>
      </c>
      <c r="AA17" s="218" t="str">
        <f t="array" ref="AA17">IF(
  Y17 = 0, 
  "", 
  IFERROR(
    INDEX(
      'アイテム別限界値DB'!$L:$L, 
      MATCH(
        1, 
        ('アイテム別限界値DB'!$B:$B = X$10) * 
        ('アイテム別限界値DB'!$C:$C = X17) * 
        ('アイテム別限界値DB'!$F:$F = Y17), 
        0
      )
    ), 
    ""
  )
)
</f>
        <v/>
      </c>
      <c r="AB17" s="11"/>
      <c r="AC17" s="224" t="s">
        <v>57</v>
      </c>
      <c r="AD17" s="232"/>
      <c r="AE17" s="231" t="str">
        <f t="array" ref="AE17">IF(
  AD17 = 0, 
  "", 
  IFERROR(
    INDEX(
      'アイテム別限界値DB'!$K:$K, 
      MATCH(
        1, 
        ('アイテム別限界値DB'!$B:$B = AC$10) * 
        ('アイテム別限界値DB'!$F:$F = AC17) * 
        ('アイテム別限界値DB'!$H:$H = AD17), 
        0
      )
    ), 
    "再製作"
  )
)
</f>
        <v/>
      </c>
      <c r="AF17" s="218" t="str">
        <f t="array" ref="AF17">IF(
  AD17 = 0, 
  "", 
  IFERROR(
    INDEX(
      'アイテム別限界値DB'!$L:$L, 
      MATCH(
        1, 
        ('アイテム別限界値DB'!$B:$B = AC$10) * 
        ('アイテム別限界値DB'!$C:$C = AC17) * 
        ('アイテム別限界値DB'!$F:$F = AD17), 
        0
      )
    ), 
    ""
  )
)
</f>
        <v/>
      </c>
      <c r="AG17" s="11"/>
      <c r="AH17" s="224" t="s">
        <v>57</v>
      </c>
      <c r="AI17" s="232"/>
      <c r="AJ17" s="231" t="str">
        <f t="array" ref="AJ17">IF(
  AI17 = 0, 
  "", 
  IFERROR(
    INDEX(
      'アイテム別限界値DB'!$K:$K, 
      MATCH(
        1, 
        ('アイテム別限界値DB'!$B:$B = AH$10) * 
        ('アイテム別限界値DB'!$F:$F = AH17) * 
        ('アイテム別限界値DB'!$H:$H = AI17), 
        0
      )
    ), 
    "再製作"
  )
)
</f>
        <v/>
      </c>
      <c r="AK17" s="218" t="str">
        <f t="array" ref="AK17">IF(
  AI17 = 0, 
  "", 
  IFERROR(
    INDEX(
      'アイテム別限界値DB'!$L:$L, 
      MATCH(
        1, 
        ('アイテム別限界値DB'!$B:$B = AH$10) * 
        ('アイテム別限界値DB'!$C:$C = AH17) * 
        ('アイテム別限界値DB'!$F:$F = AI17), 
        0
      )
    ), 
    ""
  )
)
</f>
        <v/>
      </c>
      <c r="AL17" s="11"/>
      <c r="AM17" s="224" t="s">
        <v>57</v>
      </c>
      <c r="AN17" s="232"/>
      <c r="AO17" s="231" t="str">
        <f t="array" ref="AO17">IF(
  AN17 = 0, 
  "", 
  IFERROR(
    INDEX(
      'アイテム別限界値DB'!$K:$K, 
      MATCH(
        1, 
        ('アイテム別限界値DB'!$B:$B = AM$10) * 
        ('アイテム別限界値DB'!$F:$F = AM17) * 
        ('アイテム別限界値DB'!$H:$H = AN17), 
        0
      )
    ), 
    "再製作"
  )
)
</f>
        <v/>
      </c>
      <c r="AP17" s="218" t="str">
        <f t="array" ref="AP17">IF(
  AN17 = 0, 
  "", 
  IFERROR(
    INDEX(
      'アイテム別限界値DB'!$L:$L, 
      MATCH(
        1, 
        ('アイテム別限界値DB'!$B:$B = AM$10) * 
        ('アイテム別限界値DB'!$C:$C = AM17) * 
        ('アイテム別限界値DB'!$F:$F = AN17), 
        0
      )
    ), 
    ""
  )
)
</f>
        <v/>
      </c>
      <c r="AQ17" s="11"/>
      <c r="AR17" s="224" t="s">
        <v>57</v>
      </c>
      <c r="AS17" s="232"/>
      <c r="AT17" s="231" t="str">
        <f t="array" ref="AT17">IF(
  AS17 = 0, 
  "", 
  IFERROR(
    INDEX(
      'アイテム別限界値DB'!$K:$K, 
      MATCH(
        1, 
        ('アイテム別限界値DB'!$B:$B = AR$10) * 
        ('アイテム別限界値DB'!$F:$F = AR17) * 
        ('アイテム別限界値DB'!$H:$H = AS17), 
        0
      )
    ), 
    "再製作"
  )
)
</f>
        <v/>
      </c>
      <c r="AU17" s="218" t="str">
        <f t="array" ref="AU17">IF(
  AS17 = 0, 
  "", 
  IFERROR(
    INDEX(
      'アイテム別限界値DB'!$L:$L, 
      MATCH(
        1, 
        ('アイテム別限界値DB'!$B:$B = AR$10) * 
        ('アイテム別限界値DB'!$C:$C = AR17) * 
        ('アイテム別限界値DB'!$F:$F = AS17), 
        0
      )
    ), 
    ""
  )
)
</f>
        <v/>
      </c>
      <c r="AV17" s="121"/>
      <c r="AW17" s="224" t="s">
        <v>57</v>
      </c>
      <c r="AX17" s="232"/>
      <c r="AY17" s="231" t="str">
        <f t="array" ref="AY17">IF(
  AX17 = 0, 
  "", 
  IFERROR(
    INDEX(
      'アイテム別限界値DB'!$K:$K, 
      MATCH(
        1, 
        ('アイテム別限界値DB'!$B:$B = AW$10) * 
        ('アイテム別限界値DB'!$F:$F = AW17) * 
        ('アイテム別限界値DB'!$H:$H = AX17), 
        0
      )
    ), 
    "再製作"
  )
)
</f>
        <v/>
      </c>
      <c r="AZ17" s="218" t="str">
        <f t="array" ref="AZ17">IF(
  AX17 = 0, 
  "", 
  IFERROR(
    INDEX(
      'アイテム別限界値DB'!$L:$L, 
      MATCH(
        1, 
        ('アイテム別限界値DB'!$B:$B = AW$10) * 
        ('アイテム別限界値DB'!$C:$C = AW17) * 
        ('アイテム別限界値DB'!$F:$F = AX17), 
        0
      )
    ), 
    ""
  )
)
</f>
        <v/>
      </c>
      <c r="BA17" s="121"/>
      <c r="BB17" s="224" t="s">
        <v>57</v>
      </c>
      <c r="BC17" s="232"/>
      <c r="BD17" s="231" t="str">
        <f t="array" ref="BD17">IF(
  BC17 = 0, 
  "", 
  IFERROR(
    INDEX(
      'アイテム別限界値DB'!$K:$K, 
      MATCH(
        1, 
        ('アイテム別限界値DB'!$B:$B = BB$10) * 
        ('アイテム別限界値DB'!$F:$F = BB17) * 
        ('アイテム別限界値DB'!$H:$H = BC17), 
        0
      )
    ), 
    "再製作"
  )
)
</f>
        <v/>
      </c>
      <c r="BE17" s="218" t="str">
        <f t="array" ref="BE17">IF(
  BC17 = 0, 
  "", 
  IFERROR(
    INDEX(
      'アイテム別限界値DB'!$L:$L, 
      MATCH(
        1, 
        ('アイテム別限界値DB'!$B:$B = BB$10) * 
        ('アイテム別限界値DB'!$C:$C = BB17) * 
        ('アイテム別限界値DB'!$F:$F = BC17), 
        0
      )
    ), 
    ""
  )
)
</f>
        <v/>
      </c>
      <c r="BF17" s="121"/>
      <c r="BG17" s="224" t="s">
        <v>57</v>
      </c>
      <c r="BH17" s="232"/>
      <c r="BI17" s="231" t="str">
        <f t="array" ref="BI17">IF(
  BH17 = 0, 
  "", 
  IFERROR(
    INDEX(
      'アイテム別限界値DB'!$K:$K, 
      MATCH(
        1, 
        ('アイテム別限界値DB'!$B:$B = BG$10) * 
        ('アイテム別限界値DB'!$F:$F = BG17) * 
        ('アイテム別限界値DB'!$H:$H = BH17), 
        0
      )
    ), 
    "再製作"
  )
)
</f>
        <v/>
      </c>
      <c r="BJ17" s="218" t="str">
        <f t="array" ref="BJ17">IF(
  BH17 = 0, 
  "", 
  IFERROR(
    INDEX(
      'アイテム別限界値DB'!$L:$L, 
      MATCH(
        1, 
        ('アイテム別限界値DB'!$B:$B = BG$10) * 
        ('アイテム別限界値DB'!$C:$C = BG17) * 
        ('アイテム別限界値DB'!$F:$F = BH17), 
        0
      )
    ), 
    ""
  )
)
</f>
        <v/>
      </c>
      <c r="BK17" s="121"/>
      <c r="BL17" s="224" t="s">
        <v>57</v>
      </c>
      <c r="BM17" s="232"/>
      <c r="BN17" s="231" t="str">
        <f t="array" ref="BN17">IF(
  BM17 = 0, 
  "", 
  IFERROR(
    INDEX(
      'アイテム別限界値DB'!$K:$K, 
      MATCH(
        1, 
        ('アイテム別限界値DB'!$B:$B = BL$10) * 
        ('アイテム別限界値DB'!$F:$F = BL17) * 
        ('アイテム別限界値DB'!$H:$H = BM17), 
        0
      )
    ), 
    "再製作"
  )
)
</f>
        <v/>
      </c>
      <c r="BO17" s="218" t="str">
        <f t="array" ref="BO17">IF(
  BM17 = 0, 
  "", 
  IFERROR(
    INDEX(
      'アイテム別限界値DB'!$L:$L, 
      MATCH(
        1, 
        ('アイテム別限界値DB'!$B:$B = BL$10) * 
        ('アイテム別限界値DB'!$C:$C = BL17) * 
        ('アイテム別限界値DB'!$F:$F = BM17), 
        0
      )
    ), 
    ""
  )
)
</f>
        <v/>
      </c>
      <c r="BP17" s="195"/>
    </row>
    <row r="18" ht="18.75" customHeight="1">
      <c r="A18" s="237" t="s">
        <v>64</v>
      </c>
      <c r="B18" s="235"/>
      <c r="C18" s="224"/>
      <c r="D18" s="224" t="s">
        <v>65</v>
      </c>
      <c r="E18" s="230"/>
      <c r="F18" s="231" t="str">
        <f t="array" ref="F18">IF(
  E18 = 0, 
  "", 
  IFERROR(
    INDEX(
      'アイテム別限界値DB'!$K:$K, 
      MATCH(
        1, 
        ('アイテム別限界値DB'!$B:$B = D$10) * 
        ('アイテム別限界値DB'!$F:$F = D18) * 
        ('アイテム別限界値DB'!$H:$H = E18), 
        0
      )
    ), 
    "再製作"
  )
)
</f>
        <v/>
      </c>
      <c r="G18" s="218" t="str">
        <f t="array" ref="G18">IF(
  E18 = 0, 
  "", 
  IFERROR(
    INDEX(
      'アイテム別限界値DB'!$L:$L, 
      MATCH(
        1, 
        ('アイテム別限界値DB'!$B:$B = D$10) * 
        ('アイテム別限界値DB'!$C:$C = D18) * 
        ('アイテム別限界値DB'!$F:$F = E18), 
        0
      )
    ), 
    ""
  )
)
</f>
        <v/>
      </c>
      <c r="H18" s="12"/>
      <c r="I18" s="224" t="s">
        <v>66</v>
      </c>
      <c r="J18" s="230" t="s">
        <v>137</v>
      </c>
      <c r="K18" s="231" t="str">
        <f t="array" ref="K18">IF(
  J18 = 0, 
  "", 
  IFERROR(
    INDEX(
      'アイテム別限界値DB'!$K:$K, 
      MATCH(
        1, 
        ('アイテム別限界値DB'!$B:$B = I$10) * 
        ('アイテム別限界値DB'!$F:$F = I18) * 
        ('アイテム別限界値DB'!$H:$H = J18), 
        0
      )
    ), 
    "再製作"
  )
)
</f>
        <v>再製作</v>
      </c>
      <c r="L18" s="218" t="str">
        <f t="array" ref="L18">IF(
  J18 = 0, 
  "", 
  IFERROR(
    INDEX(
      'アイテム別限界値DB'!$L:$L, 
      MATCH(
        1, 
        ('アイテム別限界値DB'!$B:$B = I$10) * 
        ('アイテム別限界値DB'!$C:$C = I18) * 
        ('アイテム別限界値DB'!$F:$F = J18), 
        0
      )
    ), 
    ""
  )
)
</f>
        <v/>
      </c>
      <c r="M18" s="12"/>
      <c r="N18" s="224" t="s">
        <v>67</v>
      </c>
      <c r="O18" s="232"/>
      <c r="P18" s="231" t="str">
        <f t="array" ref="P18">IF(
  O18 = 0, 
  "", 
  IFERROR(
    INDEX(
      'アイテム別限界値DB'!$K:$K, 
      MATCH(
        1, 
        ('アイテム別限界値DB'!$B:$B = N$10) * 
        ('アイテム別限界値DB'!$F:$F = N18) * 
        ('アイテム別限界値DB'!$H:$H = O18), 
        0
      )
    ), 
    "再製作"
  )
)
</f>
        <v/>
      </c>
      <c r="Q18" s="218" t="str">
        <f t="array" ref="Q18">IF(
  O18 = 0, 
  "", 
  IFERROR(
    INDEX(
      'アイテム別限界値DB'!$L:$L, 
      MATCH(
        1, 
        ('アイテム別限界値DB'!$B:$B = N$10) * 
        ('アイテム別限界値DB'!$C:$C = N18) * 
        ('アイテム別限界値DB'!$F:$F = O18), 
        0
      )
    ), 
    ""
  )
)
</f>
        <v/>
      </c>
      <c r="R18" s="11"/>
      <c r="S18" s="224" t="s">
        <v>68</v>
      </c>
      <c r="T18" s="232"/>
      <c r="U18" s="231" t="str">
        <f t="array" ref="U18">IF(
  T18 = 0, 
  "", 
  IFERROR(
    INDEX(
      'アイテム別限界値DB'!$K:$K, 
      MATCH(
        1, 
        ('アイテム別限界値DB'!$B:$B = S$10) * 
        ('アイテム別限界値DB'!$F:$F = S18) * 
        ('アイテム別限界値DB'!$H:$H = T18), 
        0
      )
    ), 
    "再製作"
  )
)
</f>
        <v/>
      </c>
      <c r="V18" s="218" t="str">
        <f t="array" ref="V18">IF(
  T18 = 0, 
  "", 
  IFERROR(
    INDEX(
      'アイテム別限界値DB'!$L:$L, 
      MATCH(
        1, 
        ('アイテム別限界値DB'!$B:$B = S$10) * 
        ('アイテム別限界値DB'!$C:$C = S18) * 
        ('アイテム別限界値DB'!$F:$F = T18), 
        0
      )
    ), 
    ""
  )
)
</f>
        <v/>
      </c>
      <c r="W18" s="11"/>
      <c r="X18" s="224" t="s">
        <v>57</v>
      </c>
      <c r="Y18" s="230"/>
      <c r="Z18" s="231" t="str">
        <f t="array" ref="Z18">IF(
  Y18 = 0, 
  "", 
  IFERROR(
    INDEX(
      'アイテム別限界値DB'!$K:$K, 
      MATCH(
        1, 
        ('アイテム別限界値DB'!$B:$B = X$10) * 
        ('アイテム別限界値DB'!$F:$F = X18) * 
        ('アイテム別限界値DB'!$H:$H = Y18), 
        0
      )
    ), 
    "再製作"
  )
)
</f>
        <v/>
      </c>
      <c r="AA18" s="218" t="str">
        <f t="array" ref="AA18">IF(
  Y18 = 0, 
  "", 
  IFERROR(
    INDEX(
      'アイテム別限界値DB'!$L:$L, 
      MATCH(
        1, 
        ('アイテム別限界値DB'!$B:$B = X$10) * 
        ('アイテム別限界値DB'!$C:$C = X18) * 
        ('アイテム別限界値DB'!$F:$F = Y18), 
        0
      )
    ), 
    ""
  )
)
</f>
        <v/>
      </c>
      <c r="AB18" s="11"/>
      <c r="AC18" s="224" t="s">
        <v>69</v>
      </c>
      <c r="AD18" s="232"/>
      <c r="AE18" s="231" t="str">
        <f t="array" ref="AE18">IF(
  AD18 = 0, 
  "", 
  IFERROR(
    INDEX(
      'アイテム別限界値DB'!$K:$K, 
      MATCH(
        1, 
        ('アイテム別限界値DB'!$B:$B = AC$10) * 
        ('アイテム別限界値DB'!$F:$F = AC18) * 
        ('アイテム別限界値DB'!$H:$H = AD18), 
        0
      )
    ), 
    "再製作"
  )
)
</f>
        <v/>
      </c>
      <c r="AF18" s="218" t="str">
        <f t="array" ref="AF18">IF(
  AD18 = 0, 
  "", 
  IFERROR(
    INDEX(
      'アイテム別限界値DB'!$L:$L, 
      MATCH(
        1, 
        ('アイテム別限界値DB'!$B:$B = AC$10) * 
        ('アイテム別限界値DB'!$C:$C = AC18) * 
        ('アイテム別限界値DB'!$F:$F = AD18), 
        0
      )
    ), 
    ""
  )
)
</f>
        <v/>
      </c>
      <c r="AG18" s="11"/>
      <c r="AH18" s="224" t="s">
        <v>70</v>
      </c>
      <c r="AI18" s="232"/>
      <c r="AJ18" s="231" t="str">
        <f t="array" ref="AJ18">IF(
  AI18 = 0, 
  "", 
  IFERROR(
    INDEX(
      'アイテム別限界値DB'!$K:$K, 
      MATCH(
        1, 
        ('アイテム別限界値DB'!$B:$B = AH$10) * 
        ('アイテム別限界値DB'!$F:$F = AH18) * 
        ('アイテム別限界値DB'!$H:$H = AI18), 
        0
      )
    ), 
    "再製作"
  )
)
</f>
        <v/>
      </c>
      <c r="AK18" s="218" t="str">
        <f t="array" ref="AK18">IF(
  AI18 = 0, 
  "", 
  IFERROR(
    INDEX(
      'アイテム別限界値DB'!$L:$L, 
      MATCH(
        1, 
        ('アイテム別限界値DB'!$B:$B = AH$10) * 
        ('アイテム別限界値DB'!$C:$C = AH18) * 
        ('アイテム別限界値DB'!$F:$F = AI18), 
        0
      )
    ), 
    ""
  )
)
</f>
        <v/>
      </c>
      <c r="AL18" s="11"/>
      <c r="AM18" s="224" t="s">
        <v>71</v>
      </c>
      <c r="AN18" s="232"/>
      <c r="AO18" s="231" t="str">
        <f t="array" ref="AO18">IF(
  AN18 = 0, 
  "", 
  IFERROR(
    INDEX(
      'アイテム別限界値DB'!$K:$K, 
      MATCH(
        1, 
        ('アイテム別限界値DB'!$B:$B = AM$10) * 
        ('アイテム別限界値DB'!$F:$F = AM18) * 
        ('アイテム別限界値DB'!$H:$H = AN18), 
        0
      )
    ), 
    "再製作"
  )
)
</f>
        <v/>
      </c>
      <c r="AP18" s="218" t="str">
        <f t="array" ref="AP18">IF(
  AN18 = 0, 
  "", 
  IFERROR(
    INDEX(
      'アイテム別限界値DB'!$L:$L, 
      MATCH(
        1, 
        ('アイテム別限界値DB'!$B:$B = AM$10) * 
        ('アイテム別限界値DB'!$C:$C = AM18) * 
        ('アイテム別限界値DB'!$F:$F = AN18), 
        0
      )
    ), 
    ""
  )
)
</f>
        <v/>
      </c>
      <c r="AQ18" s="11"/>
      <c r="AR18" s="224" t="s">
        <v>71</v>
      </c>
      <c r="AS18" s="232"/>
      <c r="AT18" s="231" t="str">
        <f t="array" ref="AT18">IF(
  AS18 = 0, 
  "", 
  IFERROR(
    INDEX(
      'アイテム別限界値DB'!$K:$K, 
      MATCH(
        1, 
        ('アイテム別限界値DB'!$B:$B = AR$10) * 
        ('アイテム別限界値DB'!$F:$F = AR18) * 
        ('アイテム別限界値DB'!$H:$H = AS18), 
        0
      )
    ), 
    "再製作"
  )
)
</f>
        <v/>
      </c>
      <c r="AU18" s="218" t="str">
        <f t="array" ref="AU18">IF(
  AS18 = 0, 
  "", 
  IFERROR(
    INDEX(
      'アイテム別限界値DB'!$L:$L, 
      MATCH(
        1, 
        ('アイテム別限界値DB'!$B:$B = AR$10) * 
        ('アイテム別限界値DB'!$C:$C = AR18) * 
        ('アイテム別限界値DB'!$F:$F = AS18), 
        0
      )
    ), 
    ""
  )
)
</f>
        <v/>
      </c>
      <c r="AV18" s="121"/>
      <c r="AW18" s="224" t="s">
        <v>71</v>
      </c>
      <c r="AX18" s="232"/>
      <c r="AY18" s="231" t="str">
        <f t="array" ref="AY18">IF(
  AX18 = 0, 
  "", 
  IFERROR(
    INDEX(
      'アイテム別限界値DB'!$K:$K, 
      MATCH(
        1, 
        ('アイテム別限界値DB'!$B:$B = AW$10) * 
        ('アイテム別限界値DB'!$F:$F = AW18) * 
        ('アイテム別限界値DB'!$H:$H = AX18), 
        0
      )
    ), 
    "再製作"
  )
)
</f>
        <v/>
      </c>
      <c r="AZ18" s="218" t="str">
        <f t="array" ref="AZ18">IF(
  AX18 = 0, 
  "", 
  IFERROR(
    INDEX(
      'アイテム別限界値DB'!$L:$L, 
      MATCH(
        1, 
        ('アイテム別限界値DB'!$B:$B = AW$10) * 
        ('アイテム別限界値DB'!$C:$C = AW18) * 
        ('アイテム別限界値DB'!$F:$F = AX18), 
        0
      )
    ), 
    ""
  )
)
</f>
        <v/>
      </c>
      <c r="BA18" s="121"/>
      <c r="BB18" s="224" t="s">
        <v>71</v>
      </c>
      <c r="BC18" s="232"/>
      <c r="BD18" s="231" t="str">
        <f t="array" ref="BD18">IF(
  BC18 = 0, 
  "", 
  IFERROR(
    INDEX(
      'アイテム別限界値DB'!$K:$K, 
      MATCH(
        1, 
        ('アイテム別限界値DB'!$B:$B = BB$10) * 
        ('アイテム別限界値DB'!$F:$F = BB18) * 
        ('アイテム別限界値DB'!$H:$H = BC18), 
        0
      )
    ), 
    "再製作"
  )
)
</f>
        <v/>
      </c>
      <c r="BE18" s="218" t="str">
        <f t="array" ref="BE18">IF(
  BC18 = 0, 
  "", 
  IFERROR(
    INDEX(
      'アイテム別限界値DB'!$L:$L, 
      MATCH(
        1, 
        ('アイテム別限界値DB'!$B:$B = BB$10) * 
        ('アイテム別限界値DB'!$C:$C = BB18) * 
        ('アイテム別限界値DB'!$F:$F = BC18), 
        0
      )
    ), 
    ""
  )
)
</f>
        <v/>
      </c>
      <c r="BF18" s="121"/>
      <c r="BG18" s="224" t="s">
        <v>71</v>
      </c>
      <c r="BH18" s="232"/>
      <c r="BI18" s="231" t="str">
        <f t="array" ref="BI18">IF(
  BH18 = 0, 
  "", 
  IFERROR(
    INDEX(
      'アイテム別限界値DB'!$K:$K, 
      MATCH(
        1, 
        ('アイテム別限界値DB'!$B:$B = BG$10) * 
        ('アイテム別限界値DB'!$F:$F = BG18) * 
        ('アイテム別限界値DB'!$H:$H = BH18), 
        0
      )
    ), 
    "再製作"
  )
)
</f>
        <v/>
      </c>
      <c r="BJ18" s="218" t="str">
        <f t="array" ref="BJ18">IF(
  BH18 = 0, 
  "", 
  IFERROR(
    INDEX(
      'アイテム別限界値DB'!$L:$L, 
      MATCH(
        1, 
        ('アイテム別限界値DB'!$B:$B = BG$10) * 
        ('アイテム別限界値DB'!$C:$C = BG18) * 
        ('アイテム別限界値DB'!$F:$F = BH18), 
        0
      )
    ), 
    ""
  )
)
</f>
        <v/>
      </c>
      <c r="BK18" s="121"/>
      <c r="BL18" s="224" t="s">
        <v>69</v>
      </c>
      <c r="BM18" s="232"/>
      <c r="BN18" s="231" t="str">
        <f t="array" ref="BN18">IF(
  BM18 = 0, 
  "", 
  IFERROR(
    INDEX(
      'アイテム別限界値DB'!$K:$K, 
      MATCH(
        1, 
        ('アイテム別限界値DB'!$B:$B = BL$10) * 
        ('アイテム別限界値DB'!$F:$F = BL18) * 
        ('アイテム別限界値DB'!$H:$H = BM18), 
        0
      )
    ), 
    "再製作"
  )
)
</f>
        <v/>
      </c>
      <c r="BO18" s="218" t="str">
        <f t="array" ref="BO18">IF(
  BM18 = 0, 
  "", 
  IFERROR(
    INDEX(
      'アイテム別限界値DB'!$L:$L, 
      MATCH(
        1, 
        ('アイテム別限界値DB'!$B:$B = BL$10) * 
        ('アイテム別限界値DB'!$C:$C = BL18) * 
        ('アイテム別限界値DB'!$F:$F = BM18), 
        0
      )
    ), 
    ""
  )
)
</f>
        <v/>
      </c>
      <c r="BP18" s="195"/>
    </row>
    <row r="19" ht="18.75" customHeight="1">
      <c r="A19" s="228" t="str">
        <f>IF($I$11 ="再製作", "◼︎ パンツ（対応着地：再製作）"　&amp; char(10) &amp; "《修正数値》", IF($I$11 &lt;&gt; "", "◼︎ パンツ（対応着地：お直し）"　&amp; char(10) &amp; "《修正数値》", ""))</f>
        <v>◼︎ パンツ（対応着地：再製作）
《修正数値》</v>
      </c>
      <c r="B19" s="224"/>
      <c r="C19" s="224"/>
      <c r="D19" s="238" t="s">
        <v>72</v>
      </c>
      <c r="E19" s="232"/>
      <c r="F19" s="231" t="str">
        <f t="array" ref="F19">IF(
  E19 = 0, 
  "", 
  IFERROR(
    INDEX(
      'アイテム別限界値DB'!$K:$K, 
      MATCH(
        1, 
        ('アイテム別限界値DB'!$B:$B = D$10) * 
        ('アイテム別限界値DB'!$F:$F = D19) * 
        ('アイテム別限界値DB'!$H:$H = E19), 
        0
      )
    ), 
    "再製作"
  )
)
</f>
        <v/>
      </c>
      <c r="G19" s="218" t="str">
        <f t="array" ref="G19">IF(
  E19 = 0, 
  "", 
  IFERROR(
    INDEX(
      'アイテム別限界値DB'!$L:$L, 
      MATCH(
        1, 
        ('アイテム別限界値DB'!$B:$B = D$10) * 
        ('アイテム別限界値DB'!$C:$C = D19) * 
        ('アイテム別限界値DB'!$F:$F = E19), 
        0
      )
    ), 
    ""
  )
)
</f>
        <v/>
      </c>
      <c r="H19" s="12"/>
      <c r="I19" s="238" t="s">
        <v>73</v>
      </c>
      <c r="J19" s="232"/>
      <c r="K19" s="231" t="str">
        <f t="array" ref="K19">IF(
  J19 = 0, 
  "", 
  IFERROR(
    INDEX(
      'アイテム別限界値DB'!$K:$K, 
      MATCH(
        1, 
        ('アイテム別限界値DB'!$B:$B = I$10) * 
        ('アイテム別限界値DB'!$F:$F = I19) * 
        ('アイテム別限界値DB'!$H:$H = J19), 
        0
      )
    ), 
    "再製作"
  )
)
</f>
        <v/>
      </c>
      <c r="L19" s="218" t="str">
        <f t="array" ref="L19">IF(
  J19 = 0, 
  "", 
  IFERROR(
    INDEX(
      'アイテム別限界値DB'!$L:$L, 
      MATCH(
        1, 
        ('アイテム別限界値DB'!$B:$B = I$10) * 
        ('アイテム別限界値DB'!$C:$C = I19) * 
        ('アイテム別限界値DB'!$F:$F = J19), 
        0
      )
    ), 
    ""
  )
)
</f>
        <v/>
      </c>
      <c r="M19" s="12"/>
      <c r="N19" s="238" t="s">
        <v>74</v>
      </c>
      <c r="O19" s="232"/>
      <c r="P19" s="231" t="str">
        <f t="array" ref="P19">IF(
  O19 = 0, 
  "", 
  IFERROR(
    INDEX(
      'アイテム別限界値DB'!$K:$K, 
      MATCH(
        1, 
        ('アイテム別限界値DB'!$B:$B = N$10) * 
        ('アイテム別限界値DB'!$F:$F = N19) * 
        ('アイテム別限界値DB'!$H:$H = O19), 
        0
      )
    ), 
    "再製作"
  )
)
</f>
        <v/>
      </c>
      <c r="Q19" s="218" t="str">
        <f t="array" ref="Q19">IF(
  O19 = 0, 
  "", 
  IFERROR(
    INDEX(
      'アイテム別限界値DB'!$L:$L, 
      MATCH(
        1, 
        ('アイテム別限界値DB'!$B:$B = N$10) * 
        ('アイテム別限界値DB'!$C:$C = N19) * 
        ('アイテム別限界値DB'!$F:$F = O19), 
        0
      )
    ), 
    ""
  )
)
</f>
        <v/>
      </c>
      <c r="R19" s="11"/>
      <c r="S19" s="238" t="s">
        <v>75</v>
      </c>
      <c r="T19" s="232"/>
      <c r="U19" s="231" t="str">
        <f t="array" ref="U19">IF(
  T19 = 0, 
  "", 
  IFERROR(
    INDEX(
      'アイテム別限界値DB'!$K:$K, 
      MATCH(
        1, 
        ('アイテム別限界値DB'!$B:$B = S$10) * 
        ('アイテム別限界値DB'!$F:$F = S19) * 
        ('アイテム別限界値DB'!$H:$H = T19), 
        0
      )
    ), 
    "再製作"
  )
)
</f>
        <v/>
      </c>
      <c r="V19" s="218" t="str">
        <f t="array" ref="V19">IF(
  T19 = 0, 
  "", 
  IFERROR(
    INDEX(
      'アイテム別限界値DB'!$L:$L, 
      MATCH(
        1, 
        ('アイテム別限界値DB'!$B:$B = S$10) * 
        ('アイテム別限界値DB'!$C:$C = S19) * 
        ('アイテム別限界値DB'!$F:$F = T19), 
        0
      )
    ), 
    ""
  )
)
</f>
        <v/>
      </c>
      <c r="W19" s="11"/>
      <c r="X19" s="238" t="s">
        <v>69</v>
      </c>
      <c r="Y19" s="230"/>
      <c r="Z19" s="231" t="str">
        <f t="array" ref="Z19">IF(
  Y19 = 0, 
  "", 
  IFERROR(
    INDEX(
      'アイテム別限界値DB'!$K:$K, 
      MATCH(
        1, 
        ('アイテム別限界値DB'!$B:$B = X$10) * 
        ('アイテム別限界値DB'!$F:$F = X19) * 
        ('アイテム別限界値DB'!$H:$H = Y19), 
        0
      )
    ), 
    "再製作"
  )
)
</f>
        <v/>
      </c>
      <c r="AA19" s="218" t="str">
        <f t="array" ref="AA19">IF(
  Y19 = 0, 
  "", 
  IFERROR(
    INDEX(
      'アイテム別限界値DB'!$L:$L, 
      MATCH(
        1, 
        ('アイテム別限界値DB'!$B:$B = X$10) * 
        ('アイテム別限界値DB'!$C:$C = X19) * 
        ('アイテム別限界値DB'!$F:$F = Y19), 
        0
      )
    ), 
    ""
  )
)
</f>
        <v/>
      </c>
      <c r="AB19" s="11"/>
      <c r="AC19" s="238" t="s">
        <v>76</v>
      </c>
      <c r="AD19" s="232"/>
      <c r="AE19" s="231" t="str">
        <f t="array" ref="AE19">IF(
  AD19 = 0, 
  "", 
  IFERROR(
    INDEX(
      'アイテム別限界値DB'!$K:$K, 
      MATCH(
        1, 
        ('アイテム別限界値DB'!$B:$B = AC$10) * 
        ('アイテム別限界値DB'!$F:$F = AC19) * 
        ('アイテム別限界値DB'!$H:$H = AD19), 
        0
      )
    ), 
    "再製作"
  )
)
</f>
        <v/>
      </c>
      <c r="AF19" s="218" t="str">
        <f t="array" ref="AF19">IF(
  AD19 = 0, 
  "", 
  IFERROR(
    INDEX(
      'アイテム別限界値DB'!$L:$L, 
      MATCH(
        1, 
        ('アイテム別限界値DB'!$B:$B = AC$10) * 
        ('アイテム別限界値DB'!$C:$C = AC19) * 
        ('アイテム別限界値DB'!$F:$F = AD19), 
        0
      )
    ), 
    ""
  )
)
</f>
        <v/>
      </c>
      <c r="AG19" s="11"/>
      <c r="AH19" s="238" t="s">
        <v>71</v>
      </c>
      <c r="AI19" s="232"/>
      <c r="AJ19" s="231" t="str">
        <f t="array" ref="AJ19">IF(
  AI19 = 0, 
  "", 
  IFERROR(
    INDEX(
      'アイテム別限界値DB'!$K:$K, 
      MATCH(
        1, 
        ('アイテム別限界値DB'!$B:$B = AH$10) * 
        ('アイテム別限界値DB'!$F:$F = AH19) * 
        ('アイテム別限界値DB'!$H:$H = AI19), 
        0
      )
    ), 
    "再製作"
  )
)
</f>
        <v/>
      </c>
      <c r="AK19" s="218" t="str">
        <f t="array" ref="AK19">IF(
  AI19 = 0, 
  "", 
  IFERROR(
    INDEX(
      'アイテム別限界値DB'!$L:$L, 
      MATCH(
        1, 
        ('アイテム別限界値DB'!$B:$B = AH$10) * 
        ('アイテム別限界値DB'!$C:$C = AH19) * 
        ('アイテム別限界値DB'!$F:$F = AI19), 
        0
      )
    ), 
    ""
  )
)
</f>
        <v/>
      </c>
      <c r="AL19" s="11"/>
      <c r="AM19" s="238" t="s">
        <v>62</v>
      </c>
      <c r="AN19" s="232"/>
      <c r="AO19" s="231" t="str">
        <f t="array" ref="AO19">IF(
  AN19 = 0, 
  "", 
  IFERROR(
    INDEX(
      'アイテム別限界値DB'!$K:$K, 
      MATCH(
        1, 
        ('アイテム別限界値DB'!$B:$B = AM$10) * 
        ('アイテム別限界値DB'!$F:$F = AM19) * 
        ('アイテム別限界値DB'!$H:$H = AN19), 
        0
      )
    ), 
    "再製作"
  )
)
</f>
        <v/>
      </c>
      <c r="AP19" s="218" t="str">
        <f t="array" ref="AP19">IF(
  AN19 = 0, 
  "", 
  IFERROR(
    INDEX(
      'アイテム別限界値DB'!$L:$L, 
      MATCH(
        1, 
        ('アイテム別限界値DB'!$B:$B = AM$10) * 
        ('アイテム別限界値DB'!$C:$C = AM19) * 
        ('アイテム別限界値DB'!$F:$F = AN19), 
        0
      )
    ), 
    ""
  )
)
</f>
        <v/>
      </c>
      <c r="AQ19" s="11"/>
      <c r="AR19" s="238" t="s">
        <v>62</v>
      </c>
      <c r="AS19" s="232"/>
      <c r="AT19" s="231" t="str">
        <f t="array" ref="AT19">IF(
  AS19 = 0, 
  "", 
  IFERROR(
    INDEX(
      'アイテム別限界値DB'!$K:$K, 
      MATCH(
        1, 
        ('アイテム別限界値DB'!$B:$B = AR$10) * 
        ('アイテム別限界値DB'!$F:$F = AR19) * 
        ('アイテム別限界値DB'!$H:$H = AS19), 
        0
      )
    ), 
    "再製作"
  )
)
</f>
        <v/>
      </c>
      <c r="AU19" s="218" t="str">
        <f t="array" ref="AU19">IF(
  AS19 = 0, 
  "", 
  IFERROR(
    INDEX(
      'アイテム別限界値DB'!$L:$L, 
      MATCH(
        1, 
        ('アイテム別限界値DB'!$B:$B = AR$10) * 
        ('アイテム別限界値DB'!$C:$C = AR19) * 
        ('アイテム別限界値DB'!$F:$F = AS19), 
        0
      )
    ), 
    ""
  )
)
</f>
        <v/>
      </c>
      <c r="AV19" s="121"/>
      <c r="AW19" s="224" t="s">
        <v>62</v>
      </c>
      <c r="AX19" s="232"/>
      <c r="AY19" s="231" t="str">
        <f t="array" ref="AY19">IF(
  AX19 = 0, 
  "", 
  IFERROR(
    INDEX(
      'アイテム別限界値DB'!$K:$K, 
      MATCH(
        1, 
        ('アイテム別限界値DB'!$B:$B = AW$10) * 
        ('アイテム別限界値DB'!$F:$F = AW19) * 
        ('アイテム別限界値DB'!$H:$H = AX19), 
        0
      )
    ), 
    "再製作"
  )
)
</f>
        <v/>
      </c>
      <c r="AZ19" s="218" t="str">
        <f t="array" ref="AZ19">IF(
  AX19 = 0, 
  "", 
  IFERROR(
    INDEX(
      'アイテム別限界値DB'!$L:$L, 
      MATCH(
        1, 
        ('アイテム別限界値DB'!$B:$B = AW$10) * 
        ('アイテム別限界値DB'!$C:$C = AW19) * 
        ('アイテム別限界値DB'!$F:$F = AX19), 
        0
      )
    ), 
    ""
  )
)
</f>
        <v/>
      </c>
      <c r="BA19" s="121"/>
      <c r="BB19" s="224" t="s">
        <v>62</v>
      </c>
      <c r="BC19" s="232"/>
      <c r="BD19" s="231" t="str">
        <f t="array" ref="BD19">IF(
  BC19 = 0, 
  "", 
  IFERROR(
    INDEX(
      'アイテム別限界値DB'!$K:$K, 
      MATCH(
        1, 
        ('アイテム別限界値DB'!$B:$B = BB$10) * 
        ('アイテム別限界値DB'!$F:$F = BB19) * 
        ('アイテム別限界値DB'!$H:$H = BC19), 
        0
      )
    ), 
    "再製作"
  )
)
</f>
        <v/>
      </c>
      <c r="BE19" s="218" t="str">
        <f t="array" ref="BE19">IF(
  BC19 = 0, 
  "", 
  IFERROR(
    INDEX(
      'アイテム別限界値DB'!$L:$L, 
      MATCH(
        1, 
        ('アイテム別限界値DB'!$B:$B = BB$10) * 
        ('アイテム別限界値DB'!$C:$C = BB19) * 
        ('アイテム別限界値DB'!$F:$F = BC19), 
        0
      )
    ), 
    ""
  )
)
</f>
        <v/>
      </c>
      <c r="BF19" s="121"/>
      <c r="BG19" s="224" t="s">
        <v>62</v>
      </c>
      <c r="BH19" s="232"/>
      <c r="BI19" s="231" t="str">
        <f t="array" ref="BI19">IF(
  BH19 = 0, 
  "", 
  IFERROR(
    INDEX(
      'アイテム別限界値DB'!$K:$K, 
      MATCH(
        1, 
        ('アイテム別限界値DB'!$B:$B = BG$10) * 
        ('アイテム別限界値DB'!$F:$F = BG19) * 
        ('アイテム別限界値DB'!$H:$H = BH19), 
        0
      )
    ), 
    "再製作"
  )
)
</f>
        <v/>
      </c>
      <c r="BJ19" s="218" t="str">
        <f t="array" ref="BJ19">IF(
  BH19 = 0, 
  "", 
  IFERROR(
    INDEX(
      'アイテム別限界値DB'!$L:$L, 
      MATCH(
        1, 
        ('アイテム別限界値DB'!$B:$B = BG$10) * 
        ('アイテム別限界値DB'!$C:$C = BG19) * 
        ('アイテム別限界値DB'!$F:$F = BH19), 
        0
      )
    ), 
    ""
  )
)
</f>
        <v/>
      </c>
      <c r="BK19" s="121"/>
      <c r="BL19" s="224" t="s">
        <v>76</v>
      </c>
      <c r="BM19" s="232"/>
      <c r="BN19" s="231" t="str">
        <f t="array" ref="BN19">IF(
  BM19 = 0, 
  "", 
  IFERROR(
    INDEX(
      'アイテム別限界値DB'!$K:$K, 
      MATCH(
        1, 
        ('アイテム別限界値DB'!$B:$B = BL$10) * 
        ('アイテム別限界値DB'!$F:$F = BL19) * 
        ('アイテム別限界値DB'!$H:$H = BM19), 
        0
      )
    ), 
    "再製作"
  )
)
</f>
        <v/>
      </c>
      <c r="BO19" s="218" t="str">
        <f t="array" ref="BO19">IF(
  BM19 = 0, 
  "", 
  IFERROR(
    INDEX(
      'アイテム別限界値DB'!$L:$L, 
      MATCH(
        1, 
        ('アイテム別限界値DB'!$B:$B = BL$10) * 
        ('アイテム別限界値DB'!$C:$C = BL19) * 
        ('アイテム別限界値DB'!$F:$F = BM19), 
        0
      )
    ), 
    ""
  )
)
</f>
        <v/>
      </c>
      <c r="BP19" s="195"/>
    </row>
    <row r="20" ht="18.75" customHeight="1">
      <c r="A20" s="228" t="str">
        <f>IFERROR(__xludf.DUMMYFUNCTION("TEXTJOIN(CHAR(10),TRUE,FILTER(ARRAYFORMULA(IF(J$14:J72&lt;&gt;"""", I$14:I72 &amp;"" : ""&amp; J$14:J72 &amp;"" cm"","""")), I$14:I72 &lt;&gt;""""))"),"パンツウエスト : -2 cm
股上 : 2 cm
股下 / ダブル(3.5cm以下) : 5 cm")</f>
        <v>パンツウエスト : -2 cm
股上 : 2 cm
股下 / ダブル(3.5cm以下) : 5 cm</v>
      </c>
      <c r="B20" s="229"/>
      <c r="C20" s="224"/>
      <c r="D20" s="238" t="s">
        <v>77</v>
      </c>
      <c r="E20" s="230"/>
      <c r="F20" s="231" t="str">
        <f t="array" ref="F20">IF(
  E20 = 0, 
  "", 
  IFERROR(
    INDEX(
      'アイテム別限界値DB'!$K:$K, 
      MATCH(
        1, 
        ('アイテム別限界値DB'!$B:$B = D$10) * 
        ('アイテム別限界値DB'!$F:$F = D20) * 
        ('アイテム別限界値DB'!$H:$H = E20), 
        0
      )
    ), 
    "再製作"
  )
)
</f>
        <v/>
      </c>
      <c r="G20" s="218" t="str">
        <f t="array" ref="G20">IF(
  E20 = 0, 
  "", 
  IFERROR(
    INDEX(
      'アイテム別限界値DB'!$L:$L, 
      MATCH(
        1, 
        ('アイテム別限界値DB'!$B:$B = D$10) * 
        ('アイテム別限界値DB'!$C:$C = D20) * 
        ('アイテム別限界値DB'!$F:$F = E20), 
        0
      )
    ), 
    ""
  )
)
</f>
        <v/>
      </c>
      <c r="H20" s="12"/>
      <c r="I20" s="238" t="s">
        <v>78</v>
      </c>
      <c r="J20" s="230"/>
      <c r="K20" s="231" t="str">
        <f t="array" ref="K20">IF(
  J20 = 0, 
  "", 
  IFERROR(
    INDEX(
      'アイテム別限界値DB'!$K:$K, 
      MATCH(
        1, 
        ('アイテム別限界値DB'!$B:$B = I$10) * 
        ('アイテム別限界値DB'!$F:$F = I20) * 
        ('アイテム別限界値DB'!$H:$H = J20), 
        0
      )
    ), 
    "再製作"
  )
)
</f>
        <v/>
      </c>
      <c r="L20" s="218" t="str">
        <f t="array" ref="L20">IF(
  J20 = 0, 
  "", 
  IFERROR(
    INDEX(
      'アイテム別限界値DB'!$L:$L, 
      MATCH(
        1, 
        ('アイテム別限界値DB'!$B:$B = I$10) * 
        ('アイテム別限界値DB'!$C:$C = I20) * 
        ('アイテム別限界値DB'!$F:$F = J20), 
        0
      )
    ), 
    ""
  )
)
</f>
        <v/>
      </c>
      <c r="M20" s="12"/>
      <c r="N20" s="238" t="s">
        <v>79</v>
      </c>
      <c r="O20" s="232"/>
      <c r="P20" s="231" t="str">
        <f t="array" ref="P20">IF(
  O20 = 0, 
  "", 
  IFERROR(
    INDEX(
      'アイテム別限界値DB'!$K:$K, 
      MATCH(
        1, 
        ('アイテム別限界値DB'!$B:$B = N$10) * 
        ('アイテム別限界値DB'!$F:$F = N20) * 
        ('アイテム別限界値DB'!$H:$H = O20), 
        0
      )
    ), 
    "再製作"
  )
)
</f>
        <v/>
      </c>
      <c r="Q20" s="218" t="str">
        <f t="array" ref="Q20">IF(
  O20 = 0, 
  "", 
  IFERROR(
    INDEX(
      'アイテム別限界値DB'!$L:$L, 
      MATCH(
        1, 
        ('アイテム別限界値DB'!$B:$B = N$10) * 
        ('アイテム別限界値DB'!$C:$C = N20) * 
        ('アイテム別限界値DB'!$F:$F = O20), 
        0
      )
    ), 
    ""
  )
)
</f>
        <v/>
      </c>
      <c r="R20" s="11"/>
      <c r="S20" s="238" t="s">
        <v>78</v>
      </c>
      <c r="T20" s="232"/>
      <c r="U20" s="231" t="str">
        <f t="array" ref="U20">IF(
  T20 = 0, 
  "", 
  IFERROR(
    INDEX(
      'アイテム別限界値DB'!$K:$K, 
      MATCH(
        1, 
        ('アイテム別限界値DB'!$B:$B = S$10) * 
        ('アイテム別限界値DB'!$F:$F = S20) * 
        ('アイテム別限界値DB'!$H:$H = T20), 
        0
      )
    ), 
    "再製作"
  )
)
</f>
        <v/>
      </c>
      <c r="V20" s="218" t="str">
        <f t="array" ref="V20">IF(
  T20 = 0, 
  "", 
  IFERROR(
    INDEX(
      'アイテム別限界値DB'!$L:$L, 
      MATCH(
        1, 
        ('アイテム別限界値DB'!$B:$B = S$10) * 
        ('アイテム別限界値DB'!$C:$C = S20) * 
        ('アイテム別限界値DB'!$F:$F = T20), 
        0
      )
    ), 
    ""
  )
)
</f>
        <v/>
      </c>
      <c r="W20" s="11"/>
      <c r="X20" s="238" t="s">
        <v>76</v>
      </c>
      <c r="Y20" s="232"/>
      <c r="Z20" s="231" t="str">
        <f t="array" ref="Z20">IF(
  Y20 = 0, 
  "", 
  IFERROR(
    INDEX(
      'アイテム別限界値DB'!$K:$K, 
      MATCH(
        1, 
        ('アイテム別限界値DB'!$B:$B = X$10) * 
        ('アイテム別限界値DB'!$F:$F = X20) * 
        ('アイテム別限界値DB'!$H:$H = Y20), 
        0
      )
    ), 
    "再製作"
  )
)
</f>
        <v/>
      </c>
      <c r="AA20" s="218" t="str">
        <f t="array" ref="AA20">IF(
  Y20 = 0, 
  "", 
  IFERROR(
    INDEX(
      'アイテム別限界値DB'!$L:$L, 
      MATCH(
        1, 
        ('アイテム別限界値DB'!$B:$B = X$10) * 
        ('アイテム別限界値DB'!$C:$C = X20) * 
        ('アイテム別限界値DB'!$F:$F = Y20), 
        0
      )
    ), 
    ""
  )
)
</f>
        <v/>
      </c>
      <c r="AB20" s="11"/>
      <c r="AC20" s="238" t="s">
        <v>80</v>
      </c>
      <c r="AD20" s="232"/>
      <c r="AE20" s="231" t="str">
        <f t="array" ref="AE20">IF(
  AD20 = 0, 
  "", 
  IFERROR(
    INDEX(
      'アイテム別限界値DB'!$K:$K, 
      MATCH(
        1, 
        ('アイテム別限界値DB'!$B:$B = AC$10) * 
        ('アイテム別限界値DB'!$F:$F = AC20) * 
        ('アイテム別限界値DB'!$H:$H = AD20), 
        0
      )
    ), 
    "再製作"
  )
)
</f>
        <v/>
      </c>
      <c r="AF20" s="218" t="str">
        <f t="array" ref="AF20">IF(
  AD20 = 0, 
  "", 
  IFERROR(
    INDEX(
      'アイテム別限界値DB'!$L:$L, 
      MATCH(
        1, 
        ('アイテム別限界値DB'!$B:$B = AC$10) * 
        ('アイテム別限界値DB'!$C:$C = AC20) * 
        ('アイテム別限界値DB'!$F:$F = AD20), 
        0
      )
    ), 
    ""
  )
)
</f>
        <v/>
      </c>
      <c r="AG20" s="11"/>
      <c r="AH20" s="224" t="s">
        <v>62</v>
      </c>
      <c r="AI20" s="232"/>
      <c r="AJ20" s="231" t="str">
        <f t="array" ref="AJ20">IF(
  AI20 = 0, 
  "", 
  IFERROR(
    INDEX(
      'アイテム別限界値DB'!$K:$K, 
      MATCH(
        1, 
        ('アイテム別限界値DB'!$B:$B = AH$10) * 
        ('アイテム別限界値DB'!$F:$F = AH20) * 
        ('アイテム別限界値DB'!$H:$H = AI20), 
        0
      )
    ), 
    "再製作"
  )
)
</f>
        <v/>
      </c>
      <c r="AK20" s="218" t="str">
        <f t="array" ref="AK20">IF(
  AI20 = 0, 
  "", 
  IFERROR(
    INDEX(
      'アイテム別限界値DB'!$L:$L, 
      MATCH(
        1, 
        ('アイテム別限界値DB'!$B:$B = AH$10) * 
        ('アイテム別限界値DB'!$C:$C = AH20) * 
        ('アイテム別限界値DB'!$F:$F = AI20), 
        0
      )
    ), 
    ""
  )
)
</f>
        <v/>
      </c>
      <c r="AL20" s="11"/>
      <c r="AM20" s="224" t="s">
        <v>70</v>
      </c>
      <c r="AN20" s="232"/>
      <c r="AO20" s="231" t="str">
        <f t="array" ref="AO20">IF(
  AN20 = 0, 
  "", 
  IFERROR(
    INDEX(
      'アイテム別限界値DB'!$K:$K, 
      MATCH(
        1, 
        ('アイテム別限界値DB'!$B:$B = AM$10) * 
        ('アイテム別限界値DB'!$F:$F = AM20) * 
        ('アイテム別限界値DB'!$H:$H = AN20), 
        0
      )
    ), 
    "再製作"
  )
)
</f>
        <v/>
      </c>
      <c r="AP20" s="218" t="str">
        <f t="array" ref="AP20">IF(
  AN20 = 0, 
  "", 
  IFERROR(
    INDEX(
      'アイテム別限界値DB'!$L:$L, 
      MATCH(
        1, 
        ('アイテム別限界値DB'!$B:$B = AM$10) * 
        ('アイテム別限界値DB'!$C:$C = AM20) * 
        ('アイテム別限界値DB'!$F:$F = AN20), 
        0
      )
    ), 
    ""
  )
)
</f>
        <v/>
      </c>
      <c r="AQ20" s="11"/>
      <c r="AR20" s="224" t="s">
        <v>70</v>
      </c>
      <c r="AS20" s="232"/>
      <c r="AT20" s="231" t="str">
        <f t="array" ref="AT20">IF(
  AS20 = 0, 
  "", 
  IFERROR(
    INDEX(
      'アイテム別限界値DB'!$K:$K, 
      MATCH(
        1, 
        ('アイテム別限界値DB'!$B:$B = AR$10) * 
        ('アイテム別限界値DB'!$F:$F = AR20) * 
        ('アイテム別限界値DB'!$H:$H = AS20), 
        0
      )
    ), 
    "再製作"
  )
)
</f>
        <v/>
      </c>
      <c r="AU20" s="218" t="str">
        <f t="array" ref="AU20">IF(
  AS20 = 0, 
  "", 
  IFERROR(
    INDEX(
      'アイテム別限界値DB'!$L:$L, 
      MATCH(
        1, 
        ('アイテム別限界値DB'!$B:$B = AR$10) * 
        ('アイテム別限界値DB'!$C:$C = AR20) * 
        ('アイテム別限界値DB'!$F:$F = AS20), 
        0
      )
    ), 
    ""
  )
)
</f>
        <v/>
      </c>
      <c r="AV20" s="121"/>
      <c r="AW20" s="224" t="s">
        <v>70</v>
      </c>
      <c r="AX20" s="232"/>
      <c r="AY20" s="231" t="str">
        <f t="array" ref="AY20">IF(
  AX20 = 0, 
  "", 
  IFERROR(
    INDEX(
      'アイテム別限界値DB'!$K:$K, 
      MATCH(
        1, 
        ('アイテム別限界値DB'!$B:$B = AW$10) * 
        ('アイテム別限界値DB'!$F:$F = AW20) * 
        ('アイテム別限界値DB'!$H:$H = AX20), 
        0
      )
    ), 
    "再製作"
  )
)
</f>
        <v/>
      </c>
      <c r="AZ20" s="218" t="str">
        <f t="array" ref="AZ20">IF(
  AX20 = 0, 
  "", 
  IFERROR(
    INDEX(
      'アイテム別限界値DB'!$L:$L, 
      MATCH(
        1, 
        ('アイテム別限界値DB'!$B:$B = AW$10) * 
        ('アイテム別限界値DB'!$C:$C = AW20) * 
        ('アイテム別限界値DB'!$F:$F = AX20), 
        0
      )
    ), 
    ""
  )
)
</f>
        <v/>
      </c>
      <c r="BA20" s="121"/>
      <c r="BB20" s="224" t="s">
        <v>70</v>
      </c>
      <c r="BC20" s="232"/>
      <c r="BD20" s="231" t="str">
        <f t="array" ref="BD20">IF(
  BC20 = 0, 
  "", 
  IFERROR(
    INDEX(
      'アイテム別限界値DB'!$K:$K, 
      MATCH(
        1, 
        ('アイテム別限界値DB'!$B:$B = BB$10) * 
        ('アイテム別限界値DB'!$F:$F = BB20) * 
        ('アイテム別限界値DB'!$H:$H = BC20), 
        0
      )
    ), 
    "再製作"
  )
)
</f>
        <v/>
      </c>
      <c r="BE20" s="218" t="str">
        <f t="array" ref="BE20">IF(
  BC20 = 0, 
  "", 
  IFERROR(
    INDEX(
      'アイテム別限界値DB'!$L:$L, 
      MATCH(
        1, 
        ('アイテム別限界値DB'!$B:$B = BB$10) * 
        ('アイテム別限界値DB'!$C:$C = BB20) * 
        ('アイテム別限界値DB'!$F:$F = BC20), 
        0
      )
    ), 
    ""
  )
)
</f>
        <v/>
      </c>
      <c r="BF20" s="121"/>
      <c r="BG20" s="224" t="s">
        <v>70</v>
      </c>
      <c r="BH20" s="232"/>
      <c r="BI20" s="231" t="str">
        <f t="array" ref="BI20">IF(
  BH20 = 0, 
  "", 
  IFERROR(
    INDEX(
      'アイテム別限界値DB'!$K:$K, 
      MATCH(
        1, 
        ('アイテム別限界値DB'!$B:$B = BG$10) * 
        ('アイテム別限界値DB'!$F:$F = BG20) * 
        ('アイテム別限界値DB'!$H:$H = BH20), 
        0
      )
    ), 
    "再製作"
  )
)
</f>
        <v/>
      </c>
      <c r="BJ20" s="218" t="str">
        <f t="array" ref="BJ20">IF(
  BH20 = 0, 
  "", 
  IFERROR(
    INDEX(
      'アイテム別限界値DB'!$L:$L, 
      MATCH(
        1, 
        ('アイテム別限界値DB'!$B:$B = BG$10) * 
        ('アイテム別限界値DB'!$C:$C = BG20) * 
        ('アイテム別限界値DB'!$F:$F = BH20), 
        0
      )
    ), 
    ""
  )
)
</f>
        <v/>
      </c>
      <c r="BK20" s="121"/>
      <c r="BL20" s="224" t="s">
        <v>80</v>
      </c>
      <c r="BM20" s="232"/>
      <c r="BN20" s="231" t="str">
        <f t="array" ref="BN20">IF(
  BM20 = 0, 
  "", 
  IFERROR(
    INDEX(
      'アイテム別限界値DB'!$K:$K, 
      MATCH(
        1, 
        ('アイテム別限界値DB'!$B:$B = BL$10) * 
        ('アイテム別限界値DB'!$F:$F = BL20) * 
        ('アイテム別限界値DB'!$H:$H = BM20), 
        0
      )
    ), 
    "再製作"
  )
)
</f>
        <v/>
      </c>
      <c r="BO20" s="218" t="str">
        <f t="array" ref="BO20">IF(
  BM20 = 0, 
  "", 
  IFERROR(
    INDEX(
      'アイテム別限界値DB'!$L:$L, 
      MATCH(
        1, 
        ('アイテム別限界値DB'!$B:$B = BL$10) * 
        ('アイテム別限界値DB'!$C:$C = BL20) * 
        ('アイテム別限界値DB'!$F:$F = BM20), 
        0
      )
    ), 
    ""
  )
)
</f>
        <v/>
      </c>
      <c r="BP20" s="195"/>
    </row>
    <row r="21" ht="18.75" customHeight="1">
      <c r="A21" s="236" t="str">
        <f>if($A$19&lt;&gt;"", "《仕上がり数値》","")</f>
        <v>《仕上がり数値》</v>
      </c>
      <c r="B21" s="229"/>
      <c r="C21" s="224"/>
      <c r="D21" s="238" t="s">
        <v>81</v>
      </c>
      <c r="E21" s="230"/>
      <c r="F21" s="231" t="str">
        <f t="array" ref="F21">IF(
  E21 = 0, 
  "", 
  IFERROR(
    INDEX(
      'アイテム別限界値DB'!$K:$K, 
      MATCH(
        1, 
        ('アイテム別限界値DB'!$B:$B = D$10) * 
        ('アイテム別限界値DB'!$F:$F = D21) * 
        ('アイテム別限界値DB'!$H:$H = E21), 
        0
      )
    ), 
    "再製作"
  )
)
</f>
        <v/>
      </c>
      <c r="G21" s="218" t="str">
        <f t="array" ref="G21">IF(
  E21 = 0, 
  "", 
  IFERROR(
    INDEX(
      'アイテム別限界値DB'!$L:$L, 
      MATCH(
        1, 
        ('アイテム別限界値DB'!$B:$B = D$10) * 
        ('アイテム別限界値DB'!$C:$C = D21) * 
        ('アイテム別限界値DB'!$F:$F = E21), 
        0
      )
    ), 
    ""
  )
)
</f>
        <v/>
      </c>
      <c r="H21" s="12"/>
      <c r="I21" s="238" t="s">
        <v>82</v>
      </c>
      <c r="J21" s="230"/>
      <c r="K21" s="231" t="str">
        <f t="array" ref="K21">IF(
  J21 = 0, 
  "", 
  IFERROR(
    INDEX(
      'アイテム別限界値DB'!$K:$K, 
      MATCH(
        1, 
        ('アイテム別限界値DB'!$B:$B = I$10) * 
        ('アイテム別限界値DB'!$F:$F = I21) * 
        ('アイテム別限界値DB'!$H:$H = J21), 
        0
      )
    ), 
    "再製作"
  )
)
</f>
        <v/>
      </c>
      <c r="L21" s="218" t="str">
        <f t="array" ref="L21">IF(
  J21 = 0, 
  "", 
  IFERROR(
    INDEX(
      'アイテム別限界値DB'!$L:$L, 
      MATCH(
        1, 
        ('アイテム別限界値DB'!$B:$B = I$10) * 
        ('アイテム別限界値DB'!$C:$C = I21) * 
        ('アイテム別限界値DB'!$F:$F = J21), 
        0
      )
    ), 
    ""
  )
)
</f>
        <v/>
      </c>
      <c r="M21" s="12"/>
      <c r="N21" s="224" t="s">
        <v>83</v>
      </c>
      <c r="O21" s="232"/>
      <c r="P21" s="231" t="str">
        <f t="array" ref="P21">IF(
  O21 = 0, 
  "", 
  IFERROR(
    INDEX(
      'アイテム別限界値DB'!$K:$K, 
      MATCH(
        1, 
        ('アイテム別限界値DB'!$B:$B = N$10) * 
        ('アイテム別限界値DB'!$F:$F = N21) * 
        ('アイテム別限界値DB'!$H:$H = O21), 
        0
      )
    ), 
    "再製作"
  )
)
</f>
        <v/>
      </c>
      <c r="Q21" s="121" t="str">
        <f t="array" ref="Q21">IF(
  O21 = 0, 
  "", 
  IFERROR(
    INDEX(
      'アイテム別限界値DB'!$L:$L, 
      MATCH(
        1, 
        ('アイテム別限界値DB'!$B:$B = N$10) * 
        ('アイテム別限界値DB'!$C:$C = N21) * 
        ('アイテム別限界値DB'!$F:$F = O21), 
        0
      )
    ), 
    ""
  )
)
</f>
        <v/>
      </c>
      <c r="R21" s="11"/>
      <c r="S21" s="238" t="s">
        <v>82</v>
      </c>
      <c r="T21" s="232"/>
      <c r="U21" s="231" t="str">
        <f t="array" ref="U21">IF(
  T21 = 0, 
  "", 
  IFERROR(
    INDEX(
      'アイテム別限界値DB'!$K:$K, 
      MATCH(
        1, 
        ('アイテム別限界値DB'!$B:$B = S$10) * 
        ('アイテム別限界値DB'!$F:$F = S21) * 
        ('アイテム別限界値DB'!$H:$H = T21), 
        0
      )
    ), 
    "再製作"
  )
)
</f>
        <v/>
      </c>
      <c r="V21" s="218" t="str">
        <f t="array" ref="V21">IF(
  T21 = 0, 
  "", 
  IFERROR(
    INDEX(
      'アイテム別限界値DB'!$L:$L, 
      MATCH(
        1, 
        ('アイテム別限界値DB'!$B:$B = S$10) * 
        ('アイテム別限界値DB'!$C:$C = S21) * 
        ('アイテム別限界値DB'!$F:$F = T21), 
        0
      )
    ), 
    ""
  )
)
</f>
        <v/>
      </c>
      <c r="W21" s="11"/>
      <c r="X21" s="238" t="s">
        <v>84</v>
      </c>
      <c r="Y21" s="230"/>
      <c r="Z21" s="231" t="str">
        <f t="array" ref="Z21">IF(
  Y21 = 0, 
  "", 
  IFERROR(
    INDEX(
      'アイテム別限界値DB'!$K:$K, 
      MATCH(
        1, 
        ('アイテム別限界値DB'!$B:$B = X$10) * 
        ('アイテム別限界値DB'!$F:$F = X21) * 
        ('アイテム別限界値DB'!$H:$H = Y21), 
        0
      )
    ), 
    "再製作"
  )
)
</f>
        <v/>
      </c>
      <c r="AA21" s="218" t="str">
        <f t="array" ref="AA21">IF(
  Y21 = 0, 
  "", 
  IFERROR(
    INDEX(
      'アイテム別限界値DB'!$L:$L, 
      MATCH(
        1, 
        ('アイテム別限界値DB'!$B:$B = X$10) * 
        ('アイテム別限界値DB'!$C:$C = X21) * 
        ('アイテム別限界値DB'!$F:$F = Y21), 
        0
      )
    ), 
    ""
  )
)
</f>
        <v/>
      </c>
      <c r="AB21" s="11"/>
      <c r="AC21" s="238" t="s">
        <v>85</v>
      </c>
      <c r="AD21" s="232"/>
      <c r="AE21" s="231" t="str">
        <f t="array" ref="AE21">IF(
  AD21 = 0, 
  "", 
  IFERROR(
    INDEX(
      'アイテム別限界値DB'!$K:$K, 
      MATCH(
        1, 
        ('アイテム別限界値DB'!$B:$B = AC$10) * 
        ('アイテム別限界値DB'!$F:$F = AC21) * 
        ('アイテム別限界値DB'!$H:$H = AD21), 
        0
      )
    ), 
    "再製作"
  )
)
</f>
        <v/>
      </c>
      <c r="AF21" s="218" t="str">
        <f t="array" ref="AF21">IF(
  AD21 = 0, 
  "", 
  IFERROR(
    INDEX(
      'アイテム別限界値DB'!$L:$L, 
      MATCH(
        1, 
        ('アイテム別限界値DB'!$B:$B = AC$10) * 
        ('アイテム別限界値DB'!$C:$C = AC21) * 
        ('アイテム別限界値DB'!$F:$F = AD21), 
        0
      )
    ), 
    ""
  )
)
</f>
        <v/>
      </c>
      <c r="AG21" s="11"/>
      <c r="AH21" s="224"/>
      <c r="AI21" s="225"/>
      <c r="AJ21" s="220" t="str">
        <f t="array" ref="AJ21">IF(
  AI21 = 0, 
  "", 
  IFERROR(
    INDEX(
      'アイテム別限界値DB'!$I:$I, 
      MATCH(
        1, 
        ('アイテム別限界値DB'!$B:$B = AH$10) * 
        ('アイテム別限界値DB'!$C:$C = AH21) * 
        ('アイテム別限界値DB'!$F:$F = AI21), 
        0
      )
    ), 
    "再製作"
  )
)
</f>
        <v/>
      </c>
      <c r="AK21" s="121" t="str">
        <f t="array" ref="AK21">IF(
  AI21 = 0, 
  "", 
  IFERROR(
    INDEX(
      'アイテム別限界値DB'!$L:$L, 
      MATCH(
        1, 
        ('アイテム別限界値DB'!$B:$B = AH$10) * 
        ('アイテム別限界値DB'!$C:$C = AH21) * 
        ('アイテム別限界値DB'!$F:$F = AI21), 
        0
      )
    ), 
    ""
  )
)
</f>
        <v/>
      </c>
      <c r="AL21" s="11"/>
      <c r="AM21" s="224"/>
      <c r="AN21" s="225"/>
      <c r="AO21" s="220" t="str">
        <f t="array" ref="AO21">IF(
  AN21 = 0, 
  "", 
  IFERROR(
    INDEX(
      'アイテム別限界値DB'!$I:$I, 
      MATCH(
        1, 
        ('アイテム別限界値DB'!$B:$B = AM$10) * 
        ('アイテム別限界値DB'!$C:$C = AM21) * 
        ('アイテム別限界値DB'!$F:$F = AN21), 
        0
      )
    ), 
    "再製作"
  )
)
</f>
        <v/>
      </c>
      <c r="AP21" s="121" t="str">
        <f t="array" ref="AP21">IF(
  AN21 = 0, 
  "", 
  IFERROR(
    INDEX(
      'アイテム別限界値DB'!$L:$L, 
      MATCH(
        1, 
        ('アイテム別限界値DB'!$B:$B = AM$10) * 
        ('アイテム別限界値DB'!$C:$C = AM21) * 
        ('アイテム別限界値DB'!$F:$F = AN21), 
        0
      )
    ), 
    ""
  )
)
</f>
        <v/>
      </c>
      <c r="AQ21" s="11"/>
      <c r="AR21" s="224"/>
      <c r="AS21" s="225"/>
      <c r="AT21" s="220" t="str">
        <f t="array" ref="AT21">IF(
  AS21 = 0, 
  "", 
  IFERROR(
    INDEX(
      'アイテム別限界値DB'!$I:$I, 
      MATCH(
        1, 
        ('アイテム別限界値DB'!$B:$B = AR$10) * 
        ('アイテム別限界値DB'!$C:$C = AR21) * 
        ('アイテム別限界値DB'!$F:$F = AS21), 
        0
      )
    ), 
    "再製作"
  )
)
</f>
        <v/>
      </c>
      <c r="AU21" s="121" t="str">
        <f t="array" ref="AU21">IF(
  AS21 = 0, 
  "", 
  IFERROR(
    INDEX(
      'アイテム別限界値DB'!$L:$L, 
      MATCH(
        1, 
        ('アイテム別限界値DB'!$B:$B = AR$10) * 
        ('アイテム別限界値DB'!$C:$C = AR21) * 
        ('アイテム別限界値DB'!$F:$F = AS21), 
        0
      )
    ), 
    ""
  )
)
</f>
        <v/>
      </c>
      <c r="AV21" s="121"/>
      <c r="AW21" s="224"/>
      <c r="AX21" s="225"/>
      <c r="AY21" s="220" t="str">
        <f t="array" ref="AY21">IF(
  AX21 = 0, 
  "", 
  IFERROR(
    INDEX(
      'アイテム別限界値DB'!$I:$I, 
      MATCH(
        1, 
        ('アイテム別限界値DB'!$B:$B = AW$10) * 
        ('アイテム別限界値DB'!$C:$C = AW21) * 
        ('アイテム別限界値DB'!$F:$F = AX21), 
        0
      )
    ), 
    "再製作"
  )
)
</f>
        <v/>
      </c>
      <c r="AZ21" s="121" t="str">
        <f t="array" ref="AZ21">IF(
  AX21 = 0, 
  "", 
  IFERROR(
    INDEX(
      'アイテム別限界値DB'!$L:$L, 
      MATCH(
        1, 
        ('アイテム別限界値DB'!$B:$B = AW$10) * 
        ('アイテム別限界値DB'!$C:$C = AW21) * 
        ('アイテム別限界値DB'!$F:$F = AX21), 
        0
      )
    ), 
    ""
  )
)
</f>
        <v/>
      </c>
      <c r="BA21" s="121"/>
      <c r="BB21" s="224"/>
      <c r="BC21" s="225"/>
      <c r="BD21" s="220" t="str">
        <f t="array" ref="BD21">IF(
  BC21 = 0, 
  "", 
  IFERROR(
    INDEX(
      'アイテム別限界値DB'!$I:$I, 
      MATCH(
        1, 
        ('アイテム別限界値DB'!$B:$B = BB$10) * 
        ('アイテム別限界値DB'!$C:$C = BB21) * 
        ('アイテム別限界値DB'!$F:$F = BC21), 
        0
      )
    ), 
    "再製作"
  )
)
</f>
        <v/>
      </c>
      <c r="BE21" s="121" t="str">
        <f t="array" ref="BE21">IF(
  BC21 = 0, 
  "", 
  IFERROR(
    INDEX(
      'アイテム別限界値DB'!$L:$L, 
      MATCH(
        1, 
        ('アイテム別限界値DB'!$B:$B = BB$10) * 
        ('アイテム別限界値DB'!$C:$C = BB21) * 
        ('アイテム別限界値DB'!$F:$F = BC21), 
        0
      )
    ), 
    ""
  )
)
</f>
        <v/>
      </c>
      <c r="BF21" s="121"/>
      <c r="BG21" s="224"/>
      <c r="BH21" s="225"/>
      <c r="BI21" s="220" t="str">
        <f t="array" ref="BI21">IF(
  BH21 = 0, 
  "", 
  IFERROR(
    INDEX(
      'アイテム別限界値DB'!$I:$I, 
      MATCH(
        1, 
        ('アイテム別限界値DB'!$B:$B = BG$10) * 
        ('アイテム別限界値DB'!$C:$C = BG21) * 
        ('アイテム別限界値DB'!$F:$F = BH21), 
        0
      )
    ), 
    "再製作"
  )
)
</f>
        <v/>
      </c>
      <c r="BJ21" s="121" t="str">
        <f t="array" ref="BJ21">IF(
  BH21 = 0, 
  "", 
  IFERROR(
    INDEX(
      'アイテム別限界値DB'!$L:$L, 
      MATCH(
        1, 
        ('アイテム別限界値DB'!$B:$B = BG$10) * 
        ('アイテム別限界値DB'!$C:$C = BG21) * 
        ('アイテム別限界値DB'!$F:$F = BH21), 
        0
      )
    ), 
    ""
  )
)
</f>
        <v/>
      </c>
      <c r="BK21" s="121"/>
      <c r="BL21" s="224" t="s">
        <v>85</v>
      </c>
      <c r="BM21" s="232"/>
      <c r="BN21" s="231" t="str">
        <f t="array" ref="BN21">IF(
  BM21 = 0, 
  "", 
  IFERROR(
    INDEX(
      'アイテム別限界値DB'!$K:$K, 
      MATCH(
        1, 
        ('アイテム別限界値DB'!$B:$B = BL$10) * 
        ('アイテム別限界値DB'!$F:$F = BL21) * 
        ('アイテム別限界値DB'!$H:$H = BM21), 
        0
      )
    ), 
    "再製作"
  )
)
</f>
        <v/>
      </c>
      <c r="BO21" s="218" t="str">
        <f t="array" ref="BO21">IF(
  BM21 = 0, 
  "", 
  IFERROR(
    INDEX(
      'アイテム別限界値DB'!$L:$L, 
      MATCH(
        1, 
        ('アイテム別限界値DB'!$B:$B = BL$10) * 
        ('アイテム別限界値DB'!$C:$C = BL21) * 
        ('アイテム別限界値DB'!$F:$F = BM21), 
        0
      )
    ), 
    ""
  )
)
</f>
        <v/>
      </c>
      <c r="BP21" s="195"/>
    </row>
    <row r="22" ht="18.75" customHeight="1">
      <c r="A22" s="228" t="str">
        <f>IFERROR(__xludf.DUMMYFUNCTION("TEXTJOIN(CHAR(10),TRUE,FILTER(ARRAYFORMULA(IF(J$14:J72&lt;&gt;"""", I$14:I72 &amp;"" :  cm"","""")), I$14:I72 &lt;&gt;""""))"),"パンツウエスト :  cm
股上 :  cm
股下 / ダブル(3.5cm以下) :  cm")</f>
        <v>パンツウエスト :  cm
股上 :  cm
股下 / ダブル(3.5cm以下) :  cm</v>
      </c>
      <c r="B22" s="224"/>
      <c r="C22" s="224"/>
      <c r="D22" s="238" t="s">
        <v>86</v>
      </c>
      <c r="E22" s="230"/>
      <c r="F22" s="231" t="str">
        <f t="array" ref="F22">IF(
  E22 = 0, 
  "", 
  IFERROR(
    INDEX(
      'アイテム別限界値DB'!$K:$K, 
      MATCH(
        1, 
        ('アイテム別限界値DB'!$B:$B = D$10) * 
        ('アイテム別限界値DB'!$F:$F = D22) * 
        ('アイテム別限界値DB'!$H:$H = E22), 
        0
      )
    ), 
    "再製作"
  )
)
</f>
        <v/>
      </c>
      <c r="G22" s="218" t="str">
        <f t="array" ref="G22">IF(
  E22 = 0, 
  "", 
  IFERROR(
    INDEX(
      'アイテム別限界値DB'!$L:$L, 
      MATCH(
        1, 
        ('アイテム別限界値DB'!$B:$B = D$10) * 
        ('アイテム別限界値DB'!$C:$C = D22) * 
        ('アイテム別限界値DB'!$F:$F = E22), 
        0
      )
    ), 
    ""
  )
)
</f>
        <v/>
      </c>
      <c r="H22" s="12"/>
      <c r="I22" s="238" t="s">
        <v>87</v>
      </c>
      <c r="J22" s="230"/>
      <c r="K22" s="231" t="str">
        <f t="array" ref="K22">IF(
  J22 = 0, 
  "", 
  IFERROR(
    INDEX(
      'アイテム別限界値DB'!$K:$K, 
      MATCH(
        1, 
        ('アイテム別限界値DB'!$B:$B = I$10) * 
        ('アイテム別限界値DB'!$F:$F = I22) * 
        ('アイテム別限界値DB'!$H:$H = J22), 
        0
      )
    ), 
    "再製作"
  )
)
</f>
        <v/>
      </c>
      <c r="L22" s="218" t="str">
        <f t="array" ref="L22">IF(
  J22 = 0, 
  "", 
  IFERROR(
    INDEX(
      'アイテム別限界値DB'!$L:$L, 
      MATCH(
        1, 
        ('アイテム別限界値DB'!$B:$B = I$10) * 
        ('アイテム別限界値DB'!$C:$C = I22) * 
        ('アイテム別限界値DB'!$F:$F = J22), 
        0
      )
    ), 
    ""
  )
)
</f>
        <v/>
      </c>
      <c r="M22" s="11"/>
      <c r="N22" s="224"/>
      <c r="O22" s="220"/>
      <c r="P22" s="220" t="str">
        <f t="array" ref="P22">IF(
  O22 = 0, 
  "", 
  IFERROR(
    INDEX(
      'アイテム別限界値DB'!$I:$I, 
      MATCH(
        1, 
        ('アイテム別限界値DB'!$B:$B = N$10) * 
        ('アイテム別限界値DB'!$C:$C = N22) * 
        ('アイテム別限界値DB'!$F:$F = O22), 
        0
      )
    ), 
    "再製作"
  )
)
</f>
        <v/>
      </c>
      <c r="Q22" s="121" t="str">
        <f t="array" ref="Q22">IF(
  O22 = 0, 
  "", 
  IFERROR(
    INDEX(
      'アイテム別限界値DB'!$L:$L, 
      MATCH(
        1, 
        ('アイテム別限界値DB'!$B:$B = N$10) * 
        ('アイテム別限界値DB'!$C:$C = N22) * 
        ('アイテム別限界値DB'!$F:$F = O22), 
        0
      )
    ), 
    ""
  )
)
</f>
        <v/>
      </c>
      <c r="R22" s="11"/>
      <c r="S22" s="238" t="s">
        <v>87</v>
      </c>
      <c r="T22" s="232"/>
      <c r="U22" s="231" t="str">
        <f t="array" ref="U22">IF(
  T22 = 0, 
  "", 
  IFERROR(
    INDEX(
      'アイテム別限界値DB'!$K:$K, 
      MATCH(
        1, 
        ('アイテム別限界値DB'!$B:$B = S$10) * 
        ('アイテム別限界値DB'!$F:$F = S22) * 
        ('アイテム別限界値DB'!$H:$H = T22), 
        0
      )
    ), 
    "再製作"
  )
)
</f>
        <v/>
      </c>
      <c r="V22" s="218" t="str">
        <f t="array" ref="V22">IF(
  T22 = 0, 
  "", 
  IFERROR(
    INDEX(
      'アイテム別限界値DB'!$L:$L, 
      MATCH(
        1, 
        ('アイテム別限界値DB'!$B:$B = S$10) * 
        ('アイテム別限界値DB'!$C:$C = S22) * 
        ('アイテム別限界値DB'!$F:$F = T22), 
        0
      )
    ), 
    ""
  )
)
</f>
        <v/>
      </c>
      <c r="W22" s="11"/>
      <c r="X22" s="238" t="s">
        <v>88</v>
      </c>
      <c r="Y22" s="230"/>
      <c r="Z22" s="231" t="str">
        <f t="array" ref="Z22">IF(
  Y22 = 0, 
  "", 
  IFERROR(
    INDEX(
      'アイテム別限界値DB'!$K:$K, 
      MATCH(
        1, 
        ('アイテム別限界値DB'!$B:$B = X$10) * 
        ('アイテム別限界値DB'!$F:$F = X22) * 
        ('アイテム別限界値DB'!$H:$H = Y22), 
        0
      )
    ), 
    "再製作"
  )
)
</f>
        <v/>
      </c>
      <c r="AA22" s="218" t="str">
        <f t="array" ref="AA22">IF(
  Y22 = 0, 
  "", 
  IFERROR(
    INDEX(
      'アイテム別限界値DB'!$L:$L, 
      MATCH(
        1, 
        ('アイテム別限界値DB'!$B:$B = X$10) * 
        ('アイテム別限界値DB'!$C:$C = X22) * 
        ('アイテム別限界値DB'!$F:$F = Y22), 
        0
      )
    ), 
    ""
  )
)
</f>
        <v/>
      </c>
      <c r="AB22" s="11"/>
      <c r="AC22" s="238" t="s">
        <v>89</v>
      </c>
      <c r="AD22" s="232"/>
      <c r="AE22" s="231" t="str">
        <f t="array" ref="AE22">IF(
  AD22 = 0, 
  "", 
  IFERROR(
    INDEX(
      'アイテム別限界値DB'!$K:$K, 
      MATCH(
        1, 
        ('アイテム別限界値DB'!$B:$B = AC$10) * 
        ('アイテム別限界値DB'!$F:$F = AC22) * 
        ('アイテム別限界値DB'!$H:$H = AD22), 
        0
      )
    ), 
    "再製作"
  )
)
</f>
        <v/>
      </c>
      <c r="AF22" s="218" t="str">
        <f t="array" ref="AF22">IF(
  AD22 = 0, 
  "", 
  IFERROR(
    INDEX(
      'アイテム別限界値DB'!$L:$L, 
      MATCH(
        1, 
        ('アイテム別限界値DB'!$B:$B = AC$10) * 
        ('アイテム別限界値DB'!$C:$C = AC22) * 
        ('アイテム別限界値DB'!$F:$F = AD22), 
        0
      )
    ), 
    ""
  )
)
</f>
        <v/>
      </c>
      <c r="AG22" s="11"/>
      <c r="AH22" s="224"/>
      <c r="AI22" s="225"/>
      <c r="AJ22" s="220" t="str">
        <f t="array" ref="AJ22">IF(
  AI22 = 0, 
  "", 
  IFERROR(
    INDEX(
      'アイテム別限界値DB'!$I:$I, 
      MATCH(
        1, 
        ('アイテム別限界値DB'!$B:$B = AH$10) * 
        ('アイテム別限界値DB'!$C:$C = AH22) * 
        ('アイテム別限界値DB'!$F:$F = AI22), 
        0
      )
    ), 
    "再製作"
  )
)
</f>
        <v/>
      </c>
      <c r="AK22" s="121" t="str">
        <f t="array" ref="AK22">IF(
  AI22 = 0, 
  "", 
  IFERROR(
    INDEX(
      'アイテム別限界値DB'!$L:$L, 
      MATCH(
        1, 
        ('アイテム別限界値DB'!$B:$B = AH$10) * 
        ('アイテム別限界値DB'!$C:$C = AH22) * 
        ('アイテム別限界値DB'!$F:$F = AI22), 
        0
      )
    ), 
    ""
  )
)
</f>
        <v/>
      </c>
      <c r="AL22" s="11"/>
      <c r="AM22" s="224"/>
      <c r="AN22" s="225"/>
      <c r="AO22" s="220" t="str">
        <f t="array" ref="AO22">IF(
  AN22 = 0, 
  "", 
  IFERROR(
    INDEX(
      'アイテム別限界値DB'!$I:$I, 
      MATCH(
        1, 
        ('アイテム別限界値DB'!$B:$B = AM$10) * 
        ('アイテム別限界値DB'!$C:$C = AM22) * 
        ('アイテム別限界値DB'!$F:$F = AN22), 
        0
      )
    ), 
    "再製作"
  )
)
</f>
        <v/>
      </c>
      <c r="AP22" s="121" t="str">
        <f t="array" ref="AP22">IF(
  AN22 = 0, 
  "", 
  IFERROR(
    INDEX(
      'アイテム別限界値DB'!$L:$L, 
      MATCH(
        1, 
        ('アイテム別限界値DB'!$B:$B = AM$10) * 
        ('アイテム別限界値DB'!$C:$C = AM22) * 
        ('アイテム別限界値DB'!$F:$F = AN22), 
        0
      )
    ), 
    ""
  )
)
</f>
        <v/>
      </c>
      <c r="AQ22" s="11"/>
      <c r="AR22" s="224"/>
      <c r="AS22" s="225"/>
      <c r="AT22" s="220" t="str">
        <f t="array" ref="AT22">IF(
  AS22 = 0, 
  "", 
  IFERROR(
    INDEX(
      'アイテム別限界値DB'!$I:$I, 
      MATCH(
        1, 
        ('アイテム別限界値DB'!$B:$B = AR$10) * 
        ('アイテム別限界値DB'!$C:$C = AR22) * 
        ('アイテム別限界値DB'!$F:$F = AS22), 
        0
      )
    ), 
    "再製作"
  )
)
</f>
        <v/>
      </c>
      <c r="AU22" s="121" t="str">
        <f t="array" ref="AU22">IF(
  AS22 = 0, 
  "", 
  IFERROR(
    INDEX(
      'アイテム別限界値DB'!$L:$L, 
      MATCH(
        1, 
        ('アイテム別限界値DB'!$B:$B = AR$10) * 
        ('アイテム別限界値DB'!$C:$C = AR22) * 
        ('アイテム別限界値DB'!$F:$F = AS22), 
        0
      )
    ), 
    ""
  )
)
</f>
        <v/>
      </c>
      <c r="AV22" s="121"/>
      <c r="AW22" s="224"/>
      <c r="AX22" s="225"/>
      <c r="AY22" s="220" t="str">
        <f t="array" ref="AY22">IF(
  AX22 = 0, 
  "", 
  IFERROR(
    INDEX(
      'アイテム別限界値DB'!$I:$I, 
      MATCH(
        1, 
        ('アイテム別限界値DB'!$B:$B = AW$10) * 
        ('アイテム別限界値DB'!$C:$C = AW22) * 
        ('アイテム別限界値DB'!$F:$F = AX22), 
        0
      )
    ), 
    "再製作"
  )
)
</f>
        <v/>
      </c>
      <c r="AZ22" s="121" t="str">
        <f t="array" ref="AZ22">IF(
  AX22 = 0, 
  "", 
  IFERROR(
    INDEX(
      'アイテム別限界値DB'!$L:$L, 
      MATCH(
        1, 
        ('アイテム別限界値DB'!$B:$B = AW$10) * 
        ('アイテム別限界値DB'!$C:$C = AW22) * 
        ('アイテム別限界値DB'!$F:$F = AX22), 
        0
      )
    ), 
    ""
  )
)
</f>
        <v/>
      </c>
      <c r="BA22" s="121"/>
      <c r="BB22" s="224"/>
      <c r="BC22" s="225"/>
      <c r="BD22" s="220" t="str">
        <f t="array" ref="BD22">IF(
  BC22 = 0, 
  "", 
  IFERROR(
    INDEX(
      'アイテム別限界値DB'!$I:$I, 
      MATCH(
        1, 
        ('アイテム別限界値DB'!$B:$B = BB$10) * 
        ('アイテム別限界値DB'!$C:$C = BB22) * 
        ('アイテム別限界値DB'!$F:$F = BC22), 
        0
      )
    ), 
    "再製作"
  )
)
</f>
        <v/>
      </c>
      <c r="BE22" s="121" t="str">
        <f t="array" ref="BE22">IF(
  BC22 = 0, 
  "", 
  IFERROR(
    INDEX(
      'アイテム別限界値DB'!$L:$L, 
      MATCH(
        1, 
        ('アイテム別限界値DB'!$B:$B = BB$10) * 
        ('アイテム別限界値DB'!$C:$C = BB22) * 
        ('アイテム別限界値DB'!$F:$F = BC22), 
        0
      )
    ), 
    ""
  )
)
</f>
        <v/>
      </c>
      <c r="BF22" s="121"/>
      <c r="BG22" s="224"/>
      <c r="BH22" s="225"/>
      <c r="BI22" s="220" t="str">
        <f t="array" ref="BI22">IF(
  BH22 = 0, 
  "", 
  IFERROR(
    INDEX(
      'アイテム別限界値DB'!$I:$I, 
      MATCH(
        1, 
        ('アイテム別限界値DB'!$B:$B = BG$10) * 
        ('アイテム別限界値DB'!$C:$C = BG22) * 
        ('アイテム別限界値DB'!$F:$F = BH22), 
        0
      )
    ), 
    "再製作"
  )
)
</f>
        <v/>
      </c>
      <c r="BJ22" s="121" t="str">
        <f t="array" ref="BJ22">IF(
  BH22 = 0, 
  "", 
  IFERROR(
    INDEX(
      'アイテム別限界値DB'!$L:$L, 
      MATCH(
        1, 
        ('アイテム別限界値DB'!$B:$B = BG$10) * 
        ('アイテム別限界値DB'!$C:$C = BG22) * 
        ('アイテム別限界値DB'!$F:$F = BH22), 
        0
      )
    ), 
    ""
  )
)
</f>
        <v/>
      </c>
      <c r="BK22" s="121"/>
      <c r="BL22" s="224" t="s">
        <v>90</v>
      </c>
      <c r="BM22" s="232"/>
      <c r="BN22" s="231" t="str">
        <f t="array" ref="BN22">IF(
  BM22 = 0, 
  "", 
  IFERROR(
    INDEX(
      'アイテム別限界値DB'!$K:$K, 
      MATCH(
        1, 
        ('アイテム別限界値DB'!$B:$B = BL$10) * 
        ('アイテム別限界値DB'!$F:$F = BL22) * 
        ('アイテム別限界値DB'!$H:$H = BM22), 
        0
      )
    ), 
    "再製作"
  )
)
</f>
        <v/>
      </c>
      <c r="BO22" s="218" t="str">
        <f t="array" ref="BO22">IF(
  BM22 = 0, 
  "", 
  IFERROR(
    INDEX(
      'アイテム別限界値DB'!$L:$L, 
      MATCH(
        1, 
        ('アイテム別限界値DB'!$B:$B = BL$10) * 
        ('アイテム別限界値DB'!$C:$C = BL22) * 
        ('アイテム別限界値DB'!$F:$F = BM22), 
        0
      )
    ), 
    ""
  )
)
</f>
        <v/>
      </c>
      <c r="BP22" s="195"/>
    </row>
    <row r="23" ht="18.75" customHeight="1">
      <c r="A23" s="237" t="s">
        <v>91</v>
      </c>
      <c r="B23" s="229"/>
      <c r="C23" s="224"/>
      <c r="D23" s="238" t="s">
        <v>92</v>
      </c>
      <c r="E23" s="230"/>
      <c r="F23" s="231" t="str">
        <f t="array" ref="F23">IF(
  E23 = 0, 
  "", 
  IFERROR(
    INDEX(
      'アイテム別限界値DB'!$K:$K, 
      MATCH(
        1, 
        ('アイテム別限界値DB'!$B:$B = D$10) * 
        ('アイテム別限界値DB'!$F:$F = D23) * 
        ('アイテム別限界値DB'!$H:$H = E23), 
        0
      )
    ), 
    "再製作"
  )
)
</f>
        <v/>
      </c>
      <c r="G23" s="218" t="str">
        <f t="array" ref="G23">IF(
  E23 = 0, 
  "", 
  IFERROR(
    INDEX(
      'アイテム別限界値DB'!$L:$L, 
      MATCH(
        1, 
        ('アイテム別限界値DB'!$B:$B = D$10) * 
        ('アイテム別限界値DB'!$C:$C = D23) * 
        ('アイテム別限界値DB'!$F:$F = E23), 
        0
      )
    ), 
    ""
  )
)
</f>
        <v/>
      </c>
      <c r="H23" s="12"/>
      <c r="I23" s="238" t="s">
        <v>93</v>
      </c>
      <c r="J23" s="230"/>
      <c r="K23" s="231" t="str">
        <f t="array" ref="K23">IF(
  J23 = 0, 
  "", 
  IFERROR(
    INDEX(
      'アイテム別限界値DB'!$K:$K, 
      MATCH(
        1, 
        ('アイテム別限界値DB'!$B:$B = I$10) * 
        ('アイテム別限界値DB'!$F:$F = I23) * 
        ('アイテム別限界値DB'!$H:$H = J23), 
        0
      )
    ), 
    "再製作"
  )
)
</f>
        <v/>
      </c>
      <c r="L23" s="218" t="str">
        <f t="array" ref="L23">IF(
  J23 = 0, 
  "", 
  IFERROR(
    INDEX(
      'アイテム別限界値DB'!$L:$L, 
      MATCH(
        1, 
        ('アイテム別限界値DB'!$B:$B = I$10) * 
        ('アイテム別限界値DB'!$C:$C = I23) * 
        ('アイテム別限界値DB'!$F:$F = J23), 
        0
      )
    ), 
    ""
  )
)
</f>
        <v/>
      </c>
      <c r="M23" s="11"/>
      <c r="N23" s="224"/>
      <c r="O23" s="220"/>
      <c r="P23" s="220" t="str">
        <f t="array" ref="P23">IF(
  O23 = 0, 
  "", 
  IFERROR(
    INDEX(
      'アイテム別限界値DB'!$I:$I, 
      MATCH(
        1, 
        ('アイテム別限界値DB'!$B:$B = N$10) * 
        ('アイテム別限界値DB'!$C:$C = N23) * 
        ('アイテム別限界値DB'!$F:$F = O23), 
        0
      )
    ), 
    "再製作"
  )
)
</f>
        <v/>
      </c>
      <c r="Q23" s="121" t="str">
        <f t="array" ref="Q23">IF(
  O23 = 0, 
  "", 
  IFERROR(
    INDEX(
      'アイテム別限界値DB'!$L:$L, 
      MATCH(
        1, 
        ('アイテム別限界値DB'!$B:$B = N$10) * 
        ('アイテム別限界値DB'!$C:$C = N23) * 
        ('アイテム別限界値DB'!$F:$F = O23), 
        0
      )
    ), 
    ""
  )
)
</f>
        <v/>
      </c>
      <c r="R23" s="11"/>
      <c r="S23" s="238" t="s">
        <v>93</v>
      </c>
      <c r="T23" s="232"/>
      <c r="U23" s="231" t="str">
        <f t="array" ref="U23">IF(
  T23 = 0, 
  "", 
  IFERROR(
    INDEX(
      'アイテム別限界値DB'!$K:$K, 
      MATCH(
        1, 
        ('アイテム別限界値DB'!$B:$B = S$10) * 
        ('アイテム別限界値DB'!$F:$F = S23) * 
        ('アイテム別限界値DB'!$H:$H = T23), 
        0
      )
    ), 
    "再製作"
  )
)
</f>
        <v/>
      </c>
      <c r="V23" s="218" t="str">
        <f t="array" ref="V23">IF(
  T23 = 0, 
  "", 
  IFERROR(
    INDEX(
      'アイテム別限界値DB'!$L:$L, 
      MATCH(
        1, 
        ('アイテム別限界値DB'!$B:$B = S$10) * 
        ('アイテム別限界値DB'!$C:$C = S23) * 
        ('アイテム別限界値DB'!$F:$F = T23), 
        0
      )
    ), 
    ""
  )
)
</f>
        <v/>
      </c>
      <c r="W23" s="11"/>
      <c r="X23" s="238" t="s">
        <v>89</v>
      </c>
      <c r="Y23" s="232"/>
      <c r="Z23" s="231" t="str">
        <f t="array" ref="Z23">IF(
  Y23 = 0, 
  "", 
  IFERROR(
    INDEX(
      'アイテム別限界値DB'!$K:$K, 
      MATCH(
        1, 
        ('アイテム別限界値DB'!$B:$B = X$10) * 
        ('アイテム別限界値DB'!$F:$F = X23) * 
        ('アイテム別限界値DB'!$H:$H = Y23), 
        0
      )
    ), 
    "再製作"
  )
)
</f>
        <v/>
      </c>
      <c r="AA23" s="218" t="str">
        <f t="array" ref="AA23">IF(
  Y23 = 0, 
  "", 
  IFERROR(
    INDEX(
      'アイテム別限界値DB'!$L:$L, 
      MATCH(
        1, 
        ('アイテム別限界値DB'!$B:$B = X$10) * 
        ('アイテム別限界値DB'!$C:$C = X23) * 
        ('アイテム別限界値DB'!$F:$F = Y23), 
        0
      )
    ), 
    ""
  )
)
</f>
        <v/>
      </c>
      <c r="AB23" s="11"/>
      <c r="AC23" s="238" t="s">
        <v>90</v>
      </c>
      <c r="AD23" s="232"/>
      <c r="AE23" s="231" t="str">
        <f t="array" ref="AE23">IF(
  AD23 = 0, 
  "", 
  IFERROR(
    INDEX(
      'アイテム別限界値DB'!$K:$K, 
      MATCH(
        1, 
        ('アイテム別限界値DB'!$B:$B = AC$10) * 
        ('アイテム別限界値DB'!$F:$F = AC23) * 
        ('アイテム別限界値DB'!$H:$H = AD23), 
        0
      )
    ), 
    "再製作"
  )
)
</f>
        <v/>
      </c>
      <c r="AF23" s="218" t="str">
        <f t="array" ref="AF23">IF(
  AD23 = 0, 
  "", 
  IFERROR(
    INDEX(
      'アイテム別限界値DB'!$L:$L, 
      MATCH(
        1, 
        ('アイテム別限界値DB'!$B:$B = AC$10) * 
        ('アイテム別限界値DB'!$C:$C = AC23) * 
        ('アイテム別限界値DB'!$F:$F = AD23), 
        0
      )
    ), 
    ""
  )
)
</f>
        <v/>
      </c>
      <c r="AG23" s="11"/>
      <c r="AH23" s="224"/>
      <c r="AI23" s="225"/>
      <c r="AJ23" s="220" t="str">
        <f t="array" ref="AJ23">IF(
  AI23 = 0, 
  "", 
  IFERROR(
    INDEX(
      'アイテム別限界値DB'!$I:$I, 
      MATCH(
        1, 
        ('アイテム別限界値DB'!$B:$B = AH$10) * 
        ('アイテム別限界値DB'!$C:$C = AH23) * 
        ('アイテム別限界値DB'!$F:$F = AI23), 
        0
      )
    ), 
    "再製作"
  )
)
</f>
        <v/>
      </c>
      <c r="AK23" s="121" t="str">
        <f t="array" ref="AK23">IF(
  AI23 = 0, 
  "", 
  IFERROR(
    INDEX(
      'アイテム別限界値DB'!$L:$L, 
      MATCH(
        1, 
        ('アイテム別限界値DB'!$B:$B = AH$10) * 
        ('アイテム別限界値DB'!$C:$C = AH23) * 
        ('アイテム別限界値DB'!$F:$F = AI23), 
        0
      )
    ), 
    ""
  )
)
</f>
        <v/>
      </c>
      <c r="AL23" s="11"/>
      <c r="AM23" s="224"/>
      <c r="AN23" s="225"/>
      <c r="AO23" s="220" t="str">
        <f t="array" ref="AO23">IF(
  AN23 = 0, 
  "", 
  IFERROR(
    INDEX(
      'アイテム別限界値DB'!$I:$I, 
      MATCH(
        1, 
        ('アイテム別限界値DB'!$B:$B = AM$10) * 
        ('アイテム別限界値DB'!$C:$C = AM23) * 
        ('アイテム別限界値DB'!$F:$F = AN23), 
        0
      )
    ), 
    "再製作"
  )
)
</f>
        <v/>
      </c>
      <c r="AP23" s="121" t="str">
        <f t="array" ref="AP23">IF(
  AN23 = 0, 
  "", 
  IFERROR(
    INDEX(
      'アイテム別限界値DB'!$L:$L, 
      MATCH(
        1, 
        ('アイテム別限界値DB'!$B:$B = AM$10) * 
        ('アイテム別限界値DB'!$C:$C = AM23) * 
        ('アイテム別限界値DB'!$F:$F = AN23), 
        0
      )
    ), 
    ""
  )
)
</f>
        <v/>
      </c>
      <c r="AQ23" s="11"/>
      <c r="AR23" s="224"/>
      <c r="AS23" s="225"/>
      <c r="AT23" s="220" t="str">
        <f t="array" ref="AT23">IF(
  AS23 = 0, 
  "", 
  IFERROR(
    INDEX(
      'アイテム別限界値DB'!$I:$I, 
      MATCH(
        1, 
        ('アイテム別限界値DB'!$B:$B = AR$10) * 
        ('アイテム別限界値DB'!$C:$C = AR23) * 
        ('アイテム別限界値DB'!$F:$F = AS23), 
        0
      )
    ), 
    "再製作"
  )
)
</f>
        <v/>
      </c>
      <c r="AU23" s="121" t="str">
        <f t="array" ref="AU23">IF(
  AS23 = 0, 
  "", 
  IFERROR(
    INDEX(
      'アイテム別限界値DB'!$L:$L, 
      MATCH(
        1, 
        ('アイテム別限界値DB'!$B:$B = AR$10) * 
        ('アイテム別限界値DB'!$C:$C = AR23) * 
        ('アイテム別限界値DB'!$F:$F = AS23), 
        0
      )
    ), 
    ""
  )
)
</f>
        <v/>
      </c>
      <c r="AV23" s="121"/>
      <c r="AW23" s="224"/>
      <c r="AX23" s="225"/>
      <c r="AY23" s="220" t="str">
        <f t="array" ref="AY23">IF(
  AX23 = 0, 
  "", 
  IFERROR(
    INDEX(
      'アイテム別限界値DB'!$I:$I, 
      MATCH(
        1, 
        ('アイテム別限界値DB'!$B:$B = AW$10) * 
        ('アイテム別限界値DB'!$C:$C = AW23) * 
        ('アイテム別限界値DB'!$F:$F = AX23), 
        0
      )
    ), 
    "再製作"
  )
)
</f>
        <v/>
      </c>
      <c r="AZ23" s="121" t="str">
        <f t="array" ref="AZ23">IF(
  AX23 = 0, 
  "", 
  IFERROR(
    INDEX(
      'アイテム別限界値DB'!$L:$L, 
      MATCH(
        1, 
        ('アイテム別限界値DB'!$B:$B = AW$10) * 
        ('アイテム別限界値DB'!$C:$C = AW23) * 
        ('アイテム別限界値DB'!$F:$F = AX23), 
        0
      )
    ), 
    ""
  )
)
</f>
        <v/>
      </c>
      <c r="BA23" s="121"/>
      <c r="BB23" s="224"/>
      <c r="BC23" s="225"/>
      <c r="BD23" s="220" t="str">
        <f t="array" ref="BD23">IF(
  BC23 = 0, 
  "", 
  IFERROR(
    INDEX(
      'アイテム別限界値DB'!$I:$I, 
      MATCH(
        1, 
        ('アイテム別限界値DB'!$B:$B = BB$10) * 
        ('アイテム別限界値DB'!$C:$C = BB23) * 
        ('アイテム別限界値DB'!$F:$F = BC23), 
        0
      )
    ), 
    "再製作"
  )
)
</f>
        <v/>
      </c>
      <c r="BE23" s="121" t="str">
        <f t="array" ref="BE23">IF(
  BC23 = 0, 
  "", 
  IFERROR(
    INDEX(
      'アイテム別限界値DB'!$L:$L, 
      MATCH(
        1, 
        ('アイテム別限界値DB'!$B:$B = BB$10) * 
        ('アイテム別限界値DB'!$C:$C = BB23) * 
        ('アイテム別限界値DB'!$F:$F = BC23), 
        0
      )
    ), 
    ""
  )
)
</f>
        <v/>
      </c>
      <c r="BF23" s="121"/>
      <c r="BG23" s="224"/>
      <c r="BH23" s="225"/>
      <c r="BI23" s="220" t="str">
        <f t="array" ref="BI23">IF(
  BH23 = 0, 
  "", 
  IFERROR(
    INDEX(
      'アイテム別限界値DB'!$I:$I, 
      MATCH(
        1, 
        ('アイテム別限界値DB'!$B:$B = BG$10) * 
        ('アイテム別限界値DB'!$C:$C = BG23) * 
        ('アイテム別限界値DB'!$F:$F = BH23), 
        0
      )
    ), 
    "再製作"
  )
)
</f>
        <v/>
      </c>
      <c r="BJ23" s="121" t="str">
        <f t="array" ref="BJ23">IF(
  BH23 = 0, 
  "", 
  IFERROR(
    INDEX(
      'アイテム別限界値DB'!$L:$L, 
      MATCH(
        1, 
        ('アイテム別限界値DB'!$B:$B = BG$10) * 
        ('アイテム別限界値DB'!$C:$C = BG23) * 
        ('アイテム別限界値DB'!$F:$F = BH23), 
        0
      )
    ), 
    ""
  )
)
</f>
        <v/>
      </c>
      <c r="BK23" s="121"/>
      <c r="BL23" s="224" t="s">
        <v>62</v>
      </c>
      <c r="BM23" s="232"/>
      <c r="BN23" s="231" t="str">
        <f t="array" ref="BN23">IF(
  BM23 = 0, 
  "", 
  IFERROR(
    INDEX(
      'アイテム別限界値DB'!$K:$K, 
      MATCH(
        1, 
        ('アイテム別限界値DB'!$B:$B = BL$10) * 
        ('アイテム別限界値DB'!$F:$F = BL23) * 
        ('アイテム別限界値DB'!$H:$H = BM23), 
        0
      )
    ), 
    "再製作"
  )
)
</f>
        <v/>
      </c>
      <c r="BO23" s="218" t="str">
        <f t="array" ref="BO23">IF(
  BM23 = 0, 
  "", 
  IFERROR(
    INDEX(
      'アイテム別限界値DB'!$L:$L, 
      MATCH(
        1, 
        ('アイテム別限界値DB'!$B:$B = BL$10) * 
        ('アイテム別限界値DB'!$C:$C = BL23) * 
        ('アイテム別限界値DB'!$F:$F = BM23), 
        0
      )
    ), 
    ""
  )
)
</f>
        <v/>
      </c>
      <c r="BP23" s="195"/>
    </row>
    <row r="24" ht="18.75" customHeight="1">
      <c r="A24" s="228" t="str">
        <f>IF($N$11="再製作", "◼︎ ベスト（対応着地：再製作）" &amp; char(10) &amp; "《修正数値》", IF($N$11&lt;&gt;"", "◼︎ ベスト（対応着地：お直し）" &amp; char(10) &amp; "《修正数値》", ""))</f>
        <v/>
      </c>
      <c r="B24" s="229"/>
      <c r="C24" s="224"/>
      <c r="D24" s="239" t="s">
        <v>94</v>
      </c>
      <c r="E24" s="232"/>
      <c r="F24" s="231" t="str">
        <f t="array" ref="F24">IF(
  E24 = 0, 
  "", 
  IFERROR(
    INDEX(
      'アイテム別限界値DB'!$K:$K, 
      MATCH(
        1, 
        ('アイテム別限界値DB'!$B:$B = D$10) * 
        ('アイテム別限界値DB'!$F:$F = D24) * 
        ('アイテム別限界値DB'!$H:$H = E24), 
        0
      )
    ), 
    "再製作"
  )
)
</f>
        <v/>
      </c>
      <c r="G24" s="218" t="str">
        <f t="array" ref="G24">IF(
  E24 = 0, 
  "", 
  IFERROR(
    INDEX(
      'アイテム別限界値DB'!$L:$L, 
      MATCH(
        1, 
        ('アイテム別限界値DB'!$B:$B = D$10) * 
        ('アイテム別限界値DB'!$C:$C = D24) * 
        ('アイテム別限界値DB'!$F:$F = E24), 
        0
      )
    ), 
    ""
  )
)
</f>
        <v/>
      </c>
      <c r="H24" s="12"/>
      <c r="I24" s="239" t="s">
        <v>95</v>
      </c>
      <c r="J24" s="232"/>
      <c r="K24" s="231" t="str">
        <f t="array" ref="K24">IF(
  J24 = 0, 
  "", 
  IFERROR(
    INDEX(
      'アイテム別限界値DB'!$K:$K, 
      MATCH(
        1, 
        ('アイテム別限界値DB'!$B:$B = I$10) * 
        ('アイテム別限界値DB'!$F:$F = I24) * 
        ('アイテム別限界値DB'!$H:$H = J24), 
        0
      )
    ), 
    "再製作"
  )
)
</f>
        <v/>
      </c>
      <c r="L24" s="218" t="str">
        <f t="array" ref="L24">IF(
  J24 = 0, 
  "", 
  IFERROR(
    INDEX(
      'アイテム別限界値DB'!$L:$L, 
      MATCH(
        1, 
        ('アイテム別限界値DB'!$B:$B = I$10) * 
        ('アイテム別限界値DB'!$C:$C = I24) * 
        ('アイテム別限界値DB'!$F:$F = J24), 
        0
      )
    ), 
    ""
  )
)
</f>
        <v/>
      </c>
      <c r="M24" s="11"/>
      <c r="N24" s="224"/>
      <c r="O24" s="220"/>
      <c r="P24" s="220" t="str">
        <f t="array" ref="P24">IF(
  O24 = 0, 
  "", 
  IFERROR(
    INDEX(
      'アイテム別限界値DB'!$I:$I, 
      MATCH(
        1, 
        ('アイテム別限界値DB'!$B:$B = N$10) * 
        ('アイテム別限界値DB'!$C:$C = N24) * 
        ('アイテム別限界値DB'!$F:$F = O24), 
        0
      )
    ), 
    "再製作"
  )
)
</f>
        <v/>
      </c>
      <c r="Q24" s="121" t="str">
        <f t="array" ref="Q24">IF(
  O24 = 0, 
  "", 
  IFERROR(
    INDEX(
      'アイテム別限界値DB'!$L:$L, 
      MATCH(
        1, 
        ('アイテム別限界値DB'!$B:$B = N$10) * 
        ('アイテム別限界値DB'!$C:$C = N24) * 
        ('アイテム別限界値DB'!$F:$F = O24), 
        0
      )
    ), 
    ""
  )
)
</f>
        <v/>
      </c>
      <c r="R24" s="11"/>
      <c r="S24" s="239" t="s">
        <v>96</v>
      </c>
      <c r="T24" s="232"/>
      <c r="U24" s="231" t="str">
        <f t="array" ref="U24">IF(
  T24 = 0, 
  "", 
  IFERROR(
    INDEX(
      'アイテム別限界値DB'!$K:$K, 
      MATCH(
        1, 
        ('アイテム別限界値DB'!$B:$B = S$10) * 
        ('アイテム別限界値DB'!$F:$F = S24) * 
        ('アイテム別限界値DB'!$H:$H = T24), 
        0
      )
    ), 
    "再製作"
  )
)
</f>
        <v/>
      </c>
      <c r="V24" s="218" t="str">
        <f t="array" ref="V24">IF(
  T24 = 0, 
  "", 
  IFERROR(
    INDEX(
      'アイテム別限界値DB'!$L:$L, 
      MATCH(
        1, 
        ('アイテム別限界値DB'!$B:$B = S$10) * 
        ('アイテム別限界値DB'!$C:$C = S24) * 
        ('アイテム別限界値DB'!$F:$F = T24), 
        0
      )
    ), 
    ""
  )
)
</f>
        <v/>
      </c>
      <c r="W24" s="11"/>
      <c r="X24" s="239" t="s">
        <v>97</v>
      </c>
      <c r="Y24" s="230"/>
      <c r="Z24" s="231" t="str">
        <f t="array" ref="Z24">IF(
  Y24 = 0, 
  "", 
  IFERROR(
    INDEX(
      'アイテム別限界値DB'!$K:$K, 
      MATCH(
        1, 
        ('アイテム別限界値DB'!$B:$B = X$10) * 
        ('アイテム別限界値DB'!$F:$F = X24) * 
        ('アイテム別限界値DB'!$H:$H = Y24), 
        0
      )
    ), 
    "再製作"
  )
)
</f>
        <v/>
      </c>
      <c r="AA24" s="218" t="str">
        <f t="array" ref="AA24">IF(
  Y24 = 0, 
  "", 
  IFERROR(
    INDEX(
      'アイテム別限界値DB'!$L:$L, 
      MATCH(
        1, 
        ('アイテム別限界値DB'!$B:$B = X$10) * 
        ('アイテム別限界値DB'!$C:$C = X24) * 
        ('アイテム別限界値DB'!$F:$F = Y24), 
        0
      )
    ), 
    ""
  )
)
</f>
        <v/>
      </c>
      <c r="AB24" s="11"/>
      <c r="AC24" s="239" t="s">
        <v>62</v>
      </c>
      <c r="AD24" s="232"/>
      <c r="AE24" s="231" t="str">
        <f t="array" ref="AE24">IF(
  AD24 = 0, 
  "", 
  IFERROR(
    INDEX(
      'アイテム別限界値DB'!$K:$K, 
      MATCH(
        1, 
        ('アイテム別限界値DB'!$B:$B = AC$10) * 
        ('アイテム別限界値DB'!$F:$F = AC24) * 
        ('アイテム別限界値DB'!$H:$H = AD24), 
        0
      )
    ), 
    "再製作"
  )
)
</f>
        <v/>
      </c>
      <c r="AF24" s="218" t="str">
        <f t="array" ref="AF24">IF(
  AD24 = 0, 
  "", 
  IFERROR(
    INDEX(
      'アイテム別限界値DB'!$L:$L, 
      MATCH(
        1, 
        ('アイテム別限界値DB'!$B:$B = AC$10) * 
        ('アイテム別限界値DB'!$C:$C = AC24) * 
        ('アイテム別限界値DB'!$F:$F = AD24), 
        0
      )
    ), 
    ""
  )
)
</f>
        <v/>
      </c>
      <c r="AG24" s="11"/>
      <c r="AH24" s="224"/>
      <c r="AI24" s="225"/>
      <c r="AJ24" s="220" t="str">
        <f t="array" ref="AJ24">IF(
  AI24 = 0, 
  "", 
  IFERROR(
    INDEX(
      'アイテム別限界値DB'!$I:$I, 
      MATCH(
        1, 
        ('アイテム別限界値DB'!$B:$B = AH$10) * 
        ('アイテム別限界値DB'!$C:$C = AH24) * 
        ('アイテム別限界値DB'!$F:$F = AI24), 
        0
      )
    ), 
    "再製作"
  )
)
</f>
        <v/>
      </c>
      <c r="AK24" s="121" t="str">
        <f t="array" ref="AK24">IF(
  AI24 = 0, 
  "", 
  IFERROR(
    INDEX(
      'アイテム別限界値DB'!$L:$L, 
      MATCH(
        1, 
        ('アイテム別限界値DB'!$B:$B = AH$10) * 
        ('アイテム別限界値DB'!$C:$C = AH24) * 
        ('アイテム別限界値DB'!$F:$F = AI24), 
        0
      )
    ), 
    ""
  )
)
</f>
        <v/>
      </c>
      <c r="AL24" s="11"/>
      <c r="AM24" s="224"/>
      <c r="AN24" s="225"/>
      <c r="AO24" s="220" t="str">
        <f t="array" ref="AO24">IF(
  AN24 = 0, 
  "", 
  IFERROR(
    INDEX(
      'アイテム別限界値DB'!$I:$I, 
      MATCH(
        1, 
        ('アイテム別限界値DB'!$B:$B = AM$10) * 
        ('アイテム別限界値DB'!$C:$C = AM24) * 
        ('アイテム別限界値DB'!$F:$F = AN24), 
        0
      )
    ), 
    "再製作"
  )
)
</f>
        <v/>
      </c>
      <c r="AP24" s="121" t="str">
        <f t="array" ref="AP24">IF(
  AN24 = 0, 
  "", 
  IFERROR(
    INDEX(
      'アイテム別限界値DB'!$L:$L, 
      MATCH(
        1, 
        ('アイテム別限界値DB'!$B:$B = AM$10) * 
        ('アイテム別限界値DB'!$C:$C = AM24) * 
        ('アイテム別限界値DB'!$F:$F = AN24), 
        0
      )
    ), 
    ""
  )
)
</f>
        <v/>
      </c>
      <c r="AQ24" s="11"/>
      <c r="AR24" s="224"/>
      <c r="AS24" s="225"/>
      <c r="AT24" s="220" t="str">
        <f t="array" ref="AT24">IF(
  AS24 = 0, 
  "", 
  IFERROR(
    INDEX(
      'アイテム別限界値DB'!$I:$I, 
      MATCH(
        1, 
        ('アイテム別限界値DB'!$B:$B = AR$10) * 
        ('アイテム別限界値DB'!$C:$C = AR24) * 
        ('アイテム別限界値DB'!$F:$F = AS24), 
        0
      )
    ), 
    "再製作"
  )
)
</f>
        <v/>
      </c>
      <c r="AU24" s="121" t="str">
        <f t="array" ref="AU24">IF(
  AS24 = 0, 
  "", 
  IFERROR(
    INDEX(
      'アイテム別限界値DB'!$L:$L, 
      MATCH(
        1, 
        ('アイテム別限界値DB'!$B:$B = AR$10) * 
        ('アイテム別限界値DB'!$C:$C = AR24) * 
        ('アイテム別限界値DB'!$F:$F = AS24), 
        0
      )
    ), 
    ""
  )
)
</f>
        <v/>
      </c>
      <c r="AV24" s="121"/>
      <c r="AW24" s="224"/>
      <c r="AX24" s="225"/>
      <c r="AY24" s="220" t="str">
        <f t="array" ref="AY24">IF(
  AX24 = 0, 
  "", 
  IFERROR(
    INDEX(
      'アイテム別限界値DB'!$I:$I, 
      MATCH(
        1, 
        ('アイテム別限界値DB'!$B:$B = AW$10) * 
        ('アイテム別限界値DB'!$C:$C = AW24) * 
        ('アイテム別限界値DB'!$F:$F = AX24), 
        0
      )
    ), 
    "再製作"
  )
)
</f>
        <v/>
      </c>
      <c r="AZ24" s="121" t="str">
        <f t="array" ref="AZ24">IF(
  AX24 = 0, 
  "", 
  IFERROR(
    INDEX(
      'アイテム別限界値DB'!$L:$L, 
      MATCH(
        1, 
        ('アイテム別限界値DB'!$B:$B = AW$10) * 
        ('アイテム別限界値DB'!$C:$C = AW24) * 
        ('アイテム別限界値DB'!$F:$F = AX24), 
        0
      )
    ), 
    ""
  )
)
</f>
        <v/>
      </c>
      <c r="BA24" s="121"/>
      <c r="BB24" s="224"/>
      <c r="BC24" s="225"/>
      <c r="BD24" s="220" t="str">
        <f t="array" ref="BD24">IF(
  BC24 = 0, 
  "", 
  IFERROR(
    INDEX(
      'アイテム別限界値DB'!$I:$I, 
      MATCH(
        1, 
        ('アイテム別限界値DB'!$B:$B = BB$10) * 
        ('アイテム別限界値DB'!$C:$C = BB24) * 
        ('アイテム別限界値DB'!$F:$F = BC24), 
        0
      )
    ), 
    "再製作"
  )
)
</f>
        <v/>
      </c>
      <c r="BE24" s="121" t="str">
        <f t="array" ref="BE24">IF(
  BC24 = 0, 
  "", 
  IFERROR(
    INDEX(
      'アイテム別限界値DB'!$L:$L, 
      MATCH(
        1, 
        ('アイテム別限界値DB'!$B:$B = BB$10) * 
        ('アイテム別限界値DB'!$C:$C = BB24) * 
        ('アイテム別限界値DB'!$F:$F = BC24), 
        0
      )
    ), 
    ""
  )
)
</f>
        <v/>
      </c>
      <c r="BF24" s="121"/>
      <c r="BG24" s="224"/>
      <c r="BH24" s="225"/>
      <c r="BI24" s="220" t="str">
        <f t="array" ref="BI24">IF(
  BH24 = 0, 
  "", 
  IFERROR(
    INDEX(
      'アイテム別限界値DB'!$I:$I, 
      MATCH(
        1, 
        ('アイテム別限界値DB'!$B:$B = BG$10) * 
        ('アイテム別限界値DB'!$C:$C = BG24) * 
        ('アイテム別限界値DB'!$F:$F = BH24), 
        0
      )
    ), 
    "再製作"
  )
)
</f>
        <v/>
      </c>
      <c r="BJ24" s="121" t="str">
        <f t="array" ref="BJ24">IF(
  BH24 = 0, 
  "", 
  IFERROR(
    INDEX(
      'アイテム別限界値DB'!$L:$L, 
      MATCH(
        1, 
        ('アイテム別限界値DB'!$B:$B = BG$10) * 
        ('アイテム別限界値DB'!$C:$C = BG24) * 
        ('アイテム別限界値DB'!$F:$F = BH24), 
        0
      )
    ), 
    ""
  )
)
</f>
        <v/>
      </c>
      <c r="BK24" s="121"/>
      <c r="BL24" s="224"/>
      <c r="BM24" s="225"/>
      <c r="BN24" s="220" t="str">
        <f t="array" ref="BN24">IF(
  BM24 = 0, 
  "", 
  IFERROR(
    INDEX(
      'アイテム別限界値DB'!$I:$I, 
      MATCH(
        1, 
        ('アイテム別限界値DB'!$B:$B = BL$10) * 
        ('アイテム別限界値DB'!$C:$C = BL24) * 
        ('アイテム別限界値DB'!$F:$F = BM24), 
        0
      )
    ), 
    "再製作"
  )
)
</f>
        <v/>
      </c>
      <c r="BO24" s="121" t="str">
        <f t="array" ref="BO24">IF(
  BM24 = 0, 
  "", 
  IFERROR(
    INDEX(
      'アイテム別限界値DB'!$L:$L, 
      MATCH(
        1, 
        ('アイテム別限界値DB'!$B:$B = BL$10) * 
        ('アイテム別限界値DB'!$C:$C = BL24) * 
        ('アイテム別限界値DB'!$F:$F = BM24), 
        0
      )
    ), 
    ""
  )
)
</f>
        <v/>
      </c>
      <c r="BP24" s="195"/>
    </row>
    <row r="25" ht="18.75" customHeight="1">
      <c r="A25" s="228" t="str">
        <f>IFERROR(__xludf.DUMMYFUNCTION("TEXTJOIN(CHAR(10),TRUE,FILTER(ARRAYFORMULA(IF(O$14:O72&lt;&gt;"""",N$14:N72 &amp;"" : ""&amp; O$14:O72 &amp;"" cm"","""")), N$14:N72 &lt;&gt;""""))"),"")</f>
        <v/>
      </c>
      <c r="B25" s="224"/>
      <c r="C25" s="224"/>
      <c r="D25" s="239" t="s">
        <v>98</v>
      </c>
      <c r="E25" s="232"/>
      <c r="F25" s="231" t="str">
        <f t="array" ref="F25">IF(
  E25 = 0, 
  "", 
  IFERROR(
    INDEX(
      'アイテム別限界値DB'!$K:$K, 
      MATCH(
        1, 
        ('アイテム別限界値DB'!$B:$B = D$10) * 
        ('アイテム別限界値DB'!$F:$F = D25) * 
        ('アイテム別限界値DB'!$H:$H = E25), 
        0
      )
    ), 
    "再製作"
  )
)
</f>
        <v/>
      </c>
      <c r="G25" s="218" t="str">
        <f t="array" ref="G25">IF(
  E25 = 0, 
  "", 
  IFERROR(
    INDEX(
      'アイテム別限界値DB'!$L:$L, 
      MATCH(
        1, 
        ('アイテム別限界値DB'!$B:$B = D$10) * 
        ('アイテム別限界値DB'!$C:$C = D25) * 
        ('アイテム別限界値DB'!$F:$F = E25), 
        0
      )
    ), 
    ""
  )
)
</f>
        <v/>
      </c>
      <c r="H25" s="12"/>
      <c r="I25" s="224" t="s">
        <v>99</v>
      </c>
      <c r="J25" s="232"/>
      <c r="K25" s="231" t="str">
        <f t="array" ref="K25">IF(
  J25 = 0, 
  "", 
  IFERROR(
    INDEX(
      'アイテム別限界値DB'!$K:$K, 
      MATCH(
        1, 
        ('アイテム別限界値DB'!$B:$B = I$10) * 
        ('アイテム別限界値DB'!$F:$F = I25) * 
        ('アイテム別限界値DB'!$H:$H = J25), 
        0
      )
    ), 
    "再製作"
  )
)
</f>
        <v/>
      </c>
      <c r="L25" s="195"/>
      <c r="M25" s="11"/>
      <c r="N25" s="11"/>
      <c r="O25" s="220"/>
      <c r="P25" s="184"/>
      <c r="Q25" s="11"/>
      <c r="R25" s="11"/>
      <c r="S25" s="186" t="s">
        <v>100</v>
      </c>
      <c r="T25" s="232"/>
      <c r="U25" s="231" t="str">
        <f t="array" ref="U25">IF(
  T25 = 0, 
  "", 
  IFERROR(
    INDEX(
      'アイテム別限界値DB'!$K:$K, 
      MATCH(
        1, 
        ('アイテム別限界値DB'!$B:$B = S$10) * 
        ('アイテム別限界値DB'!$F:$F = S25) * 
        ('アイテム別限界値DB'!$H:$H = T25), 
        0
      )
    ), 
    "再製作"
  )
)
</f>
        <v/>
      </c>
      <c r="V25" s="234"/>
      <c r="W25" s="11"/>
      <c r="X25" s="186" t="s">
        <v>101</v>
      </c>
      <c r="Y25" s="232"/>
      <c r="Z25" s="231" t="str">
        <f t="array" ref="Z25">IF(
  Y25 = 0, 
  "", 
  IFERROR(
    INDEX(
      'アイテム別限界値DB'!$K:$K, 
      MATCH(
        1, 
        ('アイテム別限界値DB'!$B:$B = X$10) * 
        ('アイテム別限界値DB'!$F:$F = X25) * 
        ('アイテム別限界値DB'!$H:$H = Y25), 
        0
      )
    ), 
    "再製作"
  )
)
</f>
        <v/>
      </c>
      <c r="AA25" s="218" t="str">
        <f t="array" ref="AA25">IF(
  Y25 = 0, 
  "", 
  IFERROR(
    INDEX(
      'アイテム別限界値DB'!$L:$L, 
      MATCH(
        1, 
        ('アイテム別限界値DB'!$B:$B = X$10) * 
        ('アイテム別限界値DB'!$C:$C = X25) * 
        ('アイテム別限界値DB'!$F:$F = Y25), 
        0
      )
    ), 
    ""
  )
)
</f>
        <v/>
      </c>
      <c r="AB25" s="11"/>
      <c r="AC25" s="186" t="s">
        <v>74</v>
      </c>
      <c r="AD25" s="232"/>
      <c r="AE25" s="231" t="str">
        <f t="array" ref="AE25">IF(
  AD25 = 0, 
  "", 
  IFERROR(
    INDEX(
      'アイテム別限界値DB'!$K:$K, 
      MATCH(
        1, 
        ('アイテム別限界値DB'!$B:$B = AC$10) * 
        ('アイテム別限界値DB'!$F:$F = AC25) * 
        ('アイテム別限界値DB'!$H:$H = AD25), 
        0
      )
    ), 
    "再製作"
  )
)
</f>
        <v/>
      </c>
      <c r="AF25" s="218" t="str">
        <f t="array" ref="AF25">IF(
  AD25 = 0, 
  "", 
  IFERROR(
    INDEX(
      'アイテム別限界値DB'!$L:$L, 
      MATCH(
        1, 
        ('アイテム別限界値DB'!$B:$B = AC$10) * 
        ('アイテム別限界値DB'!$C:$C = AC25) * 
        ('アイテム別限界値DB'!$F:$F = AD25), 
        0
      )
    ), 
    ""
  )
)
</f>
        <v/>
      </c>
      <c r="AG25" s="11"/>
      <c r="AH25" s="12"/>
      <c r="AI25" s="220"/>
      <c r="AJ25" s="220" t="str">
        <f t="array" ref="AJ25">IF(
  AI25 = 0, 
  "", 
  IFERROR(
    INDEX(
      'アイテム別限界値DB'!$I:$I, 
      MATCH(
        1, 
        ('アイテム別限界値DB'!$B:$B = AH$10) * 
        ('アイテム別限界値DB'!$C:$C = AH25) * 
        ('アイテム別限界値DB'!$F:$F = AI25), 
        0
      )
    ), 
    "再製作"
  )
)
</f>
        <v/>
      </c>
      <c r="AK25" s="195"/>
      <c r="AL25" s="11"/>
      <c r="AM25" s="12"/>
      <c r="AN25" s="220"/>
      <c r="AO25" s="220" t="str">
        <f t="array" ref="AO25">IF(
  AN25 = 0, 
  "", 
  IFERROR(
    INDEX(
      'アイテム別限界値DB'!$I:$I, 
      MATCH(
        1, 
        ('アイテム別限界値DB'!$B:$B = AM$10) * 
        ('アイテム別限界値DB'!$C:$C = AM25) * 
        ('アイテム別限界値DB'!$F:$F = AN25), 
        0
      )
    ), 
    "再製作"
  )
)
</f>
        <v/>
      </c>
      <c r="AP25" s="195"/>
      <c r="AQ25" s="11"/>
      <c r="AR25" s="12"/>
      <c r="AS25" s="220"/>
      <c r="AT25" s="220" t="str">
        <f t="array" ref="AT25">IF(
  AS25 = 0, 
  "", 
  IFERROR(
    INDEX(
      'アイテム別限界値DB'!$I:$I, 
      MATCH(
        1, 
        ('アイテム別限界値DB'!$B:$B = AR$10) * 
        ('アイテム別限界値DB'!$C:$C = AR25) * 
        ('アイテム別限界値DB'!$F:$F = AS25), 
        0
      )
    ), 
    "再製作"
  )
)
</f>
        <v/>
      </c>
      <c r="AU25" s="195"/>
      <c r="AV25" s="195"/>
      <c r="AW25" s="12"/>
      <c r="AX25" s="220"/>
      <c r="AY25" s="220" t="str">
        <f t="array" ref="AY25">IF(
  AX25 = 0, 
  "", 
  IFERROR(
    INDEX(
      'アイテム別限界値DB'!$I:$I, 
      MATCH(
        1, 
        ('アイテム別限界値DB'!$B:$B = AW$10) * 
        ('アイテム別限界値DB'!$C:$C = AW25) * 
        ('アイテム別限界値DB'!$F:$F = AX25), 
        0
      )
    ), 
    "再製作"
  )
)
</f>
        <v/>
      </c>
      <c r="AZ25" s="195"/>
      <c r="BA25" s="195"/>
      <c r="BB25" s="12"/>
      <c r="BC25" s="220"/>
      <c r="BD25" s="220" t="str">
        <f t="array" ref="BD25">IF(
  BC25 = 0, 
  "", 
  IFERROR(
    INDEX(
      'アイテム別限界値DB'!$I:$I, 
      MATCH(
        1, 
        ('アイテム別限界値DB'!$B:$B = BB$10) * 
        ('アイテム別限界値DB'!$C:$C = BB25) * 
        ('アイテム別限界値DB'!$F:$F = BC25), 
        0
      )
    ), 
    "再製作"
  )
)
</f>
        <v/>
      </c>
      <c r="BE25" s="195"/>
      <c r="BF25" s="195"/>
      <c r="BG25" s="12"/>
      <c r="BH25" s="220"/>
      <c r="BI25" s="220" t="str">
        <f t="array" ref="BI25">IF(
  BH25 = 0, 
  "", 
  IFERROR(
    INDEX(
      'アイテム別限界値DB'!$I:$I, 
      MATCH(
        1, 
        ('アイテム別限界値DB'!$B:$B = BG$10) * 
        ('アイテム別限界値DB'!$C:$C = BG25) * 
        ('アイテム別限界値DB'!$F:$F = BH25), 
        0
      )
    ), 
    "再製作"
  )
)
</f>
        <v/>
      </c>
      <c r="BJ25" s="195"/>
      <c r="BK25" s="195"/>
      <c r="BL25" s="195"/>
      <c r="BM25" s="220"/>
      <c r="BN25" s="220" t="str">
        <f t="array" ref="BN25">IF(
  BM25 = 0, 
  "", 
  IFERROR(
    INDEX(
      'アイテム別限界値DB'!$I:$I, 
      MATCH(
        1, 
        ('アイテム別限界値DB'!$B:$B = BL$10) * 
        ('アイテム別限界値DB'!$C:$C = BL25) * 
        ('アイテム別限界値DB'!$F:$F = BM25), 
        0
      )
    ), 
    "再製作"
  )
)
</f>
        <v/>
      </c>
      <c r="BO25" s="195"/>
      <c r="BP25" s="195"/>
    </row>
    <row r="26" ht="18.75" customHeight="1">
      <c r="A26" s="236" t="str">
        <f>if($A$24&lt;&gt;"", "《仕上がり数値》","")</f>
        <v/>
      </c>
      <c r="B26" s="229"/>
      <c r="C26" s="224"/>
      <c r="D26" s="239" t="s">
        <v>74</v>
      </c>
      <c r="E26" s="230"/>
      <c r="F26" s="231" t="str">
        <f t="array" ref="F26">IF(
  E26 = 0, 
  "", 
  IFERROR(
    INDEX(
      'アイテム別限界値DB'!$K:$K, 
      MATCH(
        1, 
        ('アイテム別限界値DB'!$B:$B = D$10) * 
        ('アイテム別限界値DB'!$F:$F = D26) * 
        ('アイテム別限界値DB'!$H:$H = E26), 
        0
      )
    ), 
    "再製作"
  )
)
</f>
        <v/>
      </c>
      <c r="G26" s="218" t="str">
        <f t="array" ref="G26">IF(
  E26 = 0, 
  "", 
  IFERROR(
    INDEX(
      'アイテム別限界値DB'!$L:$L, 
      MATCH(
        1, 
        ('アイテム別限界値DB'!$B:$B = D$10) * 
        ('アイテム別限界値DB'!$C:$C = D26) * 
        ('アイテム別限界値DB'!$F:$F = E26), 
        0
      )
    ), 
    ""
  )
)
</f>
        <v/>
      </c>
      <c r="H26" s="12"/>
      <c r="I26" s="11" t="s">
        <v>100</v>
      </c>
      <c r="J26" s="232"/>
      <c r="K26" s="231" t="str">
        <f t="array" ref="K26">IF(
  J26 = 0, 
  "", 
  IFERROR(
    INDEX(
      'アイテム別限界値DB'!$K:$K, 
      MATCH(
        1, 
        ('アイテム別限界値DB'!$B:$B = I$10) * 
        ('アイテム別限界値DB'!$F:$F = I26) * 
        ('アイテム別限界値DB'!$H:$H = J26), 
        0
      )
    ), 
    "再製作"
  )
)
</f>
        <v/>
      </c>
      <c r="L26" s="195"/>
      <c r="M26" s="11"/>
      <c r="N26" s="11"/>
      <c r="O26" s="220"/>
      <c r="P26" s="184"/>
      <c r="Q26" s="11"/>
      <c r="R26" s="11"/>
      <c r="S26" s="12" t="s">
        <v>95</v>
      </c>
      <c r="T26" s="232"/>
      <c r="U26" s="231" t="str">
        <f t="array" ref="U26">IF(
  T26 = 0, 
  "", 
  IFERROR(
    INDEX(
      'アイテム別限界値DB'!$K:$K, 
      MATCH(
        1, 
        ('アイテム別限界値DB'!$B:$B = S$10) * 
        ('アイテム別限界値DB'!$F:$F = S26) * 
        ('アイテム別限界値DB'!$H:$H = T26), 
        0
      )
    ), 
    "再製作"
  )
)
</f>
        <v/>
      </c>
      <c r="V26" s="195"/>
      <c r="W26" s="11"/>
      <c r="X26" s="186" t="s">
        <v>62</v>
      </c>
      <c r="Y26" s="230"/>
      <c r="Z26" s="231" t="str">
        <f t="array" ref="Z26">IF(
  Y26 = 0, 
  "", 
  IFERROR(
    INDEX(
      'アイテム別限界値DB'!$K:$K, 
      MATCH(
        1, 
        ('アイテム別限界値DB'!$B:$B = X$10) * 
        ('アイテム別限界値DB'!$F:$F = X26) * 
        ('アイテム別限界値DB'!$H:$H = Y26), 
        0
      )
    ), 
    "再製作"
  )
)
</f>
        <v/>
      </c>
      <c r="AA26" s="218" t="str">
        <f t="array" ref="AA26">IF(
  Y26 = 0, 
  "", 
  IFERROR(
    INDEX(
      'アイテム別限界値DB'!$L:$L, 
      MATCH(
        1, 
        ('アイテム別限界値DB'!$B:$B = X$10) * 
        ('アイテム別限界値DB'!$C:$C = X26) * 
        ('アイテム別限界値DB'!$F:$F = Y26), 
        0
      )
    ), 
    ""
  )
)
</f>
        <v/>
      </c>
      <c r="AB26" s="11"/>
      <c r="AC26" s="186" t="s">
        <v>67</v>
      </c>
      <c r="AD26" s="232"/>
      <c r="AE26" s="231" t="str">
        <f t="array" ref="AE26">IF(
  AD26 = 0, 
  "", 
  IFERROR(
    INDEX(
      'アイテム別限界値DB'!$K:$K, 
      MATCH(
        1, 
        ('アイテム別限界値DB'!$B:$B = AC$10) * 
        ('アイテム別限界値DB'!$F:$F = AC26) * 
        ('アイテム別限界値DB'!$H:$H = AD26), 
        0
      )
    ), 
    "再製作"
  )
)
</f>
        <v/>
      </c>
      <c r="AF26" s="218" t="str">
        <f t="array" ref="AF26">IF(
  AD26 = 0, 
  "", 
  IFERROR(
    INDEX(
      'アイテム別限界値DB'!$L:$L, 
      MATCH(
        1, 
        ('アイテム別限界値DB'!$B:$B = AC$10) * 
        ('アイテム別限界値DB'!$C:$C = AC26) * 
        ('アイテム別限界値DB'!$F:$F = AD26), 
        0
      )
    ), 
    ""
  )
)
</f>
        <v/>
      </c>
      <c r="AG26" s="11"/>
      <c r="AH26" s="12"/>
      <c r="AI26" s="220"/>
      <c r="AJ26" s="220" t="str">
        <f t="array" ref="AJ26">IF(
  AI26 = 0, 
  "", 
  IFERROR(
    INDEX(
      'アイテム別限界値DB'!$I:$I, 
      MATCH(
        1, 
        ('アイテム別限界値DB'!$B:$B = AH$10) * 
        ('アイテム別限界値DB'!$C:$C = AH26) * 
        ('アイテム別限界値DB'!$F:$F = AI26), 
        0
      )
    ), 
    "再製作"
  )
)
</f>
        <v/>
      </c>
      <c r="AK26" s="195"/>
      <c r="AL26" s="11"/>
      <c r="AM26" s="12"/>
      <c r="AN26" s="220"/>
      <c r="AO26" s="220" t="str">
        <f t="array" ref="AO26">IF(
  AN26 = 0, 
  "", 
  IFERROR(
    INDEX(
      'アイテム別限界値DB'!$I:$I, 
      MATCH(
        1, 
        ('アイテム別限界値DB'!$B:$B = AM$10) * 
        ('アイテム別限界値DB'!$C:$C = AM26) * 
        ('アイテム別限界値DB'!$F:$F = AN26), 
        0
      )
    ), 
    "再製作"
  )
)
</f>
        <v/>
      </c>
      <c r="AP26" s="195"/>
      <c r="AQ26" s="11"/>
      <c r="AR26" s="12"/>
      <c r="AS26" s="220"/>
      <c r="AT26" s="220" t="str">
        <f t="array" ref="AT26">IF(
  AS26 = 0, 
  "", 
  IFERROR(
    INDEX(
      'アイテム別限界値DB'!$I:$I, 
      MATCH(
        1, 
        ('アイテム別限界値DB'!$B:$B = AR$10) * 
        ('アイテム別限界値DB'!$C:$C = AR26) * 
        ('アイテム別限界値DB'!$F:$F = AS26), 
        0
      )
    ), 
    "再製作"
  )
)
</f>
        <v/>
      </c>
      <c r="AU26" s="195"/>
      <c r="AV26" s="195"/>
      <c r="AW26" s="12"/>
      <c r="AX26" s="220"/>
      <c r="AY26" s="220" t="str">
        <f t="array" ref="AY26">IF(
  AX26 = 0, 
  "", 
  IFERROR(
    INDEX(
      'アイテム別限界値DB'!$I:$I, 
      MATCH(
        1, 
        ('アイテム別限界値DB'!$B:$B = AW$10) * 
        ('アイテム別限界値DB'!$C:$C = AW26) * 
        ('アイテム別限界値DB'!$F:$F = AX26), 
        0
      )
    ), 
    "再製作"
  )
)
</f>
        <v/>
      </c>
      <c r="AZ26" s="195"/>
      <c r="BA26" s="195"/>
      <c r="BB26" s="12"/>
      <c r="BC26" s="220"/>
      <c r="BD26" s="220" t="str">
        <f t="array" ref="BD26">IF(
  BC26 = 0, 
  "", 
  IFERROR(
    INDEX(
      'アイテム別限界値DB'!$I:$I, 
      MATCH(
        1, 
        ('アイテム別限界値DB'!$B:$B = BB$10) * 
        ('アイテム別限界値DB'!$C:$C = BB26) * 
        ('アイテム別限界値DB'!$F:$F = BC26), 
        0
      )
    ), 
    "再製作"
  )
)
</f>
        <v/>
      </c>
      <c r="BE26" s="195"/>
      <c r="BF26" s="195"/>
      <c r="BG26" s="12"/>
      <c r="BH26" s="220"/>
      <c r="BI26" s="220" t="str">
        <f t="array" ref="BI26">IF(
  BH26 = 0, 
  "", 
  IFERROR(
    INDEX(
      'アイテム別限界値DB'!$I:$I, 
      MATCH(
        1, 
        ('アイテム別限界値DB'!$B:$B = BG$10) * 
        ('アイテム別限界値DB'!$C:$C = BG26) * 
        ('アイテム別限界値DB'!$F:$F = BH26), 
        0
      )
    ), 
    "再製作"
  )
)
</f>
        <v/>
      </c>
      <c r="BJ26" s="195"/>
      <c r="BK26" s="195"/>
      <c r="BL26" s="195"/>
      <c r="BM26" s="220"/>
      <c r="BN26" s="220" t="str">
        <f t="array" ref="BN26">IF(
  BM26 = 0, 
  "", 
  IFERROR(
    INDEX(
      'アイテム別限界値DB'!$I:$I, 
      MATCH(
        1, 
        ('アイテム別限界値DB'!$B:$B = BL$10) * 
        ('アイテム別限界値DB'!$C:$C = BL26) * 
        ('アイテム別限界値DB'!$F:$F = BM26), 
        0
      )
    ), 
    "再製作"
  )
)
</f>
        <v/>
      </c>
      <c r="BO26" s="195"/>
      <c r="BP26" s="195"/>
    </row>
    <row r="27" ht="18.75" customHeight="1">
      <c r="A27" s="228" t="str">
        <f>IFERROR(__xludf.DUMMYFUNCTION("TEXTJOIN(CHAR(10),TRUE,FILTER(ARRAYFORMULA(IF(O$14:O72&lt;&gt;"""",N$14:N72 &amp;"" :  cm"","""")), N$14:N72 &lt;&gt;""""))"),"")</f>
        <v/>
      </c>
      <c r="B27" s="229"/>
      <c r="C27" s="224"/>
      <c r="D27" s="239" t="s">
        <v>67</v>
      </c>
      <c r="E27" s="230"/>
      <c r="F27" s="231" t="str">
        <f t="array" ref="F27">IF(
  E27 = 0, 
  "", 
  IFERROR(
    INDEX(
      'アイテム別限界値DB'!$K:$K, 
      MATCH(
        1, 
        ('アイテム別限界値DB'!$B:$B = D$10) * 
        ('アイテム別限界値DB'!$F:$F = D27) * 
        ('アイテム別限界値DB'!$H:$H = E27), 
        0
      )
    ), 
    "再製作"
  )
)
</f>
        <v/>
      </c>
      <c r="G27" s="218" t="str">
        <f t="array" ref="G27">IF(
  E27 = 0, 
  "", 
  IFERROR(
    INDEX(
      'アイテム別限界値DB'!$L:$L, 
      MATCH(
        1, 
        ('アイテム別限界値DB'!$B:$B = D$10) * 
        ('アイテム別限界値DB'!$C:$C = D27) * 
        ('アイテム別限界値DB'!$F:$F = E27), 
        0
      )
    ), 
    ""
  )
)
</f>
        <v/>
      </c>
      <c r="H27" s="12"/>
      <c r="I27" s="11" t="s">
        <v>103</v>
      </c>
      <c r="J27" s="232"/>
      <c r="K27" s="231" t="str">
        <f t="array" ref="K27">IF(
  J27 = 0, 
  "", 
  IFERROR(
    INDEX(
      'アイテム別限界値DB'!$K:$K, 
      MATCH(
        1, 
        ('アイテム別限界値DB'!$B:$B = I$10) * 
        ('アイテム別限界値DB'!$F:$F = I27) * 
        ('アイテム別限界値DB'!$H:$H = J27), 
        0
      )
    ), 
    "再製作"
  )
)
</f>
        <v/>
      </c>
      <c r="L27" s="11"/>
      <c r="M27" s="11"/>
      <c r="N27" s="11"/>
      <c r="O27" s="220"/>
      <c r="P27" s="184"/>
      <c r="Q27" s="11"/>
      <c r="R27" s="11"/>
      <c r="S27" s="12" t="s">
        <v>99</v>
      </c>
      <c r="T27" s="232"/>
      <c r="U27" s="231" t="str">
        <f t="array" ref="U27">IF(
  T27 = 0, 
  "", 
  IFERROR(
    INDEX(
      'アイテム別限界値DB'!$K:$K, 
      MATCH(
        1, 
        ('アイテム別限界値DB'!$B:$B = S$10) * 
        ('アイテム別限界値DB'!$F:$F = S27) * 
        ('アイテム別限界値DB'!$H:$H = T27), 
        0
      )
    ), 
    "再製作"
  )
)
</f>
        <v/>
      </c>
      <c r="V27" s="12"/>
      <c r="W27" s="11"/>
      <c r="X27" s="240" t="s">
        <v>74</v>
      </c>
      <c r="Y27" s="232"/>
      <c r="Z27" s="231" t="str">
        <f t="array" ref="Z27">IF(
  Y27 = 0, 
  "", 
  IFERROR(
    INDEX(
      'アイテム別限界値DB'!$K:$K, 
      MATCH(
        1, 
        ('アイテム別限界値DB'!$B:$B = X$10) * 
        ('アイテム別限界値DB'!$F:$F = X27) * 
        ('アイテム別限界値DB'!$H:$H = Y27), 
        0
      )
    ), 
    "再製作"
  )
)
</f>
        <v/>
      </c>
      <c r="AA27" s="218" t="str">
        <f t="array" ref="AA27">IF(
  Y27 = 0, 
  "", 
  IFERROR(
    INDEX(
      'アイテム別限界値DB'!$L:$L, 
      MATCH(
        1, 
        ('アイテム別限界値DB'!$B:$B = X$10) * 
        ('アイテム別限界値DB'!$C:$C = X27) * 
        ('アイテム別限界値DB'!$F:$F = Y27), 
        0
      )
    ), 
    ""
  )
)
</f>
        <v/>
      </c>
      <c r="AB27" s="11"/>
      <c r="AC27" s="240" t="s">
        <v>79</v>
      </c>
      <c r="AD27" s="232"/>
      <c r="AE27" s="231" t="str">
        <f t="array" ref="AE27">IF(
  AD27 = 0, 
  "", 
  IFERROR(
    INDEX(
      'アイテム別限界値DB'!$K:$K, 
      MATCH(
        1, 
        ('アイテム別限界値DB'!$B:$B = AC$10) * 
        ('アイテム別限界値DB'!$F:$F = AC27) * 
        ('アイテム別限界値DB'!$H:$H = AD27), 
        0
      )
    ), 
    "再製作"
  )
)
</f>
        <v/>
      </c>
      <c r="AF27" s="218" t="str">
        <f t="array" ref="AF27">IF(
  AD27 = 0, 
  "", 
  IFERROR(
    INDEX(
      'アイテム別限界値DB'!$L:$L, 
      MATCH(
        1, 
        ('アイテム別限界値DB'!$B:$B = AC$10) * 
        ('アイテム別限界値DB'!$C:$C = AC27) * 
        ('アイテム別限界値DB'!$F:$F = AD27), 
        0
      )
    ), 
    ""
  )
)
</f>
        <v/>
      </c>
      <c r="AG27" s="11"/>
      <c r="AH27" s="11"/>
      <c r="AI27" s="220"/>
      <c r="AJ27" s="184"/>
      <c r="AK27" s="11"/>
      <c r="AL27" s="11"/>
      <c r="AM27" s="11"/>
      <c r="AN27" s="220"/>
      <c r="AO27" s="184"/>
      <c r="AP27" s="11"/>
      <c r="AQ27" s="11"/>
      <c r="AR27" s="11"/>
      <c r="AS27" s="220"/>
      <c r="AT27" s="184"/>
      <c r="AU27" s="11"/>
      <c r="AV27" s="11"/>
      <c r="AW27" s="11"/>
      <c r="AX27" s="220"/>
      <c r="AY27" s="184"/>
      <c r="AZ27" s="11"/>
      <c r="BA27" s="11"/>
      <c r="BB27" s="11"/>
      <c r="BC27" s="220"/>
      <c r="BD27" s="184"/>
      <c r="BE27" s="11"/>
      <c r="BF27" s="11"/>
      <c r="BG27" s="11"/>
      <c r="BH27" s="220"/>
      <c r="BI27" s="184"/>
      <c r="BJ27" s="11"/>
      <c r="BK27" s="11"/>
      <c r="BL27" s="11"/>
      <c r="BM27" s="220"/>
      <c r="BN27" s="184"/>
      <c r="BO27" s="11"/>
      <c r="BP27" s="11"/>
    </row>
    <row r="28" ht="15.75" customHeight="1">
      <c r="A28" s="237" t="s">
        <v>104</v>
      </c>
      <c r="B28" s="11"/>
      <c r="C28" s="11"/>
      <c r="D28" s="11" t="s">
        <v>79</v>
      </c>
      <c r="E28" s="232"/>
      <c r="F28" s="231" t="str">
        <f t="array" ref="F28">IF(
  E28 = 0, 
  "", 
  IFERROR(
    INDEX(
      'アイテム別限界値DB'!$K:$K, 
      MATCH(
        1, 
        ('アイテム別限界値DB'!$B:$B = D$10) * 
        ('アイテム別限界値DB'!$F:$F = D28) * 
        ('アイテム別限界値DB'!$H:$H = E28), 
        0
      )
    ), 
    "再製作"
  )
)
</f>
        <v/>
      </c>
      <c r="G28" s="218" t="str">
        <f t="array" ref="G28">IF(
  E28 = 0, 
  "", 
  IFERROR(
    INDEX(
      'アイテム別限界値DB'!$L:$L, 
      MATCH(
        1, 
        ('アイテム別限界値DB'!$B:$B = D$10) * 
        ('アイテム別限界値DB'!$C:$C = D28) * 
        ('アイテム別限界値DB'!$F:$F = E28), 
        0
      )
    ), 
    ""
  )
)
</f>
        <v/>
      </c>
      <c r="H28" s="11"/>
      <c r="I28" s="11"/>
      <c r="J28" s="220"/>
      <c r="K28" s="184"/>
      <c r="L28" s="11"/>
      <c r="M28" s="11"/>
      <c r="N28" s="11"/>
      <c r="O28" s="220"/>
      <c r="P28" s="184"/>
      <c r="Q28" s="11"/>
      <c r="R28" s="12"/>
      <c r="S28" s="11" t="s">
        <v>103</v>
      </c>
      <c r="T28" s="232"/>
      <c r="U28" s="231" t="str">
        <f t="array" ref="U28">IF(
  T28 = 0, 
  "", 
  IFERROR(
    INDEX(
      'アイテム別限界値DB'!$K:$K, 
      MATCH(
        1, 
        ('アイテム別限界値DB'!$B:$B = S$10) * 
        ('アイテム別限界値DB'!$F:$F = S28) * 
        ('アイテム別限界値DB'!$H:$H = T28), 
        0
      )
    ), 
    "再製作"
  )
)
</f>
        <v/>
      </c>
      <c r="V28" s="11"/>
      <c r="W28" s="11"/>
      <c r="X28" s="11" t="s">
        <v>67</v>
      </c>
      <c r="Y28" s="241"/>
      <c r="Z28" s="231" t="str">
        <f t="array" ref="Z28">IF(
  Y28 = 0, 
  "", 
  IFERROR(
    INDEX(
      'アイテム別限界値DB'!$K:$K, 
      MATCH(
        1, 
        ('アイテム別限界値DB'!$B:$B = X$10) * 
        ('アイテム別限界値DB'!$F:$F = X28) * 
        ('アイテム別限界値DB'!$H:$H = Y28), 
        0
      )
    ), 
    "再製作"
  )
)
</f>
        <v/>
      </c>
      <c r="AA28" s="218" t="str">
        <f t="array" ref="AA28">IF(
  Y28 = 0, 
  "", 
  IFERROR(
    INDEX(
      'アイテム別限界値DB'!$L:$L, 
      MATCH(
        1, 
        ('アイテム別限界値DB'!$B:$B = X$10) * 
        ('アイテム別限界値DB'!$C:$C = X28) * 
        ('アイテム別限界値DB'!$F:$F = Y28), 
        0
      )
    ), 
    ""
  )
)
</f>
        <v/>
      </c>
      <c r="AB28" s="11"/>
      <c r="AC28" s="11" t="s">
        <v>83</v>
      </c>
      <c r="AD28" s="232"/>
      <c r="AE28" s="231" t="str">
        <f t="array" ref="AE28">IF(
  AD28 = 0, 
  "", 
  IFERROR(
    INDEX(
      'アイテム別限界値DB'!$K:$K, 
      MATCH(
        1, 
        ('アイテム別限界値DB'!$B:$B = AC$10) * 
        ('アイテム別限界値DB'!$F:$F = AC28) * 
        ('アイテム別限界値DB'!$H:$H = AD28), 
        0
      )
    ), 
    "再製作"
  )
)
</f>
        <v/>
      </c>
      <c r="AF28" s="218" t="str">
        <f t="array" ref="AF28">IF(
  AD28 = 0, 
  "", 
  IFERROR(
    INDEX(
      'アイテム別限界値DB'!$L:$L, 
      MATCH(
        1, 
        ('アイテム別限界値DB'!$B:$B = AC$10) * 
        ('アイテム別限界値DB'!$C:$C = AC28) * 
        ('アイテム別限界値DB'!$F:$F = AD28), 
        0
      )
    ), 
    ""
  )
)
</f>
        <v/>
      </c>
      <c r="AG28" s="11"/>
      <c r="AH28" s="11"/>
      <c r="AI28" s="220"/>
      <c r="AJ28" s="184"/>
      <c r="AK28" s="11"/>
      <c r="AL28" s="11"/>
      <c r="AM28" s="11"/>
      <c r="AN28" s="220"/>
      <c r="AO28" s="184"/>
      <c r="AP28" s="11"/>
      <c r="AQ28" s="11"/>
      <c r="AR28" s="11"/>
      <c r="AS28" s="220"/>
      <c r="AT28" s="184"/>
      <c r="AU28" s="11"/>
      <c r="AV28" s="11"/>
      <c r="AW28" s="11"/>
      <c r="AX28" s="220"/>
      <c r="AY28" s="184"/>
      <c r="AZ28" s="11"/>
      <c r="BA28" s="11"/>
      <c r="BB28" s="11"/>
      <c r="BC28" s="220"/>
      <c r="BD28" s="184"/>
      <c r="BE28" s="11"/>
      <c r="BF28" s="11"/>
      <c r="BG28" s="11"/>
      <c r="BH28" s="220"/>
      <c r="BI28" s="184"/>
      <c r="BJ28" s="11"/>
      <c r="BK28" s="11"/>
      <c r="BL28" s="11"/>
      <c r="BM28" s="220"/>
      <c r="BN28" s="184"/>
      <c r="BO28" s="11"/>
      <c r="BP28" s="11"/>
    </row>
    <row r="29" ht="15.75" customHeight="1">
      <c r="A29" s="228" t="str">
        <f>IF($S$11="再製作", "◼︎ チノ（対応着地：再製作）" &amp; char(10) &amp; "《修正数値》", IF($S$11&lt;&gt;"", "◼︎ チノ（対応着地：お直し）" &amp; char(10) &amp; "《修正数値》", ""))</f>
        <v/>
      </c>
      <c r="B29" s="160"/>
      <c r="C29" s="11"/>
      <c r="D29" s="11" t="s">
        <v>83</v>
      </c>
      <c r="E29" s="232"/>
      <c r="F29" s="231" t="str">
        <f t="array" ref="F29">IF(
  E29 = 0, 
  "", 
  IFERROR(
    INDEX(
      'アイテム別限界値DB'!$K:$K, 
      MATCH(
        1, 
        ('アイテム別限界値DB'!$B:$B = D$10) * 
        ('アイテム別限界値DB'!$F:$F = D29) * 
        ('アイテム別限界値DB'!$H:$H = E29), 
        0
      )
    ), 
    "再製作"
  )
)
</f>
        <v/>
      </c>
      <c r="G29" s="218" t="str">
        <f t="array" ref="G29">IF(
  E29 = 0, 
  "", 
  IFERROR(
    INDEX(
      'アイテム別限界値DB'!$L:$L, 
      MATCH(
        1, 
        ('アイテム別限界値DB'!$B:$B = D$10) * 
        ('アイテム別限界値DB'!$C:$C = D29) * 
        ('アイテム別限界値DB'!$F:$F = E29), 
        0
      )
    ), 
    ""
  )
)
</f>
        <v/>
      </c>
      <c r="H29" s="11"/>
      <c r="I29" s="11"/>
      <c r="J29" s="220"/>
      <c r="K29" s="184"/>
      <c r="L29" s="11"/>
      <c r="M29" s="11"/>
      <c r="N29" s="11"/>
      <c r="O29" s="220"/>
      <c r="P29" s="184"/>
      <c r="Q29" s="11"/>
      <c r="R29" s="12"/>
      <c r="S29" s="11"/>
      <c r="T29" s="220"/>
      <c r="U29" s="184"/>
      <c r="V29" s="11"/>
      <c r="W29" s="11"/>
      <c r="X29" s="11" t="s">
        <v>79</v>
      </c>
      <c r="Y29" s="232"/>
      <c r="Z29" s="231" t="str">
        <f t="array" ref="Z29">IF(
  Y29 = 0, 
  "", 
  IFERROR(
    INDEX(
      'アイテム別限界値DB'!$K:$K, 
      MATCH(
        1, 
        ('アイテム別限界値DB'!$B:$B = X$10) * 
        ('アイテム別限界値DB'!$F:$F = X29) * 
        ('アイテム別限界値DB'!$H:$H = Y29), 
        0
      )
    ), 
    "再製作"
  )
)
</f>
        <v/>
      </c>
      <c r="AA29" s="11"/>
      <c r="AB29" s="11"/>
      <c r="AC29" s="11" t="s">
        <v>105</v>
      </c>
      <c r="AD29" s="232"/>
      <c r="AE29" s="231" t="str">
        <f t="array" ref="AE29">IF(
  AD29 = 0, 
  "", 
  IFERROR(
    INDEX(
      'アイテム別限界値DB'!$K:$K, 
      MATCH(
        1, 
        ('アイテム別限界値DB'!$B:$B = AC$10) * 
        ('アイテム別限界値DB'!$F:$F = AC29) * 
        ('アイテム別限界値DB'!$H:$H = AD29), 
        0
      )
    ), 
    "再製作"
  )
)
</f>
        <v/>
      </c>
      <c r="AF29" s="11"/>
      <c r="AG29" s="11"/>
      <c r="AH29" s="11"/>
      <c r="AI29" s="220"/>
      <c r="AJ29" s="184"/>
      <c r="AK29" s="11"/>
      <c r="AL29" s="11"/>
      <c r="AM29" s="11"/>
      <c r="AN29" s="220"/>
      <c r="AO29" s="184"/>
      <c r="AP29" s="11"/>
      <c r="AQ29" s="11"/>
      <c r="AR29" s="11"/>
      <c r="AS29" s="220"/>
      <c r="AT29" s="184"/>
      <c r="AU29" s="11"/>
      <c r="AV29" s="11"/>
      <c r="AW29" s="11"/>
      <c r="AX29" s="220"/>
      <c r="AY29" s="184"/>
      <c r="AZ29" s="11"/>
      <c r="BA29" s="11"/>
      <c r="BB29" s="11"/>
      <c r="BC29" s="220"/>
      <c r="BD29" s="184"/>
      <c r="BE29" s="11"/>
      <c r="BF29" s="11"/>
      <c r="BG29" s="11"/>
      <c r="BH29" s="220"/>
      <c r="BI29" s="184"/>
      <c r="BJ29" s="11"/>
      <c r="BK29" s="11"/>
      <c r="BL29" s="11"/>
      <c r="BM29" s="220"/>
      <c r="BN29" s="184"/>
      <c r="BO29" s="11"/>
      <c r="BP29" s="11"/>
    </row>
    <row r="30" ht="15.75" customHeight="1">
      <c r="A30" s="228" t="str">
        <f>IFERROR(__xludf.DUMMYFUNCTION("TEXTJOIN(CHAR(10),TRUE,FILTER(ARRAYFORMULA(IF(T$14:T72&lt;&gt;"""", S$14:S72 &amp;"" : ""&amp; T$14:T72 &amp;"" cm"","""")), S$14:S72 &lt;&gt;""""))"),"")</f>
        <v/>
      </c>
      <c r="B30" s="229"/>
      <c r="C30" s="11"/>
      <c r="D30" s="11" t="s">
        <v>106</v>
      </c>
      <c r="E30" s="232"/>
      <c r="F30" s="231" t="str">
        <f t="array" ref="F30">IF(
  E30 = 0, 
  "", 
  IFERROR(
    INDEX(
      'アイテム別限界値DB'!$K:$K, 
      MATCH(
        1, 
        ('アイテム別限界値DB'!$B:$B = D$10) * 
        ('アイテム別限界値DB'!$F:$F = D30) * 
        ('アイテム別限界値DB'!$H:$H = E30), 
        0
      )
    ), 
    "再製作"
  )
)
</f>
        <v/>
      </c>
      <c r="G30" s="218" t="str">
        <f t="array" ref="G30">IF(
  E30 = 0, 
  "", 
  IFERROR(
    INDEX(
      'アイテム別限界値DB'!$L:$L, 
      MATCH(
        1, 
        ('アイテム別限界値DB'!$B:$B = D$10) * 
        ('アイテム別限界値DB'!$C:$C = D30) * 
        ('アイテム別限界値DB'!$F:$F = E30), 
        0
      )
    ), 
    ""
  )
)
</f>
        <v/>
      </c>
      <c r="H30" s="11"/>
      <c r="I30" s="11"/>
      <c r="J30" s="220"/>
      <c r="K30" s="184"/>
      <c r="L30" s="11"/>
      <c r="M30" s="11"/>
      <c r="N30" s="11"/>
      <c r="O30" s="220"/>
      <c r="P30" s="184"/>
      <c r="Q30" s="11"/>
      <c r="R30" s="12"/>
      <c r="S30" s="11"/>
      <c r="T30" s="220"/>
      <c r="U30" s="184"/>
      <c r="V30" s="11"/>
      <c r="W30" s="11"/>
      <c r="X30" s="11" t="s">
        <v>83</v>
      </c>
      <c r="Y30" s="232"/>
      <c r="Z30" s="231" t="str">
        <f t="array" ref="Z30">IF(
  Y30 = 0, 
  "", 
  IFERROR(
    INDEX(
      'アイテム別限界値DB'!$K:$K, 
      MATCH(
        1, 
        ('アイテム別限界値DB'!$B:$B = X$10) * 
        ('アイテム別限界値DB'!$F:$F = X30) * 
        ('アイテム別限界値DB'!$H:$H = Y30), 
        0
      )
    ), 
    "再製作"
  )
)
</f>
        <v/>
      </c>
      <c r="AA30" s="11"/>
      <c r="AB30" s="11"/>
      <c r="AC30" s="11"/>
      <c r="AD30" s="220"/>
      <c r="AE30" s="184"/>
      <c r="AF30" s="11"/>
      <c r="AG30" s="11"/>
      <c r="AH30" s="11"/>
      <c r="AI30" s="220"/>
      <c r="AJ30" s="184"/>
      <c r="AK30" s="11"/>
      <c r="AL30" s="11"/>
      <c r="AM30" s="11"/>
      <c r="AN30" s="220"/>
      <c r="AO30" s="184"/>
      <c r="AP30" s="11"/>
      <c r="AQ30" s="11"/>
      <c r="AR30" s="11"/>
      <c r="AS30" s="220"/>
      <c r="AT30" s="184"/>
      <c r="AU30" s="11"/>
      <c r="AV30" s="11"/>
      <c r="AW30" s="11"/>
      <c r="AX30" s="220"/>
      <c r="AY30" s="184"/>
      <c r="AZ30" s="11"/>
      <c r="BA30" s="11"/>
      <c r="BB30" s="11"/>
      <c r="BC30" s="220"/>
      <c r="BD30" s="184"/>
      <c r="BE30" s="11"/>
      <c r="BF30" s="11"/>
      <c r="BG30" s="11"/>
      <c r="BH30" s="220"/>
      <c r="BI30" s="184"/>
      <c r="BJ30" s="11"/>
      <c r="BK30" s="11"/>
      <c r="BL30" s="11"/>
      <c r="BM30" s="220"/>
      <c r="BN30" s="184"/>
      <c r="BO30" s="11"/>
      <c r="BP30" s="11"/>
    </row>
    <row r="31" ht="15.75" customHeight="1">
      <c r="A31" s="242" t="str">
        <f>if($A$29&lt;&gt;"", "《仕上がり数値》","")</f>
        <v/>
      </c>
      <c r="B31" s="12"/>
      <c r="C31" s="11"/>
      <c r="D31" s="11" t="s">
        <v>107</v>
      </c>
      <c r="E31" s="230"/>
      <c r="F31" s="231" t="str">
        <f t="array" ref="F31">IF(
  E31 = 0, 
  "", 
  IFERROR(
    INDEX(
      'アイテム別限界値DB'!$K:$K, 
      MATCH(
        1, 
        ('アイテム別限界値DB'!$B:$B = D$10) * 
        ('アイテム別限界値DB'!$F:$F = D31) * 
        ('アイテム別限界値DB'!$H:$H = E31), 
        0
      )
    ), 
    "再製作"
  )
)
</f>
        <v/>
      </c>
      <c r="G31" s="218" t="str">
        <f t="array" ref="G31">IF(
  E31 = 0, 
  "", 
  IFERROR(
    INDEX(
      'アイテム別限界値DB'!$L:$L, 
      MATCH(
        1, 
        ('アイテム別限界値DB'!$B:$B = D$10) * 
        ('アイテム別限界値DB'!$C:$C = D31) * 
        ('アイテム別限界値DB'!$F:$F = E31), 
        0
      )
    ), 
    ""
  )
)
</f>
        <v/>
      </c>
      <c r="H31" s="11"/>
      <c r="I31" s="11"/>
      <c r="J31" s="220"/>
      <c r="K31" s="184"/>
      <c r="L31" s="11"/>
      <c r="M31" s="11"/>
      <c r="N31" s="11"/>
      <c r="O31" s="220"/>
      <c r="P31" s="184"/>
      <c r="Q31" s="11"/>
      <c r="R31" s="12"/>
      <c r="S31" s="11"/>
      <c r="T31" s="220"/>
      <c r="U31" s="184"/>
      <c r="V31" s="11"/>
      <c r="W31" s="11"/>
      <c r="X31" s="11" t="s">
        <v>105</v>
      </c>
      <c r="Y31" s="232"/>
      <c r="Z31" s="231" t="str">
        <f t="array" ref="Z31">IF(
  Y31 = 0, 
  "", 
  IFERROR(
    INDEX(
      'アイテム別限界値DB'!$K:$K, 
      MATCH(
        1, 
        ('アイテム別限界値DB'!$B:$B = X$10) * 
        ('アイテム別限界値DB'!$F:$F = X31) * 
        ('アイテム別限界値DB'!$H:$H = Y31), 
        0
      )
    ), 
    "再製作"
  )
)
</f>
        <v/>
      </c>
      <c r="AA31" s="11"/>
      <c r="AB31" s="11"/>
      <c r="AC31" s="11"/>
      <c r="AD31" s="220"/>
      <c r="AE31" s="184"/>
      <c r="AF31" s="11"/>
      <c r="AG31" s="11"/>
      <c r="AH31" s="11"/>
      <c r="AI31" s="220"/>
      <c r="AJ31" s="184"/>
      <c r="AK31" s="11"/>
      <c r="AL31" s="11"/>
      <c r="AM31" s="11"/>
      <c r="AN31" s="220"/>
      <c r="AO31" s="184"/>
      <c r="AP31" s="11"/>
      <c r="AQ31" s="11"/>
      <c r="AR31" s="11"/>
      <c r="AS31" s="220"/>
      <c r="AT31" s="184"/>
      <c r="AU31" s="11"/>
      <c r="AV31" s="11"/>
      <c r="AW31" s="11"/>
      <c r="AX31" s="220"/>
      <c r="AY31" s="184"/>
      <c r="AZ31" s="11"/>
      <c r="BA31" s="11"/>
      <c r="BB31" s="11"/>
      <c r="BC31" s="220"/>
      <c r="BD31" s="184"/>
      <c r="BE31" s="11"/>
      <c r="BF31" s="11"/>
      <c r="BG31" s="11"/>
      <c r="BH31" s="220"/>
      <c r="BI31" s="184"/>
      <c r="BJ31" s="11"/>
      <c r="BK31" s="11"/>
      <c r="BL31" s="11"/>
      <c r="BM31" s="220"/>
      <c r="BN31" s="184"/>
      <c r="BO31" s="11"/>
      <c r="BP31" s="11"/>
    </row>
    <row r="32" ht="15.75" customHeight="1">
      <c r="A32" s="228" t="str">
        <f>IFERROR(__xludf.DUMMYFUNCTION("TEXTJOIN(CHAR(10),TRUE,FILTER(ARRAYFORMULA(IF(T$14:T72&lt;&gt;"""", S$14:S72 &amp;"" :  cm"","""")), S$14:S72 &lt;&gt;""""))"),"")</f>
        <v/>
      </c>
      <c r="B32" s="160"/>
      <c r="C32" s="11"/>
      <c r="D32" s="11" t="s">
        <v>108</v>
      </c>
      <c r="E32" s="230"/>
      <c r="F32" s="231" t="str">
        <f t="array" ref="F32">IF(
  E32 = 0, 
  "", 
  IFERROR(
    INDEX(
      'アイテム別限界値DB'!$K:$K, 
      MATCH(
        1, 
        ('アイテム別限界値DB'!$B:$B = D$10) * 
        ('アイテム別限界値DB'!$F:$F = D32) * 
        ('アイテム別限界値DB'!$H:$H = E32), 
        0
      )
    ), 
    "再製作"
  )
)
</f>
        <v/>
      </c>
      <c r="G32" s="218" t="str">
        <f t="array" ref="G32">IF(
  E32 = 0, 
  "", 
  IFERROR(
    INDEX(
      'アイテム別限界値DB'!$L:$L, 
      MATCH(
        1, 
        ('アイテム別限界値DB'!$B:$B = D$10) * 
        ('アイテム別限界値DB'!$C:$C = D32) * 
        ('アイテム別限界値DB'!$F:$F = E32), 
        0
      )
    ), 
    ""
  )
)
</f>
        <v/>
      </c>
      <c r="H32" s="11"/>
      <c r="I32" s="11"/>
      <c r="J32" s="220"/>
      <c r="K32" s="184"/>
      <c r="L32" s="11"/>
      <c r="M32" s="11"/>
      <c r="N32" s="11"/>
      <c r="O32" s="220"/>
      <c r="P32" s="184"/>
      <c r="Q32" s="11"/>
      <c r="R32" s="12"/>
      <c r="S32" s="11"/>
      <c r="T32" s="220"/>
      <c r="U32" s="184"/>
      <c r="V32" s="11"/>
      <c r="W32" s="11"/>
      <c r="X32" s="11"/>
      <c r="Y32" s="220"/>
      <c r="Z32" s="184"/>
      <c r="AA32" s="11"/>
      <c r="AB32" s="11"/>
      <c r="AC32" s="11"/>
      <c r="AD32" s="220"/>
      <c r="AE32" s="184"/>
      <c r="AF32" s="11"/>
      <c r="AG32" s="11"/>
      <c r="AH32" s="11"/>
      <c r="AI32" s="220"/>
      <c r="AJ32" s="184"/>
      <c r="AK32" s="11"/>
      <c r="AL32" s="11"/>
      <c r="AM32" s="11"/>
      <c r="AN32" s="220"/>
      <c r="AO32" s="184"/>
      <c r="AP32" s="11"/>
      <c r="AQ32" s="11"/>
      <c r="AR32" s="11"/>
      <c r="AS32" s="220"/>
      <c r="AT32" s="184"/>
      <c r="AU32" s="11"/>
      <c r="AV32" s="11"/>
      <c r="AW32" s="11"/>
      <c r="AX32" s="220"/>
      <c r="AY32" s="184"/>
      <c r="AZ32" s="11"/>
      <c r="BA32" s="11"/>
      <c r="BB32" s="11"/>
      <c r="BC32" s="220"/>
      <c r="BD32" s="184"/>
      <c r="BE32" s="11"/>
      <c r="BF32" s="11"/>
      <c r="BG32" s="11"/>
      <c r="BH32" s="220"/>
      <c r="BI32" s="184"/>
      <c r="BJ32" s="11"/>
      <c r="BK32" s="11"/>
      <c r="BL32" s="11"/>
      <c r="BM32" s="220"/>
      <c r="BN32" s="184"/>
      <c r="BO32" s="11"/>
      <c r="BP32" s="11"/>
    </row>
    <row r="33" ht="15.75" customHeight="1">
      <c r="A33" s="237" t="s">
        <v>109</v>
      </c>
      <c r="B33" s="229"/>
      <c r="C33" s="11"/>
      <c r="D33" s="11" t="s">
        <v>110</v>
      </c>
      <c r="E33" s="230"/>
      <c r="F33" s="231" t="str">
        <f t="array" ref="F33">IF(
  E33 = 0, 
  "", 
  IFERROR(
    INDEX(
      'アイテム別限界値DB'!$K:$K, 
      MATCH(
        1, 
        ('アイテム別限界値DB'!$B:$B = D$10) * 
        ('アイテム別限界値DB'!$F:$F = D33) * 
        ('アイテム別限界値DB'!$H:$H = E33), 
        0
      )
    ), 
    "再製作"
  )
)
</f>
        <v/>
      </c>
      <c r="G33" s="218" t="str">
        <f t="array" ref="G33">IF(
  E33 = 0, 
  "", 
  IFERROR(
    INDEX(
      'アイテム別限界値DB'!$L:$L, 
      MATCH(
        1, 
        ('アイテム別限界値DB'!$B:$B = D$10) * 
        ('アイテム別限界値DB'!$C:$C = D33) * 
        ('アイテム別限界値DB'!$F:$F = E33), 
        0
      )
    ), 
    ""
  )
)
</f>
        <v/>
      </c>
      <c r="H33" s="11"/>
      <c r="I33" s="11"/>
      <c r="J33" s="220"/>
      <c r="K33" s="184"/>
      <c r="L33" s="11"/>
      <c r="M33" s="11"/>
      <c r="N33" s="11"/>
      <c r="O33" s="220"/>
      <c r="P33" s="184"/>
      <c r="Q33" s="11"/>
      <c r="R33" s="12"/>
      <c r="S33" s="11"/>
      <c r="T33" s="220"/>
      <c r="U33" s="184"/>
      <c r="V33" s="11"/>
      <c r="W33" s="11"/>
      <c r="X33" s="11"/>
      <c r="Y33" s="220"/>
      <c r="Z33" s="184"/>
      <c r="AA33" s="11"/>
      <c r="AB33" s="11"/>
      <c r="AC33" s="11"/>
      <c r="AD33" s="220"/>
      <c r="AE33" s="184"/>
      <c r="AF33" s="11"/>
      <c r="AG33" s="11"/>
      <c r="AH33" s="11"/>
      <c r="AI33" s="220"/>
      <c r="AJ33" s="184"/>
      <c r="AK33" s="11"/>
      <c r="AL33" s="11"/>
      <c r="AM33" s="11"/>
      <c r="AN33" s="220"/>
      <c r="AO33" s="184"/>
      <c r="AP33" s="11"/>
      <c r="AQ33" s="11"/>
      <c r="AR33" s="11"/>
      <c r="AS33" s="220"/>
      <c r="AT33" s="184"/>
      <c r="AU33" s="11"/>
      <c r="AV33" s="11"/>
      <c r="AW33" s="11"/>
      <c r="AX33" s="220"/>
      <c r="AY33" s="184"/>
      <c r="AZ33" s="11"/>
      <c r="BA33" s="11"/>
      <c r="BB33" s="11"/>
      <c r="BC33" s="220"/>
      <c r="BD33" s="184"/>
      <c r="BE33" s="11"/>
      <c r="BF33" s="11"/>
      <c r="BG33" s="11"/>
      <c r="BH33" s="220"/>
      <c r="BI33" s="184"/>
      <c r="BJ33" s="11"/>
      <c r="BK33" s="11"/>
      <c r="BL33" s="11"/>
      <c r="BM33" s="220"/>
      <c r="BN33" s="184"/>
      <c r="BO33" s="11"/>
      <c r="BP33" s="11"/>
    </row>
    <row r="34" ht="15.75" customHeight="1">
      <c r="A34" s="228" t="str">
        <f>IF($X$11="再製作", "◼︎ シャツ（対応着地：再製作）" &amp; char(10) &amp; "《修正数値》" , IF($X$11&lt;&gt;"", "◼︎ シャツ（対応着地：お直し）" &amp; char(10) &amp; "《修正数値》", ""))</f>
        <v/>
      </c>
      <c r="B34" s="12"/>
      <c r="C34" s="11"/>
      <c r="D34" s="11" t="s">
        <v>111</v>
      </c>
      <c r="E34" s="232"/>
      <c r="F34" s="231" t="str">
        <f t="array" ref="F34">IF(
  E34 = 0, 
  "", 
  IFERROR(
    INDEX(
      'アイテム別限界値DB'!$K:$K, 
      MATCH(
        1, 
        ('アイテム別限界値DB'!$B:$B = D$10) * 
        ('アイテム別限界値DB'!$F:$F = D34) * 
        ('アイテム別限界値DB'!$H:$H = E34), 
        0
      )
    ), 
    "再製作"
  )
)
</f>
        <v/>
      </c>
      <c r="G34" s="218" t="str">
        <f t="array" ref="G34">IF(
  E34 = 0, 
  "", 
  IFERROR(
    INDEX(
      'アイテム別限界値DB'!$L:$L, 
      MATCH(
        1, 
        ('アイテム別限界値DB'!$B:$B = D$10) * 
        ('アイテム別限界値DB'!$C:$C = D34) * 
        ('アイテム別限界値DB'!$F:$F = E34), 
        0
      )
    ), 
    ""
  )
)
</f>
        <v/>
      </c>
      <c r="H34" s="11"/>
      <c r="I34" s="11"/>
      <c r="J34" s="220"/>
      <c r="K34" s="184"/>
      <c r="L34" s="11"/>
      <c r="M34" s="11"/>
      <c r="N34" s="11"/>
      <c r="O34" s="220"/>
      <c r="P34" s="184"/>
      <c r="Q34" s="11"/>
      <c r="R34" s="12"/>
      <c r="S34" s="11"/>
      <c r="T34" s="220"/>
      <c r="U34" s="184"/>
      <c r="V34" s="11"/>
      <c r="W34" s="11"/>
      <c r="X34" s="11"/>
      <c r="Y34" s="220"/>
      <c r="Z34" s="184"/>
      <c r="AA34" s="11"/>
      <c r="AB34" s="11"/>
      <c r="AC34" s="11"/>
      <c r="AD34" s="220"/>
      <c r="AE34" s="184"/>
      <c r="AF34" s="11"/>
      <c r="AG34" s="11"/>
      <c r="AH34" s="11"/>
      <c r="AI34" s="220"/>
      <c r="AJ34" s="184"/>
      <c r="AK34" s="11"/>
      <c r="AL34" s="11"/>
      <c r="AM34" s="11"/>
      <c r="AN34" s="220"/>
      <c r="AO34" s="184"/>
      <c r="AP34" s="11"/>
      <c r="AQ34" s="11"/>
      <c r="AR34" s="11"/>
      <c r="AS34" s="220"/>
      <c r="AT34" s="184"/>
      <c r="AU34" s="11"/>
      <c r="AV34" s="11"/>
      <c r="AW34" s="11"/>
      <c r="AX34" s="220"/>
      <c r="AY34" s="184"/>
      <c r="AZ34" s="11"/>
      <c r="BA34" s="11"/>
      <c r="BB34" s="11"/>
      <c r="BC34" s="220"/>
      <c r="BD34" s="184"/>
      <c r="BE34" s="11"/>
      <c r="BF34" s="11"/>
      <c r="BG34" s="11"/>
      <c r="BH34" s="220"/>
      <c r="BI34" s="184"/>
      <c r="BJ34" s="11"/>
      <c r="BK34" s="11"/>
      <c r="BL34" s="11"/>
      <c r="BM34" s="220"/>
      <c r="BN34" s="184"/>
      <c r="BO34" s="11"/>
      <c r="BP34" s="11"/>
    </row>
    <row r="35" ht="15.75" customHeight="1">
      <c r="A35" s="228" t="str">
        <f>IFERROR(__xludf.DUMMYFUNCTION("TEXTJOIN(CHAR(10),TRUE,FILTER(ARRAYFORMULA(IF(Y$14:Y72&lt;&gt;"""", X$14:X72 &amp;"" : ""&amp; Y$14:Y72 &amp;"" cm"","""")), X$14:X72 &lt;&gt;""""))"),"")</f>
        <v/>
      </c>
      <c r="B35" s="160"/>
      <c r="C35" s="11"/>
      <c r="D35" s="11" t="s">
        <v>112</v>
      </c>
      <c r="E35" s="232"/>
      <c r="F35" s="231" t="str">
        <f t="array" ref="F35">IF(
  E35 = 0, 
  "", 
  IFERROR(
    INDEX(
      'アイテム別限界値DB'!$K:$K, 
      MATCH(
        1, 
        ('アイテム別限界値DB'!$B:$B = D$10) * 
        ('アイテム別限界値DB'!$F:$F = D35) * 
        ('アイテム別限界値DB'!$H:$H = E35), 
        0
      )
    ), 
    "再製作"
  )
)
</f>
        <v/>
      </c>
      <c r="G35" s="218" t="str">
        <f t="array" ref="G35">IF(
  E35 = 0, 
  "", 
  IFERROR(
    INDEX(
      'アイテム別限界値DB'!$L:$L, 
      MATCH(
        1, 
        ('アイテム別限界値DB'!$B:$B = D$10) * 
        ('アイテム別限界値DB'!$C:$C = D35) * 
        ('アイテム別限界値DB'!$F:$F = E35), 
        0
      )
    ), 
    ""
  )
)
</f>
        <v/>
      </c>
      <c r="H35" s="11"/>
      <c r="I35" s="11"/>
      <c r="J35" s="220"/>
      <c r="K35" s="184"/>
      <c r="L35" s="11"/>
      <c r="M35" s="11"/>
      <c r="N35" s="11"/>
      <c r="O35" s="220"/>
      <c r="P35" s="184"/>
      <c r="Q35" s="11"/>
      <c r="R35" s="12"/>
      <c r="S35" s="11"/>
      <c r="T35" s="220"/>
      <c r="U35" s="184"/>
      <c r="V35" s="11"/>
      <c r="W35" s="11"/>
      <c r="X35" s="11"/>
      <c r="Y35" s="220"/>
      <c r="Z35" s="184"/>
      <c r="AA35" s="11"/>
      <c r="AB35" s="11"/>
      <c r="AC35" s="11"/>
      <c r="AD35" s="220"/>
      <c r="AE35" s="184"/>
      <c r="AF35" s="11"/>
      <c r="AG35" s="11"/>
      <c r="AH35" s="11"/>
      <c r="AI35" s="220"/>
      <c r="AJ35" s="184"/>
      <c r="AK35" s="11"/>
      <c r="AL35" s="11"/>
      <c r="AM35" s="11"/>
      <c r="AN35" s="220"/>
      <c r="AO35" s="184"/>
      <c r="AP35" s="11"/>
      <c r="AQ35" s="11"/>
      <c r="AR35" s="11"/>
      <c r="AS35" s="220"/>
      <c r="AT35" s="184"/>
      <c r="AU35" s="11"/>
      <c r="AV35" s="11"/>
      <c r="AW35" s="11"/>
      <c r="AX35" s="220"/>
      <c r="AY35" s="184"/>
      <c r="AZ35" s="11"/>
      <c r="BA35" s="11"/>
      <c r="BB35" s="11"/>
      <c r="BC35" s="220"/>
      <c r="BD35" s="184"/>
      <c r="BE35" s="11"/>
      <c r="BF35" s="11"/>
      <c r="BG35" s="11"/>
      <c r="BH35" s="220"/>
      <c r="BI35" s="184"/>
      <c r="BJ35" s="11"/>
      <c r="BK35" s="11"/>
      <c r="BL35" s="11"/>
      <c r="BM35" s="220"/>
      <c r="BN35" s="184"/>
      <c r="BO35" s="11"/>
      <c r="BP35" s="11"/>
    </row>
    <row r="36" ht="15.75" customHeight="1">
      <c r="A36" s="236" t="str">
        <f>if($A$34&lt;&gt;"", "《仕上がり数値》","")</f>
        <v/>
      </c>
      <c r="B36" s="229"/>
      <c r="C36" s="11"/>
      <c r="D36" s="11" t="s">
        <v>113</v>
      </c>
      <c r="E36" s="232"/>
      <c r="F36" s="231" t="str">
        <f t="array" ref="F36">IF(
  E36 = 0, 
  "", 
  IFERROR(
    INDEX(
      'アイテム別限界値DB'!$K:$K, 
      MATCH(
        1, 
        ('アイテム別限界値DB'!$B:$B = D$10) * 
        ('アイテム別限界値DB'!$F:$F = D36) * 
        ('アイテム別限界値DB'!$H:$H = E36), 
        0
      )
    ), 
    "再製作"
  )
)
</f>
        <v/>
      </c>
      <c r="G36" s="218" t="str">
        <f t="array" ref="G36">IF(
  E36 = 0, 
  "", 
  IFERROR(
    INDEX(
      'アイテム別限界値DB'!$L:$L, 
      MATCH(
        1, 
        ('アイテム別限界値DB'!$B:$B = D$10) * 
        ('アイテム別限界値DB'!$C:$C = D36) * 
        ('アイテム別限界値DB'!$F:$F = E36), 
        0
      )
    ), 
    ""
  )
)
</f>
        <v/>
      </c>
      <c r="H36" s="11"/>
      <c r="I36" s="11"/>
      <c r="J36" s="220"/>
      <c r="K36" s="184"/>
      <c r="L36" s="11"/>
      <c r="M36" s="11"/>
      <c r="N36" s="11"/>
      <c r="O36" s="220"/>
      <c r="P36" s="184"/>
      <c r="Q36" s="11"/>
      <c r="R36" s="12"/>
      <c r="S36" s="11"/>
      <c r="T36" s="220"/>
      <c r="U36" s="184"/>
      <c r="V36" s="11"/>
      <c r="W36" s="11"/>
      <c r="X36" s="11"/>
      <c r="Y36" s="220"/>
      <c r="Z36" s="184"/>
      <c r="AA36" s="11"/>
      <c r="AB36" s="11"/>
      <c r="AC36" s="11"/>
      <c r="AD36" s="220"/>
      <c r="AE36" s="184"/>
      <c r="AF36" s="11"/>
      <c r="AG36" s="11"/>
      <c r="AH36" s="11"/>
      <c r="AI36" s="220"/>
      <c r="AJ36" s="184"/>
      <c r="AK36" s="11"/>
      <c r="AL36" s="11"/>
      <c r="AM36" s="11"/>
      <c r="AN36" s="220"/>
      <c r="AO36" s="184"/>
      <c r="AP36" s="11"/>
      <c r="AQ36" s="11"/>
      <c r="AR36" s="11"/>
      <c r="AS36" s="220"/>
      <c r="AT36" s="184"/>
      <c r="AU36" s="11"/>
      <c r="AV36" s="11"/>
      <c r="AW36" s="11"/>
      <c r="AX36" s="220"/>
      <c r="AY36" s="184"/>
      <c r="AZ36" s="11"/>
      <c r="BA36" s="11"/>
      <c r="BB36" s="11"/>
      <c r="BC36" s="220"/>
      <c r="BD36" s="184"/>
      <c r="BE36" s="11"/>
      <c r="BF36" s="11"/>
      <c r="BG36" s="11"/>
      <c r="BH36" s="220"/>
      <c r="BI36" s="184"/>
      <c r="BJ36" s="11"/>
      <c r="BK36" s="11"/>
      <c r="BL36" s="11"/>
      <c r="BM36" s="220"/>
      <c r="BN36" s="184"/>
      <c r="BO36" s="11"/>
      <c r="BP36" s="11"/>
    </row>
    <row r="37">
      <c r="A37" s="228" t="str">
        <f>IFERROR(__xludf.DUMMYFUNCTION("TEXTJOIN(CHAR(10),TRUE,FILTER(ARRAYFORMULA(IF(Y$14:Y72&lt;&gt;"""", X$14:X72 &amp;"" :  cm"","""")), X$14:X72 &lt;&gt;""""))"),"")</f>
        <v/>
      </c>
      <c r="B37" s="12"/>
      <c r="C37" s="11"/>
      <c r="D37" s="11" t="s">
        <v>114</v>
      </c>
      <c r="E37" s="232"/>
      <c r="F37" s="231" t="str">
        <f t="array" ref="F37">IF(
  E37 = 0, 
  "", 
  IFERROR(
    INDEX(
      'アイテム別限界値DB'!$K:$K, 
      MATCH(
        1, 
        ('アイテム別限界値DB'!$B:$B = D$10) * 
        ('アイテム別限界値DB'!$F:$F = D37) * 
        ('アイテム別限界値DB'!$H:$H = E37), 
        0
      )
    ), 
    "再製作"
  )
)
</f>
        <v/>
      </c>
      <c r="G37" s="218" t="str">
        <f t="array" ref="G37">IF(
  E37 = 0, 
  "", 
  IFERROR(
    INDEX(
      'アイテム別限界値DB'!$L:$L, 
      MATCH(
        1, 
        ('アイテム別限界値DB'!$B:$B = D$10) * 
        ('アイテム別限界値DB'!$C:$C = D37) * 
        ('アイテム別限界値DB'!$F:$F = E37), 
        0
      )
    ), 
    ""
  )
)
</f>
        <v/>
      </c>
      <c r="H37" s="11"/>
      <c r="I37" s="11"/>
      <c r="J37" s="220"/>
      <c r="K37" s="184"/>
      <c r="L37" s="11"/>
      <c r="M37" s="11"/>
      <c r="N37" s="11"/>
      <c r="O37" s="220"/>
      <c r="P37" s="184"/>
      <c r="Q37" s="11"/>
      <c r="R37" s="12"/>
      <c r="S37" s="11"/>
      <c r="T37" s="220"/>
      <c r="U37" s="184"/>
      <c r="V37" s="11"/>
      <c r="W37" s="11"/>
      <c r="X37" s="11"/>
      <c r="Y37" s="220"/>
      <c r="Z37" s="184"/>
      <c r="AA37" s="11"/>
      <c r="AB37" s="11"/>
      <c r="AC37" s="11"/>
      <c r="AD37" s="220"/>
      <c r="AE37" s="184"/>
      <c r="AF37" s="11"/>
      <c r="AG37" s="11"/>
      <c r="AH37" s="11"/>
      <c r="AI37" s="220"/>
      <c r="AJ37" s="184"/>
      <c r="AK37" s="11"/>
      <c r="AL37" s="11"/>
      <c r="AM37" s="11"/>
      <c r="AN37" s="220"/>
      <c r="AO37" s="184"/>
      <c r="AP37" s="11"/>
      <c r="AQ37" s="11"/>
      <c r="AR37" s="11"/>
      <c r="AS37" s="220"/>
      <c r="AT37" s="184"/>
      <c r="AU37" s="11"/>
      <c r="AV37" s="11"/>
      <c r="AW37" s="11"/>
      <c r="AX37" s="220"/>
      <c r="AY37" s="184"/>
      <c r="AZ37" s="11"/>
      <c r="BA37" s="11"/>
      <c r="BB37" s="11"/>
      <c r="BC37" s="220"/>
      <c r="BD37" s="184"/>
      <c r="BE37" s="11"/>
      <c r="BF37" s="11"/>
      <c r="BG37" s="11"/>
      <c r="BH37" s="220"/>
      <c r="BI37" s="184"/>
      <c r="BJ37" s="11"/>
      <c r="BK37" s="11"/>
      <c r="BL37" s="11"/>
      <c r="BM37" s="220"/>
      <c r="BN37" s="184"/>
      <c r="BO37" s="11"/>
      <c r="BP37" s="11"/>
    </row>
    <row r="38">
      <c r="A38" s="243" t="s">
        <v>115</v>
      </c>
      <c r="B38" s="160"/>
      <c r="C38" s="11"/>
      <c r="D38" s="11" t="s">
        <v>116</v>
      </c>
      <c r="E38" s="230"/>
      <c r="F38" s="231" t="str">
        <f t="array" ref="F38">IF(
  E38 = 0, 
  "", 
  IFERROR(
    INDEX(
      'アイテム別限界値DB'!$K:$K, 
      MATCH(
        1, 
        ('アイテム別限界値DB'!$B:$B = D$10) * 
        ('アイテム別限界値DB'!$F:$F = D38) * 
        ('アイテム別限界値DB'!$H:$H = E38), 
        0
      )
    ), 
    "再製作"
  )
)
</f>
        <v/>
      </c>
      <c r="G38" s="218" t="str">
        <f t="array" ref="G38">IF(
  E38 = 0, 
  "", 
  IFERROR(
    INDEX(
      'アイテム別限界値DB'!$L:$L, 
      MATCH(
        1, 
        ('アイテム別限界値DB'!$B:$B = D$10) * 
        ('アイテム別限界値DB'!$C:$C = D38) * 
        ('アイテム別限界値DB'!$F:$F = E38), 
        0
      )
    ), 
    ""
  )
)
</f>
        <v/>
      </c>
      <c r="H38" s="11"/>
      <c r="I38" s="11"/>
      <c r="J38" s="220"/>
      <c r="K38" s="184"/>
      <c r="L38" s="11"/>
      <c r="M38" s="11"/>
      <c r="N38" s="11"/>
      <c r="O38" s="220"/>
      <c r="P38" s="184"/>
      <c r="Q38" s="11"/>
      <c r="R38" s="12"/>
      <c r="S38" s="11"/>
      <c r="T38" s="220"/>
      <c r="U38" s="184"/>
      <c r="V38" s="11"/>
      <c r="W38" s="11"/>
      <c r="X38" s="11"/>
      <c r="Y38" s="220"/>
      <c r="Z38" s="184"/>
      <c r="AA38" s="11"/>
      <c r="AB38" s="11"/>
      <c r="AC38" s="11"/>
      <c r="AD38" s="220"/>
      <c r="AE38" s="184"/>
      <c r="AF38" s="11"/>
      <c r="AG38" s="11"/>
      <c r="AH38" s="11"/>
      <c r="AI38" s="220"/>
      <c r="AJ38" s="184"/>
      <c r="AK38" s="11"/>
      <c r="AL38" s="11"/>
      <c r="AM38" s="11"/>
      <c r="AN38" s="220"/>
      <c r="AO38" s="184"/>
      <c r="AP38" s="11"/>
      <c r="AQ38" s="11"/>
      <c r="AR38" s="11"/>
      <c r="AS38" s="220"/>
      <c r="AT38" s="184"/>
      <c r="AU38" s="11"/>
      <c r="AV38" s="11"/>
      <c r="AW38" s="11"/>
      <c r="AX38" s="220"/>
      <c r="AY38" s="184"/>
      <c r="AZ38" s="11"/>
      <c r="BA38" s="11"/>
      <c r="BB38" s="11"/>
      <c r="BC38" s="220"/>
      <c r="BD38" s="184"/>
      <c r="BE38" s="11"/>
      <c r="BF38" s="11"/>
      <c r="BG38" s="11"/>
      <c r="BH38" s="220"/>
      <c r="BI38" s="184"/>
      <c r="BJ38" s="11"/>
      <c r="BK38" s="11"/>
      <c r="BL38" s="11"/>
      <c r="BM38" s="220"/>
      <c r="BN38" s="184"/>
      <c r="BO38" s="11"/>
      <c r="BP38" s="11"/>
    </row>
    <row r="39">
      <c r="A39" s="228" t="str">
        <f>IF( $AC$11 = "再製作", "◼︎ ポロシャツ（対応着地：再製作）" &amp; char(10) &amp; "《修正数値》" , IF($AC$11 &lt;&gt; "", "◼︎ ポロシャツ（対応着地：お直し）" &amp; char(10) &amp; "《修正数値》" , ""))</f>
        <v/>
      </c>
      <c r="B39" s="229"/>
      <c r="C39" s="11"/>
      <c r="D39" s="11" t="s">
        <v>117</v>
      </c>
      <c r="E39" s="230"/>
      <c r="F39" s="231" t="str">
        <f t="array" ref="F39">IF(
  E39 = 0, 
  "", 
  IFERROR(
    INDEX(
      'アイテム別限界値DB'!$I:$I, 
      MATCH(
        1, 
        ('アイテム別限界値DB'!$B:$B = D$10) * 
        ('アイテム別限界値DB'!$C:$C = D39) * 
        ('アイテム別限界値DB'!$F:$F = E39), 
        0
      )
    ), 
    "再製作"
  )
)
</f>
        <v/>
      </c>
      <c r="G39" s="218" t="str">
        <f t="array" ref="G39">IF(
  E39 = 0, 
  "", 
  IFERROR(
    INDEX(
      'アイテム別限界値DB'!$L:$L, 
      MATCH(
        1, 
        ('アイテム別限界値DB'!$B:$B = D$10) * 
        ('アイテム別限界値DB'!$C:$C = D39) * 
        ('アイテム別限界値DB'!$F:$F = E39), 
        0
      )
    ), 
    ""
  )
)
</f>
        <v/>
      </c>
      <c r="H39" s="11"/>
      <c r="I39" s="11"/>
      <c r="J39" s="220"/>
      <c r="K39" s="184"/>
      <c r="L39" s="11"/>
      <c r="M39" s="11"/>
      <c r="N39" s="11"/>
      <c r="O39" s="220"/>
      <c r="P39" s="184"/>
      <c r="Q39" s="11"/>
      <c r="R39" s="12"/>
      <c r="S39" s="11"/>
      <c r="T39" s="220"/>
      <c r="U39" s="184"/>
      <c r="V39" s="11"/>
      <c r="W39" s="11"/>
      <c r="X39" s="11"/>
      <c r="Y39" s="220"/>
      <c r="Z39" s="184"/>
      <c r="AA39" s="11"/>
      <c r="AB39" s="11"/>
      <c r="AC39" s="11"/>
      <c r="AD39" s="220"/>
      <c r="AE39" s="184"/>
      <c r="AF39" s="11"/>
      <c r="AG39" s="11"/>
      <c r="AH39" s="11"/>
      <c r="AI39" s="220"/>
      <c r="AJ39" s="184"/>
      <c r="AK39" s="11"/>
      <c r="AL39" s="11"/>
      <c r="AM39" s="11"/>
      <c r="AN39" s="220"/>
      <c r="AO39" s="184"/>
      <c r="AP39" s="11"/>
      <c r="AQ39" s="11"/>
      <c r="AR39" s="11"/>
      <c r="AS39" s="220"/>
      <c r="AT39" s="184"/>
      <c r="AU39" s="11"/>
      <c r="AV39" s="11"/>
      <c r="AW39" s="11"/>
      <c r="AX39" s="220"/>
      <c r="AY39" s="184"/>
      <c r="AZ39" s="11"/>
      <c r="BA39" s="11"/>
      <c r="BB39" s="11"/>
      <c r="BC39" s="220"/>
      <c r="BD39" s="184"/>
      <c r="BE39" s="11"/>
      <c r="BF39" s="11"/>
      <c r="BG39" s="11"/>
      <c r="BH39" s="220"/>
      <c r="BI39" s="184"/>
      <c r="BJ39" s="11"/>
      <c r="BK39" s="11"/>
      <c r="BL39" s="11"/>
      <c r="BM39" s="220"/>
      <c r="BN39" s="184"/>
      <c r="BO39" s="11"/>
      <c r="BP39" s="11"/>
    </row>
    <row r="40">
      <c r="A40" s="228" t="str">
        <f>IFERROR(__xludf.DUMMYFUNCTION("TEXTJOIN(CHAR(10),TRUE,FILTER(ARRAYFORMULA(IF(AD$14:AD72&lt;&gt;"""",AC$14:AC72&amp;"" : ""&amp; AD$14:AD72 &amp;"" cm"","""")), AC$14:AC72 &lt;&gt;""""))"),"")</f>
        <v/>
      </c>
      <c r="B40" s="12"/>
      <c r="C40" s="11"/>
      <c r="D40" s="11" t="s">
        <v>118</v>
      </c>
      <c r="E40" s="232"/>
      <c r="F40" s="231" t="str">
        <f t="array" ref="F40">IF(
  E40 = 0, 
  "", 
  IFERROR(
    INDEX(
      'アイテム別限界値DB'!$I:$I, 
      MATCH(
        1, 
        ('アイテム別限界値DB'!$B:$B = D$10) * 
        ('アイテム別限界値DB'!$C:$C = D40) * 
        ('アイテム別限界値DB'!$F:$F = E40), 
        0
      )
    ), 
    "再製作"
  )
)
</f>
        <v/>
      </c>
      <c r="G40" s="121"/>
      <c r="H40" s="11"/>
      <c r="I40" s="11"/>
      <c r="J40" s="220"/>
      <c r="K40" s="184"/>
      <c r="L40" s="11"/>
      <c r="M40" s="11"/>
      <c r="N40" s="11"/>
      <c r="O40" s="220"/>
      <c r="P40" s="184"/>
      <c r="Q40" s="11"/>
      <c r="R40" s="12"/>
      <c r="S40" s="11"/>
      <c r="T40" s="220"/>
      <c r="U40" s="184"/>
      <c r="V40" s="11"/>
      <c r="W40" s="11"/>
      <c r="X40" s="11"/>
      <c r="Y40" s="220"/>
      <c r="Z40" s="184"/>
      <c r="AA40" s="11"/>
      <c r="AB40" s="11"/>
      <c r="AC40" s="11"/>
      <c r="AD40" s="220"/>
      <c r="AE40" s="184"/>
      <c r="AF40" s="11"/>
      <c r="AG40" s="11"/>
      <c r="AH40" s="11"/>
      <c r="AI40" s="220"/>
      <c r="AJ40" s="184"/>
      <c r="AK40" s="11"/>
      <c r="AL40" s="11"/>
      <c r="AM40" s="11"/>
      <c r="AN40" s="220"/>
      <c r="AO40" s="184"/>
      <c r="AP40" s="11"/>
      <c r="AQ40" s="11"/>
      <c r="AR40" s="11"/>
      <c r="AS40" s="220"/>
      <c r="AT40" s="184"/>
      <c r="AU40" s="11"/>
      <c r="AV40" s="11"/>
      <c r="AW40" s="11"/>
      <c r="AX40" s="220"/>
      <c r="AY40" s="184"/>
      <c r="AZ40" s="11"/>
      <c r="BA40" s="11"/>
      <c r="BB40" s="11"/>
      <c r="BC40" s="220"/>
      <c r="BD40" s="184"/>
      <c r="BE40" s="11"/>
      <c r="BF40" s="11"/>
      <c r="BG40" s="11"/>
      <c r="BH40" s="220"/>
      <c r="BI40" s="184"/>
      <c r="BJ40" s="11"/>
      <c r="BK40" s="11"/>
      <c r="BL40" s="11"/>
      <c r="BM40" s="220"/>
      <c r="BN40" s="184"/>
      <c r="BO40" s="11"/>
      <c r="BP40" s="11"/>
    </row>
    <row r="41">
      <c r="A41" s="244" t="str">
        <f>if($A$39&lt;&gt;"", "《仕上がり数値》","")</f>
        <v/>
      </c>
      <c r="B41" s="160"/>
      <c r="C41" s="11"/>
      <c r="D41" s="11" t="s">
        <v>119</v>
      </c>
      <c r="E41" s="230"/>
      <c r="F41" s="231" t="str">
        <f t="array" ref="F41">IF(
  E41 = 0, 
  "", 
  IFERROR(
    INDEX(
      'アイテム別限界値DB'!$I:$I, 
      MATCH(
        1, 
        ('アイテム別限界値DB'!$B:$B = D$10) * 
        ('アイテム別限界値DB'!$C:$C = D41) * 
        ('アイテム別限界値DB'!$F:$F = E41), 
        0
      )
    ), 
    "再製作"
  )
)
</f>
        <v/>
      </c>
      <c r="G41" s="195"/>
      <c r="H41" s="11"/>
      <c r="I41" s="11"/>
      <c r="J41" s="220"/>
      <c r="K41" s="184"/>
      <c r="L41" s="11"/>
      <c r="M41" s="11"/>
      <c r="N41" s="11"/>
      <c r="O41" s="220"/>
      <c r="P41" s="184"/>
      <c r="Q41" s="11"/>
      <c r="R41" s="12"/>
      <c r="S41" s="11"/>
      <c r="T41" s="220"/>
      <c r="U41" s="184"/>
      <c r="V41" s="11"/>
      <c r="W41" s="11"/>
      <c r="X41" s="11"/>
      <c r="Y41" s="220"/>
      <c r="Z41" s="184"/>
      <c r="AA41" s="11"/>
      <c r="AB41" s="11"/>
      <c r="AC41" s="11"/>
      <c r="AD41" s="220"/>
      <c r="AE41" s="184"/>
      <c r="AF41" s="11"/>
      <c r="AG41" s="11"/>
      <c r="AH41" s="11"/>
      <c r="AI41" s="220"/>
      <c r="AJ41" s="184"/>
      <c r="AK41" s="11"/>
      <c r="AL41" s="11"/>
      <c r="AM41" s="11"/>
      <c r="AN41" s="220"/>
      <c r="AO41" s="184"/>
      <c r="AP41" s="11"/>
      <c r="AQ41" s="11"/>
      <c r="AR41" s="11"/>
      <c r="AS41" s="220"/>
      <c r="AT41" s="184"/>
      <c r="AU41" s="11"/>
      <c r="AV41" s="11"/>
      <c r="AW41" s="11"/>
      <c r="AX41" s="220"/>
      <c r="AY41" s="184"/>
      <c r="AZ41" s="11"/>
      <c r="BA41" s="11"/>
      <c r="BB41" s="11"/>
      <c r="BC41" s="220"/>
      <c r="BD41" s="184"/>
      <c r="BE41" s="11"/>
      <c r="BF41" s="11"/>
      <c r="BG41" s="11"/>
      <c r="BH41" s="220"/>
      <c r="BI41" s="184"/>
      <c r="BJ41" s="11"/>
      <c r="BK41" s="11"/>
      <c r="BL41" s="11"/>
      <c r="BM41" s="220"/>
      <c r="BN41" s="184"/>
      <c r="BO41" s="11"/>
      <c r="BP41" s="11"/>
    </row>
    <row r="42">
      <c r="A42" s="228" t="str">
        <f>IFERROR(__xludf.DUMMYFUNCTION("TEXTJOIN(CHAR(10),TRUE,FILTER(ARRAYFORMULA(IF(AD$14:AD72&lt;&gt;"""",AC$14:AC72&amp;"" :  cm"","""")), AC$14:AC72 &lt;&gt;""""))"),"")</f>
        <v/>
      </c>
      <c r="B42" s="229"/>
      <c r="C42" s="11"/>
      <c r="D42" s="11" t="s">
        <v>120</v>
      </c>
      <c r="E42" s="232"/>
      <c r="F42" s="231" t="str">
        <f t="array" ref="F42">IF(
  E42 = 0, 
  "", 
  IFERROR(
    INDEX(
      'アイテム別限界値DB'!$I:$I, 
      MATCH(
        1, 
        ('アイテム別限界値DB'!$B:$B = D$10) * 
        ('アイテム別限界値DB'!$C:$C = D42) * 
        ('アイテム別限界値DB'!$F:$F = E42), 
        0
      )
    ), 
    "再製作"
  )
)
</f>
        <v/>
      </c>
      <c r="G42" s="195"/>
      <c r="H42" s="11"/>
      <c r="I42" s="11"/>
      <c r="J42" s="220"/>
      <c r="K42" s="184"/>
      <c r="L42" s="11"/>
      <c r="M42" s="11"/>
      <c r="N42" s="11"/>
      <c r="O42" s="220"/>
      <c r="P42" s="184"/>
      <c r="Q42" s="11"/>
      <c r="R42" s="12"/>
      <c r="S42" s="11"/>
      <c r="T42" s="220"/>
      <c r="U42" s="184"/>
      <c r="V42" s="11"/>
      <c r="W42" s="11"/>
      <c r="X42" s="11"/>
      <c r="Y42" s="220"/>
      <c r="Z42" s="184"/>
      <c r="AA42" s="11"/>
      <c r="AB42" s="11"/>
      <c r="AC42" s="11"/>
      <c r="AD42" s="220"/>
      <c r="AE42" s="184"/>
      <c r="AF42" s="11"/>
      <c r="AG42" s="11"/>
      <c r="AH42" s="11"/>
      <c r="AI42" s="220"/>
      <c r="AJ42" s="184"/>
      <c r="AK42" s="11"/>
      <c r="AL42" s="11"/>
      <c r="AM42" s="11"/>
      <c r="AN42" s="220"/>
      <c r="AO42" s="184"/>
      <c r="AP42" s="11"/>
      <c r="AQ42" s="11"/>
      <c r="AR42" s="11"/>
      <c r="AS42" s="220"/>
      <c r="AT42" s="184"/>
      <c r="AU42" s="11"/>
      <c r="AV42" s="11"/>
      <c r="AW42" s="11"/>
      <c r="AX42" s="220"/>
      <c r="AY42" s="184"/>
      <c r="AZ42" s="11"/>
      <c r="BA42" s="11"/>
      <c r="BB42" s="11"/>
      <c r="BC42" s="220"/>
      <c r="BD42" s="184"/>
      <c r="BE42" s="11"/>
      <c r="BF42" s="11"/>
      <c r="BG42" s="11"/>
      <c r="BH42" s="220"/>
      <c r="BI42" s="184"/>
      <c r="BJ42" s="11"/>
      <c r="BK42" s="11"/>
      <c r="BL42" s="11"/>
      <c r="BM42" s="220"/>
      <c r="BN42" s="184"/>
      <c r="BO42" s="11"/>
      <c r="BP42" s="11"/>
    </row>
    <row r="43">
      <c r="A43" s="222" t="s">
        <v>121</v>
      </c>
      <c r="B43" s="185"/>
      <c r="C43" s="11"/>
      <c r="D43" s="11"/>
      <c r="E43" s="220"/>
      <c r="F43" s="220"/>
      <c r="G43" s="220"/>
      <c r="H43" s="11"/>
      <c r="I43" s="11"/>
      <c r="J43" s="220"/>
      <c r="K43" s="184"/>
      <c r="L43" s="184"/>
      <c r="M43" s="11"/>
      <c r="N43" s="11"/>
      <c r="O43" s="195"/>
      <c r="P43" s="11"/>
      <c r="Q43" s="11"/>
      <c r="R43" s="12"/>
      <c r="S43" s="11"/>
      <c r="T43" s="220"/>
      <c r="U43" s="184"/>
      <c r="V43" s="184"/>
      <c r="W43" s="11"/>
      <c r="X43" s="11"/>
      <c r="Y43" s="220"/>
      <c r="Z43" s="184"/>
      <c r="AA43" s="184"/>
      <c r="AB43" s="11"/>
      <c r="AC43" s="11"/>
      <c r="AD43" s="220"/>
      <c r="AE43" s="184"/>
      <c r="AF43" s="184"/>
      <c r="AG43" s="11"/>
      <c r="AH43" s="11"/>
      <c r="AI43" s="220"/>
      <c r="AJ43" s="184"/>
      <c r="AK43" s="184"/>
      <c r="AL43" s="11"/>
      <c r="AM43" s="11"/>
      <c r="AN43" s="220"/>
      <c r="AO43" s="184"/>
      <c r="AP43" s="184"/>
      <c r="AQ43" s="11"/>
      <c r="AR43" s="11"/>
      <c r="AS43" s="220"/>
      <c r="AT43" s="184"/>
      <c r="AU43" s="184"/>
      <c r="AV43" s="11"/>
      <c r="AW43" s="11"/>
      <c r="AX43" s="220"/>
      <c r="AY43" s="184"/>
      <c r="AZ43" s="184"/>
      <c r="BA43" s="11"/>
      <c r="BB43" s="11"/>
      <c r="BC43" s="220"/>
      <c r="BD43" s="184"/>
      <c r="BE43" s="184"/>
      <c r="BF43" s="11"/>
      <c r="BG43" s="11"/>
      <c r="BH43" s="220"/>
      <c r="BI43" s="184"/>
      <c r="BJ43" s="184"/>
      <c r="BK43" s="184"/>
      <c r="BL43" s="184"/>
      <c r="BM43" s="184"/>
      <c r="BN43" s="184"/>
      <c r="BO43" s="184"/>
      <c r="BP43" s="184"/>
    </row>
    <row r="44">
      <c r="A44" s="245" t="str">
        <f>IF( $AH$11 = "再製作", "◼︎ アルスターコート（対応着地：再製作）" &amp; char(10) &amp; "《修正数値》", IF($AH$11 &lt;&gt; "", "◼︎ アルスターコート（対応着地：お直し）" &amp; char(10) &amp; "《修正数値》", ""))</f>
        <v/>
      </c>
      <c r="B44" s="187"/>
      <c r="C44" s="11"/>
      <c r="D44" s="11"/>
      <c r="E44" s="220"/>
      <c r="F44" s="220"/>
      <c r="G44" s="220"/>
      <c r="H44" s="11"/>
      <c r="I44" s="11"/>
      <c r="J44" s="220"/>
      <c r="K44" s="184"/>
      <c r="L44" s="184"/>
      <c r="M44" s="11"/>
      <c r="N44" s="11"/>
      <c r="O44" s="195"/>
      <c r="P44" s="11"/>
      <c r="Q44" s="11"/>
      <c r="R44" s="12"/>
      <c r="S44" s="11"/>
      <c r="T44" s="220"/>
      <c r="U44" s="184"/>
      <c r="V44" s="184"/>
      <c r="W44" s="11"/>
      <c r="X44" s="11"/>
      <c r="Y44" s="220"/>
      <c r="Z44" s="184"/>
      <c r="AA44" s="184"/>
      <c r="AB44" s="11"/>
      <c r="AC44" s="11"/>
      <c r="AD44" s="220"/>
      <c r="AE44" s="184"/>
      <c r="AF44" s="184"/>
      <c r="AG44" s="11"/>
      <c r="AH44" s="11"/>
      <c r="AI44" s="220"/>
      <c r="AJ44" s="184"/>
      <c r="AK44" s="184"/>
      <c r="AL44" s="11"/>
      <c r="AM44" s="11"/>
      <c r="AN44" s="220"/>
      <c r="AO44" s="184"/>
      <c r="AP44" s="184"/>
      <c r="AQ44" s="11"/>
      <c r="AR44" s="11"/>
      <c r="AS44" s="220"/>
      <c r="AT44" s="184"/>
      <c r="AU44" s="184"/>
      <c r="AV44" s="11"/>
      <c r="AW44" s="11"/>
      <c r="AX44" s="220"/>
      <c r="AY44" s="184"/>
      <c r="AZ44" s="184"/>
      <c r="BA44" s="11"/>
      <c r="BB44" s="11"/>
      <c r="BC44" s="220"/>
      <c r="BD44" s="184"/>
      <c r="BE44" s="184"/>
      <c r="BF44" s="11"/>
      <c r="BG44" s="11"/>
      <c r="BH44" s="220"/>
      <c r="BI44" s="184"/>
      <c r="BJ44" s="184"/>
      <c r="BK44" s="184"/>
      <c r="BL44" s="184"/>
      <c r="BM44" s="184"/>
      <c r="BN44" s="184"/>
      <c r="BO44" s="184"/>
      <c r="BP44" s="184"/>
    </row>
    <row r="45">
      <c r="A45" s="228" t="str">
        <f>IFERROR(__xludf.DUMMYFUNCTION("TEXTJOIN(CHAR(10),TRUE,FILTER(ARRAYFORMULA(IF($AI$14:$AI72&lt;&gt;"""",AH$14:AH72&amp;"" : ""&amp; AI$14:AI72 &amp;"" cm"","""")), AH$14:AH72 &lt;&gt;""""))"),"")</f>
        <v/>
      </c>
      <c r="B45" s="246"/>
      <c r="C45" s="11"/>
      <c r="D45" s="11"/>
      <c r="E45" s="220"/>
      <c r="F45" s="220"/>
      <c r="G45" s="220"/>
      <c r="H45" s="11"/>
      <c r="I45" s="11"/>
      <c r="J45" s="220"/>
      <c r="K45" s="184"/>
      <c r="L45" s="184"/>
      <c r="M45" s="11"/>
      <c r="N45" s="11"/>
      <c r="O45" s="195"/>
      <c r="P45" s="11"/>
      <c r="Q45" s="11"/>
      <c r="R45" s="12"/>
      <c r="S45" s="11"/>
      <c r="T45" s="220"/>
      <c r="U45" s="184"/>
      <c r="V45" s="184"/>
      <c r="W45" s="11"/>
      <c r="X45" s="11"/>
      <c r="Y45" s="220"/>
      <c r="Z45" s="184"/>
      <c r="AA45" s="184"/>
      <c r="AB45" s="11"/>
      <c r="AC45" s="11"/>
      <c r="AD45" s="220"/>
      <c r="AE45" s="184"/>
      <c r="AF45" s="184"/>
      <c r="AG45" s="11"/>
      <c r="AH45" s="11"/>
      <c r="AI45" s="220"/>
      <c r="AJ45" s="184"/>
      <c r="AK45" s="184"/>
      <c r="AL45" s="11"/>
      <c r="AM45" s="11"/>
      <c r="AN45" s="220"/>
      <c r="AO45" s="184"/>
      <c r="AP45" s="184"/>
      <c r="AQ45" s="11"/>
      <c r="AR45" s="11"/>
      <c r="AS45" s="220"/>
      <c r="AT45" s="184"/>
      <c r="AU45" s="184"/>
      <c r="AV45" s="11"/>
      <c r="AW45" s="11"/>
      <c r="AX45" s="220"/>
      <c r="AY45" s="184"/>
      <c r="AZ45" s="184"/>
      <c r="BA45" s="11"/>
      <c r="BB45" s="11"/>
      <c r="BC45" s="220"/>
      <c r="BD45" s="184"/>
      <c r="BE45" s="184"/>
      <c r="BF45" s="11"/>
      <c r="BG45" s="11"/>
      <c r="BH45" s="220"/>
      <c r="BI45" s="184"/>
      <c r="BJ45" s="184"/>
      <c r="BK45" s="184"/>
      <c r="BL45" s="184"/>
      <c r="BM45" s="184"/>
      <c r="BN45" s="184"/>
      <c r="BO45" s="184"/>
      <c r="BP45" s="184"/>
    </row>
    <row r="46">
      <c r="A46" s="242" t="str">
        <f>if($A$44&lt;&gt;"", "《仕上がり数値》","")</f>
        <v/>
      </c>
      <c r="B46" s="240"/>
      <c r="C46" s="11"/>
      <c r="D46" s="11"/>
      <c r="E46" s="220"/>
      <c r="F46" s="220"/>
      <c r="G46" s="220"/>
      <c r="H46" s="11"/>
      <c r="I46" s="11"/>
      <c r="J46" s="220"/>
      <c r="K46" s="184"/>
      <c r="L46" s="184"/>
      <c r="M46" s="11"/>
      <c r="N46" s="11"/>
      <c r="O46" s="195"/>
      <c r="P46" s="11"/>
      <c r="Q46" s="11"/>
      <c r="R46" s="12"/>
      <c r="S46" s="11"/>
      <c r="T46" s="220"/>
      <c r="U46" s="184"/>
      <c r="V46" s="184"/>
      <c r="W46" s="11"/>
      <c r="X46" s="11"/>
      <c r="Y46" s="220"/>
      <c r="Z46" s="184"/>
      <c r="AA46" s="184"/>
      <c r="AB46" s="11"/>
      <c r="AC46" s="11"/>
      <c r="AD46" s="220"/>
      <c r="AE46" s="184"/>
      <c r="AF46" s="184"/>
      <c r="AG46" s="11"/>
      <c r="AH46" s="11"/>
      <c r="AI46" s="220"/>
      <c r="AJ46" s="184"/>
      <c r="AK46" s="184"/>
      <c r="AL46" s="11"/>
      <c r="AM46" s="11"/>
      <c r="AN46" s="220"/>
      <c r="AO46" s="184"/>
      <c r="AP46" s="184"/>
      <c r="AQ46" s="11"/>
      <c r="AR46" s="11"/>
      <c r="AS46" s="220"/>
      <c r="AT46" s="184"/>
      <c r="AU46" s="184"/>
      <c r="AV46" s="11"/>
      <c r="AW46" s="11"/>
      <c r="AX46" s="220"/>
      <c r="AY46" s="184"/>
      <c r="AZ46" s="184"/>
      <c r="BA46" s="11"/>
      <c r="BB46" s="11"/>
      <c r="BC46" s="220"/>
      <c r="BD46" s="184"/>
      <c r="BE46" s="184"/>
      <c r="BF46" s="11"/>
      <c r="BG46" s="11"/>
      <c r="BH46" s="220"/>
      <c r="BI46" s="184"/>
      <c r="BJ46" s="184"/>
      <c r="BK46" s="184"/>
      <c r="BL46" s="184"/>
      <c r="BM46" s="184"/>
      <c r="BN46" s="184"/>
      <c r="BO46" s="184"/>
      <c r="BP46" s="184"/>
    </row>
    <row r="47">
      <c r="A47" s="228" t="str">
        <f>IFERROR(__xludf.DUMMYFUNCTION("TEXTJOIN(CHAR(10),TRUE,FILTER(ARRAYFORMULA(IF($AI$14:$AI72&lt;&gt;"""",AH$14:AH72&amp;"" :  cm"","""")), AH$14:AH72 &lt;&gt;""""))"),"")</f>
        <v/>
      </c>
      <c r="B47" s="240"/>
      <c r="C47" s="11"/>
      <c r="D47" s="11"/>
      <c r="E47" s="220"/>
      <c r="F47" s="220"/>
      <c r="G47" s="220"/>
      <c r="H47" s="11"/>
      <c r="I47" s="11"/>
      <c r="J47" s="220"/>
      <c r="K47" s="184"/>
      <c r="L47" s="184"/>
      <c r="M47" s="11"/>
      <c r="N47" s="11"/>
      <c r="O47" s="195"/>
      <c r="P47" s="11"/>
      <c r="Q47" s="11"/>
      <c r="R47" s="12"/>
      <c r="S47" s="11"/>
      <c r="T47" s="220"/>
      <c r="U47" s="184"/>
      <c r="V47" s="184"/>
      <c r="W47" s="11"/>
      <c r="X47" s="11"/>
      <c r="Y47" s="220"/>
      <c r="Z47" s="184"/>
      <c r="AA47" s="184"/>
      <c r="AB47" s="11"/>
      <c r="AC47" s="11"/>
      <c r="AD47" s="220"/>
      <c r="AE47" s="184"/>
      <c r="AF47" s="184"/>
      <c r="AG47" s="11"/>
      <c r="AH47" s="11"/>
      <c r="AI47" s="220"/>
      <c r="AJ47" s="184"/>
      <c r="AK47" s="184"/>
      <c r="AL47" s="11"/>
      <c r="AM47" s="11"/>
      <c r="AN47" s="220"/>
      <c r="AO47" s="184"/>
      <c r="AP47" s="184"/>
      <c r="AQ47" s="11"/>
      <c r="AR47" s="11"/>
      <c r="AS47" s="220"/>
      <c r="AT47" s="184"/>
      <c r="AU47" s="184"/>
      <c r="AV47" s="11"/>
      <c r="AW47" s="11"/>
      <c r="AX47" s="220"/>
      <c r="AY47" s="184"/>
      <c r="AZ47" s="184"/>
      <c r="BA47" s="11"/>
      <c r="BB47" s="11"/>
      <c r="BC47" s="220"/>
      <c r="BD47" s="184"/>
      <c r="BE47" s="184"/>
      <c r="BF47" s="11"/>
      <c r="BG47" s="11"/>
      <c r="BH47" s="220"/>
      <c r="BI47" s="184"/>
      <c r="BJ47" s="184"/>
      <c r="BK47" s="184"/>
      <c r="BL47" s="184"/>
      <c r="BM47" s="184"/>
      <c r="BN47" s="184"/>
      <c r="BO47" s="184"/>
      <c r="BP47" s="184"/>
    </row>
    <row r="48">
      <c r="A48" s="237" t="s">
        <v>122</v>
      </c>
      <c r="B48" s="240"/>
      <c r="C48" s="11"/>
      <c r="D48" s="11"/>
      <c r="E48" s="220"/>
      <c r="F48" s="220"/>
      <c r="G48" s="220"/>
      <c r="H48" s="11"/>
      <c r="I48" s="11"/>
      <c r="J48" s="220"/>
      <c r="K48" s="184"/>
      <c r="L48" s="184"/>
      <c r="M48" s="11"/>
      <c r="N48" s="11"/>
      <c r="O48" s="195"/>
      <c r="P48" s="11"/>
      <c r="Q48" s="11"/>
      <c r="R48" s="12"/>
      <c r="S48" s="11"/>
      <c r="T48" s="220"/>
      <c r="U48" s="184"/>
      <c r="V48" s="184"/>
      <c r="W48" s="11"/>
      <c r="X48" s="11"/>
      <c r="Y48" s="220"/>
      <c r="Z48" s="184"/>
      <c r="AA48" s="184"/>
      <c r="AB48" s="11"/>
      <c r="AC48" s="11"/>
      <c r="AD48" s="220"/>
      <c r="AE48" s="184"/>
      <c r="AF48" s="184"/>
      <c r="AG48" s="11"/>
      <c r="AH48" s="11"/>
      <c r="AI48" s="220"/>
      <c r="AJ48" s="184"/>
      <c r="AK48" s="184"/>
      <c r="AL48" s="11"/>
      <c r="AM48" s="11"/>
      <c r="AN48" s="220"/>
      <c r="AO48" s="184"/>
      <c r="AP48" s="184"/>
      <c r="AQ48" s="11"/>
      <c r="AR48" s="11"/>
      <c r="AS48" s="220"/>
      <c r="AT48" s="184"/>
      <c r="AU48" s="184"/>
      <c r="AV48" s="11"/>
      <c r="AW48" s="11"/>
      <c r="AX48" s="220"/>
      <c r="AY48" s="184"/>
      <c r="AZ48" s="184"/>
      <c r="BA48" s="11"/>
      <c r="BB48" s="11"/>
      <c r="BC48" s="220"/>
      <c r="BD48" s="184"/>
      <c r="BE48" s="184"/>
      <c r="BF48" s="11"/>
      <c r="BG48" s="11"/>
      <c r="BH48" s="220"/>
      <c r="BI48" s="184"/>
      <c r="BJ48" s="184"/>
      <c r="BK48" s="184"/>
      <c r="BL48" s="184"/>
      <c r="BM48" s="184"/>
      <c r="BN48" s="184"/>
      <c r="BO48" s="184"/>
      <c r="BP48" s="184"/>
    </row>
    <row r="49">
      <c r="A49" s="245" t="str">
        <f>IF( $AM$11 = "再製作", "◼︎ ショートステンカラーコート（対応着地：再製作）" &amp; char(10) &amp; "《修正数値》", IF($AM$11 &lt;&gt; "", "◼︎ ショートステンカラーコート（対応着地：お直し）"  &amp; char(10) &amp; "《修正数値》", ""))</f>
        <v/>
      </c>
      <c r="B49" s="240"/>
      <c r="C49" s="11"/>
      <c r="D49" s="11"/>
      <c r="E49" s="220"/>
      <c r="F49" s="220"/>
      <c r="G49" s="220"/>
      <c r="H49" s="11"/>
      <c r="I49" s="11"/>
      <c r="J49" s="220"/>
      <c r="K49" s="184"/>
      <c r="L49" s="184"/>
      <c r="M49" s="11"/>
      <c r="N49" s="11"/>
      <c r="O49" s="195"/>
      <c r="P49" s="11"/>
      <c r="Q49" s="11"/>
      <c r="R49" s="12"/>
      <c r="S49" s="11"/>
      <c r="T49" s="220"/>
      <c r="U49" s="184"/>
      <c r="V49" s="184"/>
      <c r="W49" s="11"/>
      <c r="X49" s="11"/>
      <c r="Y49" s="220"/>
      <c r="Z49" s="184"/>
      <c r="AA49" s="184"/>
      <c r="AB49" s="11"/>
      <c r="AC49" s="11"/>
      <c r="AD49" s="220"/>
      <c r="AE49" s="184"/>
      <c r="AF49" s="184"/>
      <c r="AG49" s="11"/>
      <c r="AH49" s="11"/>
      <c r="AI49" s="220"/>
      <c r="AJ49" s="184"/>
      <c r="AK49" s="184"/>
      <c r="AL49" s="11"/>
      <c r="AM49" s="11"/>
      <c r="AN49" s="220"/>
      <c r="AO49" s="184"/>
      <c r="AP49" s="184"/>
      <c r="AQ49" s="11"/>
      <c r="AR49" s="11"/>
      <c r="AS49" s="220"/>
      <c r="AT49" s="184"/>
      <c r="AU49" s="184"/>
      <c r="AV49" s="11"/>
      <c r="AW49" s="11"/>
      <c r="AX49" s="220"/>
      <c r="AY49" s="184"/>
      <c r="AZ49" s="184"/>
      <c r="BA49" s="11"/>
      <c r="BB49" s="11"/>
      <c r="BC49" s="220"/>
      <c r="BD49" s="184"/>
      <c r="BE49" s="184"/>
      <c r="BF49" s="11"/>
      <c r="BG49" s="11"/>
      <c r="BH49" s="220"/>
      <c r="BI49" s="184"/>
      <c r="BJ49" s="184"/>
      <c r="BK49" s="184"/>
      <c r="BL49" s="184"/>
      <c r="BM49" s="184"/>
      <c r="BN49" s="184"/>
      <c r="BO49" s="184"/>
      <c r="BP49" s="184"/>
    </row>
    <row r="50">
      <c r="A50" s="228" t="str">
        <f>IFERROR(__xludf.DUMMYFUNCTION("TEXTJOIN(CHAR(10),TRUE,FILTER(ARRAYFORMULA(IF(AN$14:AN72&lt;&gt;"""",AM$14:AM72&amp;"" : ""&amp; AN$14:AN72 &amp;"" cm"" &amp; ""（仕上がり寸：cm）"","""")), AM$14:AM72 &lt;&gt;""""))"),"")</f>
        <v/>
      </c>
      <c r="B50" s="240"/>
      <c r="C50" s="11"/>
      <c r="D50" s="11"/>
      <c r="E50" s="220"/>
      <c r="F50" s="220"/>
      <c r="G50" s="220"/>
      <c r="H50" s="11"/>
      <c r="I50" s="11"/>
      <c r="J50" s="220"/>
      <c r="K50" s="184"/>
      <c r="L50" s="184"/>
      <c r="M50" s="11"/>
      <c r="N50" s="11"/>
      <c r="O50" s="195"/>
      <c r="P50" s="11"/>
      <c r="Q50" s="11"/>
      <c r="R50" s="12"/>
      <c r="S50" s="11"/>
      <c r="T50" s="220"/>
      <c r="U50" s="184"/>
      <c r="V50" s="184"/>
      <c r="W50" s="11"/>
      <c r="X50" s="11"/>
      <c r="Y50" s="220"/>
      <c r="Z50" s="184"/>
      <c r="AA50" s="184"/>
      <c r="AB50" s="11"/>
      <c r="AC50" s="11"/>
      <c r="AD50" s="220"/>
      <c r="AE50" s="184"/>
      <c r="AF50" s="184"/>
      <c r="AG50" s="11"/>
      <c r="AH50" s="11"/>
      <c r="AI50" s="220"/>
      <c r="AJ50" s="184"/>
      <c r="AK50" s="184"/>
      <c r="AL50" s="11"/>
      <c r="AM50" s="11"/>
      <c r="AN50" s="220"/>
      <c r="AO50" s="184"/>
      <c r="AP50" s="184"/>
      <c r="AQ50" s="11"/>
      <c r="AR50" s="11"/>
      <c r="AS50" s="220"/>
      <c r="AT50" s="184"/>
      <c r="AU50" s="184"/>
      <c r="AV50" s="11"/>
      <c r="AW50" s="11"/>
      <c r="AX50" s="220"/>
      <c r="AY50" s="184"/>
      <c r="AZ50" s="184"/>
      <c r="BA50" s="11"/>
      <c r="BB50" s="11"/>
      <c r="BC50" s="220"/>
      <c r="BD50" s="184"/>
      <c r="BE50" s="184"/>
      <c r="BF50" s="11"/>
      <c r="BG50" s="11"/>
      <c r="BH50" s="220"/>
      <c r="BI50" s="184"/>
      <c r="BJ50" s="184"/>
      <c r="BK50" s="184"/>
      <c r="BL50" s="184"/>
      <c r="BM50" s="184"/>
      <c r="BN50" s="184"/>
      <c r="BO50" s="184"/>
      <c r="BP50" s="184"/>
    </row>
    <row r="51">
      <c r="A51" s="244" t="str">
        <f>if($A$49&lt;&gt;"", "《仕上がり数値》","")</f>
        <v/>
      </c>
      <c r="B51" s="240"/>
      <c r="C51" s="11"/>
      <c r="D51" s="11"/>
      <c r="E51" s="220"/>
      <c r="F51" s="220"/>
      <c r="G51" s="220"/>
      <c r="H51" s="11"/>
      <c r="I51" s="11"/>
      <c r="J51" s="220"/>
      <c r="K51" s="184"/>
      <c r="L51" s="184"/>
      <c r="M51" s="11"/>
      <c r="N51" s="11"/>
      <c r="O51" s="195"/>
      <c r="P51" s="11"/>
      <c r="Q51" s="11"/>
      <c r="R51" s="12"/>
      <c r="S51" s="11"/>
      <c r="T51" s="220"/>
      <c r="U51" s="184"/>
      <c r="V51" s="184"/>
      <c r="W51" s="11"/>
      <c r="X51" s="11"/>
      <c r="Y51" s="220"/>
      <c r="Z51" s="184"/>
      <c r="AA51" s="184"/>
      <c r="AB51" s="11"/>
      <c r="AC51" s="11"/>
      <c r="AD51" s="220"/>
      <c r="AE51" s="184"/>
      <c r="AF51" s="184"/>
      <c r="AG51" s="11"/>
      <c r="AH51" s="11"/>
      <c r="AI51" s="220"/>
      <c r="AJ51" s="184"/>
      <c r="AK51" s="184"/>
      <c r="AL51" s="11"/>
      <c r="AM51" s="11"/>
      <c r="AN51" s="220"/>
      <c r="AO51" s="184"/>
      <c r="AP51" s="184"/>
      <c r="AQ51" s="11"/>
      <c r="AR51" s="11"/>
      <c r="AS51" s="220"/>
      <c r="AT51" s="184"/>
      <c r="AU51" s="184"/>
      <c r="AV51" s="11"/>
      <c r="AW51" s="11"/>
      <c r="AX51" s="220"/>
      <c r="AY51" s="184"/>
      <c r="AZ51" s="184"/>
      <c r="BA51" s="11"/>
      <c r="BB51" s="11"/>
      <c r="BC51" s="220"/>
      <c r="BD51" s="184"/>
      <c r="BE51" s="184"/>
      <c r="BF51" s="11"/>
      <c r="BG51" s="11"/>
      <c r="BH51" s="220"/>
      <c r="BI51" s="184"/>
      <c r="BJ51" s="184"/>
      <c r="BK51" s="184"/>
      <c r="BL51" s="184"/>
      <c r="BM51" s="184"/>
      <c r="BN51" s="184"/>
      <c r="BO51" s="184"/>
      <c r="BP51" s="184"/>
    </row>
    <row r="52">
      <c r="A52" s="228" t="str">
        <f>IFERROR(__xludf.DUMMYFUNCTION("TEXTJOIN(CHAR(10),TRUE,FILTER(ARRAYFORMULA(IF(AN$14:AN72&lt;&gt;"""",AM$14:AM72&amp;"" : ""&amp; AN$14:AN72 &amp;"" cm"" &amp; ""（仕上がり寸：cm）"","""")), AM$14:AM72 &lt;&gt;""""))"),"")</f>
        <v/>
      </c>
      <c r="B52" s="240"/>
      <c r="C52" s="11"/>
      <c r="D52" s="11"/>
      <c r="E52" s="220"/>
      <c r="F52" s="220"/>
      <c r="G52" s="220"/>
      <c r="H52" s="11"/>
      <c r="I52" s="11"/>
      <c r="J52" s="220"/>
      <c r="K52" s="184"/>
      <c r="L52" s="184"/>
      <c r="M52" s="11"/>
      <c r="N52" s="11"/>
      <c r="O52" s="195"/>
      <c r="P52" s="11"/>
      <c r="Q52" s="11"/>
      <c r="R52" s="12"/>
      <c r="S52" s="11"/>
      <c r="T52" s="220"/>
      <c r="U52" s="184"/>
      <c r="V52" s="184"/>
      <c r="W52" s="11"/>
      <c r="X52" s="11"/>
      <c r="Y52" s="220"/>
      <c r="Z52" s="184"/>
      <c r="AA52" s="184"/>
      <c r="AB52" s="11"/>
      <c r="AC52" s="11"/>
      <c r="AD52" s="220"/>
      <c r="AE52" s="184"/>
      <c r="AF52" s="184"/>
      <c r="AG52" s="11"/>
      <c r="AH52" s="11"/>
      <c r="AI52" s="220"/>
      <c r="AJ52" s="184"/>
      <c r="AK52" s="184"/>
      <c r="AL52" s="11"/>
      <c r="AM52" s="11"/>
      <c r="AN52" s="220"/>
      <c r="AO52" s="184"/>
      <c r="AP52" s="184"/>
      <c r="AQ52" s="11"/>
      <c r="AR52" s="11"/>
      <c r="AS52" s="220"/>
      <c r="AT52" s="184"/>
      <c r="AU52" s="184"/>
      <c r="AV52" s="11"/>
      <c r="AW52" s="11"/>
      <c r="AX52" s="220"/>
      <c r="AY52" s="184"/>
      <c r="AZ52" s="184"/>
      <c r="BA52" s="11"/>
      <c r="BB52" s="11"/>
      <c r="BC52" s="220"/>
      <c r="BD52" s="184"/>
      <c r="BE52" s="184"/>
      <c r="BF52" s="11"/>
      <c r="BG52" s="11"/>
      <c r="BH52" s="220"/>
      <c r="BI52" s="184"/>
      <c r="BJ52" s="184"/>
      <c r="BK52" s="184"/>
      <c r="BL52" s="184"/>
      <c r="BM52" s="184"/>
      <c r="BN52" s="184"/>
      <c r="BO52" s="184"/>
      <c r="BP52" s="184"/>
    </row>
    <row r="53">
      <c r="A53" s="243" t="s">
        <v>123</v>
      </c>
      <c r="B53" s="240"/>
      <c r="C53" s="11"/>
      <c r="D53" s="11"/>
      <c r="E53" s="220"/>
      <c r="F53" s="220"/>
      <c r="G53" s="220"/>
      <c r="H53" s="11"/>
      <c r="I53" s="11"/>
      <c r="J53" s="220"/>
      <c r="K53" s="184"/>
      <c r="L53" s="184"/>
      <c r="M53" s="11"/>
      <c r="N53" s="11"/>
      <c r="O53" s="195"/>
      <c r="P53" s="11"/>
      <c r="Q53" s="11"/>
      <c r="R53" s="12"/>
      <c r="S53" s="11"/>
      <c r="T53" s="220"/>
      <c r="U53" s="184"/>
      <c r="V53" s="184"/>
      <c r="W53" s="11"/>
      <c r="X53" s="11"/>
      <c r="Y53" s="220"/>
      <c r="Z53" s="184"/>
      <c r="AA53" s="184"/>
      <c r="AB53" s="11"/>
      <c r="AC53" s="11"/>
      <c r="AD53" s="220"/>
      <c r="AE53" s="184"/>
      <c r="AF53" s="184"/>
      <c r="AG53" s="11"/>
      <c r="AH53" s="11"/>
      <c r="AI53" s="220"/>
      <c r="AJ53" s="184"/>
      <c r="AK53" s="184"/>
      <c r="AL53" s="11"/>
      <c r="AM53" s="11"/>
      <c r="AN53" s="220"/>
      <c r="AO53" s="184"/>
      <c r="AP53" s="184"/>
      <c r="AQ53" s="11"/>
      <c r="AR53" s="11"/>
      <c r="AS53" s="220"/>
      <c r="AT53" s="184"/>
      <c r="AU53" s="184"/>
      <c r="AV53" s="11"/>
      <c r="AW53" s="11"/>
      <c r="AX53" s="220"/>
      <c r="AY53" s="184"/>
      <c r="AZ53" s="184"/>
      <c r="BA53" s="11"/>
      <c r="BB53" s="11"/>
      <c r="BC53" s="220"/>
      <c r="BD53" s="184"/>
      <c r="BE53" s="184"/>
      <c r="BF53" s="11"/>
      <c r="BG53" s="11"/>
      <c r="BH53" s="220"/>
      <c r="BI53" s="184"/>
      <c r="BJ53" s="184"/>
      <c r="BK53" s="184"/>
      <c r="BL53" s="184"/>
      <c r="BM53" s="184"/>
      <c r="BN53" s="184"/>
      <c r="BO53" s="184"/>
      <c r="BP53" s="184"/>
    </row>
    <row r="54">
      <c r="A54" s="245" t="str">
        <f>IF( $AR$11 = "再製作", "◼︎ ステンカラーコート（対応着地：再製作）" &amp;char(10)&amp; "《修正数値》", IF($AR$11 &lt;&gt; "", "◼︎ ステンカラーコート（対応着地：お直し）" &amp;char(10)&amp; "《修正数値》", ""))</f>
        <v/>
      </c>
      <c r="B54" s="240"/>
      <c r="C54" s="11"/>
      <c r="D54" s="11"/>
      <c r="E54" s="220"/>
      <c r="F54" s="220"/>
      <c r="G54" s="220"/>
      <c r="H54" s="11"/>
      <c r="I54" s="11"/>
      <c r="J54" s="220"/>
      <c r="K54" s="184"/>
      <c r="L54" s="184"/>
      <c r="M54" s="11"/>
      <c r="N54" s="11"/>
      <c r="O54" s="195"/>
      <c r="P54" s="11"/>
      <c r="Q54" s="11"/>
      <c r="R54" s="12"/>
      <c r="S54" s="11"/>
      <c r="T54" s="220"/>
      <c r="U54" s="184"/>
      <c r="V54" s="184"/>
      <c r="W54" s="11"/>
      <c r="X54" s="11"/>
      <c r="Y54" s="220"/>
      <c r="Z54" s="184"/>
      <c r="AA54" s="184"/>
      <c r="AB54" s="11"/>
      <c r="AC54" s="11"/>
      <c r="AD54" s="220"/>
      <c r="AE54" s="184"/>
      <c r="AF54" s="184"/>
      <c r="AG54" s="11"/>
      <c r="AH54" s="11"/>
      <c r="AI54" s="220"/>
      <c r="AJ54" s="184"/>
      <c r="AK54" s="184"/>
      <c r="AL54" s="11"/>
      <c r="AM54" s="11"/>
      <c r="AN54" s="220"/>
      <c r="AO54" s="184"/>
      <c r="AP54" s="184"/>
      <c r="AQ54" s="11"/>
      <c r="AR54" s="11"/>
      <c r="AS54" s="220"/>
      <c r="AT54" s="184"/>
      <c r="AU54" s="184"/>
      <c r="AV54" s="11"/>
      <c r="AW54" s="11"/>
      <c r="AX54" s="220"/>
      <c r="AY54" s="184"/>
      <c r="AZ54" s="184"/>
      <c r="BA54" s="11"/>
      <c r="BB54" s="11"/>
      <c r="BC54" s="220"/>
      <c r="BD54" s="184"/>
      <c r="BE54" s="184"/>
      <c r="BF54" s="11"/>
      <c r="BG54" s="11"/>
      <c r="BH54" s="220"/>
      <c r="BI54" s="184"/>
      <c r="BJ54" s="184"/>
      <c r="BK54" s="184"/>
      <c r="BL54" s="184"/>
      <c r="BM54" s="184"/>
      <c r="BN54" s="184"/>
      <c r="BO54" s="184"/>
      <c r="BP54" s="184"/>
    </row>
    <row r="55">
      <c r="A55" s="228" t="str">
        <f>IFERROR(__xludf.DUMMYFUNCTION("TEXTJOIN(CHAR(10),TRUE,FILTER(ARRAYFORMULA(IF(AS$14:AS72&lt;&gt;"""",AR$14:AR72&amp;"" : ""&amp; AS$14:AS72 &amp;"" cm"","""")), AR$14:AR72 &lt;&gt;""""))"),"")</f>
        <v/>
      </c>
      <c r="B55" s="240"/>
      <c r="C55" s="11"/>
      <c r="D55" s="11"/>
      <c r="E55" s="220"/>
      <c r="F55" s="220"/>
      <c r="G55" s="220"/>
      <c r="H55" s="11"/>
      <c r="I55" s="11"/>
      <c r="J55" s="220"/>
      <c r="K55" s="184"/>
      <c r="L55" s="184"/>
      <c r="M55" s="11"/>
      <c r="N55" s="11"/>
      <c r="O55" s="195"/>
      <c r="P55" s="11"/>
      <c r="Q55" s="11"/>
      <c r="R55" s="12"/>
      <c r="S55" s="11"/>
      <c r="T55" s="220"/>
      <c r="U55" s="184"/>
      <c r="V55" s="184"/>
      <c r="W55" s="11"/>
      <c r="X55" s="11"/>
      <c r="Y55" s="220"/>
      <c r="Z55" s="184"/>
      <c r="AA55" s="184"/>
      <c r="AB55" s="11"/>
      <c r="AC55" s="11"/>
      <c r="AD55" s="220"/>
      <c r="AE55" s="184"/>
      <c r="AF55" s="184"/>
      <c r="AG55" s="11"/>
      <c r="AH55" s="11"/>
      <c r="AI55" s="220"/>
      <c r="AJ55" s="184"/>
      <c r="AK55" s="184"/>
      <c r="AL55" s="11"/>
      <c r="AM55" s="11"/>
      <c r="AN55" s="220"/>
      <c r="AO55" s="184"/>
      <c r="AP55" s="184"/>
      <c r="AQ55" s="11"/>
      <c r="AR55" s="11"/>
      <c r="AS55" s="220"/>
      <c r="AT55" s="184"/>
      <c r="AU55" s="184"/>
      <c r="AV55" s="11"/>
      <c r="AW55" s="11"/>
      <c r="AX55" s="220"/>
      <c r="AY55" s="184"/>
      <c r="AZ55" s="184"/>
      <c r="BA55" s="11"/>
      <c r="BB55" s="11"/>
      <c r="BC55" s="220"/>
      <c r="BD55" s="184"/>
      <c r="BE55" s="184"/>
      <c r="BF55" s="11"/>
      <c r="BG55" s="11"/>
      <c r="BH55" s="220"/>
      <c r="BI55" s="184"/>
      <c r="BJ55" s="184"/>
      <c r="BK55" s="184"/>
      <c r="BL55" s="184"/>
      <c r="BM55" s="184"/>
      <c r="BN55" s="184"/>
      <c r="BO55" s="184"/>
      <c r="BP55" s="184"/>
    </row>
    <row r="56">
      <c r="A56" s="244" t="str">
        <f>if($A$54&lt;&gt;"", "《仕上がり数値》","")</f>
        <v/>
      </c>
      <c r="B56" s="240"/>
      <c r="C56" s="11"/>
      <c r="D56" s="11"/>
      <c r="E56" s="220"/>
      <c r="F56" s="220"/>
      <c r="G56" s="220"/>
      <c r="H56" s="11"/>
      <c r="I56" s="11"/>
      <c r="J56" s="220"/>
      <c r="K56" s="184"/>
      <c r="L56" s="184"/>
      <c r="M56" s="11"/>
      <c r="N56" s="11"/>
      <c r="O56" s="195"/>
      <c r="P56" s="11"/>
      <c r="Q56" s="11"/>
      <c r="R56" s="12"/>
      <c r="S56" s="11"/>
      <c r="T56" s="220"/>
      <c r="U56" s="184"/>
      <c r="V56" s="184"/>
      <c r="W56" s="11"/>
      <c r="X56" s="11"/>
      <c r="Y56" s="220"/>
      <c r="Z56" s="184"/>
      <c r="AA56" s="184"/>
      <c r="AB56" s="11"/>
      <c r="AC56" s="11"/>
      <c r="AD56" s="220"/>
      <c r="AE56" s="184"/>
      <c r="AF56" s="184"/>
      <c r="AG56" s="11"/>
      <c r="AH56" s="11"/>
      <c r="AI56" s="220"/>
      <c r="AJ56" s="184"/>
      <c r="AK56" s="184"/>
      <c r="AL56" s="11"/>
      <c r="AM56" s="11"/>
      <c r="AN56" s="220"/>
      <c r="AO56" s="184"/>
      <c r="AP56" s="184"/>
      <c r="AQ56" s="11"/>
      <c r="AR56" s="11"/>
      <c r="AS56" s="220"/>
      <c r="AT56" s="184"/>
      <c r="AU56" s="184"/>
      <c r="AV56" s="11"/>
      <c r="AW56" s="11"/>
      <c r="AX56" s="220"/>
      <c r="AY56" s="184"/>
      <c r="AZ56" s="184"/>
      <c r="BA56" s="11"/>
      <c r="BB56" s="11"/>
      <c r="BC56" s="220"/>
      <c r="BD56" s="184"/>
      <c r="BE56" s="184"/>
      <c r="BF56" s="11"/>
      <c r="BG56" s="11"/>
      <c r="BH56" s="220"/>
      <c r="BI56" s="184"/>
      <c r="BJ56" s="184"/>
      <c r="BK56" s="184"/>
      <c r="BL56" s="184"/>
      <c r="BM56" s="184"/>
      <c r="BN56" s="184"/>
      <c r="BO56" s="184"/>
      <c r="BP56" s="184"/>
    </row>
    <row r="57">
      <c r="A57" s="228" t="str">
        <f>IFERROR(__xludf.DUMMYFUNCTION("TEXTJOIN(CHAR(10),TRUE,FILTER(ARRAYFORMULA(IF(AS$14:AS72&lt;&gt;"""",AR$14:AR72&amp;"" :  cm"","""")), AR$14:AR72 &lt;&gt;""""))"),"")</f>
        <v/>
      </c>
      <c r="B57" s="240"/>
      <c r="C57" s="11"/>
      <c r="D57" s="11"/>
      <c r="E57" s="220"/>
      <c r="F57" s="220"/>
      <c r="G57" s="220"/>
      <c r="H57" s="11"/>
      <c r="I57" s="11"/>
      <c r="J57" s="220"/>
      <c r="K57" s="184"/>
      <c r="L57" s="184"/>
      <c r="M57" s="11"/>
      <c r="N57" s="11"/>
      <c r="O57" s="195"/>
      <c r="P57" s="11"/>
      <c r="Q57" s="11"/>
      <c r="R57" s="12"/>
      <c r="S57" s="11"/>
      <c r="T57" s="220"/>
      <c r="U57" s="184"/>
      <c r="V57" s="184"/>
      <c r="W57" s="11"/>
      <c r="X57" s="11"/>
      <c r="Y57" s="220"/>
      <c r="Z57" s="184"/>
      <c r="AA57" s="184"/>
      <c r="AB57" s="11"/>
      <c r="AC57" s="11"/>
      <c r="AD57" s="220"/>
      <c r="AE57" s="184"/>
      <c r="AF57" s="184"/>
      <c r="AG57" s="11"/>
      <c r="AH57" s="11"/>
      <c r="AI57" s="220"/>
      <c r="AJ57" s="184"/>
      <c r="AK57" s="184"/>
      <c r="AL57" s="11"/>
      <c r="AM57" s="11"/>
      <c r="AN57" s="220"/>
      <c r="AO57" s="184"/>
      <c r="AP57" s="184"/>
      <c r="AQ57" s="11"/>
      <c r="AR57" s="11"/>
      <c r="AS57" s="220"/>
      <c r="AT57" s="184"/>
      <c r="AU57" s="184"/>
      <c r="AV57" s="11"/>
      <c r="AW57" s="11"/>
      <c r="AX57" s="220"/>
      <c r="AY57" s="184"/>
      <c r="AZ57" s="184"/>
      <c r="BA57" s="11"/>
      <c r="BB57" s="11"/>
      <c r="BC57" s="220"/>
      <c r="BD57" s="184"/>
      <c r="BE57" s="184"/>
      <c r="BF57" s="11"/>
      <c r="BG57" s="11"/>
      <c r="BH57" s="220"/>
      <c r="BI57" s="184"/>
      <c r="BJ57" s="184"/>
      <c r="BK57" s="184"/>
      <c r="BL57" s="184"/>
      <c r="BM57" s="184"/>
      <c r="BN57" s="184"/>
      <c r="BO57" s="184"/>
      <c r="BP57" s="184"/>
    </row>
    <row r="58">
      <c r="A58" s="243" t="s">
        <v>124</v>
      </c>
      <c r="B58" s="240"/>
      <c r="C58" s="11"/>
      <c r="D58" s="11"/>
      <c r="E58" s="220"/>
      <c r="F58" s="220"/>
      <c r="G58" s="220"/>
      <c r="H58" s="11"/>
      <c r="I58" s="11"/>
      <c r="J58" s="220"/>
      <c r="K58" s="184"/>
      <c r="L58" s="184"/>
      <c r="M58" s="11"/>
      <c r="N58" s="11"/>
      <c r="O58" s="195"/>
      <c r="P58" s="11"/>
      <c r="Q58" s="11"/>
      <c r="R58" s="12"/>
      <c r="S58" s="11"/>
      <c r="T58" s="220"/>
      <c r="U58" s="184"/>
      <c r="V58" s="184"/>
      <c r="W58" s="11"/>
      <c r="X58" s="11"/>
      <c r="Y58" s="220"/>
      <c r="Z58" s="184"/>
      <c r="AA58" s="184"/>
      <c r="AB58" s="11"/>
      <c r="AC58" s="11"/>
      <c r="AD58" s="220"/>
      <c r="AE58" s="184"/>
      <c r="AF58" s="184"/>
      <c r="AG58" s="11"/>
      <c r="AH58" s="11"/>
      <c r="AI58" s="220"/>
      <c r="AJ58" s="184"/>
      <c r="AK58" s="184"/>
      <c r="AL58" s="11"/>
      <c r="AM58" s="11"/>
      <c r="AN58" s="220"/>
      <c r="AO58" s="184"/>
      <c r="AP58" s="184"/>
      <c r="AQ58" s="11"/>
      <c r="AR58" s="11"/>
      <c r="AS58" s="220"/>
      <c r="AT58" s="184"/>
      <c r="AU58" s="184"/>
      <c r="AV58" s="11"/>
      <c r="AW58" s="11"/>
      <c r="AX58" s="220"/>
      <c r="AY58" s="184"/>
      <c r="AZ58" s="184"/>
      <c r="BA58" s="11"/>
      <c r="BB58" s="11"/>
      <c r="BC58" s="220"/>
      <c r="BD58" s="184"/>
      <c r="BE58" s="184"/>
      <c r="BF58" s="11"/>
      <c r="BG58" s="11"/>
      <c r="BH58" s="220"/>
      <c r="BI58" s="184"/>
      <c r="BJ58" s="184"/>
      <c r="BK58" s="184"/>
      <c r="BL58" s="184"/>
      <c r="BM58" s="184"/>
      <c r="BN58" s="184"/>
      <c r="BO58" s="184"/>
      <c r="BP58" s="184"/>
    </row>
    <row r="59">
      <c r="A59" s="245" t="str">
        <f>IF( $AW$11 = "再製作", "◼︎ チェスターコート（対応着地：再製作）" &amp;char(10)&amp;"《修正数値》", IF($AW$11 &lt;&gt; "", "◼︎ チェスターコート（対応着地：お直し）" &amp;char(10)&amp;"《修正数値》", ""))</f>
        <v/>
      </c>
      <c r="B59" s="240"/>
      <c r="C59" s="11"/>
      <c r="D59" s="11"/>
      <c r="E59" s="220"/>
      <c r="F59" s="220"/>
      <c r="G59" s="220"/>
      <c r="H59" s="11"/>
      <c r="I59" s="11"/>
      <c r="J59" s="220"/>
      <c r="K59" s="184"/>
      <c r="L59" s="184"/>
      <c r="M59" s="11"/>
      <c r="N59" s="11"/>
      <c r="O59" s="195"/>
      <c r="P59" s="11"/>
      <c r="Q59" s="11"/>
      <c r="R59" s="12"/>
      <c r="S59" s="11"/>
      <c r="T59" s="220"/>
      <c r="U59" s="184"/>
      <c r="V59" s="184"/>
      <c r="W59" s="11"/>
      <c r="X59" s="11"/>
      <c r="Y59" s="220"/>
      <c r="Z59" s="184"/>
      <c r="AA59" s="184"/>
      <c r="AB59" s="11"/>
      <c r="AC59" s="11"/>
      <c r="AD59" s="220"/>
      <c r="AE59" s="184"/>
      <c r="AF59" s="184"/>
      <c r="AG59" s="11"/>
      <c r="AH59" s="11"/>
      <c r="AI59" s="220"/>
      <c r="AJ59" s="184"/>
      <c r="AK59" s="184"/>
      <c r="AL59" s="11"/>
      <c r="AM59" s="11"/>
      <c r="AN59" s="220"/>
      <c r="AO59" s="184"/>
      <c r="AP59" s="184"/>
      <c r="AQ59" s="11"/>
      <c r="AR59" s="11"/>
      <c r="AS59" s="220"/>
      <c r="AT59" s="184"/>
      <c r="AU59" s="184"/>
      <c r="AV59" s="11"/>
      <c r="AW59" s="11"/>
      <c r="AX59" s="220"/>
      <c r="AY59" s="184"/>
      <c r="AZ59" s="184"/>
      <c r="BA59" s="11"/>
      <c r="BB59" s="11"/>
      <c r="BC59" s="220"/>
      <c r="BD59" s="184"/>
      <c r="BE59" s="184"/>
      <c r="BF59" s="11"/>
      <c r="BG59" s="11"/>
      <c r="BH59" s="220"/>
      <c r="BI59" s="184"/>
      <c r="BJ59" s="184"/>
      <c r="BK59" s="184"/>
      <c r="BL59" s="184"/>
      <c r="BM59" s="184"/>
      <c r="BN59" s="184"/>
      <c r="BO59" s="184"/>
      <c r="BP59" s="184"/>
    </row>
    <row r="60">
      <c r="A60" s="228" t="str">
        <f>IFERROR(__xludf.DUMMYFUNCTION("TEXTJOIN(CHAR(10),TRUE,FILTER(ARRAYFORMULA(IF(AX$14:AX72&lt;&gt;"""",AW$14:AW72&amp;"" : ""&amp; AX$14:AX72 &amp;"" cm"","""")), AC$14:AC72 &lt;&gt;""""))"),"")</f>
        <v/>
      </c>
      <c r="B60" s="240"/>
      <c r="C60" s="11"/>
      <c r="D60" s="11"/>
      <c r="E60" s="220"/>
      <c r="F60" s="220"/>
      <c r="G60" s="220"/>
      <c r="H60" s="11"/>
      <c r="I60" s="11"/>
      <c r="J60" s="220"/>
      <c r="K60" s="184"/>
      <c r="L60" s="184"/>
      <c r="M60" s="11"/>
      <c r="N60" s="11"/>
      <c r="O60" s="195"/>
      <c r="P60" s="11"/>
      <c r="Q60" s="11"/>
      <c r="R60" s="12"/>
      <c r="S60" s="11"/>
      <c r="T60" s="220"/>
      <c r="U60" s="184"/>
      <c r="V60" s="184"/>
      <c r="W60" s="11"/>
      <c r="X60" s="11"/>
      <c r="Y60" s="220"/>
      <c r="Z60" s="184"/>
      <c r="AA60" s="184"/>
      <c r="AB60" s="11"/>
      <c r="AC60" s="11"/>
      <c r="AD60" s="220"/>
      <c r="AE60" s="184"/>
      <c r="AF60" s="184"/>
      <c r="AG60" s="11"/>
      <c r="AH60" s="11"/>
      <c r="AI60" s="220"/>
      <c r="AJ60" s="184"/>
      <c r="AK60" s="184"/>
      <c r="AL60" s="11"/>
      <c r="AM60" s="11"/>
      <c r="AN60" s="220"/>
      <c r="AO60" s="184"/>
      <c r="AP60" s="184"/>
      <c r="AQ60" s="11"/>
      <c r="AR60" s="11"/>
      <c r="AS60" s="220"/>
      <c r="AT60" s="184"/>
      <c r="AU60" s="184"/>
      <c r="AV60" s="11"/>
      <c r="AW60" s="11"/>
      <c r="AX60" s="220"/>
      <c r="AY60" s="184"/>
      <c r="AZ60" s="184"/>
      <c r="BA60" s="11"/>
      <c r="BB60" s="11"/>
      <c r="BC60" s="220"/>
      <c r="BD60" s="184"/>
      <c r="BE60" s="184"/>
      <c r="BF60" s="11"/>
      <c r="BG60" s="11"/>
      <c r="BH60" s="220"/>
      <c r="BI60" s="184"/>
      <c r="BJ60" s="184"/>
      <c r="BK60" s="184"/>
      <c r="BL60" s="184"/>
      <c r="BM60" s="184"/>
      <c r="BN60" s="184"/>
      <c r="BO60" s="184"/>
      <c r="BP60" s="184"/>
    </row>
    <row r="61">
      <c r="A61" s="244" t="str">
        <f>if($A$59&lt;&gt;"", "《仕上がり数値》","")</f>
        <v/>
      </c>
      <c r="B61" s="240"/>
      <c r="C61" s="11"/>
      <c r="D61" s="11"/>
      <c r="E61" s="220"/>
      <c r="F61" s="220"/>
      <c r="G61" s="220"/>
      <c r="H61" s="11"/>
      <c r="I61" s="11"/>
      <c r="J61" s="220"/>
      <c r="K61" s="184"/>
      <c r="L61" s="184"/>
      <c r="M61" s="11"/>
      <c r="N61" s="11"/>
      <c r="O61" s="195"/>
      <c r="P61" s="11"/>
      <c r="Q61" s="11"/>
      <c r="R61" s="12"/>
      <c r="S61" s="11"/>
      <c r="T61" s="220"/>
      <c r="U61" s="184"/>
      <c r="V61" s="184"/>
      <c r="W61" s="11"/>
      <c r="X61" s="11"/>
      <c r="Y61" s="220"/>
      <c r="Z61" s="184"/>
      <c r="AA61" s="184"/>
      <c r="AB61" s="11"/>
      <c r="AC61" s="11"/>
      <c r="AD61" s="220"/>
      <c r="AE61" s="184"/>
      <c r="AF61" s="184"/>
      <c r="AG61" s="11"/>
      <c r="AH61" s="11"/>
      <c r="AI61" s="220"/>
      <c r="AJ61" s="184"/>
      <c r="AK61" s="184"/>
      <c r="AL61" s="11"/>
      <c r="AM61" s="11"/>
      <c r="AN61" s="220"/>
      <c r="AO61" s="184"/>
      <c r="AP61" s="184"/>
      <c r="AQ61" s="11"/>
      <c r="AR61" s="11"/>
      <c r="AS61" s="220"/>
      <c r="AT61" s="184"/>
      <c r="AU61" s="184"/>
      <c r="AV61" s="11"/>
      <c r="AW61" s="11"/>
      <c r="AX61" s="220"/>
      <c r="AY61" s="184"/>
      <c r="AZ61" s="184"/>
      <c r="BA61" s="11"/>
      <c r="BB61" s="11"/>
      <c r="BC61" s="220"/>
      <c r="BD61" s="184"/>
      <c r="BE61" s="184"/>
      <c r="BF61" s="11"/>
      <c r="BG61" s="11"/>
      <c r="BH61" s="220"/>
      <c r="BI61" s="184"/>
      <c r="BJ61" s="184"/>
      <c r="BK61" s="184"/>
      <c r="BL61" s="184"/>
      <c r="BM61" s="184"/>
      <c r="BN61" s="184"/>
      <c r="BO61" s="184"/>
      <c r="BP61" s="184"/>
    </row>
    <row r="62">
      <c r="A62" s="228" t="str">
        <f>IFERROR(__xludf.DUMMYFUNCTION("TEXTJOIN(CHAR(10),TRUE,FILTER(ARRAYFORMULA(IF(AX$14:AX72&lt;&gt;"""",AW$14:AW72&amp;"" :  cm"","""")), AC$14:AC72 &lt;&gt;""""))"),"")</f>
        <v/>
      </c>
      <c r="B62" s="240"/>
      <c r="C62" s="11"/>
      <c r="D62" s="11"/>
      <c r="E62" s="220"/>
      <c r="F62" s="220"/>
      <c r="G62" s="220"/>
      <c r="H62" s="11"/>
      <c r="I62" s="11"/>
      <c r="J62" s="220"/>
      <c r="K62" s="184"/>
      <c r="L62" s="184"/>
      <c r="M62" s="11"/>
      <c r="N62" s="11"/>
      <c r="O62" s="195"/>
      <c r="P62" s="11"/>
      <c r="Q62" s="11"/>
      <c r="R62" s="12"/>
      <c r="S62" s="11"/>
      <c r="T62" s="220"/>
      <c r="U62" s="184"/>
      <c r="V62" s="184"/>
      <c r="W62" s="11"/>
      <c r="X62" s="11"/>
      <c r="Y62" s="220"/>
      <c r="Z62" s="184"/>
      <c r="AA62" s="184"/>
      <c r="AB62" s="11"/>
      <c r="AC62" s="11"/>
      <c r="AD62" s="220"/>
      <c r="AE62" s="184"/>
      <c r="AF62" s="184"/>
      <c r="AG62" s="11"/>
      <c r="AH62" s="11"/>
      <c r="AI62" s="220"/>
      <c r="AJ62" s="184"/>
      <c r="AK62" s="184"/>
      <c r="AL62" s="11"/>
      <c r="AM62" s="11"/>
      <c r="AN62" s="220"/>
      <c r="AO62" s="184"/>
      <c r="AP62" s="184"/>
      <c r="AQ62" s="11"/>
      <c r="AR62" s="11"/>
      <c r="AS62" s="220"/>
      <c r="AT62" s="184"/>
      <c r="AU62" s="184"/>
      <c r="AV62" s="11"/>
      <c r="AW62" s="11"/>
      <c r="AX62" s="220"/>
      <c r="AY62" s="184"/>
      <c r="AZ62" s="184"/>
      <c r="BA62" s="11"/>
      <c r="BB62" s="11"/>
      <c r="BC62" s="220"/>
      <c r="BD62" s="184"/>
      <c r="BE62" s="184"/>
      <c r="BF62" s="11"/>
      <c r="BG62" s="11"/>
      <c r="BH62" s="220"/>
      <c r="BI62" s="184"/>
      <c r="BJ62" s="184"/>
      <c r="BK62" s="184"/>
      <c r="BL62" s="184"/>
      <c r="BM62" s="184"/>
      <c r="BN62" s="184"/>
      <c r="BO62" s="184"/>
      <c r="BP62" s="184"/>
    </row>
    <row r="63">
      <c r="A63" s="243" t="s">
        <v>125</v>
      </c>
      <c r="B63" s="240"/>
      <c r="C63" s="11"/>
      <c r="D63" s="11"/>
      <c r="E63" s="220"/>
      <c r="F63" s="220"/>
      <c r="G63" s="220"/>
      <c r="H63" s="11"/>
      <c r="I63" s="11"/>
      <c r="J63" s="220"/>
      <c r="K63" s="184"/>
      <c r="L63" s="184"/>
      <c r="M63" s="11"/>
      <c r="N63" s="11"/>
      <c r="O63" s="195"/>
      <c r="P63" s="11"/>
      <c r="Q63" s="11"/>
      <c r="R63" s="12"/>
      <c r="S63" s="11"/>
      <c r="T63" s="220"/>
      <c r="U63" s="184"/>
      <c r="V63" s="184"/>
      <c r="W63" s="11"/>
      <c r="X63" s="11"/>
      <c r="Y63" s="220"/>
      <c r="Z63" s="184"/>
      <c r="AA63" s="184"/>
      <c r="AB63" s="11"/>
      <c r="AC63" s="11"/>
      <c r="AD63" s="220"/>
      <c r="AE63" s="184"/>
      <c r="AF63" s="184"/>
      <c r="AG63" s="11"/>
      <c r="AH63" s="11"/>
      <c r="AI63" s="220"/>
      <c r="AJ63" s="184"/>
      <c r="AK63" s="184"/>
      <c r="AL63" s="11"/>
      <c r="AM63" s="11"/>
      <c r="AN63" s="220"/>
      <c r="AO63" s="184"/>
      <c r="AP63" s="184"/>
      <c r="AQ63" s="11"/>
      <c r="AR63" s="11"/>
      <c r="AS63" s="220"/>
      <c r="AT63" s="184"/>
      <c r="AU63" s="184"/>
      <c r="AV63" s="11"/>
      <c r="AW63" s="11"/>
      <c r="AX63" s="220"/>
      <c r="AY63" s="184"/>
      <c r="AZ63" s="184"/>
      <c r="BA63" s="11"/>
      <c r="BB63" s="11"/>
      <c r="BC63" s="220"/>
      <c r="BD63" s="184"/>
      <c r="BE63" s="184"/>
      <c r="BF63" s="11"/>
      <c r="BG63" s="11"/>
      <c r="BH63" s="220"/>
      <c r="BI63" s="184"/>
      <c r="BJ63" s="184"/>
      <c r="BK63" s="184"/>
      <c r="BL63" s="184"/>
      <c r="BM63" s="184"/>
      <c r="BN63" s="184"/>
      <c r="BO63" s="184"/>
      <c r="BP63" s="184"/>
    </row>
    <row r="64">
      <c r="A64" s="245" t="str">
        <f>IF( $BB$11 = "再製作", "◼︎ トレンチコート（対応着地：再製作）" &amp;char(10)&amp; "《修正数値》", IF($BB$11 &lt;&gt; "", "◼︎ トレンチコート（対応着地：お直し）" &amp;char(10)&amp; "《修正数値》", ""))</f>
        <v/>
      </c>
      <c r="B64" s="240"/>
      <c r="C64" s="11"/>
      <c r="D64" s="11"/>
      <c r="E64" s="220"/>
      <c r="F64" s="220"/>
      <c r="G64" s="220"/>
      <c r="H64" s="11"/>
      <c r="I64" s="11"/>
      <c r="J64" s="220"/>
      <c r="K64" s="184"/>
      <c r="L64" s="184"/>
      <c r="M64" s="11"/>
      <c r="N64" s="11"/>
      <c r="O64" s="195"/>
      <c r="P64" s="11"/>
      <c r="Q64" s="11"/>
      <c r="R64" s="12"/>
      <c r="S64" s="11"/>
      <c r="T64" s="220"/>
      <c r="U64" s="184"/>
      <c r="V64" s="184"/>
      <c r="W64" s="11"/>
      <c r="X64" s="11"/>
      <c r="Y64" s="220"/>
      <c r="Z64" s="184"/>
      <c r="AA64" s="184"/>
      <c r="AB64" s="11"/>
      <c r="AC64" s="11"/>
      <c r="AD64" s="220"/>
      <c r="AE64" s="184"/>
      <c r="AF64" s="184"/>
      <c r="AG64" s="11"/>
      <c r="AH64" s="11"/>
      <c r="AI64" s="220"/>
      <c r="AJ64" s="184"/>
      <c r="AK64" s="184"/>
      <c r="AL64" s="11"/>
      <c r="AM64" s="11"/>
      <c r="AN64" s="220"/>
      <c r="AO64" s="184"/>
      <c r="AP64" s="184"/>
      <c r="AQ64" s="11"/>
      <c r="AR64" s="11"/>
      <c r="AS64" s="220"/>
      <c r="AT64" s="184"/>
      <c r="AU64" s="184"/>
      <c r="AV64" s="11"/>
      <c r="AW64" s="11"/>
      <c r="AX64" s="220"/>
      <c r="AY64" s="184"/>
      <c r="AZ64" s="184"/>
      <c r="BA64" s="11"/>
      <c r="BB64" s="11"/>
      <c r="BC64" s="220"/>
      <c r="BD64" s="184"/>
      <c r="BE64" s="184"/>
      <c r="BF64" s="11"/>
      <c r="BG64" s="11"/>
      <c r="BH64" s="220"/>
      <c r="BI64" s="184"/>
      <c r="BJ64" s="184"/>
      <c r="BK64" s="184"/>
      <c r="BL64" s="184"/>
      <c r="BM64" s="184"/>
      <c r="BN64" s="184"/>
      <c r="BO64" s="184"/>
      <c r="BP64" s="184"/>
    </row>
    <row r="65">
      <c r="A65" s="228" t="str">
        <f>IFERROR(__xludf.DUMMYFUNCTION("TEXTJOIN(CHAR(10),TRUE,FILTER(ARRAYFORMULA(IF(BC$14:BC72&lt;&gt;"""",BB$14:BB72&amp;"" : ""&amp; BC$14:BC72 &amp;"" cm"","""")), BB$14:BB72 &lt;&gt;""""))"),"")</f>
        <v/>
      </c>
      <c r="B65" s="240"/>
      <c r="C65" s="11"/>
      <c r="D65" s="11"/>
      <c r="E65" s="220"/>
      <c r="F65" s="220"/>
      <c r="G65" s="220"/>
      <c r="H65" s="11"/>
      <c r="I65" s="11"/>
      <c r="J65" s="220"/>
      <c r="K65" s="184"/>
      <c r="L65" s="184"/>
      <c r="M65" s="11"/>
      <c r="N65" s="11"/>
      <c r="O65" s="195"/>
      <c r="P65" s="11"/>
      <c r="Q65" s="11"/>
      <c r="R65" s="12"/>
      <c r="S65" s="11"/>
      <c r="T65" s="220"/>
      <c r="U65" s="184"/>
      <c r="V65" s="184"/>
      <c r="W65" s="11"/>
      <c r="X65" s="11"/>
      <c r="Y65" s="220"/>
      <c r="Z65" s="184"/>
      <c r="AA65" s="184"/>
      <c r="AB65" s="11"/>
      <c r="AC65" s="11"/>
      <c r="AD65" s="220"/>
      <c r="AE65" s="184"/>
      <c r="AF65" s="184"/>
      <c r="AG65" s="11"/>
      <c r="AH65" s="11"/>
      <c r="AI65" s="220"/>
      <c r="AJ65" s="184"/>
      <c r="AK65" s="184"/>
      <c r="AL65" s="11"/>
      <c r="AM65" s="11"/>
      <c r="AN65" s="220"/>
      <c r="AO65" s="184"/>
      <c r="AP65" s="184"/>
      <c r="AQ65" s="11"/>
      <c r="AR65" s="11"/>
      <c r="AS65" s="220"/>
      <c r="AT65" s="184"/>
      <c r="AU65" s="184"/>
      <c r="AV65" s="11"/>
      <c r="AW65" s="11"/>
      <c r="AX65" s="220"/>
      <c r="AY65" s="184"/>
      <c r="AZ65" s="184"/>
      <c r="BA65" s="11"/>
      <c r="BB65" s="11"/>
      <c r="BC65" s="220"/>
      <c r="BD65" s="184"/>
      <c r="BE65" s="184"/>
      <c r="BF65" s="11"/>
      <c r="BG65" s="11"/>
      <c r="BH65" s="220"/>
      <c r="BI65" s="184"/>
      <c r="BJ65" s="184"/>
      <c r="BK65" s="184"/>
      <c r="BL65" s="184"/>
      <c r="BM65" s="184"/>
      <c r="BN65" s="184"/>
      <c r="BO65" s="184"/>
      <c r="BP65" s="184"/>
    </row>
    <row r="66">
      <c r="A66" s="244" t="str">
        <f>if($A$64&lt;&gt;"", "《仕上がり数値》","")</f>
        <v/>
      </c>
      <c r="B66" s="240"/>
      <c r="C66" s="11"/>
      <c r="D66" s="11"/>
      <c r="E66" s="220"/>
      <c r="F66" s="220"/>
      <c r="G66" s="220"/>
      <c r="H66" s="11"/>
      <c r="I66" s="11"/>
      <c r="J66" s="220"/>
      <c r="K66" s="184"/>
      <c r="L66" s="184"/>
      <c r="M66" s="11"/>
      <c r="N66" s="11"/>
      <c r="O66" s="195"/>
      <c r="P66" s="11"/>
      <c r="Q66" s="11"/>
      <c r="R66" s="12"/>
      <c r="S66" s="11"/>
      <c r="T66" s="220"/>
      <c r="U66" s="184"/>
      <c r="V66" s="184"/>
      <c r="W66" s="11"/>
      <c r="X66" s="11"/>
      <c r="Y66" s="220"/>
      <c r="Z66" s="184"/>
      <c r="AA66" s="184"/>
      <c r="AB66" s="11"/>
      <c r="AC66" s="11"/>
      <c r="AD66" s="220"/>
      <c r="AE66" s="184"/>
      <c r="AF66" s="184"/>
      <c r="AG66" s="11"/>
      <c r="AH66" s="11"/>
      <c r="AI66" s="220"/>
      <c r="AJ66" s="184"/>
      <c r="AK66" s="184"/>
      <c r="AL66" s="11"/>
      <c r="AM66" s="11"/>
      <c r="AN66" s="220"/>
      <c r="AO66" s="184"/>
      <c r="AP66" s="184"/>
      <c r="AQ66" s="11"/>
      <c r="AR66" s="11"/>
      <c r="AS66" s="220"/>
      <c r="AT66" s="184"/>
      <c r="AU66" s="184"/>
      <c r="AV66" s="11"/>
      <c r="AW66" s="11"/>
      <c r="AX66" s="220"/>
      <c r="AY66" s="184"/>
      <c r="AZ66" s="184"/>
      <c r="BA66" s="11"/>
      <c r="BB66" s="11"/>
      <c r="BC66" s="220"/>
      <c r="BD66" s="184"/>
      <c r="BE66" s="184"/>
      <c r="BF66" s="11"/>
      <c r="BG66" s="11"/>
      <c r="BH66" s="220"/>
      <c r="BI66" s="184"/>
      <c r="BJ66" s="184"/>
      <c r="BK66" s="184"/>
      <c r="BL66" s="184"/>
      <c r="BM66" s="184"/>
      <c r="BN66" s="184"/>
      <c r="BO66" s="184"/>
      <c r="BP66" s="184"/>
    </row>
    <row r="67">
      <c r="A67" s="228" t="str">
        <f>IFERROR(__xludf.DUMMYFUNCTION("TEXTJOIN(CHAR(10),TRUE,FILTER(ARRAYFORMULA(IF(BC$14:BC72&lt;&gt;"""",BB$14:BB72&amp;"" :  cm"","""")), BB$14:BB72 &lt;&gt;""""))"),"")</f>
        <v/>
      </c>
      <c r="B67" s="240"/>
      <c r="C67" s="11"/>
      <c r="D67" s="11"/>
      <c r="E67" s="220"/>
      <c r="F67" s="220"/>
      <c r="G67" s="220"/>
      <c r="H67" s="11"/>
      <c r="I67" s="11"/>
      <c r="J67" s="220"/>
      <c r="K67" s="184"/>
      <c r="L67" s="184"/>
      <c r="M67" s="11"/>
      <c r="N67" s="11"/>
      <c r="O67" s="195"/>
      <c r="P67" s="11"/>
      <c r="Q67" s="11"/>
      <c r="R67" s="12"/>
      <c r="S67" s="11"/>
      <c r="T67" s="220"/>
      <c r="U67" s="184"/>
      <c r="V67" s="184"/>
      <c r="W67" s="11"/>
      <c r="X67" s="11"/>
      <c r="Y67" s="220"/>
      <c r="Z67" s="184"/>
      <c r="AA67" s="184"/>
      <c r="AB67" s="11"/>
      <c r="AC67" s="11"/>
      <c r="AD67" s="220"/>
      <c r="AE67" s="184"/>
      <c r="AF67" s="184"/>
      <c r="AG67" s="11"/>
      <c r="AH67" s="11"/>
      <c r="AI67" s="220"/>
      <c r="AJ67" s="184"/>
      <c r="AK67" s="184"/>
      <c r="AL67" s="11"/>
      <c r="AM67" s="11"/>
      <c r="AN67" s="220"/>
      <c r="AO67" s="184"/>
      <c r="AP67" s="184"/>
      <c r="AQ67" s="11"/>
      <c r="AR67" s="11"/>
      <c r="AS67" s="220"/>
      <c r="AT67" s="184"/>
      <c r="AU67" s="184"/>
      <c r="AV67" s="11"/>
      <c r="AW67" s="11"/>
      <c r="AX67" s="220"/>
      <c r="AY67" s="184"/>
      <c r="AZ67" s="184"/>
      <c r="BA67" s="11"/>
      <c r="BB67" s="11"/>
      <c r="BC67" s="220"/>
      <c r="BD67" s="184"/>
      <c r="BE67" s="184"/>
      <c r="BF67" s="11"/>
      <c r="BG67" s="11"/>
      <c r="BH67" s="220"/>
      <c r="BI67" s="184"/>
      <c r="BJ67" s="184"/>
      <c r="BK67" s="184"/>
      <c r="BL67" s="184"/>
      <c r="BM67" s="184"/>
      <c r="BN67" s="184"/>
      <c r="BO67" s="184"/>
      <c r="BP67" s="184"/>
    </row>
    <row r="68">
      <c r="A68" s="243" t="s">
        <v>126</v>
      </c>
      <c r="B68" s="240"/>
      <c r="C68" s="11"/>
      <c r="D68" s="11"/>
      <c r="E68" s="220"/>
      <c r="F68" s="220"/>
      <c r="G68" s="220"/>
      <c r="H68" s="11"/>
      <c r="I68" s="11"/>
      <c r="J68" s="220"/>
      <c r="K68" s="184"/>
      <c r="L68" s="184"/>
      <c r="M68" s="11"/>
      <c r="N68" s="11"/>
      <c r="O68" s="195"/>
      <c r="P68" s="11"/>
      <c r="Q68" s="11"/>
      <c r="R68" s="12"/>
      <c r="S68" s="11"/>
      <c r="T68" s="220"/>
      <c r="U68" s="184"/>
      <c r="V68" s="184"/>
      <c r="W68" s="11"/>
      <c r="X68" s="11"/>
      <c r="Y68" s="220"/>
      <c r="Z68" s="184"/>
      <c r="AA68" s="184"/>
      <c r="AB68" s="11"/>
      <c r="AC68" s="11"/>
      <c r="AD68" s="220"/>
      <c r="AE68" s="184"/>
      <c r="AF68" s="184"/>
      <c r="AG68" s="11"/>
      <c r="AH68" s="11"/>
      <c r="AI68" s="220"/>
      <c r="AJ68" s="184"/>
      <c r="AK68" s="184"/>
      <c r="AL68" s="11"/>
      <c r="AM68" s="11"/>
      <c r="AN68" s="220"/>
      <c r="AO68" s="184"/>
      <c r="AP68" s="184"/>
      <c r="AQ68" s="11"/>
      <c r="AR68" s="11"/>
      <c r="AS68" s="220"/>
      <c r="AT68" s="184"/>
      <c r="AU68" s="184"/>
      <c r="AV68" s="11"/>
      <c r="AW68" s="11"/>
      <c r="AX68" s="220"/>
      <c r="AY68" s="184"/>
      <c r="AZ68" s="184"/>
      <c r="BA68" s="11"/>
      <c r="BB68" s="11"/>
      <c r="BC68" s="220"/>
      <c r="BD68" s="184"/>
      <c r="BE68" s="184"/>
      <c r="BF68" s="11"/>
      <c r="BG68" s="11"/>
      <c r="BH68" s="220"/>
      <c r="BI68" s="184"/>
      <c r="BJ68" s="184"/>
      <c r="BK68" s="184"/>
      <c r="BL68" s="184"/>
      <c r="BM68" s="184"/>
      <c r="BN68" s="184"/>
      <c r="BO68" s="184"/>
      <c r="BP68" s="184"/>
    </row>
    <row r="69">
      <c r="A69" s="245" t="str">
        <f>IF( $BG$11 = "再製作", "◼︎ フーデッドコート（対応着地：再製作）"&amp;char(10)&amp;"《修正数値》", IF($BG$11 &lt;&gt; "", "◼︎ フーデッドコート（対応着地：お直し）"&amp;char(10)&amp;"《修正数値》", ""))</f>
        <v/>
      </c>
      <c r="B69" s="240"/>
      <c r="C69" s="11"/>
      <c r="D69" s="11"/>
      <c r="E69" s="220"/>
      <c r="F69" s="220"/>
      <c r="G69" s="220"/>
      <c r="H69" s="11"/>
      <c r="I69" s="11"/>
      <c r="J69" s="220"/>
      <c r="K69" s="184"/>
      <c r="L69" s="184"/>
      <c r="M69" s="11"/>
      <c r="N69" s="11"/>
      <c r="O69" s="195"/>
      <c r="P69" s="11"/>
      <c r="Q69" s="11"/>
      <c r="R69" s="12"/>
      <c r="S69" s="11"/>
      <c r="T69" s="220"/>
      <c r="U69" s="184"/>
      <c r="V69" s="184"/>
      <c r="W69" s="11"/>
      <c r="X69" s="11"/>
      <c r="Y69" s="220"/>
      <c r="Z69" s="184"/>
      <c r="AA69" s="184"/>
      <c r="AB69" s="11"/>
      <c r="AC69" s="11"/>
      <c r="AD69" s="220"/>
      <c r="AE69" s="184"/>
      <c r="AF69" s="184"/>
      <c r="AG69" s="11"/>
      <c r="AH69" s="11"/>
      <c r="AI69" s="220"/>
      <c r="AJ69" s="184"/>
      <c r="AK69" s="184"/>
      <c r="AL69" s="11"/>
      <c r="AM69" s="11"/>
      <c r="AN69" s="220"/>
      <c r="AO69" s="184"/>
      <c r="AP69" s="184"/>
      <c r="AQ69" s="11"/>
      <c r="AR69" s="11"/>
      <c r="AS69" s="220"/>
      <c r="AT69" s="184"/>
      <c r="AU69" s="184"/>
      <c r="AV69" s="11"/>
      <c r="AW69" s="11"/>
      <c r="AX69" s="220"/>
      <c r="AY69" s="184"/>
      <c r="AZ69" s="184"/>
      <c r="BA69" s="11"/>
      <c r="BB69" s="11"/>
      <c r="BC69" s="220"/>
      <c r="BD69" s="184"/>
      <c r="BE69" s="184"/>
      <c r="BF69" s="11"/>
      <c r="BG69" s="11"/>
      <c r="BH69" s="220"/>
      <c r="BI69" s="184"/>
      <c r="BJ69" s="184"/>
      <c r="BK69" s="184"/>
      <c r="BL69" s="184"/>
      <c r="BM69" s="184"/>
      <c r="BN69" s="184"/>
      <c r="BO69" s="184"/>
      <c r="BP69" s="184"/>
    </row>
    <row r="70">
      <c r="A70" s="228" t="str">
        <f>IFERROR(__xludf.DUMMYFUNCTION("TEXTJOIN(CHAR(10),TRUE,FILTER(ARRAYFORMULA(IF(BH$14:BH72&lt;&gt;"""",BG$14:BG72&amp;"" : ""&amp; BH$14:BH72 &amp;"" cm"","""")), BG$14:BG72 &lt;&gt;""""))"),"")</f>
        <v/>
      </c>
      <c r="B70" s="240"/>
      <c r="C70" s="11"/>
      <c r="D70" s="11"/>
      <c r="E70" s="220"/>
      <c r="F70" s="220"/>
      <c r="G70" s="220"/>
      <c r="H70" s="11"/>
      <c r="I70" s="11"/>
      <c r="J70" s="220"/>
      <c r="K70" s="184"/>
      <c r="L70" s="184"/>
      <c r="M70" s="11"/>
      <c r="N70" s="11"/>
      <c r="O70" s="195"/>
      <c r="P70" s="11"/>
      <c r="Q70" s="11"/>
      <c r="R70" s="12"/>
      <c r="S70" s="11"/>
      <c r="T70" s="220"/>
      <c r="U70" s="184"/>
      <c r="V70" s="184"/>
      <c r="W70" s="11"/>
      <c r="X70" s="11"/>
      <c r="Y70" s="220"/>
      <c r="Z70" s="184"/>
      <c r="AA70" s="184"/>
      <c r="AB70" s="11"/>
      <c r="AC70" s="11"/>
      <c r="AD70" s="220"/>
      <c r="AE70" s="184"/>
      <c r="AF70" s="184"/>
      <c r="AG70" s="11"/>
      <c r="AH70" s="11"/>
      <c r="AI70" s="220"/>
      <c r="AJ70" s="184"/>
      <c r="AK70" s="184"/>
      <c r="AL70" s="11"/>
      <c r="AM70" s="11"/>
      <c r="AN70" s="220"/>
      <c r="AO70" s="184"/>
      <c r="AP70" s="184"/>
      <c r="AQ70" s="11"/>
      <c r="AR70" s="11"/>
      <c r="AS70" s="220"/>
      <c r="AT70" s="184"/>
      <c r="AU70" s="184"/>
      <c r="AV70" s="11"/>
      <c r="AW70" s="11"/>
      <c r="AX70" s="220"/>
      <c r="AY70" s="184"/>
      <c r="AZ70" s="184"/>
      <c r="BA70" s="11"/>
      <c r="BB70" s="11"/>
      <c r="BC70" s="220"/>
      <c r="BD70" s="184"/>
      <c r="BE70" s="184"/>
      <c r="BF70" s="11"/>
      <c r="BG70" s="11"/>
      <c r="BH70" s="220"/>
      <c r="BI70" s="184"/>
      <c r="BJ70" s="184"/>
      <c r="BK70" s="184"/>
      <c r="BL70" s="184"/>
      <c r="BM70" s="184"/>
      <c r="BN70" s="184"/>
      <c r="BO70" s="184"/>
      <c r="BP70" s="184"/>
    </row>
    <row r="71">
      <c r="A71" s="244" t="str">
        <f>if($A$69&lt;&gt;"", "《仕上がり数値》","")</f>
        <v/>
      </c>
      <c r="B71" s="240"/>
      <c r="C71" s="11"/>
      <c r="D71" s="11"/>
      <c r="E71" s="220"/>
      <c r="F71" s="220"/>
      <c r="G71" s="220"/>
      <c r="H71" s="11"/>
      <c r="I71" s="11"/>
      <c r="J71" s="220"/>
      <c r="K71" s="184"/>
      <c r="L71" s="184"/>
      <c r="M71" s="11"/>
      <c r="N71" s="11"/>
      <c r="O71" s="195"/>
      <c r="P71" s="11"/>
      <c r="Q71" s="11"/>
      <c r="R71" s="12"/>
      <c r="S71" s="11"/>
      <c r="T71" s="220"/>
      <c r="U71" s="184"/>
      <c r="V71" s="184"/>
      <c r="W71" s="11"/>
      <c r="X71" s="11"/>
      <c r="Y71" s="220"/>
      <c r="Z71" s="184"/>
      <c r="AA71" s="184"/>
      <c r="AB71" s="11"/>
      <c r="AC71" s="11"/>
      <c r="AD71" s="220"/>
      <c r="AE71" s="184"/>
      <c r="AF71" s="184"/>
      <c r="AG71" s="11"/>
      <c r="AH71" s="11"/>
      <c r="AI71" s="220"/>
      <c r="AJ71" s="184"/>
      <c r="AK71" s="184"/>
      <c r="AL71" s="11"/>
      <c r="AM71" s="11"/>
      <c r="AN71" s="220"/>
      <c r="AO71" s="184"/>
      <c r="AP71" s="184"/>
      <c r="AQ71" s="11"/>
      <c r="AR71" s="11"/>
      <c r="AS71" s="220"/>
      <c r="AT71" s="184"/>
      <c r="AU71" s="184"/>
      <c r="AV71" s="11"/>
      <c r="AW71" s="11"/>
      <c r="AX71" s="220"/>
      <c r="AY71" s="184"/>
      <c r="AZ71" s="184"/>
      <c r="BA71" s="11"/>
      <c r="BB71" s="11"/>
      <c r="BC71" s="220"/>
      <c r="BD71" s="184"/>
      <c r="BE71" s="184"/>
      <c r="BF71" s="11"/>
      <c r="BG71" s="11"/>
      <c r="BH71" s="220"/>
      <c r="BI71" s="184"/>
      <c r="BJ71" s="184"/>
      <c r="BK71" s="184"/>
      <c r="BL71" s="184"/>
      <c r="BM71" s="184"/>
      <c r="BN71" s="184"/>
      <c r="BO71" s="184"/>
      <c r="BP71" s="184"/>
    </row>
    <row r="72">
      <c r="A72" s="228" t="str">
        <f>IFERROR(__xludf.DUMMYFUNCTION("TEXTJOIN(CHAR(10),TRUE,FILTER(ARRAYFORMULA(IF(BH$14:BH72&lt;&gt;"""",BG$14:BG72&amp;"" :  cm"","""")), BG$14:BG72 &lt;&gt;""""))"),"")</f>
        <v/>
      </c>
      <c r="B72" s="240"/>
      <c r="C72" s="11"/>
      <c r="D72" s="11"/>
      <c r="E72" s="220"/>
      <c r="F72" s="220"/>
      <c r="G72" s="220"/>
      <c r="H72" s="11"/>
      <c r="I72" s="11"/>
      <c r="J72" s="220"/>
      <c r="K72" s="184"/>
      <c r="L72" s="184"/>
      <c r="M72" s="11"/>
      <c r="N72" s="11"/>
      <c r="O72" s="195"/>
      <c r="P72" s="11"/>
      <c r="Q72" s="11"/>
      <c r="R72" s="12"/>
      <c r="S72" s="11"/>
      <c r="T72" s="220"/>
      <c r="U72" s="184"/>
      <c r="V72" s="184"/>
      <c r="W72" s="11"/>
      <c r="X72" s="11"/>
      <c r="Y72" s="220"/>
      <c r="Z72" s="184"/>
      <c r="AA72" s="184"/>
      <c r="AB72" s="11"/>
      <c r="AC72" s="11"/>
      <c r="AD72" s="220"/>
      <c r="AE72" s="184"/>
      <c r="AF72" s="184"/>
      <c r="AG72" s="11"/>
      <c r="AH72" s="11"/>
      <c r="AI72" s="220"/>
      <c r="AJ72" s="184"/>
      <c r="AK72" s="184"/>
      <c r="AL72" s="11"/>
      <c r="AM72" s="11"/>
      <c r="AN72" s="220"/>
      <c r="AO72" s="184"/>
      <c r="AP72" s="184"/>
      <c r="AQ72" s="11"/>
      <c r="AR72" s="11"/>
      <c r="AS72" s="220"/>
      <c r="AT72" s="184"/>
      <c r="AU72" s="184"/>
      <c r="AV72" s="11"/>
      <c r="AW72" s="11"/>
      <c r="AX72" s="220"/>
      <c r="AY72" s="184"/>
      <c r="AZ72" s="184"/>
      <c r="BA72" s="11"/>
      <c r="BB72" s="11"/>
      <c r="BC72" s="220"/>
      <c r="BD72" s="184"/>
      <c r="BE72" s="184"/>
      <c r="BF72" s="11"/>
      <c r="BG72" s="11"/>
      <c r="BH72" s="220"/>
      <c r="BI72" s="184"/>
      <c r="BJ72" s="184"/>
      <c r="BK72" s="184"/>
      <c r="BL72" s="184"/>
      <c r="BM72" s="184"/>
      <c r="BN72" s="184"/>
      <c r="BO72" s="184"/>
      <c r="BP72" s="184"/>
    </row>
  </sheetData>
  <mergeCells count="1">
    <mergeCell ref="D5:G5"/>
  </mergeCells>
  <hyperlinks>
    <hyperlink r:id="rId1" location="gid=1551873484" ref="K5"/>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hidden="1" min="1" max="2" width="20.88"/>
    <col customWidth="1" min="3" max="3" width="3.88"/>
    <col customWidth="1" min="4" max="4" width="25.13"/>
    <col customWidth="1" min="5" max="6" width="12.63"/>
    <col customWidth="1" hidden="1" min="7" max="7" width="12.63"/>
    <col customWidth="1" min="8" max="8" width="6.38"/>
    <col customWidth="1" min="9" max="9" width="25.13"/>
    <col customWidth="1" min="10" max="11" width="12.63"/>
    <col customWidth="1" hidden="1" min="12" max="12" width="12.63"/>
    <col customWidth="1" min="13" max="13" width="6.38"/>
    <col customWidth="1" min="14" max="14" width="25.13"/>
    <col customWidth="1" min="15" max="16" width="12.63"/>
    <col customWidth="1" hidden="1" min="17" max="17" width="12.63"/>
    <col customWidth="1" min="18" max="18" width="6.25"/>
    <col customWidth="1" min="19" max="19" width="25.13"/>
    <col customWidth="1" min="20" max="21" width="12.63"/>
    <col customWidth="1" hidden="1" min="22" max="22" width="12.63"/>
    <col customWidth="1" min="23" max="23" width="6.38"/>
    <col customWidth="1" min="24" max="24" width="25.13"/>
    <col customWidth="1" min="25" max="26" width="12.63"/>
    <col customWidth="1" hidden="1" min="27" max="27" width="12.63"/>
    <col customWidth="1" min="28" max="28" width="6.38"/>
    <col customWidth="1" min="29" max="29" width="25.13"/>
    <col customWidth="1" min="30" max="31" width="12.63"/>
    <col customWidth="1" hidden="1" min="32" max="32" width="12.63"/>
    <col customWidth="1" min="33" max="33" width="7.13"/>
    <col customWidth="1" min="34" max="34" width="25.13"/>
    <col customWidth="1" min="35" max="36" width="12.63"/>
    <col customWidth="1" hidden="1" min="37" max="37" width="12.63"/>
    <col customWidth="1" min="38" max="38" width="7.13"/>
    <col customWidth="1" min="39" max="39" width="25.13"/>
    <col customWidth="1" min="40" max="41" width="12.63"/>
    <col customWidth="1" hidden="1" min="42" max="42" width="12.63"/>
    <col customWidth="1" min="43" max="43" width="7.13"/>
    <col customWidth="1" min="44" max="44" width="25.13"/>
    <col customWidth="1" min="45" max="46" width="12.63"/>
    <col customWidth="1" hidden="1" min="47" max="47" width="12.63"/>
    <col customWidth="1" min="48" max="48" width="12.63"/>
    <col customWidth="1" min="49" max="49" width="25.13"/>
    <col customWidth="1" min="50" max="51" width="12.63"/>
    <col customWidth="1" hidden="1" min="52" max="52" width="12.63"/>
    <col customWidth="1" min="53" max="53" width="12.63"/>
    <col customWidth="1" min="54" max="54" width="25.13"/>
    <col customWidth="1" min="55" max="56" width="12.63"/>
    <col customWidth="1" hidden="1" min="57" max="57" width="12.63"/>
    <col customWidth="1" min="58" max="58" width="12.63"/>
    <col customWidth="1" min="59" max="59" width="25.13"/>
    <col customWidth="1" min="60" max="61" width="12.63"/>
    <col customWidth="1" hidden="1" min="62" max="62" width="12.63"/>
    <col customWidth="1" min="63" max="63" width="12.63"/>
    <col customWidth="1" min="64" max="64" width="19.25"/>
    <col customWidth="1" min="65" max="66" width="12.63"/>
    <col customWidth="1" hidden="1" min="67" max="67" width="12.63"/>
    <col customWidth="1" min="68" max="68" width="12.63"/>
  </cols>
  <sheetData>
    <row r="1">
      <c r="A1" s="248">
        <f>today()</f>
        <v>45991</v>
      </c>
      <c r="B1" s="249"/>
      <c r="C1" s="250"/>
      <c r="D1" s="251" t="s">
        <v>138</v>
      </c>
      <c r="E1" s="252"/>
      <c r="F1" s="252"/>
      <c r="G1" s="252"/>
      <c r="H1" s="253"/>
      <c r="I1" s="253"/>
      <c r="J1" s="252"/>
      <c r="K1" s="252"/>
      <c r="L1" s="252"/>
      <c r="M1" s="253"/>
      <c r="N1" s="252"/>
      <c r="O1" s="252"/>
      <c r="P1" s="252"/>
      <c r="Q1" s="252"/>
      <c r="R1" s="253"/>
      <c r="S1" s="253"/>
      <c r="T1" s="255"/>
      <c r="U1" s="255"/>
      <c r="V1" s="255"/>
      <c r="W1" s="253"/>
      <c r="X1" s="252"/>
      <c r="Y1" s="255"/>
      <c r="Z1" s="255"/>
      <c r="AA1" s="255"/>
      <c r="AB1" s="253"/>
      <c r="AC1" s="252"/>
      <c r="AD1" s="255"/>
      <c r="AE1" s="255"/>
      <c r="AF1" s="255"/>
      <c r="AG1" s="253"/>
      <c r="AH1" s="252"/>
      <c r="AI1" s="255"/>
      <c r="AJ1" s="255"/>
      <c r="AK1" s="255"/>
      <c r="AL1" s="253"/>
      <c r="AM1" s="252"/>
      <c r="AN1" s="255"/>
      <c r="AO1" s="255"/>
      <c r="AP1" s="255"/>
      <c r="AQ1" s="253"/>
      <c r="AR1" s="252"/>
      <c r="AS1" s="255"/>
      <c r="AT1" s="255"/>
      <c r="AU1" s="255"/>
      <c r="AV1" s="253"/>
      <c r="AW1" s="252"/>
      <c r="AX1" s="255"/>
      <c r="AY1" s="255"/>
      <c r="AZ1" s="255"/>
      <c r="BA1" s="253"/>
      <c r="BB1" s="252"/>
      <c r="BC1" s="255"/>
      <c r="BD1" s="255"/>
      <c r="BE1" s="255"/>
      <c r="BF1" s="253"/>
      <c r="BG1" s="252"/>
      <c r="BH1" s="255"/>
      <c r="BI1" s="255"/>
      <c r="BJ1" s="255"/>
      <c r="BK1" s="255"/>
      <c r="BL1" s="255"/>
      <c r="BM1" s="255"/>
      <c r="BN1" s="255"/>
      <c r="BO1" s="255"/>
      <c r="BP1" s="255"/>
    </row>
    <row r="2">
      <c r="A2" s="11"/>
      <c r="B2" s="183"/>
      <c r="C2" s="12"/>
      <c r="D2" s="12"/>
      <c r="E2" s="12"/>
      <c r="F2" s="12"/>
      <c r="G2" s="12"/>
      <c r="H2" s="11"/>
      <c r="I2" s="11"/>
      <c r="J2" s="12"/>
      <c r="K2" s="12"/>
      <c r="L2" s="12"/>
      <c r="M2" s="11"/>
      <c r="N2" s="12"/>
      <c r="O2" s="12"/>
      <c r="P2" s="12"/>
      <c r="Q2" s="12"/>
      <c r="R2" s="11"/>
      <c r="S2" s="11"/>
      <c r="T2" s="184"/>
      <c r="U2" s="184"/>
      <c r="V2" s="184"/>
      <c r="W2" s="11"/>
      <c r="X2" s="12"/>
      <c r="Y2" s="184"/>
      <c r="Z2" s="184"/>
      <c r="AA2" s="184"/>
      <c r="AB2" s="11"/>
      <c r="AC2" s="12"/>
      <c r="AD2" s="184"/>
      <c r="AE2" s="184"/>
      <c r="AF2" s="184"/>
      <c r="AG2" s="11"/>
      <c r="AH2" s="12"/>
      <c r="AI2" s="184"/>
      <c r="AJ2" s="184"/>
      <c r="AK2" s="184"/>
      <c r="AL2" s="11"/>
      <c r="AM2" s="12"/>
      <c r="AN2" s="184"/>
      <c r="AO2" s="184"/>
      <c r="AP2" s="184"/>
      <c r="AQ2" s="11"/>
      <c r="AR2" s="12"/>
      <c r="AS2" s="184"/>
      <c r="AT2" s="184"/>
      <c r="AU2" s="184"/>
      <c r="AV2" s="11"/>
      <c r="AW2" s="12"/>
      <c r="AX2" s="184"/>
      <c r="AY2" s="184"/>
      <c r="AZ2" s="184"/>
      <c r="BA2" s="11"/>
      <c r="BB2" s="12"/>
      <c r="BC2" s="184"/>
      <c r="BD2" s="184"/>
      <c r="BE2" s="184"/>
      <c r="BF2" s="11"/>
      <c r="BG2" s="12"/>
      <c r="BH2" s="184"/>
      <c r="BI2" s="184"/>
      <c r="BJ2" s="184"/>
      <c r="BK2" s="184"/>
      <c r="BL2" s="184"/>
      <c r="BM2" s="184"/>
      <c r="BN2" s="184"/>
      <c r="BO2" s="184"/>
      <c r="BP2" s="184"/>
    </row>
    <row r="3">
      <c r="A3" s="12"/>
      <c r="B3" s="185"/>
      <c r="C3" s="12"/>
      <c r="D3" s="12" t="str">
        <f t="array" ref="D3:D5">index(A3:A5,0)</f>
        <v/>
      </c>
      <c r="E3" s="12"/>
      <c r="F3" s="12"/>
      <c r="G3" s="12"/>
      <c r="H3" s="11"/>
      <c r="I3" s="11"/>
      <c r="J3" s="12"/>
      <c r="K3" s="12"/>
      <c r="L3" s="12"/>
      <c r="M3" s="11"/>
      <c r="N3" s="12"/>
      <c r="O3" s="12"/>
      <c r="P3" s="12"/>
      <c r="Q3" s="12"/>
      <c r="R3" s="11"/>
      <c r="S3" s="11"/>
      <c r="T3" s="184"/>
      <c r="U3" s="184"/>
      <c r="V3" s="184"/>
      <c r="W3" s="11"/>
      <c r="X3" s="12"/>
      <c r="Y3" s="184"/>
      <c r="Z3" s="184"/>
      <c r="AA3" s="184"/>
      <c r="AB3" s="11"/>
      <c r="AC3" s="12"/>
      <c r="AD3" s="184"/>
      <c r="AE3" s="184"/>
      <c r="AF3" s="184"/>
      <c r="AG3" s="11"/>
      <c r="AH3" s="12"/>
      <c r="AI3" s="184"/>
      <c r="AJ3" s="184"/>
      <c r="AK3" s="184"/>
      <c r="AL3" s="11"/>
      <c r="AM3" s="12"/>
      <c r="AN3" s="184"/>
      <c r="AO3" s="184"/>
      <c r="AP3" s="184"/>
      <c r="AQ3" s="11"/>
      <c r="AR3" s="12"/>
      <c r="AS3" s="184"/>
      <c r="AT3" s="184"/>
      <c r="AU3" s="184"/>
      <c r="AV3" s="11"/>
      <c r="AW3" s="12"/>
      <c r="AX3" s="184"/>
      <c r="AY3" s="184"/>
      <c r="AZ3" s="184"/>
      <c r="BA3" s="11"/>
      <c r="BB3" s="12"/>
      <c r="BC3" s="184"/>
      <c r="BD3" s="184"/>
      <c r="BE3" s="184"/>
      <c r="BF3" s="11"/>
      <c r="BG3" s="12"/>
      <c r="BH3" s="184"/>
      <c r="BI3" s="184"/>
      <c r="BJ3" s="184"/>
      <c r="BK3" s="184"/>
      <c r="BL3" s="184"/>
      <c r="BM3" s="184"/>
      <c r="BN3" s="184"/>
      <c r="BO3" s="184"/>
      <c r="BP3" s="184"/>
    </row>
    <row r="4">
      <c r="A4" s="186" t="s">
        <v>28</v>
      </c>
      <c r="B4" s="185"/>
      <c r="C4" s="12"/>
      <c r="D4" s="12" t="s">
        <v>28</v>
      </c>
      <c r="E4" s="12"/>
      <c r="F4" s="12"/>
      <c r="G4" s="12"/>
      <c r="H4" s="11"/>
      <c r="I4" s="11"/>
      <c r="J4" s="12"/>
      <c r="K4" s="12"/>
      <c r="L4" s="12"/>
      <c r="M4" s="11"/>
      <c r="N4" s="12"/>
      <c r="O4" s="12"/>
      <c r="P4" s="12"/>
      <c r="Q4" s="12"/>
      <c r="R4" s="11"/>
      <c r="S4" s="11"/>
      <c r="T4" s="184"/>
      <c r="U4" s="184"/>
      <c r="V4" s="184"/>
      <c r="W4" s="11"/>
      <c r="X4" s="12"/>
      <c r="Y4" s="184"/>
      <c r="Z4" s="184"/>
      <c r="AA4" s="184"/>
      <c r="AB4" s="11"/>
      <c r="AC4" s="12"/>
      <c r="AD4" s="184"/>
      <c r="AE4" s="184"/>
      <c r="AF4" s="184"/>
      <c r="AG4" s="11"/>
      <c r="AH4" s="12"/>
      <c r="AI4" s="184"/>
      <c r="AJ4" s="184"/>
      <c r="AK4" s="184"/>
      <c r="AL4" s="11"/>
      <c r="AM4" s="12"/>
      <c r="AN4" s="184"/>
      <c r="AO4" s="184"/>
      <c r="AP4" s="184"/>
      <c r="AQ4" s="11"/>
      <c r="AR4" s="12"/>
      <c r="AS4" s="184"/>
      <c r="AT4" s="184"/>
      <c r="AU4" s="184"/>
      <c r="AV4" s="11"/>
      <c r="AW4" s="12"/>
      <c r="AX4" s="184"/>
      <c r="AY4" s="184"/>
      <c r="AZ4" s="184"/>
      <c r="BA4" s="11"/>
      <c r="BB4" s="12"/>
      <c r="BC4" s="184"/>
      <c r="BD4" s="184"/>
      <c r="BE4" s="184"/>
      <c r="BF4" s="11"/>
      <c r="BG4" s="12"/>
      <c r="BH4" s="184"/>
      <c r="BI4" s="184"/>
      <c r="BJ4" s="184"/>
      <c r="BK4" s="184"/>
      <c r="BL4" s="184"/>
      <c r="BM4" s="184"/>
      <c r="BN4" s="184"/>
      <c r="BO4" s="184"/>
      <c r="BP4" s="184"/>
    </row>
    <row r="5" ht="225.0" customHeight="1">
      <c r="A5" s="187" t="str">
        <f>$A$7 &amp; $A$8 &amp; CHAR(10) &amp; $A$10 &amp; CHAR(10) &amp; CHAR(10) &amp; $A$11</f>
        <v>FABRIC TOKYO 渋谷MODI 2025-11-30 お直し適用サイズ
FABRIC TOKYO 渋谷MODI 2025-11-30 お直し適用サイズ ＊スーツサイズ
FABRIC TOKYO 渋谷MODI 2025-11-30 お直し適用サイズ ＊ビジネスカジュアルサイズ
◼︎ ジャケット（対応着地：お直し）
《修正数値》
着丈 / センターベント : -1 cm
《仕上がり数値》
着丈 / センターベント : cm
◼︎ パンツ（対応着地：再製作）
《修正数値》
股下 / シングル : 2 cm
渡り巾 : -6 cm
《仕上がり数値》
股下 / シングル : cm
渡り巾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v>
      </c>
      <c r="B5" s="188" t="str">
        <f>"【お直し来店済み】" &amp; CHAR(10) &amp; 
 "来店⽇時：" &amp; text($A$1," yyyy/mm/dd")&amp; CHAR(10) &amp;
 "来店店舗：" &amp; $D$1 &amp; CHAR(10) &amp; CHAR(10) &amp;
 "お直し着地：" &amp; CHAR(10) &amp; $A$10</f>
        <v>【お直し来店済み】
来店⽇時： 2025/11/30
来店店舗：渋谷MODI
お直し着地：
◼︎ ジャケット（対応着地：お直し）
《修正数値》
着丈 / センターベント : -1 cm
《仕上がり数値》
着丈 / センターベント : cm
◼︎ パンツ（対応着地：再製作）
《修正数値》
股下 / シングル : 2 cm
渡り巾 : -6 cm
《仕上がり数値》
股下 / シングル : cm
渡り巾 : cm</v>
      </c>
      <c r="C5" s="12"/>
      <c r="D5" s="190" t="s">
        <v>139</v>
      </c>
      <c r="H5" s="11"/>
      <c r="I5" s="190" t="str">
        <f>"【お直し来店済み】" &amp; CHAR(10) &amp; 
 "来店⽇時：" &amp; text($A$1," yyyy/mm/dd")&amp; CHAR(10) &amp;
 "来店店舗：" &amp; $D$1 &amp; CHAR(10) &amp; CHAR(10) &amp;
 "お直し着地：" &amp; CHAR(10) &amp; $A$10</f>
        <v>【お直し来店済み】
来店⽇時： 2025/11/30
来店店舗：渋谷MODI
お直し着地：
◼︎ ジャケット（対応着地：お直し）
《修正数値》
着丈 / センターベント : -1 cm
《仕上がり数値》
着丈 / センターベント : cm
◼︎ パンツ（対応着地：再製作）
《修正数値》
股下 / シングル : 2 cm
渡り巾 : -6 cm
《仕上がり数値》
股下 / シングル : cm
渡り巾 : cm</v>
      </c>
      <c r="J5" s="12"/>
      <c r="K5" s="191" t="s">
        <v>30</v>
      </c>
      <c r="L5" s="12"/>
      <c r="M5" s="11"/>
      <c r="N5" s="12"/>
      <c r="O5" s="12"/>
      <c r="P5" s="12"/>
      <c r="Q5" s="12"/>
      <c r="R5" s="11"/>
      <c r="S5" s="11"/>
      <c r="T5" s="184"/>
      <c r="U5" s="184"/>
      <c r="V5" s="184"/>
      <c r="W5" s="11"/>
      <c r="X5" s="12"/>
      <c r="Y5" s="184"/>
      <c r="Z5" s="184"/>
      <c r="AA5" s="184"/>
      <c r="AB5" s="11"/>
      <c r="AC5" s="12"/>
      <c r="AD5" s="184"/>
      <c r="AE5" s="184"/>
      <c r="AF5" s="184"/>
      <c r="AG5" s="11"/>
      <c r="AH5" s="12"/>
      <c r="AI5" s="184"/>
      <c r="AJ5" s="184"/>
      <c r="AK5" s="184"/>
      <c r="AL5" s="11"/>
      <c r="AM5" s="12"/>
      <c r="AN5" s="184"/>
      <c r="AO5" s="184"/>
      <c r="AP5" s="184"/>
      <c r="AQ5" s="11"/>
      <c r="AR5" s="12"/>
      <c r="AS5" s="184"/>
      <c r="AT5" s="184"/>
      <c r="AU5" s="184"/>
      <c r="AV5" s="11"/>
      <c r="AW5" s="12"/>
      <c r="AX5" s="184"/>
      <c r="AY5" s="184"/>
      <c r="AZ5" s="184"/>
      <c r="BA5" s="11"/>
      <c r="BB5" s="12"/>
      <c r="BC5" s="184"/>
      <c r="BD5" s="184"/>
      <c r="BE5" s="184"/>
      <c r="BF5" s="11"/>
      <c r="BG5" s="12"/>
      <c r="BH5" s="184"/>
      <c r="BI5" s="184"/>
      <c r="BJ5" s="184"/>
      <c r="BK5" s="184"/>
      <c r="BL5" s="184"/>
      <c r="BM5" s="184"/>
      <c r="BN5" s="184"/>
      <c r="BO5" s="184"/>
      <c r="BP5" s="184"/>
    </row>
    <row r="6">
      <c r="A6" s="12"/>
      <c r="B6" s="186"/>
      <c r="C6" s="12"/>
      <c r="D6" s="12"/>
      <c r="E6" s="12"/>
      <c r="F6" s="12"/>
      <c r="G6" s="12"/>
      <c r="H6" s="11"/>
      <c r="I6" s="11"/>
      <c r="J6" s="12"/>
      <c r="K6" s="12"/>
      <c r="L6" s="12"/>
      <c r="M6" s="11"/>
      <c r="N6" s="12"/>
      <c r="O6" s="12"/>
      <c r="P6" s="12"/>
      <c r="Q6" s="12"/>
      <c r="R6" s="11"/>
      <c r="S6" s="11"/>
      <c r="T6" s="184"/>
      <c r="U6" s="184"/>
      <c r="V6" s="184"/>
      <c r="W6" s="11"/>
      <c r="X6" s="12"/>
      <c r="Y6" s="184"/>
      <c r="Z6" s="184"/>
      <c r="AA6" s="184"/>
      <c r="AB6" s="11"/>
      <c r="AC6" s="12"/>
      <c r="AD6" s="184"/>
      <c r="AE6" s="184"/>
      <c r="AF6" s="184"/>
      <c r="AG6" s="11"/>
      <c r="AH6" s="12"/>
      <c r="AI6" s="184"/>
      <c r="AJ6" s="184"/>
      <c r="AK6" s="184"/>
      <c r="AL6" s="11"/>
      <c r="AM6" s="12"/>
      <c r="AN6" s="184"/>
      <c r="AO6" s="184"/>
      <c r="AP6" s="184"/>
      <c r="AQ6" s="11"/>
      <c r="AR6" s="12"/>
      <c r="AS6" s="184"/>
      <c r="AT6" s="184"/>
      <c r="AU6" s="184"/>
      <c r="AV6" s="11"/>
      <c r="AW6" s="12"/>
      <c r="AX6" s="184"/>
      <c r="AY6" s="184"/>
      <c r="AZ6" s="184"/>
      <c r="BA6" s="11"/>
      <c r="BB6" s="12"/>
      <c r="BC6" s="184"/>
      <c r="BD6" s="184"/>
      <c r="BE6" s="184"/>
      <c r="BF6" s="11"/>
      <c r="BG6" s="12"/>
      <c r="BH6" s="184"/>
      <c r="BI6" s="184"/>
      <c r="BJ6" s="184"/>
      <c r="BK6" s="184"/>
      <c r="BL6" s="184"/>
      <c r="BM6" s="184"/>
      <c r="BN6" s="184"/>
      <c r="BO6" s="184"/>
      <c r="BP6" s="184"/>
    </row>
    <row r="7" ht="28.5" customHeight="1">
      <c r="A7" s="192" t="str">
        <f>IF((SUM(LEN(I11), LEN(N11), LEN(S11), LEN(X11), LEN(AC11), LEN(AH11), LEN(AM11), LEN(AR11), LEN(AW11), LEN(BB11), LEN(BG11)))&gt;0, "FABRIC TOKYO "&amp; $D$1 &amp; " " &amp; TEXT($A$1, "yyyy-m-d") &amp; " お直し適用サイズ" &amp; CHAR(10), "")</f>
        <v>FABRIC TOKYO 渋谷MODI 2025-11-30 お直し適用サイズ
</v>
      </c>
      <c r="B7" s="193"/>
      <c r="C7" s="12"/>
      <c r="D7" s="194" t="s">
        <v>31</v>
      </c>
      <c r="E7" s="12"/>
      <c r="F7" s="12"/>
      <c r="G7" s="12"/>
      <c r="H7" s="11"/>
      <c r="I7" s="11"/>
      <c r="J7" s="12"/>
      <c r="K7" s="12"/>
      <c r="L7" s="12"/>
      <c r="M7" s="11"/>
      <c r="N7" s="12"/>
      <c r="O7" s="12"/>
      <c r="P7" s="12"/>
      <c r="Q7" s="12"/>
      <c r="R7" s="11"/>
      <c r="S7" s="11"/>
      <c r="T7" s="184"/>
      <c r="U7" s="184"/>
      <c r="V7" s="184"/>
      <c r="W7" s="11"/>
      <c r="X7" s="12"/>
      <c r="Y7" s="184"/>
      <c r="Z7" s="184"/>
      <c r="AA7" s="184"/>
      <c r="AB7" s="11"/>
      <c r="AC7" s="12"/>
      <c r="AD7" s="184"/>
      <c r="AE7" s="184"/>
      <c r="AF7" s="184"/>
      <c r="AG7" s="11"/>
      <c r="AH7" s="12"/>
      <c r="AI7" s="184"/>
      <c r="AJ7" s="184"/>
      <c r="AK7" s="184"/>
      <c r="AL7" s="11"/>
      <c r="AM7" s="12"/>
      <c r="AN7" s="184"/>
      <c r="AO7" s="184"/>
      <c r="AP7" s="184"/>
      <c r="AQ7" s="11"/>
      <c r="AR7" s="12"/>
      <c r="AS7" s="184"/>
      <c r="AT7" s="184"/>
      <c r="AU7" s="184"/>
      <c r="AV7" s="11"/>
      <c r="AW7" s="12"/>
      <c r="AX7" s="184"/>
      <c r="AY7" s="184"/>
      <c r="AZ7" s="184"/>
      <c r="BA7" s="11"/>
      <c r="BB7" s="12"/>
      <c r="BC7" s="184"/>
      <c r="BD7" s="184"/>
      <c r="BE7" s="184"/>
      <c r="BF7" s="11"/>
      <c r="BG7" s="12"/>
      <c r="BH7" s="184"/>
      <c r="BI7" s="184"/>
      <c r="BJ7" s="184"/>
      <c r="BK7" s="184"/>
      <c r="BL7" s="184"/>
      <c r="BM7" s="184"/>
      <c r="BN7" s="184"/>
      <c r="BO7" s="184"/>
      <c r="BP7" s="184"/>
    </row>
    <row r="8">
      <c r="A8" s="192" t="str">
        <f>ifs($D$11&lt;&gt;"", 
"FABRIC TOKYO "&amp; $D$1&amp; "" &amp; text($A$1," yyyy-m-d"&amp;" お直し適用サイズ ＊スーツサイズ")
&amp; CHAR(10) &amp;
"FABRIC TOKYO "&amp; $D$1&amp; "" &amp; text($A$1," yyyy-m-d"&amp;" お直し適用サイズ ＊ビジネスカジュアルサイズ" &amp; CHAR(10))
,
$D$11="", "")</f>
        <v>FABRIC TOKYO 渋谷MODI 2025-11-30 お直し適用サイズ ＊スーツサイズ
FABRIC TOKYO 渋谷MODI 2025-11-30 お直し適用サイズ ＊ビジネスカジュアルサイズ
</v>
      </c>
      <c r="B8" s="193"/>
      <c r="C8" s="195"/>
      <c r="D8" s="196" t="str">
        <f>IF(OR($D$11="再製作", $I$11="再製作", $N$11="再製作"), "再製作", 
  IF(AND(COUNTIF($E$11:$O$11, "&gt;=" &amp;  TODAY()), COUNTIF($E$11:$O11, "&lt;&gt;")), MAX($D$11, $I$11, $N$11), ""))</f>
        <v>再製作</v>
      </c>
      <c r="E8" s="197" t="s">
        <v>32</v>
      </c>
      <c r="F8" s="12"/>
      <c r="G8" s="12"/>
      <c r="H8" s="12"/>
      <c r="I8" s="12"/>
      <c r="J8" s="195"/>
      <c r="K8" s="195"/>
      <c r="L8" s="195"/>
      <c r="M8" s="11"/>
      <c r="N8" s="198" t="s">
        <v>33</v>
      </c>
      <c r="O8" s="12"/>
      <c r="P8" s="12"/>
      <c r="Q8" s="12"/>
      <c r="R8" s="11"/>
      <c r="S8" s="11"/>
      <c r="T8" s="184"/>
      <c r="U8" s="184"/>
      <c r="V8" s="184"/>
      <c r="W8" s="11"/>
      <c r="X8" s="12"/>
      <c r="Y8" s="184"/>
      <c r="Z8" s="184"/>
      <c r="AA8" s="184"/>
      <c r="AB8" s="11"/>
      <c r="AC8" s="12"/>
      <c r="AD8" s="184"/>
      <c r="AE8" s="184"/>
      <c r="AF8" s="184"/>
      <c r="AG8" s="11"/>
      <c r="AH8" s="12"/>
      <c r="AI8" s="184"/>
      <c r="AJ8" s="184"/>
      <c r="AK8" s="184"/>
      <c r="AL8" s="11"/>
      <c r="AM8" s="12"/>
      <c r="AN8" s="184"/>
      <c r="AO8" s="184"/>
      <c r="AP8" s="184"/>
      <c r="AQ8" s="11"/>
      <c r="AR8" s="12"/>
      <c r="AS8" s="184"/>
      <c r="AT8" s="184"/>
      <c r="AU8" s="184"/>
      <c r="AV8" s="11"/>
      <c r="AW8" s="12"/>
      <c r="AX8" s="184"/>
      <c r="AY8" s="184"/>
      <c r="AZ8" s="184"/>
      <c r="BA8" s="11"/>
      <c r="BB8" s="12"/>
      <c r="BC8" s="184"/>
      <c r="BD8" s="184"/>
      <c r="BE8" s="184"/>
      <c r="BF8" s="11"/>
      <c r="BG8" s="12"/>
      <c r="BH8" s="184"/>
      <c r="BI8" s="184"/>
      <c r="BJ8" s="184"/>
      <c r="BK8" s="184"/>
      <c r="BL8" s="184"/>
      <c r="BM8" s="184"/>
      <c r="BN8" s="184"/>
      <c r="BO8" s="184"/>
      <c r="BP8" s="184"/>
    </row>
    <row r="9">
      <c r="A9" s="12"/>
      <c r="B9" s="186"/>
      <c r="C9" s="12"/>
      <c r="D9" s="12"/>
      <c r="E9" s="11"/>
      <c r="F9" s="11"/>
      <c r="G9" s="11"/>
      <c r="H9" s="11"/>
      <c r="I9" s="11"/>
      <c r="J9" s="11"/>
      <c r="K9" s="11"/>
      <c r="L9" s="11"/>
      <c r="M9" s="11"/>
      <c r="N9" s="11"/>
      <c r="O9" s="11"/>
      <c r="P9" s="11"/>
      <c r="Q9" s="11"/>
      <c r="R9" s="11"/>
      <c r="S9" s="12"/>
      <c r="T9" s="184"/>
      <c r="U9" s="184"/>
      <c r="V9" s="184"/>
      <c r="W9" s="11"/>
      <c r="X9" s="12"/>
      <c r="Y9" s="184"/>
      <c r="Z9" s="184"/>
      <c r="AA9" s="184"/>
      <c r="AB9" s="11"/>
      <c r="AC9" s="12"/>
      <c r="AD9" s="184"/>
      <c r="AE9" s="184"/>
      <c r="AF9" s="184"/>
      <c r="AG9" s="11"/>
      <c r="AH9" s="12"/>
      <c r="AI9" s="184"/>
      <c r="AJ9" s="184"/>
      <c r="AK9" s="184"/>
      <c r="AL9" s="11"/>
      <c r="AM9" s="12"/>
      <c r="AN9" s="184"/>
      <c r="AO9" s="184"/>
      <c r="AP9" s="184"/>
      <c r="AQ9" s="11"/>
      <c r="AR9" s="12"/>
      <c r="AS9" s="184"/>
      <c r="AT9" s="184"/>
      <c r="AU9" s="184"/>
      <c r="AV9" s="11"/>
      <c r="AW9" s="12"/>
      <c r="AX9" s="184"/>
      <c r="AY9" s="184"/>
      <c r="AZ9" s="184"/>
      <c r="BA9" s="11"/>
      <c r="BB9" s="12"/>
      <c r="BC9" s="184"/>
      <c r="BD9" s="184"/>
      <c r="BE9" s="184"/>
      <c r="BF9" s="11"/>
      <c r="BG9" s="12"/>
      <c r="BH9" s="184"/>
      <c r="BI9" s="184"/>
      <c r="BJ9" s="184"/>
      <c r="BK9" s="184"/>
      <c r="BL9" s="184"/>
      <c r="BM9" s="184"/>
      <c r="BN9" s="184"/>
      <c r="BO9" s="184"/>
      <c r="BP9" s="184"/>
    </row>
    <row r="10" ht="15.75" customHeight="1">
      <c r="A10" s="199" t="str">
        <f t="array" ref="A10">TRIM(
 IF($A$14&lt;&gt;"",TEXTJOIN(CHAR(10),TRUE,IF($A$14:$A$17&lt;&gt;"",$A$14:$A$17,"")) &amp; CHAR(10) &amp; CHAR(10),"") &amp;
 IF($A$19&lt;&gt;"",TEXTJOIN(CHAR(10),TRUE,IF($A$19:$A$22&lt;&gt;"",$A$19:$A$22,"")) &amp; CHAR(10) &amp; CHAR(10),"") &amp;
 IF($A$24&lt;&gt;"",TEXTJOIN(CHAR(10),TRUE,IF($A$24:$A$27&lt;&gt;"",$A$24:$A$27,"")) &amp; CHAR(10) &amp; CHAR(10),"") &amp;
 IF($A$29&lt;&gt;"",TEXTJOIN(CHAR(10),TRUE,IF($A$29:$A$32&lt;&gt;"",$A$29:$A$32,"")) &amp; CHAR(10) &amp; CHAR(10),"") &amp;
 IF($A$34&lt;&gt;"",TEXTJOIN(CHAR(10),TRUE,IF($A$34:$A$37&lt;&gt;"",$A$34:$A$37,"")) &amp; CHAR(10) &amp; CHAR(10),"") &amp;
 IF($A$39&lt;&gt;"",TEXTJOIN(CHAR(10),TRUE,IF($A$39:$A$42&lt;&gt;"",$A$39:$A$42,"")) &amp; CHAR(10) &amp; CHAR(10),"") &amp;
 IF($A$44&lt;&gt;"",TEXTJOIN(CHAR(10),TRUE,IF($A$44:$A$47&lt;&gt;"",$A$44:$A$47,"")) &amp; CHAR(10) &amp; CHAR(10),"") &amp;
 IF($A$49&lt;&gt;"",TEXTJOIN(CHAR(10),TRUE,IF($A$49:$A$52&lt;&gt;"",$A$49:$A$52,"")) &amp; CHAR(10) &amp; CHAR(10),"") &amp;
 IF($A$54&lt;&gt;"",TEXTJOIN(CHAR(10),TRUE,IF($A$54:$A$57&lt;&gt;"",$A$54:$A$57,"")) &amp; CHAR(10) &amp; CHAR(10),"") &amp;
 IF($A$59&lt;&gt;"",TEXTJOIN(CHAR(10),TRUE,IF($A$59:$A$62&lt;&gt;"",$A$59:$A$62,"")) &amp; CHAR(10) &amp; CHAR(10),"") &amp;
 IF($A$64&lt;&gt;"",TEXTJOIN(CHAR(10),TRUE,IF($A$64:$A$67&lt;&gt;"",$A$64:$A$67,"")) &amp; CHAR(10) &amp; CHAR(10),"") &amp;
 IF($A$69&lt;&gt;"",TEXTJOIN(CHAR(10),TRUE,IF($A$69:$A$72&lt;&gt;"",$A$69:$A$72,"")) &amp; CHAR(10) &amp; CHAR(10),"") 
)
</f>
        <v>◼︎ ジャケット（対応着地：お直し）
《修正数値》
着丈 / センターベント : -1 cm
《仕上がり数値》
着丈 / センターベント : cm
◼︎ パンツ（対応着地：再製作）
《修正数値》
股下 / シングル : 2 cm
渡り巾 : -6 cm
《仕上がり数値》
股下 / シングル : cm
渡り巾 : cm</v>
      </c>
      <c r="B10" s="12"/>
      <c r="C10" s="12"/>
      <c r="D10" s="200" t="s">
        <v>34</v>
      </c>
      <c r="E10" s="201"/>
      <c r="F10" s="201"/>
      <c r="G10" s="202" t="s">
        <v>35</v>
      </c>
      <c r="H10" s="11"/>
      <c r="I10" s="200" t="s">
        <v>36</v>
      </c>
      <c r="J10" s="203"/>
      <c r="K10" s="201"/>
      <c r="L10" s="202" t="s">
        <v>35</v>
      </c>
      <c r="M10" s="11"/>
      <c r="N10" s="204" t="s">
        <v>37</v>
      </c>
      <c r="O10" s="203"/>
      <c r="P10" s="201"/>
      <c r="Q10" s="202" t="s">
        <v>35</v>
      </c>
      <c r="R10" s="11"/>
      <c r="S10" s="200" t="s">
        <v>38</v>
      </c>
      <c r="T10" s="203"/>
      <c r="U10" s="201"/>
      <c r="V10" s="202" t="s">
        <v>35</v>
      </c>
      <c r="W10" s="11"/>
      <c r="X10" s="200" t="s">
        <v>39</v>
      </c>
      <c r="Y10" s="203"/>
      <c r="Z10" s="201"/>
      <c r="AA10" s="202" t="s">
        <v>35</v>
      </c>
      <c r="AB10" s="11"/>
      <c r="AC10" s="200" t="s">
        <v>40</v>
      </c>
      <c r="AD10" s="203"/>
      <c r="AE10" s="201"/>
      <c r="AF10" s="202" t="s">
        <v>35</v>
      </c>
      <c r="AG10" s="11"/>
      <c r="AH10" s="200" t="s">
        <v>41</v>
      </c>
      <c r="AI10" s="203"/>
      <c r="AJ10" s="201"/>
      <c r="AK10" s="202" t="s">
        <v>35</v>
      </c>
      <c r="AL10" s="11"/>
      <c r="AM10" s="200" t="s">
        <v>42</v>
      </c>
      <c r="AN10" s="203"/>
      <c r="AO10" s="201"/>
      <c r="AP10" s="202" t="s">
        <v>35</v>
      </c>
      <c r="AQ10" s="11"/>
      <c r="AR10" s="200" t="s">
        <v>43</v>
      </c>
      <c r="AS10" s="203"/>
      <c r="AT10" s="201"/>
      <c r="AU10" s="202" t="s">
        <v>35</v>
      </c>
      <c r="AV10" s="12"/>
      <c r="AW10" s="200" t="s">
        <v>44</v>
      </c>
      <c r="AX10" s="203"/>
      <c r="AY10" s="201"/>
      <c r="AZ10" s="202" t="s">
        <v>35</v>
      </c>
      <c r="BA10" s="12"/>
      <c r="BB10" s="200" t="s">
        <v>45</v>
      </c>
      <c r="BC10" s="203"/>
      <c r="BD10" s="201"/>
      <c r="BE10" s="202" t="s">
        <v>35</v>
      </c>
      <c r="BF10" s="12"/>
      <c r="BG10" s="200" t="s">
        <v>46</v>
      </c>
      <c r="BH10" s="203"/>
      <c r="BI10" s="201"/>
      <c r="BJ10" s="202" t="s">
        <v>35</v>
      </c>
      <c r="BK10" s="12"/>
      <c r="BL10" s="200" t="s">
        <v>47</v>
      </c>
      <c r="BM10" s="201"/>
      <c r="BN10" s="201"/>
      <c r="BO10" s="202" t="s">
        <v>35</v>
      </c>
      <c r="BP10" s="12"/>
    </row>
    <row r="11" ht="37.5" customHeight="1">
      <c r="A11" s="205" t="s">
        <v>48</v>
      </c>
      <c r="B11" s="206"/>
      <c r="C11" s="207"/>
      <c r="D11" s="196">
        <f t="array" ref="D11">IFS( COUNTA(F$13:F27) = 0, "", COUNTIF(F$13:F27, "再製作") &gt; 0, "再製作", COUNTIF(F$13:F27, "&gt;0") = 1, INDEX(F$13:F27, MATCH(TRUE, ISNUMBER(F$13:F27), 0)), COUNTIF(F$13:F27, "&gt;0") = 2, 'アイテム別限界値DB'!$S$4, COUNTIF(F$13:F27, "&gt;0") &gt;= 3, 'アイテム別限界値DB'!$S$6, TRUE, "" ) </f>
        <v>46000</v>
      </c>
      <c r="E11" s="208" t="s">
        <v>49</v>
      </c>
      <c r="F11" s="202" t="s">
        <v>50</v>
      </c>
      <c r="G11" s="209">
        <f>sum(G12:G72)</f>
        <v>0</v>
      </c>
      <c r="H11" s="206"/>
      <c r="I11" s="196" t="str">
        <f t="array" ref="I11">IFS( COUNTA(K$13:K27) = 0, "", COUNTIF(K$13:K27, "再製作") &gt; 0, "再製作", COUNTIF(K$13:K27, "&gt;0") = 1, INDEX(K$13:K27, MATCH(TRUE, ISNUMBER(K$13:K27), 0)), COUNTIF(K$13:K27, "&gt;0") = 2, 'アイテム別限界値DB'!$S$8, COUNTIF(K$13:K27, "&gt;0") &gt;= 3, 'アイテム別限界値DB'!$S$10, TRUE, "" ) </f>
        <v>再製作</v>
      </c>
      <c r="J11" s="210" t="s">
        <v>49</v>
      </c>
      <c r="K11" s="202" t="s">
        <v>50</v>
      </c>
      <c r="L11" s="209">
        <f>sum(L12:L72)</f>
        <v>0</v>
      </c>
      <c r="M11" s="206"/>
      <c r="N11" s="196" t="str">
        <f t="array" ref="N11">IFS( COUNTA(P$13:P27) = 0, "", COUNTIF(P$13:P27, "再製作") &gt; 0, "再製作", COUNTIF(P$13:P27, "&gt;0") = 1, INDEX(P$13:P27, MATCH(TRUE, ISNUMBER(P$13:P27), 0)), COUNTIF(P$13:P27, "&gt;0") = 2, 'アイテム別限界値DB'!$S$4, COUNTIF(P$13:P27, "&gt;0") &gt;= 3, 'アイテム別限界値DB'!$S$6, TRUE, "" ) </f>
        <v/>
      </c>
      <c r="O11" s="210" t="s">
        <v>49</v>
      </c>
      <c r="P11" s="202" t="s">
        <v>50</v>
      </c>
      <c r="Q11" s="209">
        <f>sum(Q12:Q72)</f>
        <v>0</v>
      </c>
      <c r="R11" s="211"/>
      <c r="S11" s="263"/>
      <c r="T11" s="210" t="s">
        <v>49</v>
      </c>
      <c r="U11" s="202" t="s">
        <v>50</v>
      </c>
      <c r="V11" s="209">
        <f>sum(V12:V72)</f>
        <v>0</v>
      </c>
      <c r="W11" s="212"/>
      <c r="X11" s="196" t="str">
        <f t="array" ref="X11">IFS( COUNTA(Z$13:Z27) = 0, "", COUNTIF(Z$13:Z27, "再製作") &gt; 0, "再製作", COUNTIF(Z$13:Z27, "&gt;0") = 1, INDEX(Z$13:Z27, MATCH(TRUE, ISNUMBER(Z$13:Z27), 0)), COUNTIF(Z$13:Z27, "&gt;0") = 2, 'アイテム別限界値DB'!$S$4, COUNTIF(Z$13:Z27, "&gt;0") &gt;= 3, 'アイテム別限界値DB'!$S$6, TRUE, "" ) </f>
        <v/>
      </c>
      <c r="Y11" s="210" t="s">
        <v>49</v>
      </c>
      <c r="Z11" s="202" t="s">
        <v>50</v>
      </c>
      <c r="AA11" s="209">
        <f>sum(AA12:AA72)</f>
        <v>0</v>
      </c>
      <c r="AB11" s="211"/>
      <c r="AC11" s="196" t="str">
        <f t="array" ref="AC11">IFS( COUNTA(AE$13:AE27) = 0, "", COUNTIF(AE$13:AE27, "再製作") &gt; 0, "再製作", COUNTIF(AE$13:AE27, "&gt;0") = 1, INDEX(AE$13:AE27, MATCH(TRUE, ISNUMBER(AE$13:AE27), 0)), COUNTIF(AE$13:AE27, "&gt;0") = 2, 'アイテム別限界値DB'!$S$4, COUNTIF(AE$13:AE27, "&gt;0") &gt;= 3, 'アイテム別限界値DB'!$S$6, TRUE, "" ) </f>
        <v/>
      </c>
      <c r="AD11" s="210" t="s">
        <v>49</v>
      </c>
      <c r="AE11" s="202" t="s">
        <v>50</v>
      </c>
      <c r="AF11" s="209">
        <f>sum(AF12:AF72)</f>
        <v>0</v>
      </c>
      <c r="AG11" s="211"/>
      <c r="AH11" s="196" t="str">
        <f t="array" ref="AH11">IFS( COUNTA(AJ$13:AJ27) = 0, "", COUNTIF(AJ$13:AJ27, "再製作") &gt; 0, "再製作", COUNTIF(AJ$13:AJ27, "&gt;0") = 1, INDEX(AJ$13:AJ27, MATCH(TRUE, ISNUMBER(AJ$13:AJ27), 0)), COUNTIF(AJ$13:AJ27, "&gt;0") = 2, 'アイテム別限界値DB'!$S$4, COUNTIF(AJ$13:AJ27, "&gt;0") &gt;= 3, 'アイテム別限界値DB'!$S$6, TRUE, "" ) </f>
        <v/>
      </c>
      <c r="AI11" s="210" t="s">
        <v>49</v>
      </c>
      <c r="AJ11" s="202" t="s">
        <v>50</v>
      </c>
      <c r="AK11" s="209">
        <f>sum(AK12:AK72)</f>
        <v>0</v>
      </c>
      <c r="AL11" s="211"/>
      <c r="AM11" s="196" t="str">
        <f t="array" ref="AM11">IFS( COUNTA(AO$13:AO27) = 0, "", COUNTIF(AO$13:AO27, "再製作") &gt; 0, "再製作", COUNTIF(AO$13:AO27, "&gt;0") = 1, INDEX(AO$13:AO27, MATCH(TRUE, ISNUMBER(AO$13:AO27), 0)), COUNTIF(AO$13:AO27, "&gt;0") = 2, 'アイテム別限界値DB'!$S$4, COUNTIF(AO$13:AO27, "&gt;0") &gt;= 3, 'アイテム別限界値DB'!$S$6, TRUE, "" ) </f>
        <v/>
      </c>
      <c r="AN11" s="210" t="s">
        <v>49</v>
      </c>
      <c r="AO11" s="202" t="s">
        <v>50</v>
      </c>
      <c r="AP11" s="209">
        <f>sum(AP12:AP72)</f>
        <v>0</v>
      </c>
      <c r="AQ11" s="211"/>
      <c r="AR11" s="196" t="str">
        <f t="array" ref="AR11">IFS( COUNTA(AT$13:AT27) = 0, "", COUNTIF(AT$13:AT27, "再製作") &gt; 0, "再製作", COUNTIF(AT$13:AT27, "&gt;0") = 1, INDEX(AT$13:AT27, MATCH(TRUE, ISNUMBER(AT$13:AT27), 0)), COUNTIF(AT$13:AT27, "&gt;0") = 2, 'アイテム別限界値DB'!$S$4, COUNTIF(AT$13:AT27, "&gt;0") &gt;= 3, 'アイテム別限界値DB'!$S$6, TRUE, "" ) </f>
        <v/>
      </c>
      <c r="AS11" s="210" t="s">
        <v>49</v>
      </c>
      <c r="AT11" s="202" t="s">
        <v>50</v>
      </c>
      <c r="AU11" s="209">
        <f>sum(AU12:AU72)</f>
        <v>0</v>
      </c>
      <c r="AV11" s="213"/>
      <c r="AW11" s="196" t="str">
        <f t="array" ref="AW11">IFS( COUNTA(AY$13:AY27) = 0, "", COUNTIF(AY$13:AY27, "再製作") &gt; 0, "再製作", COUNTIF(AY$13:AY27, "&gt;0") = 1, INDEX(AY$13:AY27, MATCH(TRUE, ISNUMBER(AY$13:AY27), 0)), COUNTIF(AY$13:AY27, "&gt;0") = 2, 'アイテム別限界値DB'!$S$4, COUNTIF(AY$13:AY27, "&gt;0") &gt;= 3, 'アイテム別限界値DB'!$S$6, TRUE, "" ) </f>
        <v/>
      </c>
      <c r="AX11" s="210" t="s">
        <v>49</v>
      </c>
      <c r="AY11" s="202" t="s">
        <v>50</v>
      </c>
      <c r="AZ11" s="209">
        <f>sum(AZ12:AZ72)</f>
        <v>0</v>
      </c>
      <c r="BA11" s="213"/>
      <c r="BB11" s="196" t="str">
        <f t="array" ref="BB11">IFS( COUNTA(BD$13:BD27) = 0, "", COUNTIF(BD$13:BD27, "再製作") &gt; 0, "再製作", COUNTIF(BD$13:BD27, "&gt;0") = 1, INDEX(BD$13:BD27, MATCH(TRUE, ISNUMBER(BD$13:BD27), 0)), COUNTIF(BD$13:BD27, "&gt;0") = 2, 'アイテム別限界値DB'!$S$4, COUNTIF(BD$13:BD27, "&gt;0") &gt;= 3, 'アイテム別限界値DB'!$S$6, TRUE, "" ) </f>
        <v/>
      </c>
      <c r="BC11" s="210" t="s">
        <v>49</v>
      </c>
      <c r="BD11" s="202" t="s">
        <v>50</v>
      </c>
      <c r="BE11" s="209">
        <f>sum(BE12:BE72)</f>
        <v>0</v>
      </c>
      <c r="BF11" s="213"/>
      <c r="BG11" s="196" t="str">
        <f t="array" ref="BG11">IFS( COUNTA(BI$13:BI27) = 0, "", COUNTIF(BI$13:BI27, "再製作") &gt; 0, "再製作", COUNTIF(BI$13:BI27, "&gt;0") = 1, INDEX(BI$13:BI27, MATCH(TRUE, ISNUMBER(BI$13:BI27), 0)), COUNTIF(BI$13:BI27, "&gt;0") = 2, 'アイテム別限界値DB'!$S$4, COUNTIF(BI$13:BI27, "&gt;0") &gt;= 3, 'アイテム別限界値DB'!$S$6, TRUE, "" ) </f>
        <v/>
      </c>
      <c r="BH11" s="210" t="s">
        <v>49</v>
      </c>
      <c r="BI11" s="202" t="s">
        <v>50</v>
      </c>
      <c r="BJ11" s="209">
        <f>sum(BJ12:BJ72)</f>
        <v>0</v>
      </c>
      <c r="BK11" s="213"/>
      <c r="BL11" s="196">
        <f t="array" ref="BL11">IFS( COUNTA(BN$13:BN27) = 0, "", COUNTIF(BN$13:BN27, "再製作") &gt; 0, "再製作", COUNTIF(BN$13:BN27, "&gt;0") = 1, INDEX(BN$13:BN27, MATCH(TRUE, ISNUMBER(BN$13:BN27), 0)), COUNTIF(BN$13:BN27, "&gt;0") = 2, 'アイテム別限界値DB'!$S$4, COUNTIF(BN$13:BN27, "&gt;0") &gt;= 3, 'アイテム別限界値DB'!$S$6, TRUE, "" ) </f>
        <v>46003</v>
      </c>
      <c r="BM11" s="214" t="s">
        <v>49</v>
      </c>
      <c r="BN11" s="215" t="s">
        <v>50</v>
      </c>
      <c r="BO11" s="209">
        <f>sum(BO12:BO72)</f>
        <v>0</v>
      </c>
      <c r="BP11" s="213"/>
    </row>
    <row r="12" ht="15.75" hidden="1" customHeight="1">
      <c r="A12" s="11"/>
      <c r="B12" s="11"/>
      <c r="C12" s="11"/>
      <c r="D12" s="216" t="s">
        <v>51</v>
      </c>
      <c r="E12" s="217" t="str">
        <f>IF(D11="再製作", "再製作", IF(D11&lt;&gt;"", "お直し", ""))
</f>
        <v>お直し</v>
      </c>
      <c r="F12" s="195"/>
      <c r="G12" s="218" t="str">
        <f t="array" ref="G12">IF(
  E12 = "再製作", 
  "", 
 if(E12="", "",
  IFERROR(
    INDEX(
      'アイテム別限界値DB'!$L:$L, 
      MATCH(
        1, 
        ('アイテム別限界値DB'!$B:$B = D$10) * 
        ('アイテム別限界値DB'!$C:$C = D12), 
        0
      )
    ), 
    "再製作"
  )
))
</f>
        <v/>
      </c>
      <c r="H12" s="12"/>
      <c r="I12" s="216" t="s">
        <v>51</v>
      </c>
      <c r="J12" s="217" t="str">
        <f>IF(I11="再製作", "再製作", IF(I11&lt;&gt;"", "お直し", ""))
</f>
        <v>再製作</v>
      </c>
      <c r="K12" s="195"/>
      <c r="L12" s="218" t="str">
        <f t="array" ref="L12">IF(
  J12 = "再製作", 
  "", 
 if(J12="", "",
  IFERROR(
    INDEX(
      'アイテム別限界値DB'!$L:$L, 
      MATCH(
        1, 
        ('アイテム別限界値DB'!$B:$B = I$10) * 
        ('アイテム別限界値DB'!$C:$C = I12), 
        0
      )
    ), 
    "再製作"
  )
))
</f>
        <v/>
      </c>
      <c r="M12" s="121"/>
      <c r="N12" s="216" t="s">
        <v>51</v>
      </c>
      <c r="O12" s="217" t="str">
        <f>IF(N11="再製作", "再製作", IF(N11&lt;&gt;"", "お直し", ""))
</f>
        <v/>
      </c>
      <c r="P12" s="195"/>
      <c r="Q12" s="218" t="str">
        <f t="array" ref="Q12">IF(
  O12 = "再製作", 
  "", 
 if(O12="", "",
  IFERROR(
    INDEX(
      'アイテム別限界値DB'!$L:$L, 
      MATCH(
        1, 
        ('アイテム別限界値DB'!$B:$B = N$10) * 
        ('アイテム別限界値DB'!$C:$C = N12), 
        0
      )
    ), 
    "再製作"
  )
))
</f>
        <v/>
      </c>
      <c r="R12" s="11"/>
      <c r="S12" s="216" t="s">
        <v>51</v>
      </c>
      <c r="T12" s="219" t="str">
        <f>IF(S11="再製作", "再製作", IF(S11&lt;&gt;"", "お直し", ""))
</f>
        <v/>
      </c>
      <c r="U12" s="220"/>
      <c r="V12" s="218" t="str">
        <f t="array" ref="V12">IF(
  T12 = "再製作", 
  "", 
 if(T12="", "",
  IFERROR(
    INDEX(
      'アイテム別限界値DB'!$L:$L, 
      MATCH(
        1, 
        ('アイテム別限界値DB'!$B:$B = S$10) * 
        ('アイテム別限界値DB'!$C:$C = S12), 
        0
      )
    ), 
    "再製作"
  )
))
</f>
        <v/>
      </c>
      <c r="W12" s="12"/>
      <c r="X12" s="216" t="s">
        <v>51</v>
      </c>
      <c r="Y12" s="219" t="str">
        <f>IF(X11="再製作", "再製作", IF(X11&lt;&gt;"", "お直し", ""))
</f>
        <v/>
      </c>
      <c r="Z12" s="220"/>
      <c r="AA12" s="218" t="str">
        <f t="array" ref="AA12">IF(
  Y12 = "再製作", 
  "", 
 if(Y12="", "",
  IFERROR(
    INDEX(
      'アイテム別限界値DB'!$L:$L, 
      MATCH(
        1, 
        ('アイテム別限界値DB'!$B:$B = X$10) * 
        ('アイテム別限界値DB'!$C:$C = X12), 
        0
      )
    ), 
    "再製作"
  )
))
</f>
        <v/>
      </c>
      <c r="AB12" s="11"/>
      <c r="AC12" s="216" t="s">
        <v>51</v>
      </c>
      <c r="AD12" s="219" t="str">
        <f>IF(AC11="再製作", "再製作", IF(AC11&lt;&gt;"", "お直し", ""))
</f>
        <v/>
      </c>
      <c r="AE12" s="220"/>
      <c r="AF12" s="218" t="str">
        <f t="array" ref="AF12">IF(
  AD12 = "再製作", 
  "", 
 if(AD12="", "",
  IFERROR(
    INDEX(
      'アイテム別限界値DB'!$L:$L, 
      MATCH(
        1, 
        ('アイテム別限界値DB'!$B:$B = AC$10) * 
        ('アイテム別限界値DB'!$C:$C = AC12), 
        0
      )
    ), 
    "再製作"
  )
))
</f>
        <v/>
      </c>
      <c r="AG12" s="11"/>
      <c r="AH12" s="216" t="s">
        <v>51</v>
      </c>
      <c r="AI12" s="219" t="str">
        <f>IF(AH11="再製作", "再製作", IF(AH11&lt;&gt;"", "お直し", ""))
</f>
        <v/>
      </c>
      <c r="AJ12" s="220"/>
      <c r="AK12" s="218" t="str">
        <f t="array" ref="AK12">IF(
  AI12 = "再製作", 
  "", 
 if(AI12="", "",
  IFERROR(
    INDEX(
      'アイテム別限界値DB'!$L:$L, 
      MATCH(
        1, 
        ('アイテム別限界値DB'!$B:$B = AH$10) * 
        ('アイテム別限界値DB'!$C:$C = AH12), 
        0
      )
    ), 
    "再製作"
  )
))
</f>
        <v/>
      </c>
      <c r="AL12" s="11"/>
      <c r="AM12" s="216" t="s">
        <v>51</v>
      </c>
      <c r="AN12" s="219" t="str">
        <f>IF(AM11="再製作", "再製作", IF(AM11&lt;&gt;"", "お直し", ""))
</f>
        <v/>
      </c>
      <c r="AO12" s="220"/>
      <c r="AP12" s="218" t="str">
        <f t="array" ref="AP12">IF(
  AN12 = "再製作", 
  "", 
 if(AN12="", "",
  IFERROR(
    INDEX(
      'アイテム別限界値DB'!$L:$L, 
      MATCH(
        1, 
        ('アイテム別限界値DB'!$B:$B = AM$10) * 
        ('アイテム別限界値DB'!$C:$C = AM12), 
        0
      )
    ), 
    "再製作"
  )
))
</f>
        <v/>
      </c>
      <c r="AQ12" s="11"/>
      <c r="AR12" s="216" t="s">
        <v>51</v>
      </c>
      <c r="AS12" s="219" t="str">
        <f>IF(AR11="再製作", "再製作", IF(AR11&lt;&gt;"", "お直し", ""))
</f>
        <v/>
      </c>
      <c r="AT12" s="220"/>
      <c r="AU12" s="218" t="str">
        <f t="array" ref="AU12">IF(
  AS12 = "再製作", 
  "", 
 if(AS12="", "",
  IFERROR(
    INDEX(
      'アイテム別限界値DB'!$L:$L, 
      MATCH(
        1, 
        ('アイテム別限界値DB'!$B:$B = AR$10) * 
        ('アイテム別限界値DB'!$C:$C = AR12), 
        0
      )
    ), 
    "再製作"
  )
))
</f>
        <v/>
      </c>
      <c r="AV12" s="121"/>
      <c r="AW12" s="216" t="s">
        <v>51</v>
      </c>
      <c r="AX12" s="219" t="str">
        <f>IF(AW11="再製作", "再製作", IF(AW11&lt;&gt;"", "お直し", ""))
</f>
        <v/>
      </c>
      <c r="AY12" s="220"/>
      <c r="AZ12" s="218" t="str">
        <f t="array" ref="AZ12">IF(
  AX12 = "再製作", 
  "", 
 if(AX12="", "",
  IFERROR(
    INDEX(
      'アイテム別限界値DB'!$L:$L, 
      MATCH(
        1, 
        ('アイテム別限界値DB'!$B:$B = AW$10) * 
        ('アイテム別限界値DB'!$C:$C = AW12), 
        0
      )
    ), 
    "再製作"
  )
))
</f>
        <v/>
      </c>
      <c r="BA12" s="121"/>
      <c r="BB12" s="216" t="s">
        <v>51</v>
      </c>
      <c r="BC12" s="217" t="str">
        <f>IF(BB11="再製作", "再製作", IF(BB11&lt;&gt;"", "お直し", ""))
</f>
        <v/>
      </c>
      <c r="BD12" s="195"/>
      <c r="BE12" s="218" t="str">
        <f t="array" ref="BE12">IF(
  BC12 = "再製作", 
  "", 
 if(BC12="", "",
  IFERROR(
    INDEX(
      'アイテム別限界値DB'!$L:$L, 
      MATCH(
        1, 
        ('アイテム別限界値DB'!$B:$B = BB$10) * 
        ('アイテム別限界値DB'!$C:$C = BB12), 
        0
      )
    ), 
    "再製作"
  )
))
</f>
        <v/>
      </c>
      <c r="BF12" s="121"/>
      <c r="BG12" s="216" t="s">
        <v>51</v>
      </c>
      <c r="BH12" s="217" t="str">
        <f>IF(BG11="再製作", "再製作", IF(BG11&lt;&gt;"", "お直し", ""))
</f>
        <v/>
      </c>
      <c r="BI12" s="195"/>
      <c r="BJ12" s="218" t="str">
        <f t="array" ref="BJ12">IF(
  BH12 = "再製作", 
  "", 
 if(BH12="", "",
  IFERROR(
    INDEX(
      'アイテム別限界値DB'!$L:$L, 
      MATCH(
        1, 
        ('アイテム別限界値DB'!$B:$B = BG$10) * 
        ('アイテム別限界値DB'!$C:$C = BG12), 
        0
      )
    ), 
    "再製作"
  )
))
</f>
        <v/>
      </c>
      <c r="BK12" s="121"/>
      <c r="BL12" s="221" t="s">
        <v>51</v>
      </c>
      <c r="BM12" s="219" t="str">
        <f>IF(BL11="再製作", "再製作", IF(BL11&lt;&gt;"", "お直し", ""))
</f>
        <v>お直し</v>
      </c>
      <c r="BN12" s="195"/>
      <c r="BO12" s="218" t="str">
        <f t="array" ref="BO12">IF(
  BM12 = "再製作", 
  "", 
 if(BM12="", "",
  IFERROR(
    INDEX(
      'アイテム別限界値DB'!$L:$L, 
      MATCH(
        1, 
        ('アイテム別限界値DB'!$B:$B = BL$10) * 
        ('アイテム別限界値DB'!$C:$C = BL12), 
        0
      )
    ), 
    "再製作"
  )
))
</f>
        <v/>
      </c>
      <c r="BP12" s="195"/>
    </row>
    <row r="13" ht="18.75" hidden="1" customHeight="1">
      <c r="A13" s="222" t="s">
        <v>52</v>
      </c>
      <c r="B13" s="12"/>
      <c r="C13" s="12"/>
      <c r="D13" s="223" t="b">
        <f t="array" ref="D13:D42">UNIQUE(IF( ('アイテム別限界値DB'!$B:$B = D$10) * ('アイテム別限界値DB'!$A:$A = "サイズ"),  IF('アイテム別限界値DB'!$B:$B = D$10, 'アイテム別限界値DB'!$F:$F, "") ))</f>
        <v>0</v>
      </c>
      <c r="E13" s="224"/>
      <c r="F13" s="12"/>
      <c r="G13" s="121"/>
      <c r="H13" s="12"/>
      <c r="I13" s="223" t="b">
        <f t="array" ref="I13:I27">UNIQUE(IF( ('アイテム別限界値DB'!$B:$B = I$10) * ('アイテム別限界値DB'!$A:$A = "サイズ"),  IF('アイテム別限界値DB'!$B:$B = I$10, 'アイテム別限界値DB'!$F:$F, "") ))</f>
        <v>0</v>
      </c>
      <c r="J13" s="224"/>
      <c r="K13" s="12"/>
      <c r="L13" s="121"/>
      <c r="M13" s="12"/>
      <c r="N13" s="223" t="b">
        <f t="array" ref="N13:N21">UNIQUE(IF( ('アイテム別限界値DB'!$B:$B = N$10) * ('アイテム別限界値DB'!$A:$A = "サイズ"),  IF('アイテム別限界値DB'!$B:$B = N$10, 'アイテム別限界値DB'!$C:$C, "") ))</f>
        <v>0</v>
      </c>
      <c r="O13" s="224"/>
      <c r="P13" s="12"/>
      <c r="Q13" s="121"/>
      <c r="R13" s="11"/>
      <c r="S13" s="223" t="b">
        <f t="array" ref="S13:S28">UNIQUE(IF( ('アイテム別限界値DB'!$B:$B = S$10) * ('アイテム別限界値DB'!$A:$A = "サイズ"),  IF('アイテム別限界値DB'!$B:$B = S$10, 'アイテム別限界値DB'!$F:$F, "") ))</f>
        <v>0</v>
      </c>
      <c r="T13" s="225"/>
      <c r="U13" s="226"/>
      <c r="V13" s="121"/>
      <c r="W13" s="12"/>
      <c r="X13" s="223" t="b">
        <f t="array" ref="X13:X31">UNIQUE(IF( ('アイテム別限界値DB'!$B:$B = X$10) * ('アイテム別限界値DB'!$A:$A = "サイズ"),  IF('アイテム別限界値DB'!$B:$B = X$10, 'アイテム別限界値DB'!$C:$C, "") ))</f>
        <v>0</v>
      </c>
      <c r="Y13" s="225"/>
      <c r="Z13" s="226"/>
      <c r="AA13" s="121"/>
      <c r="AB13" s="11"/>
      <c r="AC13" s="223" t="b">
        <f t="array" ref="AC13:AC29">UNIQUE(IF( ('アイテム別限界値DB'!$B:$B = AC$10) * ('アイテム別限界値DB'!$A:$A = "サイズ"),  IF('アイテム別限界値DB'!$B:$B = AC$10, 'アイテム別限界値DB'!$F:$F, "") ))</f>
        <v>0</v>
      </c>
      <c r="AD13" s="225"/>
      <c r="AE13" s="226"/>
      <c r="AF13" s="121"/>
      <c r="AG13" s="11"/>
      <c r="AH13" s="223" t="b">
        <f t="array" ref="AH13:AH20">UNIQUE(IF( ('アイテム別限界値DB'!$B:$B = AH$10) * ('アイテム別限界値DB'!$A:$A = "サイズ"),  IF('アイテム別限界値DB'!$B:$B = AH$10, 'アイテム別限界値DB'!$F:$F, "") ))</f>
        <v>0</v>
      </c>
      <c r="AI13" s="225"/>
      <c r="AJ13" s="226"/>
      <c r="AK13" s="121"/>
      <c r="AL13" s="11"/>
      <c r="AM13" s="223" t="b">
        <f t="array" ref="AM13:AM20">UNIQUE(IF( ('アイテム別限界値DB'!$B:$B = AM$10) * ('アイテム別限界値DB'!$A:$A = "サイズ"),  IF('アイテム別限界値DB'!$B:$B = AM$10, 'アイテム別限界値DB'!$F:$F, "") ))</f>
        <v>0</v>
      </c>
      <c r="AN13" s="225"/>
      <c r="AO13" s="226"/>
      <c r="AP13" s="121"/>
      <c r="AQ13" s="11"/>
      <c r="AR13" s="223" t="b">
        <f t="array" ref="AR13:AR20">UNIQUE(IF( ('アイテム別限界値DB'!$B:$B = AR$10) * ('アイテム別限界値DB'!$A:$A = "サイズ"),  IF('アイテム別限界値DB'!$B:$B = AR$10, 'アイテム別限界値DB'!$F:$F, "") ))</f>
        <v>0</v>
      </c>
      <c r="AS13" s="225"/>
      <c r="AT13" s="226"/>
      <c r="AU13" s="121"/>
      <c r="AV13" s="121"/>
      <c r="AW13" s="223" t="b">
        <f t="array" ref="AW13:AW20">UNIQUE(IF( ('アイテム別限界値DB'!$B:$B = AW$10) * ('アイテム別限界値DB'!$A:$A = "サイズ"),  IF('アイテム別限界値DB'!$B:$B = AW$10, 'アイテム別限界値DB'!$F:$F, "") ))</f>
        <v>0</v>
      </c>
      <c r="AX13" s="225"/>
      <c r="AY13" s="226"/>
      <c r="AZ13" s="121"/>
      <c r="BA13" s="121"/>
      <c r="BB13" s="223" t="b">
        <f t="array" ref="BB13:BB20">UNIQUE(IF( ('アイテム別限界値DB'!$B:$B = BB$10) * ('アイテム別限界値DB'!$A:$A = "サイズ"),  IF('アイテム別限界値DB'!$B:$B = BB$10, 'アイテム別限界値DB'!$F:$F, "") ))</f>
        <v>0</v>
      </c>
      <c r="BC13" s="224"/>
      <c r="BD13" s="12"/>
      <c r="BE13" s="121"/>
      <c r="BF13" s="121"/>
      <c r="BG13" s="223" t="b">
        <f t="array" ref="BG13:BG20">UNIQUE(IF( ('アイテム別限界値DB'!$B:$B = BG$10) * ('アイテム別限界値DB'!$A:$A = "サイズ"),  IF('アイテム別限界値DB'!$B:$B = BG$10, 'アイテム別限界値DB'!$F:$F, "") ))</f>
        <v>0</v>
      </c>
      <c r="BH13" s="224"/>
      <c r="BI13" s="12"/>
      <c r="BJ13" s="121"/>
      <c r="BK13" s="121"/>
      <c r="BL13" s="227" t="b">
        <f t="array" ref="BL13:BL23">UNIQUE(IF( ('アイテム別限界値DB'!$B:$B = BL$10) * ('アイテム別限界値DB'!$A:$A = "サイズ"),  IF('アイテム別限界値DB'!$B:$B = BL$10, 'アイテム別限界値DB'!$F:$F, "") ))</f>
        <v>0</v>
      </c>
      <c r="BM13" s="224"/>
      <c r="BN13" s="121"/>
      <c r="BO13" s="121"/>
      <c r="BP13" s="121"/>
    </row>
    <row r="14" ht="18.75" customHeight="1">
      <c r="A14" s="228" t="str">
        <f>IF($D$11 = "再製作", "◼︎ ジャケット（対応着地：再製作）" &amp; char(10) &amp; "《修正数値》", IF( $D$11 &lt;&gt;"", "◼︎ ジャケット（対応着地：お直し）" &amp; char(10) &amp; "《修正数値》", ""))</f>
        <v>◼︎ ジャケット（対応着地：お直し）
《修正数値》</v>
      </c>
      <c r="B14" s="229"/>
      <c r="C14" s="224"/>
      <c r="D14" s="224" t="s">
        <v>51</v>
      </c>
      <c r="E14" s="232"/>
      <c r="F14" s="231" t="str">
        <f t="array" ref="F14">IF(
  E14 = 0, 
  "", 
  IFERROR(
    INDEX(
      'アイテム別限界値DB'!$K:$K, 
      MATCH(
        1, 
        ('アイテム別限界値DB'!$B:$B = D$10) * 
        ('アイテム別限界値DB'!$F:$F = D14) * 
        ('アイテム別限界値DB'!$H:$H = E14), 
        0
      )
    ), 
    "再製作"
  )
)
</f>
        <v/>
      </c>
      <c r="G14" s="218" t="str">
        <f t="array" ref="G14">IF(
  E14 = 0, 
  "", 
  IFERROR(
    INDEX(
      'アイテム別限界値DB'!$L:$L, 
      MATCH(
        1, 
        ('アイテム別限界値DB'!$B:$B = D$10) * 
        ('アイテム別限界値DB'!$C:$C = D14) * 
        ('アイテム別限界値DB'!$F:$F = E14), 
        0
      )
    ), 
    ""
  )
)
</f>
        <v/>
      </c>
      <c r="H14" s="195"/>
      <c r="I14" s="224" t="s">
        <v>51</v>
      </c>
      <c r="J14" s="232"/>
      <c r="K14" s="231" t="str">
        <f t="array" ref="K14">IF(
  J14 = 0, 
  "", 
  IFERROR(
    INDEX(
      'アイテム別限界値DB'!$K:$K, 
      MATCH(
        1, 
        ('アイテム別限界値DB'!$B:$B = I$10) * 
        ('アイテム別限界値DB'!$F:$F = I14) * 
        ('アイテム別限界値DB'!$H:$H = J14), 
        0
      )
    ), 
    "再製作"
  )
)
</f>
        <v/>
      </c>
      <c r="L14" s="218" t="str">
        <f t="array" ref="L14">IF(
  J14 = 0, 
  "", 
  IFERROR(
    INDEX(
      'アイテム別限界値DB'!$L:$L, 
      MATCH(
        1, 
        ('アイテム別限界値DB'!$B:$B = I$10) * 
        ('アイテム別限界値DB'!$C:$C = I14) * 
        ('アイテム別限界値DB'!$F:$F = J14), 
        0
      )
    ), 
    ""
  )
)
</f>
        <v/>
      </c>
      <c r="M14" s="12"/>
      <c r="N14" s="224" t="s">
        <v>51</v>
      </c>
      <c r="O14" s="232"/>
      <c r="P14" s="231" t="str">
        <f t="array" ref="P14">IF(
  O14 = 0, 
  "", 
  IFERROR(
    INDEX(
      'アイテム別限界値DB'!$K:$K, 
      MATCH(
        1, 
        ('アイテム別限界値DB'!$B:$B = N$10) * 
        ('アイテム別限界値DB'!$F:$F = N14) * 
        ('アイテム別限界値DB'!$H:$H = O14), 
        0
      )
    ), 
    "再製作"
  )
)
</f>
        <v/>
      </c>
      <c r="Q14" s="218" t="str">
        <f t="array" ref="Q14">IF(
  O14 = 0, 
  "", 
  IFERROR(
    INDEX(
      'アイテム別限界値DB'!$L:$L, 
      MATCH(
        1, 
        ('アイテム別限界値DB'!$B:$B = N$10) * 
        ('アイテム別限界値DB'!$C:$C = N14) * 
        ('アイテム別限界値DB'!$F:$F = O14), 
        0
      )
    ), 
    ""
  )
)
</f>
        <v/>
      </c>
      <c r="R14" s="12"/>
      <c r="S14" s="224" t="s">
        <v>51</v>
      </c>
      <c r="T14" s="232"/>
      <c r="U14" s="231" t="str">
        <f t="array" ref="U14">IF(
  T14 = 0, 
  "", 
  IFERROR(
    INDEX(
      'アイテム別限界値DB'!$K:$K, 
      MATCH(
        1, 
        ('アイテム別限界値DB'!$B:$B = S$10) * 
        ('アイテム別限界値DB'!$F:$F = S14) * 
        ('アイテム別限界値DB'!$H:$H = T14), 
        0
      )
    ), 
    "再製作"
  )
)
</f>
        <v/>
      </c>
      <c r="V14" s="218" t="str">
        <f t="array" ref="V14">IF(
  T14 = 0, 
  "", 
  IFERROR(
    INDEX(
      'アイテム別限界値DB'!$L:$L, 
      MATCH(
        1, 
        ('アイテム別限界値DB'!$B:$B = S$10) * 
        ('アイテム別限界値DB'!$C:$C = S14) * 
        ('アイテム別限界値DB'!$F:$F = T14), 
        0
      )
    ), 
    ""
  )
)
</f>
        <v/>
      </c>
      <c r="W14" s="12"/>
      <c r="X14" s="224" t="s">
        <v>51</v>
      </c>
      <c r="Y14" s="232"/>
      <c r="Z14" s="231" t="str">
        <f t="array" ref="Z14">IF(
  Y14 = 0, 
  "", 
  IFERROR(
    INDEX(
      'アイテム別限界値DB'!$K:$K, 
      MATCH(
        1, 
        ('アイテム別限界値DB'!$B:$B = X$10) * 
        ('アイテム別限界値DB'!$F:$F = X14) * 
        ('アイテム別限界値DB'!$H:$H = Y14), 
        0
      )
    ), 
    "再製作"
  )
)
</f>
        <v/>
      </c>
      <c r="AA14" s="218" t="str">
        <f t="array" ref="AA14">IF(
  Y14 = 0, 
  "", 
  IFERROR(
    INDEX(
      'アイテム別限界値DB'!$L:$L, 
      MATCH(
        1, 
        ('アイテム別限界値DB'!$B:$B = X$10) * 
        ('アイテム別限界値DB'!$C:$C = X14) * 
        ('アイテム別限界値DB'!$F:$F = Y14), 
        0
      )
    ), 
    ""
  )
)
</f>
        <v/>
      </c>
      <c r="AB14" s="11"/>
      <c r="AC14" s="224" t="s">
        <v>51</v>
      </c>
      <c r="AD14" s="232"/>
      <c r="AE14" s="231" t="str">
        <f t="array" ref="AE14">IF(
  AD14 = 0, 
  "", 
  IFERROR(
    INDEX(
      'アイテム別限界値DB'!$K:$K, 
      MATCH(
        1, 
        ('アイテム別限界値DB'!$B:$B = AC$10) * 
        ('アイテム別限界値DB'!$F:$F = AC14) * 
        ('アイテム別限界値DB'!$H:$H = AD14), 
        0
      )
    ), 
    "再製作"
  )
)
</f>
        <v/>
      </c>
      <c r="AF14" s="218" t="str">
        <f t="array" ref="AF14">IF(
  AD14 = 0, 
  "", 
  IFERROR(
    INDEX(
      'アイテム別限界値DB'!$L:$L, 
      MATCH(
        1, 
        ('アイテム別限界値DB'!$B:$B = AC$10) * 
        ('アイテム別限界値DB'!$C:$C = AC14) * 
        ('アイテム別限界値DB'!$F:$F = AD14), 
        0
      )
    ), 
    ""
  )
)
</f>
        <v/>
      </c>
      <c r="AG14" s="11"/>
      <c r="AH14" s="224" t="s">
        <v>51</v>
      </c>
      <c r="AI14" s="232"/>
      <c r="AJ14" s="231" t="str">
        <f t="array" ref="AJ14">IF(
  AI14 = 0, 
  "", 
  IFERROR(
    INDEX(
      'アイテム別限界値DB'!$K:$K, 
      MATCH(
        1, 
        ('アイテム別限界値DB'!$B:$B = AH$10) * 
        ('アイテム別限界値DB'!$F:$F = AH14) * 
        ('アイテム別限界値DB'!$H:$H = AI14), 
        0
      )
    ), 
    "再製作"
  )
)
</f>
        <v/>
      </c>
      <c r="AK14" s="218" t="str">
        <f t="array" ref="AK14">IF(
  AI14 = 0, 
  "", 
  IFERROR(
    INDEX(
      'アイテム別限界値DB'!$L:$L, 
      MATCH(
        1, 
        ('アイテム別限界値DB'!$B:$B = AH$10) * 
        ('アイテム別限界値DB'!$C:$C = AH14) * 
        ('アイテム別限界値DB'!$F:$F = AI14), 
        0
      )
    ), 
    ""
  )
)
</f>
        <v/>
      </c>
      <c r="AL14" s="11"/>
      <c r="AM14" s="224" t="s">
        <v>51</v>
      </c>
      <c r="AN14" s="232"/>
      <c r="AO14" s="231" t="str">
        <f t="array" ref="AO14">IF(
  AN14 = 0, 
  "", 
  IFERROR(
    INDEX(
      'アイテム別限界値DB'!$K:$K, 
      MATCH(
        1, 
        ('アイテム別限界値DB'!$B:$B = AM$10) * 
        ('アイテム別限界値DB'!$F:$F = AM14) * 
        ('アイテム別限界値DB'!$H:$H = AN14), 
        0
      )
    ), 
    "再製作"
  )
)
</f>
        <v/>
      </c>
      <c r="AP14" s="218" t="str">
        <f t="array" ref="AP14">IF(
  AN14 = 0, 
  "", 
  IFERROR(
    INDEX(
      'アイテム別限界値DB'!$L:$L, 
      MATCH(
        1, 
        ('アイテム別限界値DB'!$B:$B = AM$10) * 
        ('アイテム別限界値DB'!$C:$C = AM14) * 
        ('アイテム別限界値DB'!$F:$F = AN14), 
        0
      )
    ), 
    ""
  )
)
</f>
        <v/>
      </c>
      <c r="AQ14" s="11"/>
      <c r="AR14" s="224" t="s">
        <v>51</v>
      </c>
      <c r="AS14" s="232"/>
      <c r="AT14" s="231" t="str">
        <f t="array" ref="AT14">IF(
  AS14 = 0, 
  "", 
  IFERROR(
    INDEX(
      'アイテム別限界値DB'!$K:$K, 
      MATCH(
        1, 
        ('アイテム別限界値DB'!$B:$B = AR$10) * 
        ('アイテム別限界値DB'!$F:$F = AR14) * 
        ('アイテム別限界値DB'!$H:$H = AS14), 
        0
      )
    ), 
    "再製作"
  )
)
</f>
        <v/>
      </c>
      <c r="AU14" s="218" t="str">
        <f t="array" ref="AU14">IF(
  AS14 = 0, 
  "", 
  IFERROR(
    INDEX(
      'アイテム別限界値DB'!$L:$L, 
      MATCH(
        1, 
        ('アイテム別限界値DB'!$B:$B = AR$10) * 
        ('アイテム別限界値DB'!$C:$C = AR14) * 
        ('アイテム別限界値DB'!$F:$F = AS14), 
        0
      )
    ), 
    ""
  )
)
</f>
        <v/>
      </c>
      <c r="AV14" s="121"/>
      <c r="AW14" s="224" t="s">
        <v>51</v>
      </c>
      <c r="AX14" s="232"/>
      <c r="AY14" s="231" t="str">
        <f t="array" ref="AY14">IF(
  AX14 = 0, 
  "", 
  IFERROR(
    INDEX(
      'アイテム別限界値DB'!$K:$K, 
      MATCH(
        1, 
        ('アイテム別限界値DB'!$B:$B = AW$10) * 
        ('アイテム別限界値DB'!$F:$F = AW14) * 
        ('アイテム別限界値DB'!$H:$H = AX14), 
        0
      )
    ), 
    "再製作"
  )
)
</f>
        <v/>
      </c>
      <c r="AZ14" s="218" t="str">
        <f t="array" ref="AZ14">IF(
  AX14 = 0, 
  "", 
  IFERROR(
    INDEX(
      'アイテム別限界値DB'!$L:$L, 
      MATCH(
        1, 
        ('アイテム別限界値DB'!$B:$B = AW$10) * 
        ('アイテム別限界値DB'!$C:$C = AW14) * 
        ('アイテム別限界値DB'!$F:$F = AX14), 
        0
      )
    ), 
    ""
  )
)
</f>
        <v/>
      </c>
      <c r="BA14" s="121"/>
      <c r="BB14" s="224" t="s">
        <v>51</v>
      </c>
      <c r="BC14" s="232"/>
      <c r="BD14" s="231" t="str">
        <f t="array" ref="BD14">IF(
  BC14 = 0, 
  "", 
  IFERROR(
    INDEX(
      'アイテム別限界値DB'!$K:$K, 
      MATCH(
        1, 
        ('アイテム別限界値DB'!$B:$B = BB$10) * 
        ('アイテム別限界値DB'!$F:$F = BB14) * 
        ('アイテム別限界値DB'!$H:$H = BC14), 
        0
      )
    ), 
    "再製作"
  )
)
</f>
        <v/>
      </c>
      <c r="BE14" s="218" t="str">
        <f t="array" ref="BE14">IF(
  BC14 = 0, 
  "", 
  IFERROR(
    INDEX(
      'アイテム別限界値DB'!$L:$L, 
      MATCH(
        1, 
        ('アイテム別限界値DB'!$B:$B = BB$10) * 
        ('アイテム別限界値DB'!$C:$C = BB14) * 
        ('アイテム別限界値DB'!$F:$F = BC14), 
        0
      )
    ), 
    ""
  )
)
</f>
        <v/>
      </c>
      <c r="BF14" s="121"/>
      <c r="BG14" s="224" t="s">
        <v>51</v>
      </c>
      <c r="BH14" s="233"/>
      <c r="BI14" s="234" t="str">
        <f t="array" ref="BI14">IF(
  BH14 = 0, 
  "", 
  IFERROR(
    INDEX(
      'アイテム別限界値DB'!$K:$K, 
      MATCH(
        1, 
        ('アイテム別限界値DB'!$B:$B = BG$10) * 
        ('アイテム別限界値DB'!$F:$F = BG14) * 
        ('アイテム別限界値DB'!$H:$H = BH14), 
        0
      )
    ), 
    "再製作"
  )
)
</f>
        <v/>
      </c>
      <c r="BJ14" s="218" t="str">
        <f t="array" ref="BJ14">IF(
  BH14 = 0, 
  "", 
  IFERROR(
    INDEX(
      'アイテム別限界値DB'!$L:$L, 
      MATCH(
        1, 
        ('アイテム別限界値DB'!$B:$B = BG$10) * 
        ('アイテム別限界値DB'!$C:$C = BG14) * 
        ('アイテム別限界値DB'!$F:$F = BH14), 
        0
      )
    ), 
    ""
  )
)
</f>
        <v/>
      </c>
      <c r="BK14" s="121"/>
      <c r="BL14" s="224" t="s">
        <v>51</v>
      </c>
      <c r="BM14" s="232"/>
      <c r="BN14" s="231" t="str">
        <f t="array" ref="BN14">IF(
  BM14 = 0, 
  "", 
  IFERROR(
    INDEX(
      'アイテム別限界値DB'!$K:$K, 
      MATCH(
        1, 
        ('アイテム別限界値DB'!$B:$B = BL$10) * 
        ('アイテム別限界値DB'!$F:$F = BL14) * 
        ('アイテム別限界値DB'!$H:$H = BM14), 
        0
      )
    ), 
    "再製作"
  )
)
</f>
        <v/>
      </c>
      <c r="BO14" s="218" t="str">
        <f t="array" ref="BO14">IF(
  BM14 = 0, 
  "", 
  IFERROR(
    INDEX(
      'アイテム別限界値DB'!$L:$L, 
      MATCH(
        1, 
        ('アイテム別限界値DB'!$B:$B = BL$10) * 
        ('アイテム別限界値DB'!$C:$C = BL14) * 
        ('アイテム別限界値DB'!$F:$F = BM14), 
        0
      )
    ), 
    ""
  )
)
</f>
        <v/>
      </c>
      <c r="BP14" s="195"/>
    </row>
    <row r="15" ht="18.75" customHeight="1">
      <c r="A15" s="228" t="str">
        <f>IFERROR(__xludf.DUMMYFUNCTION("TEXTJOIN(CHAR(10),TRUE,FILTER(ARRAYFORMULA(IF(E$14:E72&lt;&gt;"""",D$14:D72&amp;"" : ""&amp; E$14:E72 &amp;"" cm"","""")), D$14:D72 &lt;&gt;""""))"),"着丈 / センターベント : -1 cm")</f>
        <v>着丈 / センターベント : -1 cm</v>
      </c>
      <c r="B15" s="235"/>
      <c r="C15" s="224"/>
      <c r="D15" s="224" t="s">
        <v>53</v>
      </c>
      <c r="E15" s="230"/>
      <c r="F15" s="231" t="str">
        <f t="array" ref="F15">IF(
  E15 = 0, 
  "", 
  IFERROR(
    INDEX(
      'アイテム別限界値DB'!$K:$K, 
      MATCH(
        1, 
        ('アイテム別限界値DB'!$B:$B = D$10) * 
        ('アイテム別限界値DB'!$F:$F = D15) * 
        ('アイテム別限界値DB'!$H:$H = E15), 
        0
      )
    ), 
    "再製作"
  )
)
</f>
        <v/>
      </c>
      <c r="G15" s="218" t="str">
        <f t="array" ref="G15">IF(
  E15 = 0, 
  "", 
  IFERROR(
    INDEX(
      'アイテム別限界値DB'!$L:$L, 
      MATCH(
        1, 
        ('アイテム別限界値DB'!$B:$B = D$10) * 
        ('アイテム別限界値DB'!$C:$C = D15) * 
        ('アイテム別限界値DB'!$F:$F = E15), 
        0
      )
    ), 
    ""
  )
)
</f>
        <v/>
      </c>
      <c r="H15" s="12"/>
      <c r="I15" s="224" t="s">
        <v>54</v>
      </c>
      <c r="J15" s="230"/>
      <c r="K15" s="231" t="str">
        <f t="array" ref="K15">IF(
  J15 = 0, 
  "", 
  IFERROR(
    INDEX(
      'アイテム別限界値DB'!$K:$K, 
      MATCH(
        1, 
        ('アイテム別限界値DB'!$B:$B = I$10) * 
        ('アイテム別限界値DB'!$F:$F = I15) * 
        ('アイテム別限界値DB'!$H:$H = J15), 
        0
      )
    ), 
    "再製作"
  )
)
</f>
        <v/>
      </c>
      <c r="L15" s="218" t="str">
        <f t="array" ref="L15">IF(
  J15 = 0, 
  "", 
  IFERROR(
    INDEX(
      'アイテム別限界値DB'!$L:$L, 
      MATCH(
        1, 
        ('アイテム別限界値DB'!$B:$B = I$10) * 
        ('アイテム別限界値DB'!$C:$C = I15) * 
        ('アイテム別限界値DB'!$F:$F = J15), 
        0
      )
    ), 
    ""
  )
)
</f>
        <v/>
      </c>
      <c r="M15" s="12"/>
      <c r="N15" s="224" t="s">
        <v>55</v>
      </c>
      <c r="O15" s="232"/>
      <c r="P15" s="231" t="str">
        <f t="array" ref="P15">IF(
  O15 = 0, 
  "", 
  IFERROR(
    INDEX(
      'アイテム別限界値DB'!$K:$K, 
      MATCH(
        1, 
        ('アイテム別限界値DB'!$B:$B = N$10) * 
        ('アイテム別限界値DB'!$F:$F = N15) * 
        ('アイテム別限界値DB'!$H:$H = O15), 
        0
      )
    ), 
    "再製作"
  )
)
</f>
        <v/>
      </c>
      <c r="Q15" s="218" t="str">
        <f t="array" ref="Q15">IF(
  O15 = 0, 
  "", 
  IFERROR(
    INDEX(
      'アイテム別限界値DB'!$L:$L, 
      MATCH(
        1, 
        ('アイテム別限界値DB'!$B:$B = N$10) * 
        ('アイテム別限界値DB'!$C:$C = N15) * 
        ('アイテム別限界値DB'!$F:$F = O15), 
        0
      )
    ), 
    ""
  )
)
</f>
        <v/>
      </c>
      <c r="R15" s="12"/>
      <c r="S15" s="224" t="s">
        <v>54</v>
      </c>
      <c r="T15" s="232"/>
      <c r="U15" s="231" t="str">
        <f t="array" ref="U15">IF(
  T15 = 0, 
  "", 
  IFERROR(
    INDEX(
      'アイテム別限界値DB'!$K:$K, 
      MATCH(
        1, 
        ('アイテム別限界値DB'!$B:$B = S$10) * 
        ('アイテム別限界値DB'!$F:$F = S15) * 
        ('アイテム別限界値DB'!$H:$H = T15), 
        0
      )
    ), 
    "再製作"
  )
)
</f>
        <v/>
      </c>
      <c r="V15" s="218" t="str">
        <f t="array" ref="V15">IF(
  T15 = 0, 
  "", 
  IFERROR(
    INDEX(
      'アイテム別限界値DB'!$L:$L, 
      MATCH(
        1, 
        ('アイテム別限界値DB'!$B:$B = S$10) * 
        ('アイテム別限界値DB'!$C:$C = S15) * 
        ('アイテム別限界値DB'!$F:$F = T15), 
        0
      )
    ), 
    ""
  )
)
</f>
        <v/>
      </c>
      <c r="W15" s="12"/>
      <c r="X15" s="224" t="s">
        <v>53</v>
      </c>
      <c r="Y15" s="230"/>
      <c r="Z15" s="231" t="str">
        <f t="array" ref="Z15">IF(
  Y15 = 0, 
  "", 
  IFERROR(
    INDEX(
      'アイテム別限界値DB'!$K:$K, 
      MATCH(
        1, 
        ('アイテム別限界値DB'!$B:$B = X$10) * 
        ('アイテム別限界値DB'!$F:$F = X15) * 
        ('アイテム別限界値DB'!$H:$H = Y15), 
        0
      )
    ), 
    "再製作"
  )
)
</f>
        <v/>
      </c>
      <c r="AA15" s="218" t="str">
        <f t="array" ref="AA15">IF(
  Y15 = 0, 
  "", 
  IFERROR(
    INDEX(
      'アイテム別限界値DB'!$L:$L, 
      MATCH(
        1, 
        ('アイテム別限界値DB'!$B:$B = X$10) * 
        ('アイテム別限界値DB'!$C:$C = X15) * 
        ('アイテム別限界値DB'!$F:$F = Y15), 
        0
      )
    ), 
    ""
  )
)
</f>
        <v/>
      </c>
      <c r="AB15" s="11"/>
      <c r="AC15" s="224" t="s">
        <v>53</v>
      </c>
      <c r="AD15" s="232"/>
      <c r="AE15" s="231" t="str">
        <f t="array" ref="AE15">IF(
  AD15 = 0, 
  "", 
  IFERROR(
    INDEX(
      'アイテム別限界値DB'!$K:$K, 
      MATCH(
        1, 
        ('アイテム別限界値DB'!$B:$B = AC$10) * 
        ('アイテム別限界値DB'!$F:$F = AC15) * 
        ('アイテム別限界値DB'!$H:$H = AD15), 
        0
      )
    ), 
    "再製作"
  )
)
</f>
        <v/>
      </c>
      <c r="AF15" s="218" t="str">
        <f t="array" ref="AF15">IF(
  AD15 = 0, 
  "", 
  IFERROR(
    INDEX(
      'アイテム別限界値DB'!$L:$L, 
      MATCH(
        1, 
        ('アイテム別限界値DB'!$B:$B = AC$10) * 
        ('アイテム別限界値DB'!$C:$C = AC15) * 
        ('アイテム別限界値DB'!$F:$F = AD15), 
        0
      )
    ), 
    ""
  )
)
</f>
        <v/>
      </c>
      <c r="AG15" s="11"/>
      <c r="AH15" s="224" t="s">
        <v>53</v>
      </c>
      <c r="AI15" s="232"/>
      <c r="AJ15" s="231" t="str">
        <f t="array" ref="AJ15">IF(
  AI15 = 0, 
  "", 
  IFERROR(
    INDEX(
      'アイテム別限界値DB'!$K:$K, 
      MATCH(
        1, 
        ('アイテム別限界値DB'!$B:$B = AH$10) * 
        ('アイテム別限界値DB'!$F:$F = AH15) * 
        ('アイテム別限界値DB'!$H:$H = AI15), 
        0
      )
    ), 
    "再製作"
  )
)
</f>
        <v/>
      </c>
      <c r="AK15" s="218" t="str">
        <f t="array" ref="AK15">IF(
  AI15 = 0, 
  "", 
  IFERROR(
    INDEX(
      'アイテム別限界値DB'!$L:$L, 
      MATCH(
        1, 
        ('アイテム別限界値DB'!$B:$B = AH$10) * 
        ('アイテム別限界値DB'!$C:$C = AH15) * 
        ('アイテム別限界値DB'!$F:$F = AI15), 
        0
      )
    ), 
    ""
  )
)
</f>
        <v/>
      </c>
      <c r="AL15" s="11"/>
      <c r="AM15" s="224" t="s">
        <v>53</v>
      </c>
      <c r="AN15" s="232"/>
      <c r="AO15" s="231" t="str">
        <f t="array" ref="AO15">IF(
  AN15 = 0, 
  "", 
  IFERROR(
    INDEX(
      'アイテム別限界値DB'!$K:$K, 
      MATCH(
        1, 
        ('アイテム別限界値DB'!$B:$B = AM$10) * 
        ('アイテム別限界値DB'!$F:$F = AM15) * 
        ('アイテム別限界値DB'!$H:$H = AN15), 
        0
      )
    ), 
    "再製作"
  )
)
</f>
        <v/>
      </c>
      <c r="AP15" s="218" t="str">
        <f t="array" ref="AP15">IF(
  AN15 = 0, 
  "", 
  IFERROR(
    INDEX(
      'アイテム別限界値DB'!$L:$L, 
      MATCH(
        1, 
        ('アイテム別限界値DB'!$B:$B = AM$10) * 
        ('アイテム別限界値DB'!$C:$C = AM15) * 
        ('アイテム別限界値DB'!$F:$F = AN15), 
        0
      )
    ), 
    ""
  )
)
</f>
        <v/>
      </c>
      <c r="AQ15" s="11"/>
      <c r="AR15" s="224" t="s">
        <v>53</v>
      </c>
      <c r="AS15" s="232"/>
      <c r="AT15" s="231" t="str">
        <f t="array" ref="AT15">IF(
  AS15 = 0, 
  "", 
  IFERROR(
    INDEX(
      'アイテム別限界値DB'!$K:$K, 
      MATCH(
        1, 
        ('アイテム別限界値DB'!$B:$B = AR$10) * 
        ('アイテム別限界値DB'!$F:$F = AR15) * 
        ('アイテム別限界値DB'!$H:$H = AS15), 
        0
      )
    ), 
    "再製作"
  )
)
</f>
        <v/>
      </c>
      <c r="AU15" s="218" t="str">
        <f t="array" ref="AU15">IF(
  AS15 = 0, 
  "", 
  IFERROR(
    INDEX(
      'アイテム別限界値DB'!$L:$L, 
      MATCH(
        1, 
        ('アイテム別限界値DB'!$B:$B = AR$10) * 
        ('アイテム別限界値DB'!$C:$C = AR15) * 
        ('アイテム別限界値DB'!$F:$F = AS15), 
        0
      )
    ), 
    ""
  )
)
</f>
        <v/>
      </c>
      <c r="AV15" s="121"/>
      <c r="AW15" s="224" t="s">
        <v>53</v>
      </c>
      <c r="AX15" s="232"/>
      <c r="AY15" s="231" t="str">
        <f t="array" ref="AY15">IF(
  AX15 = 0, 
  "", 
  IFERROR(
    INDEX(
      'アイテム別限界値DB'!$K:$K, 
      MATCH(
        1, 
        ('アイテム別限界値DB'!$B:$B = AW$10) * 
        ('アイテム別限界値DB'!$F:$F = AW15) * 
        ('アイテム別限界値DB'!$H:$H = AX15), 
        0
      )
    ), 
    "再製作"
  )
)
</f>
        <v/>
      </c>
      <c r="AZ15" s="218" t="str">
        <f t="array" ref="AZ15">IF(
  AX15 = 0, 
  "", 
  IFERROR(
    INDEX(
      'アイテム別限界値DB'!$L:$L, 
      MATCH(
        1, 
        ('アイテム別限界値DB'!$B:$B = AW$10) * 
        ('アイテム別限界値DB'!$C:$C = AW15) * 
        ('アイテム別限界値DB'!$F:$F = AX15), 
        0
      )
    ), 
    ""
  )
)
</f>
        <v/>
      </c>
      <c r="BA15" s="121"/>
      <c r="BB15" s="224" t="s">
        <v>53</v>
      </c>
      <c r="BC15" s="232"/>
      <c r="BD15" s="231" t="str">
        <f t="array" ref="BD15">IF(
  BC15 = 0, 
  "", 
  IFERROR(
    INDEX(
      'アイテム別限界値DB'!$K:$K, 
      MATCH(
        1, 
        ('アイテム別限界値DB'!$B:$B = BB$10) * 
        ('アイテム別限界値DB'!$F:$F = BB15) * 
        ('アイテム別限界値DB'!$H:$H = BC15), 
        0
      )
    ), 
    "再製作"
  )
)
</f>
        <v/>
      </c>
      <c r="BE15" s="218" t="str">
        <f t="array" ref="BE15">IF(
  BC15 = 0, 
  "", 
  IFERROR(
    INDEX(
      'アイテム別限界値DB'!$L:$L, 
      MATCH(
        1, 
        ('アイテム別限界値DB'!$B:$B = BB$10) * 
        ('アイテム別限界値DB'!$C:$C = BB15) * 
        ('アイテム別限界値DB'!$F:$F = BC15), 
        0
      )
    ), 
    ""
  )
)
</f>
        <v/>
      </c>
      <c r="BF15" s="121"/>
      <c r="BG15" s="224" t="s">
        <v>53</v>
      </c>
      <c r="BH15" s="232"/>
      <c r="BI15" s="231" t="str">
        <f t="array" ref="BI15">IF(
  BH15 = 0, 
  "", 
  IFERROR(
    INDEX(
      'アイテム別限界値DB'!$K:$K, 
      MATCH(
        1, 
        ('アイテム別限界値DB'!$B:$B = BG$10) * 
        ('アイテム別限界値DB'!$F:$F = BG15) * 
        ('アイテム別限界値DB'!$H:$H = BH15), 
        0
      )
    ), 
    "再製作"
  )
)
</f>
        <v/>
      </c>
      <c r="BJ15" s="218" t="str">
        <f t="array" ref="BJ15">IF(
  BH15 = 0, 
  "", 
  IFERROR(
    INDEX(
      'アイテム別限界値DB'!$L:$L, 
      MATCH(
        1, 
        ('アイテム別限界値DB'!$B:$B = BG$10) * 
        ('アイテム別限界値DB'!$C:$C = BG15) * 
        ('アイテム別限界値DB'!$F:$F = BH15), 
        0
      )
    ), 
    ""
  )
)
</f>
        <v/>
      </c>
      <c r="BK15" s="121"/>
      <c r="BL15" s="224" t="s">
        <v>53</v>
      </c>
      <c r="BM15" s="232"/>
      <c r="BN15" s="231" t="str">
        <f t="array" ref="BN15">IF(
  BM15 = 0, 
  "", 
  IFERROR(
    INDEX(
      'アイテム別限界値DB'!$K:$K, 
      MATCH(
        1, 
        ('アイテム別限界値DB'!$B:$B = BL$10) * 
        ('アイテム別限界値DB'!$F:$F = BL15) * 
        ('アイテム別限界値DB'!$H:$H = BM15), 
        0
      )
    ), 
    "再製作"
  )
)
</f>
        <v/>
      </c>
      <c r="BO15" s="218" t="str">
        <f t="array" ref="BO15">IF(
  BM15 = 0, 
  "", 
  IFERROR(
    INDEX(
      'アイテム別限界値DB'!$L:$L, 
      MATCH(
        1, 
        ('アイテム別限界値DB'!$B:$B = BL$10) * 
        ('アイテム別限界値DB'!$C:$C = BL15) * 
        ('アイテム別限界値DB'!$F:$F = BM15), 
        0
      )
    ), 
    ""
  )
)
</f>
        <v/>
      </c>
      <c r="BP15" s="195"/>
    </row>
    <row r="16" ht="18.75" customHeight="1">
      <c r="A16" s="236" t="str">
        <f>if($A$14&lt;&gt;"", "《仕上がり数値》","")</f>
        <v>《仕上がり数値》</v>
      </c>
      <c r="B16" s="224"/>
      <c r="C16" s="224"/>
      <c r="D16" s="224" t="s">
        <v>55</v>
      </c>
      <c r="E16" s="230"/>
      <c r="F16" s="231" t="str">
        <f t="array" ref="F16">IF(
  E16 = 0, 
  "", 
  IFERROR(
    INDEX(
      'アイテム別限界値DB'!$K:$K, 
      MATCH(
        1, 
        ('アイテム別限界値DB'!$B:$B = D$10) * 
        ('アイテム別限界値DB'!$F:$F = D16) * 
        ('アイテム別限界値DB'!$H:$H = E16), 
        0
      )
    ), 
    "再製作"
  )
)
</f>
        <v/>
      </c>
      <c r="G16" s="218" t="str">
        <f t="array" ref="G16">IF(
  E16 = 0, 
  "", 
  IFERROR(
    INDEX(
      'アイテム別限界値DB'!$L:$L, 
      MATCH(
        1, 
        ('アイテム別限界値DB'!$B:$B = D$10) * 
        ('アイテム別限界値DB'!$C:$C = D16) * 
        ('アイテム別限界値DB'!$F:$F = E16), 
        0
      )
    ), 
    ""
  )
)
</f>
        <v/>
      </c>
      <c r="H16" s="12"/>
      <c r="I16" s="224" t="s">
        <v>56</v>
      </c>
      <c r="J16" s="230"/>
      <c r="K16" s="231" t="str">
        <f t="array" ref="K16">IF(
  J16 = 0, 
  "", 
  IFERROR(
    INDEX(
      'アイテム別限界値DB'!$K:$K, 
      MATCH(
        1, 
        ('アイテム別限界値DB'!$B:$B = I$10) * 
        ('アイテム別限界値DB'!$F:$F = I16) * 
        ('アイテム別限界値DB'!$H:$H = J16), 
        0
      )
    ), 
    "再製作"
  )
)
</f>
        <v/>
      </c>
      <c r="L16" s="218" t="str">
        <f t="array" ref="L16">IF(
  J16 = 0, 
  "", 
  IFERROR(
    INDEX(
      'アイテム別限界値DB'!$L:$L, 
      MATCH(
        1, 
        ('アイテム別限界値DB'!$B:$B = I$10) * 
        ('アイテム別限界値DB'!$C:$C = I16) * 
        ('アイテム別限界値DB'!$F:$F = J16), 
        0
      )
    ), 
    ""
  )
)
</f>
        <v/>
      </c>
      <c r="M16" s="12"/>
      <c r="N16" s="224" t="s">
        <v>57</v>
      </c>
      <c r="O16" s="232"/>
      <c r="P16" s="231" t="str">
        <f t="array" ref="P16">IF(
  O16 = 0, 
  "", 
  IFERROR(
    INDEX(
      'アイテム別限界値DB'!$K:$K, 
      MATCH(
        1, 
        ('アイテム別限界値DB'!$B:$B = N$10) * 
        ('アイテム別限界値DB'!$F:$F = N16) * 
        ('アイテム別限界値DB'!$H:$H = O16), 
        0
      )
    ), 
    "再製作"
  )
)
</f>
        <v/>
      </c>
      <c r="Q16" s="218" t="str">
        <f t="array" ref="Q16">IF(
  O16 = 0, 
  "", 
  IFERROR(
    INDEX(
      'アイテム別限界値DB'!$L:$L, 
      MATCH(
        1, 
        ('アイテム別限界値DB'!$B:$B = N$10) * 
        ('アイテム別限界値DB'!$C:$C = N16) * 
        ('アイテム別限界値DB'!$F:$F = O16), 
        0
      )
    ), 
    ""
  )
)
</f>
        <v/>
      </c>
      <c r="R16" s="12"/>
      <c r="S16" s="224" t="s">
        <v>56</v>
      </c>
      <c r="T16" s="230"/>
      <c r="U16" s="231" t="str">
        <f t="array" ref="U16">IF(
  T16 = 0, 
  "", 
  IFERROR(
    INDEX(
      'アイテム別限界値DB'!$K:$K, 
      MATCH(
        1, 
        ('アイテム別限界値DB'!$B:$B = S$10) * 
        ('アイテム別限界値DB'!$F:$F = S16) * 
        ('アイテム別限界値DB'!$H:$H = T16), 
        0
      )
    ), 
    "再製作"
  )
)
</f>
        <v/>
      </c>
      <c r="V16" s="218" t="str">
        <f t="array" ref="V16">IF(
  T16 = 0, 
  "", 
  IFERROR(
    INDEX(
      'アイテム別限界値DB'!$L:$L, 
      MATCH(
        1, 
        ('アイテム別限界値DB'!$B:$B = S$10) * 
        ('アイテム別限界値DB'!$C:$C = S16) * 
        ('アイテム別限界値DB'!$F:$F = T16), 
        0
      )
    ), 
    ""
  )
)
</f>
        <v/>
      </c>
      <c r="W16" s="12"/>
      <c r="X16" s="224" t="s">
        <v>58</v>
      </c>
      <c r="Y16" s="230"/>
      <c r="Z16" s="231" t="str">
        <f t="array" ref="Z16">IF(
  Y16 = 0, 
  "", 
  IFERROR(
    INDEX(
      'アイテム別限界値DB'!$K:$K, 
      MATCH(
        1, 
        ('アイテム別限界値DB'!$B:$B = X$10) * 
        ('アイテム別限界値DB'!$F:$F = X16) * 
        ('アイテム別限界値DB'!$H:$H = Y16), 
        0
      )
    ), 
    "再製作"
  )
)
</f>
        <v/>
      </c>
      <c r="AA16" s="218" t="str">
        <f t="array" ref="AA16">IF(
  Y16 = 0, 
  "", 
  IFERROR(
    INDEX(
      'アイテム別限界値DB'!$L:$L, 
      MATCH(
        1, 
        ('アイテム別限界値DB'!$B:$B = X$10) * 
        ('アイテム別限界値DB'!$C:$C = X16) * 
        ('アイテム別限界値DB'!$F:$F = Y16), 
        0
      )
    ), 
    ""
  )
)
</f>
        <v/>
      </c>
      <c r="AB16" s="11"/>
      <c r="AC16" s="224" t="s">
        <v>55</v>
      </c>
      <c r="AD16" s="232"/>
      <c r="AE16" s="231" t="str">
        <f t="array" ref="AE16">IF(
  AD16 = 0, 
  "", 
  IFERROR(
    INDEX(
      'アイテム別限界値DB'!$K:$K, 
      MATCH(
        1, 
        ('アイテム別限界値DB'!$B:$B = AC$10) * 
        ('アイテム別限界値DB'!$F:$F = AC16) * 
        ('アイテム別限界値DB'!$H:$H = AD16), 
        0
      )
    ), 
    "再製作"
  )
)
</f>
        <v/>
      </c>
      <c r="AF16" s="218" t="str">
        <f t="array" ref="AF16">IF(
  AD16 = 0, 
  "", 
  IFERROR(
    INDEX(
      'アイテム別限界値DB'!$L:$L, 
      MATCH(
        1, 
        ('アイテム別限界値DB'!$B:$B = AC$10) * 
        ('アイテム別限界値DB'!$C:$C = AC16) * 
        ('アイテム別限界値DB'!$F:$F = AD16), 
        0
      )
    ), 
    ""
  )
)
</f>
        <v/>
      </c>
      <c r="AG16" s="11"/>
      <c r="AH16" s="224" t="s">
        <v>55</v>
      </c>
      <c r="AI16" s="230"/>
      <c r="AJ16" s="231" t="str">
        <f t="array" ref="AJ16">IF(
  AI16 = 0, 
  "", 
  IFERROR(
    INDEX(
      'アイテム別限界値DB'!$K:$K, 
      MATCH(
        1, 
        ('アイテム別限界値DB'!$B:$B = AH$10) * 
        ('アイテム別限界値DB'!$F:$F = AH16) * 
        ('アイテム別限界値DB'!$H:$H = AI16), 
        0
      )
    ), 
    "再製作"
  )
)
</f>
        <v/>
      </c>
      <c r="AK16" s="218" t="str">
        <f t="array" ref="AK16">IF(
  AI16 = 0, 
  "", 
  IFERROR(
    INDEX(
      'アイテム別限界値DB'!$L:$L, 
      MATCH(
        1, 
        ('アイテム別限界値DB'!$B:$B = AH$10) * 
        ('アイテム別限界値DB'!$C:$C = AH16) * 
        ('アイテム別限界値DB'!$F:$F = AI16), 
        0
      )
    ), 
    ""
  )
)
</f>
        <v/>
      </c>
      <c r="AL16" s="11"/>
      <c r="AM16" s="224" t="s">
        <v>55</v>
      </c>
      <c r="AN16" s="232"/>
      <c r="AO16" s="231" t="str">
        <f t="array" ref="AO16">IF(
  AN16 = 0, 
  "", 
  IFERROR(
    INDEX(
      'アイテム別限界値DB'!$K:$K, 
      MATCH(
        1, 
        ('アイテム別限界値DB'!$B:$B = AM$10) * 
        ('アイテム別限界値DB'!$F:$F = AM16) * 
        ('アイテム別限界値DB'!$H:$H = AN16), 
        0
      )
    ), 
    "再製作"
  )
)
</f>
        <v/>
      </c>
      <c r="AP16" s="218" t="str">
        <f t="array" ref="AP16">IF(
  AN16 = 0, 
  "", 
  IFERROR(
    INDEX(
      'アイテム別限界値DB'!$L:$L, 
      MATCH(
        1, 
        ('アイテム別限界値DB'!$B:$B = AM$10) * 
        ('アイテム別限界値DB'!$C:$C = AM16) * 
        ('アイテム別限界値DB'!$F:$F = AN16), 
        0
      )
    ), 
    ""
  )
)
</f>
        <v/>
      </c>
      <c r="AQ16" s="11"/>
      <c r="AR16" s="224" t="s">
        <v>55</v>
      </c>
      <c r="AS16" s="232"/>
      <c r="AT16" s="231" t="str">
        <f t="array" ref="AT16">IF(
  AS16 = 0, 
  "", 
  IFERROR(
    INDEX(
      'アイテム別限界値DB'!$K:$K, 
      MATCH(
        1, 
        ('アイテム別限界値DB'!$B:$B = AR$10) * 
        ('アイテム別限界値DB'!$F:$F = AR16) * 
        ('アイテム別限界値DB'!$H:$H = AS16), 
        0
      )
    ), 
    "再製作"
  )
)
</f>
        <v/>
      </c>
      <c r="AU16" s="218" t="str">
        <f t="array" ref="AU16">IF(
  AS16 = 0, 
  "", 
  IFERROR(
    INDEX(
      'アイテム別限界値DB'!$L:$L, 
      MATCH(
        1, 
        ('アイテム別限界値DB'!$B:$B = AR$10) * 
        ('アイテム別限界値DB'!$C:$C = AR16) * 
        ('アイテム別限界値DB'!$F:$F = AS16), 
        0
      )
    ), 
    ""
  )
)
</f>
        <v/>
      </c>
      <c r="AV16" s="121"/>
      <c r="AW16" s="224" t="s">
        <v>55</v>
      </c>
      <c r="AX16" s="232"/>
      <c r="AY16" s="231" t="str">
        <f t="array" ref="AY16">IF(
  AX16 = 0, 
  "", 
  IFERROR(
    INDEX(
      'アイテム別限界値DB'!$K:$K, 
      MATCH(
        1, 
        ('アイテム別限界値DB'!$B:$B = AW$10) * 
        ('アイテム別限界値DB'!$F:$F = AW16) * 
        ('アイテム別限界値DB'!$H:$H = AX16), 
        0
      )
    ), 
    "再製作"
  )
)
</f>
        <v/>
      </c>
      <c r="AZ16" s="218" t="str">
        <f t="array" ref="AZ16">IF(
  AX16 = 0, 
  "", 
  IFERROR(
    INDEX(
      'アイテム別限界値DB'!$L:$L, 
      MATCH(
        1, 
        ('アイテム別限界値DB'!$B:$B = AW$10) * 
        ('アイテム別限界値DB'!$C:$C = AW16) * 
        ('アイテム別限界値DB'!$F:$F = AX16), 
        0
      )
    ), 
    ""
  )
)
</f>
        <v/>
      </c>
      <c r="BA16" s="121"/>
      <c r="BB16" s="224" t="s">
        <v>55</v>
      </c>
      <c r="BC16" s="232"/>
      <c r="BD16" s="231" t="str">
        <f t="array" ref="BD16">IF(
  BC16 = 0, 
  "", 
  IFERROR(
    INDEX(
      'アイテム別限界値DB'!$K:$K, 
      MATCH(
        1, 
        ('アイテム別限界値DB'!$B:$B = BB$10) * 
        ('アイテム別限界値DB'!$F:$F = BB16) * 
        ('アイテム別限界値DB'!$H:$H = BC16), 
        0
      )
    ), 
    "再製作"
  )
)
</f>
        <v/>
      </c>
      <c r="BE16" s="218" t="str">
        <f t="array" ref="BE16">IF(
  BC16 = 0, 
  "", 
  IFERROR(
    INDEX(
      'アイテム別限界値DB'!$L:$L, 
      MATCH(
        1, 
        ('アイテム別限界値DB'!$B:$B = BB$10) * 
        ('アイテム別限界値DB'!$C:$C = BB16) * 
        ('アイテム別限界値DB'!$F:$F = BC16), 
        0
      )
    ), 
    ""
  )
)
</f>
        <v/>
      </c>
      <c r="BF16" s="121"/>
      <c r="BG16" s="224" t="s">
        <v>55</v>
      </c>
      <c r="BH16" s="232"/>
      <c r="BI16" s="231" t="str">
        <f t="array" ref="BI16">IF(
  BH16 = 0, 
  "", 
  IFERROR(
    INDEX(
      'アイテム別限界値DB'!$K:$K, 
      MATCH(
        1, 
        ('アイテム別限界値DB'!$B:$B = BG$10) * 
        ('アイテム別限界値DB'!$F:$F = BG16) * 
        ('アイテム別限界値DB'!$H:$H = BH16), 
        0
      )
    ), 
    "再製作"
  )
)
</f>
        <v/>
      </c>
      <c r="BJ16" s="218" t="str">
        <f t="array" ref="BJ16">IF(
  BH16 = 0, 
  "", 
  IFERROR(
    INDEX(
      'アイテム別限界値DB'!$L:$L, 
      MATCH(
        1, 
        ('アイテム別限界値DB'!$B:$B = BG$10) * 
        ('アイテム別限界値DB'!$C:$C = BG16) * 
        ('アイテム別限界値DB'!$F:$F = BH16), 
        0
      )
    ), 
    ""
  )
)
</f>
        <v/>
      </c>
      <c r="BK16" s="121"/>
      <c r="BL16" s="224" t="s">
        <v>55</v>
      </c>
      <c r="BM16" s="232" t="s">
        <v>59</v>
      </c>
      <c r="BN16" s="231">
        <f t="array" ref="BN16">IF(
  BM16 = 0, 
  "", 
  IFERROR(
    INDEX(
      'アイテム別限界値DB'!$K:$K, 
      MATCH(
        1, 
        ('アイテム別限界値DB'!$B:$B = BL$10) * 
        ('アイテム別限界値DB'!$F:$F = BL16) * 
        ('アイテム別限界値DB'!$H:$H = BM16), 
        0
      )
    ), 
    "再製作"
  )
)
</f>
        <v>46000</v>
      </c>
      <c r="BO16" s="218" t="str">
        <f t="array" ref="BO16">IF(
  BM16 = 0, 
  "", 
  IFERROR(
    INDEX(
      'アイテム別限界値DB'!$L:$L, 
      MATCH(
        1, 
        ('アイテム別限界値DB'!$B:$B = BL$10) * 
        ('アイテム別限界値DB'!$C:$C = BL16) * 
        ('アイテム別限界値DB'!$F:$F = BM16), 
        0
      )
    ), 
    ""
  )
)
</f>
        <v/>
      </c>
      <c r="BP16" s="195"/>
    </row>
    <row r="17" ht="18.75" customHeight="1">
      <c r="A17" s="228" t="str">
        <f>IFERROR(__xludf.DUMMYFUNCTION("TEXTJOIN(CHAR(10),TRUE,FILTER(ARRAYFORMULA(IF(E$14:E72&lt;&gt;"""",D$14:D72&amp;"" :  cm"","""")), D$14:D72 &lt;&gt;""""))"),"着丈 / センターベント :  cm")</f>
        <v>着丈 / センターベント :  cm</v>
      </c>
      <c r="B17" s="229"/>
      <c r="C17" s="224"/>
      <c r="D17" s="224" t="s">
        <v>60</v>
      </c>
      <c r="E17" s="230"/>
      <c r="F17" s="231" t="str">
        <f t="array" ref="F17">IF(
  E17 = 0, 
  "", 
  IFERROR(
    INDEX(
      'アイテム別限界値DB'!$K:$K, 
      MATCH(
        1, 
        ('アイテム別限界値DB'!$B:$B = D$10) * 
        ('アイテム別限界値DB'!$F:$F = D17) * 
        ('アイテム別限界値DB'!$H:$H = E17), 
        0
      )
    ), 
    "再製作"
  )
)
</f>
        <v/>
      </c>
      <c r="G17" s="218" t="str">
        <f t="array" ref="G17">IF(
  E17 = 0, 
  "", 
  IFERROR(
    INDEX(
      'アイテム別限界値DB'!$L:$L, 
      MATCH(
        1, 
        ('アイテム別限界値DB'!$B:$B = D$10) * 
        ('アイテム別限界値DB'!$C:$C = D17) * 
        ('アイテム別限界値DB'!$F:$F = E17), 
        0
      )
    ), 
    ""
  )
)
</f>
        <v/>
      </c>
      <c r="H17" s="12"/>
      <c r="I17" s="224" t="s">
        <v>61</v>
      </c>
      <c r="J17" s="230" t="s">
        <v>132</v>
      </c>
      <c r="K17" s="231">
        <f t="array" ref="K17">IF(
  J17 = 0, 
  "", 
  IFERROR(
    INDEX(
      'アイテム別限界値DB'!$K:$K, 
      MATCH(
        1, 
        ('アイテム別限界値DB'!$B:$B = I$10) * 
        ('アイテム別限界値DB'!$F:$F = I17) * 
        ('アイテム別限界値DB'!$H:$H = J17), 
        0
      )
    ), 
    "再製作"
  )
)
</f>
        <v>45996</v>
      </c>
      <c r="L17" s="218" t="str">
        <f t="array" ref="L17">IF(
  J17 = 0, 
  "", 
  IFERROR(
    INDEX(
      'アイテム別限界値DB'!$L:$L, 
      MATCH(
        1, 
        ('アイテム別限界値DB'!$B:$B = I$10) * 
        ('アイテム別限界値DB'!$C:$C = I17) * 
        ('アイテム別限界値DB'!$F:$F = J17), 
        0
      )
    ), 
    ""
  )
)
</f>
        <v/>
      </c>
      <c r="M17" s="12"/>
      <c r="N17" s="224" t="s">
        <v>62</v>
      </c>
      <c r="O17" s="232"/>
      <c r="P17" s="231" t="str">
        <f t="array" ref="P17">IF(
  O17 = 0, 
  "", 
  IFERROR(
    INDEX(
      'アイテム別限界値DB'!$K:$K, 
      MATCH(
        1, 
        ('アイテム別限界値DB'!$B:$B = N$10) * 
        ('アイテム別限界値DB'!$F:$F = N17) * 
        ('アイテム別限界値DB'!$H:$H = O17), 
        0
      )
    ), 
    "再製作"
  )
)
</f>
        <v/>
      </c>
      <c r="Q17" s="218" t="str">
        <f t="array" ref="Q17">IF(
  O17 = 0, 
  "", 
  IFERROR(
    INDEX(
      'アイテム別限界値DB'!$L:$L, 
      MATCH(
        1, 
        ('アイテム別限界値DB'!$B:$B = N$10) * 
        ('アイテム別限界値DB'!$C:$C = N17) * 
        ('アイテム別限界値DB'!$F:$F = O17), 
        0
      )
    ), 
    ""
  )
)
</f>
        <v/>
      </c>
      <c r="R17" s="11"/>
      <c r="S17" s="224" t="s">
        <v>61</v>
      </c>
      <c r="T17" s="230"/>
      <c r="U17" s="231" t="str">
        <f t="array" ref="U17">IF(
  T17 = 0, 
  "", 
  IFERROR(
    INDEX(
      'アイテム別限界値DB'!$K:$K, 
      MATCH(
        1, 
        ('アイテム別限界値DB'!$B:$B = S$10) * 
        ('アイテム別限界値DB'!$F:$F = S17) * 
        ('アイテム別限界値DB'!$H:$H = T17), 
        0
      )
    ), 
    "再製作"
  )
)
</f>
        <v/>
      </c>
      <c r="V17" s="218" t="str">
        <f t="array" ref="V17">IF(
  T17 = 0, 
  "", 
  IFERROR(
    INDEX(
      'アイテム別限界値DB'!$L:$L, 
      MATCH(
        1, 
        ('アイテム別限界値DB'!$B:$B = S$10) * 
        ('アイテム別限界値DB'!$C:$C = S17) * 
        ('アイテム別限界値DB'!$F:$F = T17), 
        0
      )
    ), 
    ""
  )
)
</f>
        <v/>
      </c>
      <c r="W17" s="12"/>
      <c r="X17" s="224" t="s">
        <v>63</v>
      </c>
      <c r="Y17" s="232"/>
      <c r="Z17" s="231" t="str">
        <f t="array" ref="Z17">IF(
  Y17 = 0, 
  "", 
  IFERROR(
    INDEX(
      'アイテム別限界値DB'!$K:$K, 
      MATCH(
        1, 
        ('アイテム別限界値DB'!$B:$B = X$10) * 
        ('アイテム別限界値DB'!$F:$F = X17) * 
        ('アイテム別限界値DB'!$H:$H = Y17), 
        0
      )
    ), 
    "再製作"
  )
)
</f>
        <v/>
      </c>
      <c r="AA17" s="218" t="str">
        <f t="array" ref="AA17">IF(
  Y17 = 0, 
  "", 
  IFERROR(
    INDEX(
      'アイテム別限界値DB'!$L:$L, 
      MATCH(
        1, 
        ('アイテム別限界値DB'!$B:$B = X$10) * 
        ('アイテム別限界値DB'!$C:$C = X17) * 
        ('アイテム別限界値DB'!$F:$F = Y17), 
        0
      )
    ), 
    ""
  )
)
</f>
        <v/>
      </c>
      <c r="AB17" s="11"/>
      <c r="AC17" s="224" t="s">
        <v>57</v>
      </c>
      <c r="AD17" s="232"/>
      <c r="AE17" s="231" t="str">
        <f t="array" ref="AE17">IF(
  AD17 = 0, 
  "", 
  IFERROR(
    INDEX(
      'アイテム別限界値DB'!$K:$K, 
      MATCH(
        1, 
        ('アイテム別限界値DB'!$B:$B = AC$10) * 
        ('アイテム別限界値DB'!$F:$F = AC17) * 
        ('アイテム別限界値DB'!$H:$H = AD17), 
        0
      )
    ), 
    "再製作"
  )
)
</f>
        <v/>
      </c>
      <c r="AF17" s="218" t="str">
        <f t="array" ref="AF17">IF(
  AD17 = 0, 
  "", 
  IFERROR(
    INDEX(
      'アイテム別限界値DB'!$L:$L, 
      MATCH(
        1, 
        ('アイテム別限界値DB'!$B:$B = AC$10) * 
        ('アイテム別限界値DB'!$C:$C = AC17) * 
        ('アイテム別限界値DB'!$F:$F = AD17), 
        0
      )
    ), 
    ""
  )
)
</f>
        <v/>
      </c>
      <c r="AG17" s="11"/>
      <c r="AH17" s="224" t="s">
        <v>57</v>
      </c>
      <c r="AI17" s="230"/>
      <c r="AJ17" s="231" t="str">
        <f t="array" ref="AJ17">IF(
  AI17 = 0, 
  "", 
  IFERROR(
    INDEX(
      'アイテム別限界値DB'!$K:$K, 
      MATCH(
        1, 
        ('アイテム別限界値DB'!$B:$B = AH$10) * 
        ('アイテム別限界値DB'!$F:$F = AH17) * 
        ('アイテム別限界値DB'!$H:$H = AI17), 
        0
      )
    ), 
    "再製作"
  )
)
</f>
        <v/>
      </c>
      <c r="AK17" s="218" t="str">
        <f t="array" ref="AK17">IF(
  AI17 = 0, 
  "", 
  IFERROR(
    INDEX(
      'アイテム別限界値DB'!$L:$L, 
      MATCH(
        1, 
        ('アイテム別限界値DB'!$B:$B = AH$10) * 
        ('アイテム別限界値DB'!$C:$C = AH17) * 
        ('アイテム別限界値DB'!$F:$F = AI17), 
        0
      )
    ), 
    ""
  )
)
</f>
        <v/>
      </c>
      <c r="AL17" s="11"/>
      <c r="AM17" s="224" t="s">
        <v>57</v>
      </c>
      <c r="AN17" s="232"/>
      <c r="AO17" s="231" t="str">
        <f t="array" ref="AO17">IF(
  AN17 = 0, 
  "", 
  IFERROR(
    INDEX(
      'アイテム別限界値DB'!$K:$K, 
      MATCH(
        1, 
        ('アイテム別限界値DB'!$B:$B = AM$10) * 
        ('アイテム別限界値DB'!$F:$F = AM17) * 
        ('アイテム別限界値DB'!$H:$H = AN17), 
        0
      )
    ), 
    "再製作"
  )
)
</f>
        <v/>
      </c>
      <c r="AP17" s="218" t="str">
        <f t="array" ref="AP17">IF(
  AN17 = 0, 
  "", 
  IFERROR(
    INDEX(
      'アイテム別限界値DB'!$L:$L, 
      MATCH(
        1, 
        ('アイテム別限界値DB'!$B:$B = AM$10) * 
        ('アイテム別限界値DB'!$C:$C = AM17) * 
        ('アイテム別限界値DB'!$F:$F = AN17), 
        0
      )
    ), 
    ""
  )
)
</f>
        <v/>
      </c>
      <c r="AQ17" s="11"/>
      <c r="AR17" s="224" t="s">
        <v>57</v>
      </c>
      <c r="AS17" s="232"/>
      <c r="AT17" s="231" t="str">
        <f t="array" ref="AT17">IF(
  AS17 = 0, 
  "", 
  IFERROR(
    INDEX(
      'アイテム別限界値DB'!$K:$K, 
      MATCH(
        1, 
        ('アイテム別限界値DB'!$B:$B = AR$10) * 
        ('アイテム別限界値DB'!$F:$F = AR17) * 
        ('アイテム別限界値DB'!$H:$H = AS17), 
        0
      )
    ), 
    "再製作"
  )
)
</f>
        <v/>
      </c>
      <c r="AU17" s="218" t="str">
        <f t="array" ref="AU17">IF(
  AS17 = 0, 
  "", 
  IFERROR(
    INDEX(
      'アイテム別限界値DB'!$L:$L, 
      MATCH(
        1, 
        ('アイテム別限界値DB'!$B:$B = AR$10) * 
        ('アイテム別限界値DB'!$C:$C = AR17) * 
        ('アイテム別限界値DB'!$F:$F = AS17), 
        0
      )
    ), 
    ""
  )
)
</f>
        <v/>
      </c>
      <c r="AV17" s="121"/>
      <c r="AW17" s="224" t="s">
        <v>57</v>
      </c>
      <c r="AX17" s="232"/>
      <c r="AY17" s="231" t="str">
        <f t="array" ref="AY17">IF(
  AX17 = 0, 
  "", 
  IFERROR(
    INDEX(
      'アイテム別限界値DB'!$K:$K, 
      MATCH(
        1, 
        ('アイテム別限界値DB'!$B:$B = AW$10) * 
        ('アイテム別限界値DB'!$F:$F = AW17) * 
        ('アイテム別限界値DB'!$H:$H = AX17), 
        0
      )
    ), 
    "再製作"
  )
)
</f>
        <v/>
      </c>
      <c r="AZ17" s="218" t="str">
        <f t="array" ref="AZ17">IF(
  AX17 = 0, 
  "", 
  IFERROR(
    INDEX(
      'アイテム別限界値DB'!$L:$L, 
      MATCH(
        1, 
        ('アイテム別限界値DB'!$B:$B = AW$10) * 
        ('アイテム別限界値DB'!$C:$C = AW17) * 
        ('アイテム別限界値DB'!$F:$F = AX17), 
        0
      )
    ), 
    ""
  )
)
</f>
        <v/>
      </c>
      <c r="BA17" s="121"/>
      <c r="BB17" s="224" t="s">
        <v>57</v>
      </c>
      <c r="BC17" s="232"/>
      <c r="BD17" s="231" t="str">
        <f t="array" ref="BD17">IF(
  BC17 = 0, 
  "", 
  IFERROR(
    INDEX(
      'アイテム別限界値DB'!$K:$K, 
      MATCH(
        1, 
        ('アイテム別限界値DB'!$B:$B = BB$10) * 
        ('アイテム別限界値DB'!$F:$F = BB17) * 
        ('アイテム別限界値DB'!$H:$H = BC17), 
        0
      )
    ), 
    "再製作"
  )
)
</f>
        <v/>
      </c>
      <c r="BE17" s="218" t="str">
        <f t="array" ref="BE17">IF(
  BC17 = 0, 
  "", 
  IFERROR(
    INDEX(
      'アイテム別限界値DB'!$L:$L, 
      MATCH(
        1, 
        ('アイテム別限界値DB'!$B:$B = BB$10) * 
        ('アイテム別限界値DB'!$C:$C = BB17) * 
        ('アイテム別限界値DB'!$F:$F = BC17), 
        0
      )
    ), 
    ""
  )
)
</f>
        <v/>
      </c>
      <c r="BF17" s="121"/>
      <c r="BG17" s="224" t="s">
        <v>57</v>
      </c>
      <c r="BH17" s="232"/>
      <c r="BI17" s="231" t="str">
        <f t="array" ref="BI17">IF(
  BH17 = 0, 
  "", 
  IFERROR(
    INDEX(
      'アイテム別限界値DB'!$K:$K, 
      MATCH(
        1, 
        ('アイテム別限界値DB'!$B:$B = BG$10) * 
        ('アイテム別限界値DB'!$F:$F = BG17) * 
        ('アイテム別限界値DB'!$H:$H = BH17), 
        0
      )
    ), 
    "再製作"
  )
)
</f>
        <v/>
      </c>
      <c r="BJ17" s="218" t="str">
        <f t="array" ref="BJ17">IF(
  BH17 = 0, 
  "", 
  IFERROR(
    INDEX(
      'アイテム別限界値DB'!$L:$L, 
      MATCH(
        1, 
        ('アイテム別限界値DB'!$B:$B = BG$10) * 
        ('アイテム別限界値DB'!$C:$C = BG17) * 
        ('アイテム別限界値DB'!$F:$F = BH17), 
        0
      )
    ), 
    ""
  )
)
</f>
        <v/>
      </c>
      <c r="BK17" s="121"/>
      <c r="BL17" s="224" t="s">
        <v>57</v>
      </c>
      <c r="BM17" s="232" t="s">
        <v>59</v>
      </c>
      <c r="BN17" s="231">
        <f t="array" ref="BN17">IF(
  BM17 = 0, 
  "", 
  IFERROR(
    INDEX(
      'アイテム別限界値DB'!$K:$K, 
      MATCH(
        1, 
        ('アイテム別限界値DB'!$B:$B = BL$10) * 
        ('アイテム別限界値DB'!$F:$F = BL17) * 
        ('アイテム別限界値DB'!$H:$H = BM17), 
        0
      )
    ), 
    "再製作"
  )
)
</f>
        <v>46000</v>
      </c>
      <c r="BO17" s="218" t="str">
        <f t="array" ref="BO17">IF(
  BM17 = 0, 
  "", 
  IFERROR(
    INDEX(
      'アイテム別限界値DB'!$L:$L, 
      MATCH(
        1, 
        ('アイテム別限界値DB'!$B:$B = BL$10) * 
        ('アイテム別限界値DB'!$C:$C = BL17) * 
        ('アイテム別限界値DB'!$F:$F = BM17), 
        0
      )
    ), 
    ""
  )
)
</f>
        <v/>
      </c>
      <c r="BP17" s="195"/>
    </row>
    <row r="18" ht="18.75" customHeight="1">
      <c r="A18" s="237" t="s">
        <v>64</v>
      </c>
      <c r="B18" s="235"/>
      <c r="C18" s="224"/>
      <c r="D18" s="224" t="s">
        <v>65</v>
      </c>
      <c r="E18" s="230"/>
      <c r="F18" s="231" t="str">
        <f t="array" ref="F18">IF(
  E18 = 0, 
  "", 
  IFERROR(
    INDEX(
      'アイテム別限界値DB'!$K:$K, 
      MATCH(
        1, 
        ('アイテム別限界値DB'!$B:$B = D$10) * 
        ('アイテム別限界値DB'!$F:$F = D18) * 
        ('アイテム別限界値DB'!$H:$H = E18), 
        0
      )
    ), 
    "再製作"
  )
)
</f>
        <v/>
      </c>
      <c r="G18" s="218" t="str">
        <f t="array" ref="G18">IF(
  E18 = 0, 
  "", 
  IFERROR(
    INDEX(
      'アイテム別限界値DB'!$L:$L, 
      MATCH(
        1, 
        ('アイテム別限界値DB'!$B:$B = D$10) * 
        ('アイテム別限界値DB'!$C:$C = D18) * 
        ('アイテム別限界値DB'!$F:$F = E18), 
        0
      )
    ), 
    ""
  )
)
</f>
        <v/>
      </c>
      <c r="H18" s="12"/>
      <c r="I18" s="224" t="s">
        <v>66</v>
      </c>
      <c r="J18" s="232"/>
      <c r="K18" s="231" t="str">
        <f t="array" ref="K18">IF(
  J18 = 0, 
  "", 
  IFERROR(
    INDEX(
      'アイテム別限界値DB'!$K:$K, 
      MATCH(
        1, 
        ('アイテム別限界値DB'!$B:$B = I$10) * 
        ('アイテム別限界値DB'!$F:$F = I18) * 
        ('アイテム別限界値DB'!$H:$H = J18), 
        0
      )
    ), 
    "再製作"
  )
)
</f>
        <v/>
      </c>
      <c r="L18" s="218" t="str">
        <f t="array" ref="L18">IF(
  J18 = 0, 
  "", 
  IFERROR(
    INDEX(
      'アイテム別限界値DB'!$L:$L, 
      MATCH(
        1, 
        ('アイテム別限界値DB'!$B:$B = I$10) * 
        ('アイテム別限界値DB'!$C:$C = I18) * 
        ('アイテム別限界値DB'!$F:$F = J18), 
        0
      )
    ), 
    ""
  )
)
</f>
        <v/>
      </c>
      <c r="M18" s="12"/>
      <c r="N18" s="224" t="s">
        <v>67</v>
      </c>
      <c r="O18" s="232"/>
      <c r="P18" s="231" t="str">
        <f t="array" ref="P18">IF(
  O18 = 0, 
  "", 
  IFERROR(
    INDEX(
      'アイテム別限界値DB'!$K:$K, 
      MATCH(
        1, 
        ('アイテム別限界値DB'!$B:$B = N$10) * 
        ('アイテム別限界値DB'!$F:$F = N18) * 
        ('アイテム別限界値DB'!$H:$H = O18), 
        0
      )
    ), 
    "再製作"
  )
)
</f>
        <v/>
      </c>
      <c r="Q18" s="218" t="str">
        <f t="array" ref="Q18">IF(
  O18 = 0, 
  "", 
  IFERROR(
    INDEX(
      'アイテム別限界値DB'!$L:$L, 
      MATCH(
        1, 
        ('アイテム別限界値DB'!$B:$B = N$10) * 
        ('アイテム別限界値DB'!$C:$C = N18) * 
        ('アイテム別限界値DB'!$F:$F = O18), 
        0
      )
    ), 
    ""
  )
)
</f>
        <v/>
      </c>
      <c r="R18" s="11"/>
      <c r="S18" s="224" t="s">
        <v>68</v>
      </c>
      <c r="T18" s="232"/>
      <c r="U18" s="231" t="str">
        <f t="array" ref="U18">IF(
  T18 = 0, 
  "", 
  IFERROR(
    INDEX(
      'アイテム別限界値DB'!$K:$K, 
      MATCH(
        1, 
        ('アイテム別限界値DB'!$B:$B = S$10) * 
        ('アイテム別限界値DB'!$F:$F = S18) * 
        ('アイテム別限界値DB'!$H:$H = T18), 
        0
      )
    ), 
    "再製作"
  )
)
</f>
        <v/>
      </c>
      <c r="V18" s="218" t="str">
        <f t="array" ref="V18">IF(
  T18 = 0, 
  "", 
  IFERROR(
    INDEX(
      'アイテム別限界値DB'!$L:$L, 
      MATCH(
        1, 
        ('アイテム別限界値DB'!$B:$B = S$10) * 
        ('アイテム別限界値DB'!$C:$C = S18) * 
        ('アイテム別限界値DB'!$F:$F = T18), 
        0
      )
    ), 
    ""
  )
)
</f>
        <v/>
      </c>
      <c r="W18" s="11"/>
      <c r="X18" s="224" t="s">
        <v>57</v>
      </c>
      <c r="Y18" s="230"/>
      <c r="Z18" s="231" t="str">
        <f t="array" ref="Z18">IF(
  Y18 = 0, 
  "", 
  IFERROR(
    INDEX(
      'アイテム別限界値DB'!$K:$K, 
      MATCH(
        1, 
        ('アイテム別限界値DB'!$B:$B = X$10) * 
        ('アイテム別限界値DB'!$F:$F = X18) * 
        ('アイテム別限界値DB'!$H:$H = Y18), 
        0
      )
    ), 
    "再製作"
  )
)
</f>
        <v/>
      </c>
      <c r="AA18" s="218" t="str">
        <f t="array" ref="AA18">IF(
  Y18 = 0, 
  "", 
  IFERROR(
    INDEX(
      'アイテム別限界値DB'!$L:$L, 
      MATCH(
        1, 
        ('アイテム別限界値DB'!$B:$B = X$10) * 
        ('アイテム別限界値DB'!$C:$C = X18) * 
        ('アイテム別限界値DB'!$F:$F = Y18), 
        0
      )
    ), 
    ""
  )
)
</f>
        <v/>
      </c>
      <c r="AB18" s="11"/>
      <c r="AC18" s="224" t="s">
        <v>69</v>
      </c>
      <c r="AD18" s="230"/>
      <c r="AE18" s="231" t="str">
        <f t="array" ref="AE18">IF(
  AD18 = 0, 
  "", 
  IFERROR(
    INDEX(
      'アイテム別限界値DB'!$K:$K, 
      MATCH(
        1, 
        ('アイテム別限界値DB'!$B:$B = AC$10) * 
        ('アイテム別限界値DB'!$F:$F = AC18) * 
        ('アイテム別限界値DB'!$H:$H = AD18), 
        0
      )
    ), 
    "再製作"
  )
)
</f>
        <v/>
      </c>
      <c r="AF18" s="218" t="str">
        <f t="array" ref="AF18">IF(
  AD18 = 0, 
  "", 
  IFERROR(
    INDEX(
      'アイテム別限界値DB'!$L:$L, 
      MATCH(
        1, 
        ('アイテム別限界値DB'!$B:$B = AC$10) * 
        ('アイテム別限界値DB'!$C:$C = AC18) * 
        ('アイテム別限界値DB'!$F:$F = AD18), 
        0
      )
    ), 
    ""
  )
)
</f>
        <v/>
      </c>
      <c r="AG18" s="11"/>
      <c r="AH18" s="224" t="s">
        <v>70</v>
      </c>
      <c r="AI18" s="230"/>
      <c r="AJ18" s="231" t="str">
        <f t="array" ref="AJ18">IF(
  AI18 = 0, 
  "", 
  IFERROR(
    INDEX(
      'アイテム別限界値DB'!$K:$K, 
      MATCH(
        1, 
        ('アイテム別限界値DB'!$B:$B = AH$10) * 
        ('アイテム別限界値DB'!$F:$F = AH18) * 
        ('アイテム別限界値DB'!$H:$H = AI18), 
        0
      )
    ), 
    "再製作"
  )
)
</f>
        <v/>
      </c>
      <c r="AK18" s="218" t="str">
        <f t="array" ref="AK18">IF(
  AI18 = 0, 
  "", 
  IFERROR(
    INDEX(
      'アイテム別限界値DB'!$L:$L, 
      MATCH(
        1, 
        ('アイテム別限界値DB'!$B:$B = AH$10) * 
        ('アイテム別限界値DB'!$C:$C = AH18) * 
        ('アイテム別限界値DB'!$F:$F = AI18), 
        0
      )
    ), 
    ""
  )
)
</f>
        <v/>
      </c>
      <c r="AL18" s="11"/>
      <c r="AM18" s="224" t="s">
        <v>71</v>
      </c>
      <c r="AN18" s="232"/>
      <c r="AO18" s="231" t="str">
        <f t="array" ref="AO18">IF(
  AN18 = 0, 
  "", 
  IFERROR(
    INDEX(
      'アイテム別限界値DB'!$K:$K, 
      MATCH(
        1, 
        ('アイテム別限界値DB'!$B:$B = AM$10) * 
        ('アイテム別限界値DB'!$F:$F = AM18) * 
        ('アイテム別限界値DB'!$H:$H = AN18), 
        0
      )
    ), 
    "再製作"
  )
)
</f>
        <v/>
      </c>
      <c r="AP18" s="218" t="str">
        <f t="array" ref="AP18">IF(
  AN18 = 0, 
  "", 
  IFERROR(
    INDEX(
      'アイテム別限界値DB'!$L:$L, 
      MATCH(
        1, 
        ('アイテム別限界値DB'!$B:$B = AM$10) * 
        ('アイテム別限界値DB'!$C:$C = AM18) * 
        ('アイテム別限界値DB'!$F:$F = AN18), 
        0
      )
    ), 
    ""
  )
)
</f>
        <v/>
      </c>
      <c r="AQ18" s="11"/>
      <c r="AR18" s="224" t="s">
        <v>71</v>
      </c>
      <c r="AS18" s="232"/>
      <c r="AT18" s="231" t="str">
        <f t="array" ref="AT18">IF(
  AS18 = 0, 
  "", 
  IFERROR(
    INDEX(
      'アイテム別限界値DB'!$K:$K, 
      MATCH(
        1, 
        ('アイテム別限界値DB'!$B:$B = AR$10) * 
        ('アイテム別限界値DB'!$F:$F = AR18) * 
        ('アイテム別限界値DB'!$H:$H = AS18), 
        0
      )
    ), 
    "再製作"
  )
)
</f>
        <v/>
      </c>
      <c r="AU18" s="218" t="str">
        <f t="array" ref="AU18">IF(
  AS18 = 0, 
  "", 
  IFERROR(
    INDEX(
      'アイテム別限界値DB'!$L:$L, 
      MATCH(
        1, 
        ('アイテム別限界値DB'!$B:$B = AR$10) * 
        ('アイテム別限界値DB'!$C:$C = AR18) * 
        ('アイテム別限界値DB'!$F:$F = AS18), 
        0
      )
    ), 
    ""
  )
)
</f>
        <v/>
      </c>
      <c r="AV18" s="121"/>
      <c r="AW18" s="224" t="s">
        <v>71</v>
      </c>
      <c r="AX18" s="232"/>
      <c r="AY18" s="231" t="str">
        <f t="array" ref="AY18">IF(
  AX18 = 0, 
  "", 
  IFERROR(
    INDEX(
      'アイテム別限界値DB'!$K:$K, 
      MATCH(
        1, 
        ('アイテム別限界値DB'!$B:$B = AW$10) * 
        ('アイテム別限界値DB'!$F:$F = AW18) * 
        ('アイテム別限界値DB'!$H:$H = AX18), 
        0
      )
    ), 
    "再製作"
  )
)
</f>
        <v/>
      </c>
      <c r="AZ18" s="218" t="str">
        <f t="array" ref="AZ18">IF(
  AX18 = 0, 
  "", 
  IFERROR(
    INDEX(
      'アイテム別限界値DB'!$L:$L, 
      MATCH(
        1, 
        ('アイテム別限界値DB'!$B:$B = AW$10) * 
        ('アイテム別限界値DB'!$C:$C = AW18) * 
        ('アイテム別限界値DB'!$F:$F = AX18), 
        0
      )
    ), 
    ""
  )
)
</f>
        <v/>
      </c>
      <c r="BA18" s="121"/>
      <c r="BB18" s="224" t="s">
        <v>71</v>
      </c>
      <c r="BC18" s="232"/>
      <c r="BD18" s="231" t="str">
        <f t="array" ref="BD18">IF(
  BC18 = 0, 
  "", 
  IFERROR(
    INDEX(
      'アイテム別限界値DB'!$K:$K, 
      MATCH(
        1, 
        ('アイテム別限界値DB'!$B:$B = BB$10) * 
        ('アイテム別限界値DB'!$F:$F = BB18) * 
        ('アイテム別限界値DB'!$H:$H = BC18), 
        0
      )
    ), 
    "再製作"
  )
)
</f>
        <v/>
      </c>
      <c r="BE18" s="218" t="str">
        <f t="array" ref="BE18">IF(
  BC18 = 0, 
  "", 
  IFERROR(
    INDEX(
      'アイテム別限界値DB'!$L:$L, 
      MATCH(
        1, 
        ('アイテム別限界値DB'!$B:$B = BB$10) * 
        ('アイテム別限界値DB'!$C:$C = BB18) * 
        ('アイテム別限界値DB'!$F:$F = BC18), 
        0
      )
    ), 
    ""
  )
)
</f>
        <v/>
      </c>
      <c r="BF18" s="121"/>
      <c r="BG18" s="224" t="s">
        <v>71</v>
      </c>
      <c r="BH18" s="232"/>
      <c r="BI18" s="231" t="str">
        <f t="array" ref="BI18">IF(
  BH18 = 0, 
  "", 
  IFERROR(
    INDEX(
      'アイテム別限界値DB'!$K:$K, 
      MATCH(
        1, 
        ('アイテム別限界値DB'!$B:$B = BG$10) * 
        ('アイテム別限界値DB'!$F:$F = BG18) * 
        ('アイテム別限界値DB'!$H:$H = BH18), 
        0
      )
    ), 
    "再製作"
  )
)
</f>
        <v/>
      </c>
      <c r="BJ18" s="218" t="str">
        <f t="array" ref="BJ18">IF(
  BH18 = 0, 
  "", 
  IFERROR(
    INDEX(
      'アイテム別限界値DB'!$L:$L, 
      MATCH(
        1, 
        ('アイテム別限界値DB'!$B:$B = BG$10) * 
        ('アイテム別限界値DB'!$C:$C = BG18) * 
        ('アイテム別限界値DB'!$F:$F = BH18), 
        0
      )
    ), 
    ""
  )
)
</f>
        <v/>
      </c>
      <c r="BK18" s="121"/>
      <c r="BL18" s="224" t="s">
        <v>69</v>
      </c>
      <c r="BM18" s="232"/>
      <c r="BN18" s="231" t="str">
        <f t="array" ref="BN18">IF(
  BM18 = 0, 
  "", 
  IFERROR(
    INDEX(
      'アイテム別限界値DB'!$K:$K, 
      MATCH(
        1, 
        ('アイテム別限界値DB'!$B:$B = BL$10) * 
        ('アイテム別限界値DB'!$F:$F = BL18) * 
        ('アイテム別限界値DB'!$H:$H = BM18), 
        0
      )
    ), 
    "再製作"
  )
)
</f>
        <v/>
      </c>
      <c r="BO18" s="218" t="str">
        <f t="array" ref="BO18">IF(
  BM18 = 0, 
  "", 
  IFERROR(
    INDEX(
      'アイテム別限界値DB'!$L:$L, 
      MATCH(
        1, 
        ('アイテム別限界値DB'!$B:$B = BL$10) * 
        ('アイテム別限界値DB'!$C:$C = BL18) * 
        ('アイテム別限界値DB'!$F:$F = BM18), 
        0
      )
    ), 
    ""
  )
)
</f>
        <v/>
      </c>
      <c r="BP18" s="195"/>
    </row>
    <row r="19" ht="18.75" customHeight="1">
      <c r="A19" s="228" t="str">
        <f>IF($I$11 ="再製作", "◼︎ パンツ（対応着地：再製作）"　&amp; char(10) &amp; "《修正数値》", IF($I$11 &lt;&gt; "", "◼︎ パンツ（対応着地：お直し）"　&amp; char(10) &amp; "《修正数値》", ""))</f>
        <v>◼︎ パンツ（対応着地：再製作）
《修正数値》</v>
      </c>
      <c r="B19" s="224"/>
      <c r="C19" s="224"/>
      <c r="D19" s="238" t="s">
        <v>72</v>
      </c>
      <c r="E19" s="232"/>
      <c r="F19" s="231" t="str">
        <f t="array" ref="F19">IF(
  E19 = 0, 
  "", 
  IFERROR(
    INDEX(
      'アイテム別限界値DB'!$K:$K, 
      MATCH(
        1, 
        ('アイテム別限界値DB'!$B:$B = D$10) * 
        ('アイテム別限界値DB'!$F:$F = D19) * 
        ('アイテム別限界値DB'!$H:$H = E19), 
        0
      )
    ), 
    "再製作"
  )
)
</f>
        <v/>
      </c>
      <c r="G19" s="218" t="str">
        <f t="array" ref="G19">IF(
  E19 = 0, 
  "", 
  IFERROR(
    INDEX(
      'アイテム別限界値DB'!$L:$L, 
      MATCH(
        1, 
        ('アイテム別限界値DB'!$B:$B = D$10) * 
        ('アイテム別限界値DB'!$C:$C = D19) * 
        ('アイテム別限界値DB'!$F:$F = E19), 
        0
      )
    ), 
    ""
  )
)
</f>
        <v/>
      </c>
      <c r="H19" s="12"/>
      <c r="I19" s="238" t="s">
        <v>73</v>
      </c>
      <c r="J19" s="230"/>
      <c r="K19" s="231" t="str">
        <f t="array" ref="K19">IF(
  J19 = 0, 
  "", 
  IFERROR(
    INDEX(
      'アイテム別限界値DB'!$K:$K, 
      MATCH(
        1, 
        ('アイテム別限界値DB'!$B:$B = I$10) * 
        ('アイテム別限界値DB'!$F:$F = I19) * 
        ('アイテム別限界値DB'!$H:$H = J19), 
        0
      )
    ), 
    "再製作"
  )
)
</f>
        <v/>
      </c>
      <c r="L19" s="218" t="str">
        <f t="array" ref="L19">IF(
  J19 = 0, 
  "", 
  IFERROR(
    INDEX(
      'アイテム別限界値DB'!$L:$L, 
      MATCH(
        1, 
        ('アイテム別限界値DB'!$B:$B = I$10) * 
        ('アイテム別限界値DB'!$C:$C = I19) * 
        ('アイテム別限界値DB'!$F:$F = J19), 
        0
      )
    ), 
    ""
  )
)
</f>
        <v/>
      </c>
      <c r="M19" s="12"/>
      <c r="N19" s="238" t="s">
        <v>74</v>
      </c>
      <c r="O19" s="232"/>
      <c r="P19" s="231" t="str">
        <f t="array" ref="P19">IF(
  O19 = 0, 
  "", 
  IFERROR(
    INDEX(
      'アイテム別限界値DB'!$K:$K, 
      MATCH(
        1, 
        ('アイテム別限界値DB'!$B:$B = N$10) * 
        ('アイテム別限界値DB'!$F:$F = N19) * 
        ('アイテム別限界値DB'!$H:$H = O19), 
        0
      )
    ), 
    "再製作"
  )
)
</f>
        <v/>
      </c>
      <c r="Q19" s="218" t="str">
        <f t="array" ref="Q19">IF(
  O19 = 0, 
  "", 
  IFERROR(
    INDEX(
      'アイテム別限界値DB'!$L:$L, 
      MATCH(
        1, 
        ('アイテム別限界値DB'!$B:$B = N$10) * 
        ('アイテム別限界値DB'!$C:$C = N19) * 
        ('アイテム別限界値DB'!$F:$F = O19), 
        0
      )
    ), 
    ""
  )
)
</f>
        <v/>
      </c>
      <c r="R19" s="11"/>
      <c r="S19" s="238" t="s">
        <v>75</v>
      </c>
      <c r="T19" s="232"/>
      <c r="U19" s="231" t="str">
        <f t="array" ref="U19">IF(
  T19 = 0, 
  "", 
  IFERROR(
    INDEX(
      'アイテム別限界値DB'!$K:$K, 
      MATCH(
        1, 
        ('アイテム別限界値DB'!$B:$B = S$10) * 
        ('アイテム別限界値DB'!$F:$F = S19) * 
        ('アイテム別限界値DB'!$H:$H = T19), 
        0
      )
    ), 
    "再製作"
  )
)
</f>
        <v/>
      </c>
      <c r="V19" s="218" t="str">
        <f t="array" ref="V19">IF(
  T19 = 0, 
  "", 
  IFERROR(
    INDEX(
      'アイテム別限界値DB'!$L:$L, 
      MATCH(
        1, 
        ('アイテム別限界値DB'!$B:$B = S$10) * 
        ('アイテム別限界値DB'!$C:$C = S19) * 
        ('アイテム別限界値DB'!$F:$F = T19), 
        0
      )
    ), 
    ""
  )
)
</f>
        <v/>
      </c>
      <c r="W19" s="11"/>
      <c r="X19" s="238" t="s">
        <v>69</v>
      </c>
      <c r="Y19" s="230"/>
      <c r="Z19" s="231" t="str">
        <f t="array" ref="Z19">IF(
  Y19 = 0, 
  "", 
  IFERROR(
    INDEX(
      'アイテム別限界値DB'!$K:$K, 
      MATCH(
        1, 
        ('アイテム別限界値DB'!$B:$B = X$10) * 
        ('アイテム別限界値DB'!$F:$F = X19) * 
        ('アイテム別限界値DB'!$H:$H = Y19), 
        0
      )
    ), 
    "再製作"
  )
)
</f>
        <v/>
      </c>
      <c r="AA19" s="218" t="str">
        <f t="array" ref="AA19">IF(
  Y19 = 0, 
  "", 
  IFERROR(
    INDEX(
      'アイテム別限界値DB'!$L:$L, 
      MATCH(
        1, 
        ('アイテム別限界値DB'!$B:$B = X$10) * 
        ('アイテム別限界値DB'!$C:$C = X19) * 
        ('アイテム別限界値DB'!$F:$F = Y19), 
        0
      )
    ), 
    ""
  )
)
</f>
        <v/>
      </c>
      <c r="AB19" s="11"/>
      <c r="AC19" s="238" t="s">
        <v>76</v>
      </c>
      <c r="AD19" s="232"/>
      <c r="AE19" s="231" t="str">
        <f t="array" ref="AE19">IF(
  AD19 = 0, 
  "", 
  IFERROR(
    INDEX(
      'アイテム別限界値DB'!$K:$K, 
      MATCH(
        1, 
        ('アイテム別限界値DB'!$B:$B = AC$10) * 
        ('アイテム別限界値DB'!$F:$F = AC19) * 
        ('アイテム別限界値DB'!$H:$H = AD19), 
        0
      )
    ), 
    "再製作"
  )
)
</f>
        <v/>
      </c>
      <c r="AF19" s="218" t="str">
        <f t="array" ref="AF19">IF(
  AD19 = 0, 
  "", 
  IFERROR(
    INDEX(
      'アイテム別限界値DB'!$L:$L, 
      MATCH(
        1, 
        ('アイテム別限界値DB'!$B:$B = AC$10) * 
        ('アイテム別限界値DB'!$C:$C = AC19) * 
        ('アイテム別限界値DB'!$F:$F = AD19), 
        0
      )
    ), 
    ""
  )
)
</f>
        <v/>
      </c>
      <c r="AG19" s="11"/>
      <c r="AH19" s="238" t="s">
        <v>71</v>
      </c>
      <c r="AI19" s="232"/>
      <c r="AJ19" s="231" t="str">
        <f t="array" ref="AJ19">IF(
  AI19 = 0, 
  "", 
  IFERROR(
    INDEX(
      'アイテム別限界値DB'!$K:$K, 
      MATCH(
        1, 
        ('アイテム別限界値DB'!$B:$B = AH$10) * 
        ('アイテム別限界値DB'!$F:$F = AH19) * 
        ('アイテム別限界値DB'!$H:$H = AI19), 
        0
      )
    ), 
    "再製作"
  )
)
</f>
        <v/>
      </c>
      <c r="AK19" s="218" t="str">
        <f t="array" ref="AK19">IF(
  AI19 = 0, 
  "", 
  IFERROR(
    INDEX(
      'アイテム別限界値DB'!$L:$L, 
      MATCH(
        1, 
        ('アイテム別限界値DB'!$B:$B = AH$10) * 
        ('アイテム別限界値DB'!$C:$C = AH19) * 
        ('アイテム別限界値DB'!$F:$F = AI19), 
        0
      )
    ), 
    ""
  )
)
</f>
        <v/>
      </c>
      <c r="AL19" s="11"/>
      <c r="AM19" s="238" t="s">
        <v>62</v>
      </c>
      <c r="AN19" s="232"/>
      <c r="AO19" s="231" t="str">
        <f t="array" ref="AO19">IF(
  AN19 = 0, 
  "", 
  IFERROR(
    INDEX(
      'アイテム別限界値DB'!$K:$K, 
      MATCH(
        1, 
        ('アイテム別限界値DB'!$B:$B = AM$10) * 
        ('アイテム別限界値DB'!$F:$F = AM19) * 
        ('アイテム別限界値DB'!$H:$H = AN19), 
        0
      )
    ), 
    "再製作"
  )
)
</f>
        <v/>
      </c>
      <c r="AP19" s="218" t="str">
        <f t="array" ref="AP19">IF(
  AN19 = 0, 
  "", 
  IFERROR(
    INDEX(
      'アイテム別限界値DB'!$L:$L, 
      MATCH(
        1, 
        ('アイテム別限界値DB'!$B:$B = AM$10) * 
        ('アイテム別限界値DB'!$C:$C = AM19) * 
        ('アイテム別限界値DB'!$F:$F = AN19), 
        0
      )
    ), 
    ""
  )
)
</f>
        <v/>
      </c>
      <c r="AQ19" s="11"/>
      <c r="AR19" s="238" t="s">
        <v>62</v>
      </c>
      <c r="AS19" s="232"/>
      <c r="AT19" s="231" t="str">
        <f t="array" ref="AT19">IF(
  AS19 = 0, 
  "", 
  IFERROR(
    INDEX(
      'アイテム別限界値DB'!$K:$K, 
      MATCH(
        1, 
        ('アイテム別限界値DB'!$B:$B = AR$10) * 
        ('アイテム別限界値DB'!$F:$F = AR19) * 
        ('アイテム別限界値DB'!$H:$H = AS19), 
        0
      )
    ), 
    "再製作"
  )
)
</f>
        <v/>
      </c>
      <c r="AU19" s="218" t="str">
        <f t="array" ref="AU19">IF(
  AS19 = 0, 
  "", 
  IFERROR(
    INDEX(
      'アイテム別限界値DB'!$L:$L, 
      MATCH(
        1, 
        ('アイテム別限界値DB'!$B:$B = AR$10) * 
        ('アイテム別限界値DB'!$C:$C = AR19) * 
        ('アイテム別限界値DB'!$F:$F = AS19), 
        0
      )
    ), 
    ""
  )
)
</f>
        <v/>
      </c>
      <c r="AV19" s="121"/>
      <c r="AW19" s="224" t="s">
        <v>62</v>
      </c>
      <c r="AX19" s="232"/>
      <c r="AY19" s="231" t="str">
        <f t="array" ref="AY19">IF(
  AX19 = 0, 
  "", 
  IFERROR(
    INDEX(
      'アイテム別限界値DB'!$K:$K, 
      MATCH(
        1, 
        ('アイテム別限界値DB'!$B:$B = AW$10) * 
        ('アイテム別限界値DB'!$F:$F = AW19) * 
        ('アイテム別限界値DB'!$H:$H = AX19), 
        0
      )
    ), 
    "再製作"
  )
)
</f>
        <v/>
      </c>
      <c r="AZ19" s="218" t="str">
        <f t="array" ref="AZ19">IF(
  AX19 = 0, 
  "", 
  IFERROR(
    INDEX(
      'アイテム別限界値DB'!$L:$L, 
      MATCH(
        1, 
        ('アイテム別限界値DB'!$B:$B = AW$10) * 
        ('アイテム別限界値DB'!$C:$C = AW19) * 
        ('アイテム別限界値DB'!$F:$F = AX19), 
        0
      )
    ), 
    ""
  )
)
</f>
        <v/>
      </c>
      <c r="BA19" s="121"/>
      <c r="BB19" s="224" t="s">
        <v>62</v>
      </c>
      <c r="BC19" s="232"/>
      <c r="BD19" s="231" t="str">
        <f t="array" ref="BD19">IF(
  BC19 = 0, 
  "", 
  IFERROR(
    INDEX(
      'アイテム別限界値DB'!$K:$K, 
      MATCH(
        1, 
        ('アイテム別限界値DB'!$B:$B = BB$10) * 
        ('アイテム別限界値DB'!$F:$F = BB19) * 
        ('アイテム別限界値DB'!$H:$H = BC19), 
        0
      )
    ), 
    "再製作"
  )
)
</f>
        <v/>
      </c>
      <c r="BE19" s="218" t="str">
        <f t="array" ref="BE19">IF(
  BC19 = 0, 
  "", 
  IFERROR(
    INDEX(
      'アイテム別限界値DB'!$L:$L, 
      MATCH(
        1, 
        ('アイテム別限界値DB'!$B:$B = BB$10) * 
        ('アイテム別限界値DB'!$C:$C = BB19) * 
        ('アイテム別限界値DB'!$F:$F = BC19), 
        0
      )
    ), 
    ""
  )
)
</f>
        <v/>
      </c>
      <c r="BF19" s="121"/>
      <c r="BG19" s="224" t="s">
        <v>62</v>
      </c>
      <c r="BH19" s="232"/>
      <c r="BI19" s="231" t="str">
        <f t="array" ref="BI19">IF(
  BH19 = 0, 
  "", 
  IFERROR(
    INDEX(
      'アイテム別限界値DB'!$K:$K, 
      MATCH(
        1, 
        ('アイテム別限界値DB'!$B:$B = BG$10) * 
        ('アイテム別限界値DB'!$F:$F = BG19) * 
        ('アイテム別限界値DB'!$H:$H = BH19), 
        0
      )
    ), 
    "再製作"
  )
)
</f>
        <v/>
      </c>
      <c r="BJ19" s="218" t="str">
        <f t="array" ref="BJ19">IF(
  BH19 = 0, 
  "", 
  IFERROR(
    INDEX(
      'アイテム別限界値DB'!$L:$L, 
      MATCH(
        1, 
        ('アイテム別限界値DB'!$B:$B = BG$10) * 
        ('アイテム別限界値DB'!$C:$C = BG19) * 
        ('アイテム別限界値DB'!$F:$F = BH19), 
        0
      )
    ), 
    ""
  )
)
</f>
        <v/>
      </c>
      <c r="BK19" s="121"/>
      <c r="BL19" s="224" t="s">
        <v>76</v>
      </c>
      <c r="BM19" s="232"/>
      <c r="BN19" s="231" t="str">
        <f t="array" ref="BN19">IF(
  BM19 = 0, 
  "", 
  IFERROR(
    INDEX(
      'アイテム別限界値DB'!$K:$K, 
      MATCH(
        1, 
        ('アイテム別限界値DB'!$B:$B = BL$10) * 
        ('アイテム別限界値DB'!$F:$F = BL19) * 
        ('アイテム別限界値DB'!$H:$H = BM19), 
        0
      )
    ), 
    "再製作"
  )
)
</f>
        <v/>
      </c>
      <c r="BO19" s="218" t="str">
        <f t="array" ref="BO19">IF(
  BM19 = 0, 
  "", 
  IFERROR(
    INDEX(
      'アイテム別限界値DB'!$L:$L, 
      MATCH(
        1, 
        ('アイテム別限界値DB'!$B:$B = BL$10) * 
        ('アイテム別限界値DB'!$C:$C = BL19) * 
        ('アイテム別限界値DB'!$F:$F = BM19), 
        0
      )
    ), 
    ""
  )
)
</f>
        <v/>
      </c>
      <c r="BP19" s="195"/>
    </row>
    <row r="20" ht="18.75" customHeight="1">
      <c r="A20" s="228" t="str">
        <f>IFERROR(__xludf.DUMMYFUNCTION("TEXTJOIN(CHAR(10),TRUE,FILTER(ARRAYFORMULA(IF(J$14:J72&lt;&gt;"""", I$14:I72 &amp;"" : ""&amp; J$14:J72 &amp;"" cm"","""")), I$14:I72 &lt;&gt;""""))"),"股下 / シングル : 2 cm
渡り巾 : -6 cm")</f>
        <v>股下 / シングル : 2 cm
渡り巾 : -6 cm</v>
      </c>
      <c r="B20" s="229"/>
      <c r="C20" s="224"/>
      <c r="D20" s="238" t="s">
        <v>77</v>
      </c>
      <c r="E20" s="230"/>
      <c r="F20" s="231" t="str">
        <f t="array" ref="F20">IF(
  E20 = 0, 
  "", 
  IFERROR(
    INDEX(
      'アイテム別限界値DB'!$K:$K, 
      MATCH(
        1, 
        ('アイテム別限界値DB'!$B:$B = D$10) * 
        ('アイテム別限界値DB'!$F:$F = D20) * 
        ('アイテム別限界値DB'!$H:$H = E20), 
        0
      )
    ), 
    "再製作"
  )
)
</f>
        <v/>
      </c>
      <c r="G20" s="218" t="str">
        <f t="array" ref="G20">IF(
  E20 = 0, 
  "", 
  IFERROR(
    INDEX(
      'アイテム別限界値DB'!$L:$L, 
      MATCH(
        1, 
        ('アイテム別限界値DB'!$B:$B = D$10) * 
        ('アイテム別限界値DB'!$C:$C = D20) * 
        ('アイテム別限界値DB'!$F:$F = E20), 
        0
      )
    ), 
    ""
  )
)
</f>
        <v/>
      </c>
      <c r="H20" s="12"/>
      <c r="I20" s="238" t="s">
        <v>78</v>
      </c>
      <c r="J20" s="230" t="s">
        <v>140</v>
      </c>
      <c r="K20" s="231" t="str">
        <f t="array" ref="K20">IF(
  J20 = 0, 
  "", 
  IFERROR(
    INDEX(
      'アイテム別限界値DB'!$K:$K, 
      MATCH(
        1, 
        ('アイテム別限界値DB'!$B:$B = I$10) * 
        ('アイテム別限界値DB'!$F:$F = I20) * 
        ('アイテム別限界値DB'!$H:$H = J20), 
        0
      )
    ), 
    "再製作"
  )
)
</f>
        <v>再製作</v>
      </c>
      <c r="L20" s="218" t="str">
        <f t="array" ref="L20">IF(
  J20 = 0, 
  "", 
  IFERROR(
    INDEX(
      'アイテム別限界値DB'!$L:$L, 
      MATCH(
        1, 
        ('アイテム別限界値DB'!$B:$B = I$10) * 
        ('アイテム別限界値DB'!$C:$C = I20) * 
        ('アイテム別限界値DB'!$F:$F = J20), 
        0
      )
    ), 
    ""
  )
)
</f>
        <v/>
      </c>
      <c r="M20" s="12"/>
      <c r="N20" s="238" t="s">
        <v>79</v>
      </c>
      <c r="O20" s="232"/>
      <c r="P20" s="231" t="str">
        <f t="array" ref="P20">IF(
  O20 = 0, 
  "", 
  IFERROR(
    INDEX(
      'アイテム別限界値DB'!$K:$K, 
      MATCH(
        1, 
        ('アイテム別限界値DB'!$B:$B = N$10) * 
        ('アイテム別限界値DB'!$F:$F = N20) * 
        ('アイテム別限界値DB'!$H:$H = O20), 
        0
      )
    ), 
    "再製作"
  )
)
</f>
        <v/>
      </c>
      <c r="Q20" s="218" t="str">
        <f t="array" ref="Q20">IF(
  O20 = 0, 
  "", 
  IFERROR(
    INDEX(
      'アイテム別限界値DB'!$L:$L, 
      MATCH(
        1, 
        ('アイテム別限界値DB'!$B:$B = N$10) * 
        ('アイテム別限界値DB'!$C:$C = N20) * 
        ('アイテム別限界値DB'!$F:$F = O20), 
        0
      )
    ), 
    ""
  )
)
</f>
        <v/>
      </c>
      <c r="R20" s="11"/>
      <c r="S20" s="238" t="s">
        <v>78</v>
      </c>
      <c r="T20" s="232"/>
      <c r="U20" s="231" t="str">
        <f t="array" ref="U20">IF(
  T20 = 0, 
  "", 
  IFERROR(
    INDEX(
      'アイテム別限界値DB'!$K:$K, 
      MATCH(
        1, 
        ('アイテム別限界値DB'!$B:$B = S$10) * 
        ('アイテム別限界値DB'!$F:$F = S20) * 
        ('アイテム別限界値DB'!$H:$H = T20), 
        0
      )
    ), 
    "再製作"
  )
)
</f>
        <v/>
      </c>
      <c r="V20" s="218" t="str">
        <f t="array" ref="V20">IF(
  T20 = 0, 
  "", 
  IFERROR(
    INDEX(
      'アイテム別限界値DB'!$L:$L, 
      MATCH(
        1, 
        ('アイテム別限界値DB'!$B:$B = S$10) * 
        ('アイテム別限界値DB'!$C:$C = S20) * 
        ('アイテム別限界値DB'!$F:$F = T20), 
        0
      )
    ), 
    ""
  )
)
</f>
        <v/>
      </c>
      <c r="W20" s="11"/>
      <c r="X20" s="238" t="s">
        <v>76</v>
      </c>
      <c r="Y20" s="230"/>
      <c r="Z20" s="231" t="str">
        <f t="array" ref="Z20">IF(
  Y20 = 0, 
  "", 
  IFERROR(
    INDEX(
      'アイテム別限界値DB'!$K:$K, 
      MATCH(
        1, 
        ('アイテム別限界値DB'!$B:$B = X$10) * 
        ('アイテム別限界値DB'!$F:$F = X20) * 
        ('アイテム別限界値DB'!$H:$H = Y20), 
        0
      )
    ), 
    "再製作"
  )
)
</f>
        <v/>
      </c>
      <c r="AA20" s="218" t="str">
        <f t="array" ref="AA20">IF(
  Y20 = 0, 
  "", 
  IFERROR(
    INDEX(
      'アイテム別限界値DB'!$L:$L, 
      MATCH(
        1, 
        ('アイテム別限界値DB'!$B:$B = X$10) * 
        ('アイテム別限界値DB'!$C:$C = X20) * 
        ('アイテム別限界値DB'!$F:$F = Y20), 
        0
      )
    ), 
    ""
  )
)
</f>
        <v/>
      </c>
      <c r="AB20" s="11"/>
      <c r="AC20" s="238" t="s">
        <v>80</v>
      </c>
      <c r="AD20" s="232"/>
      <c r="AE20" s="231" t="str">
        <f t="array" ref="AE20">IF(
  AD20 = 0, 
  "", 
  IFERROR(
    INDEX(
      'アイテム別限界値DB'!$K:$K, 
      MATCH(
        1, 
        ('アイテム別限界値DB'!$B:$B = AC$10) * 
        ('アイテム別限界値DB'!$F:$F = AC20) * 
        ('アイテム別限界値DB'!$H:$H = AD20), 
        0
      )
    ), 
    "再製作"
  )
)
</f>
        <v/>
      </c>
      <c r="AF20" s="218" t="str">
        <f t="array" ref="AF20">IF(
  AD20 = 0, 
  "", 
  IFERROR(
    INDEX(
      'アイテム別限界値DB'!$L:$L, 
      MATCH(
        1, 
        ('アイテム別限界値DB'!$B:$B = AC$10) * 
        ('アイテム別限界値DB'!$C:$C = AC20) * 
        ('アイテム別限界値DB'!$F:$F = AD20), 
        0
      )
    ), 
    ""
  )
)
</f>
        <v/>
      </c>
      <c r="AG20" s="11"/>
      <c r="AH20" s="224" t="s">
        <v>62</v>
      </c>
      <c r="AI20" s="232"/>
      <c r="AJ20" s="231" t="str">
        <f t="array" ref="AJ20">IF(
  AI20 = 0, 
  "", 
  IFERROR(
    INDEX(
      'アイテム別限界値DB'!$K:$K, 
      MATCH(
        1, 
        ('アイテム別限界値DB'!$B:$B = AH$10) * 
        ('アイテム別限界値DB'!$F:$F = AH20) * 
        ('アイテム別限界値DB'!$H:$H = AI20), 
        0
      )
    ), 
    "再製作"
  )
)
</f>
        <v/>
      </c>
      <c r="AK20" s="218" t="str">
        <f t="array" ref="AK20">IF(
  AI20 = 0, 
  "", 
  IFERROR(
    INDEX(
      'アイテム別限界値DB'!$L:$L, 
      MATCH(
        1, 
        ('アイテム別限界値DB'!$B:$B = AH$10) * 
        ('アイテム別限界値DB'!$C:$C = AH20) * 
        ('アイテム別限界値DB'!$F:$F = AI20), 
        0
      )
    ), 
    ""
  )
)
</f>
        <v/>
      </c>
      <c r="AL20" s="11"/>
      <c r="AM20" s="224" t="s">
        <v>70</v>
      </c>
      <c r="AN20" s="232"/>
      <c r="AO20" s="231" t="str">
        <f t="array" ref="AO20">IF(
  AN20 = 0, 
  "", 
  IFERROR(
    INDEX(
      'アイテム別限界値DB'!$K:$K, 
      MATCH(
        1, 
        ('アイテム別限界値DB'!$B:$B = AM$10) * 
        ('アイテム別限界値DB'!$F:$F = AM20) * 
        ('アイテム別限界値DB'!$H:$H = AN20), 
        0
      )
    ), 
    "再製作"
  )
)
</f>
        <v/>
      </c>
      <c r="AP20" s="218" t="str">
        <f t="array" ref="AP20">IF(
  AN20 = 0, 
  "", 
  IFERROR(
    INDEX(
      'アイテム別限界値DB'!$L:$L, 
      MATCH(
        1, 
        ('アイテム別限界値DB'!$B:$B = AM$10) * 
        ('アイテム別限界値DB'!$C:$C = AM20) * 
        ('アイテム別限界値DB'!$F:$F = AN20), 
        0
      )
    ), 
    ""
  )
)
</f>
        <v/>
      </c>
      <c r="AQ20" s="11"/>
      <c r="AR20" s="224" t="s">
        <v>70</v>
      </c>
      <c r="AS20" s="232"/>
      <c r="AT20" s="231" t="str">
        <f t="array" ref="AT20">IF(
  AS20 = 0, 
  "", 
  IFERROR(
    INDEX(
      'アイテム別限界値DB'!$K:$K, 
      MATCH(
        1, 
        ('アイテム別限界値DB'!$B:$B = AR$10) * 
        ('アイテム別限界値DB'!$F:$F = AR20) * 
        ('アイテム別限界値DB'!$H:$H = AS20), 
        0
      )
    ), 
    "再製作"
  )
)
</f>
        <v/>
      </c>
      <c r="AU20" s="218" t="str">
        <f t="array" ref="AU20">IF(
  AS20 = 0, 
  "", 
  IFERROR(
    INDEX(
      'アイテム別限界値DB'!$L:$L, 
      MATCH(
        1, 
        ('アイテム別限界値DB'!$B:$B = AR$10) * 
        ('アイテム別限界値DB'!$C:$C = AR20) * 
        ('アイテム別限界値DB'!$F:$F = AS20), 
        0
      )
    ), 
    ""
  )
)
</f>
        <v/>
      </c>
      <c r="AV20" s="121"/>
      <c r="AW20" s="224" t="s">
        <v>70</v>
      </c>
      <c r="AX20" s="232"/>
      <c r="AY20" s="231" t="str">
        <f t="array" ref="AY20">IF(
  AX20 = 0, 
  "", 
  IFERROR(
    INDEX(
      'アイテム別限界値DB'!$K:$K, 
      MATCH(
        1, 
        ('アイテム別限界値DB'!$B:$B = AW$10) * 
        ('アイテム別限界値DB'!$F:$F = AW20) * 
        ('アイテム別限界値DB'!$H:$H = AX20), 
        0
      )
    ), 
    "再製作"
  )
)
</f>
        <v/>
      </c>
      <c r="AZ20" s="218" t="str">
        <f t="array" ref="AZ20">IF(
  AX20 = 0, 
  "", 
  IFERROR(
    INDEX(
      'アイテム別限界値DB'!$L:$L, 
      MATCH(
        1, 
        ('アイテム別限界値DB'!$B:$B = AW$10) * 
        ('アイテム別限界値DB'!$C:$C = AW20) * 
        ('アイテム別限界値DB'!$F:$F = AX20), 
        0
      )
    ), 
    ""
  )
)
</f>
        <v/>
      </c>
      <c r="BA20" s="121"/>
      <c r="BB20" s="224" t="s">
        <v>70</v>
      </c>
      <c r="BC20" s="232"/>
      <c r="BD20" s="231" t="str">
        <f t="array" ref="BD20">IF(
  BC20 = 0, 
  "", 
  IFERROR(
    INDEX(
      'アイテム別限界値DB'!$K:$K, 
      MATCH(
        1, 
        ('アイテム別限界値DB'!$B:$B = BB$10) * 
        ('アイテム別限界値DB'!$F:$F = BB20) * 
        ('アイテム別限界値DB'!$H:$H = BC20), 
        0
      )
    ), 
    "再製作"
  )
)
</f>
        <v/>
      </c>
      <c r="BE20" s="218" t="str">
        <f t="array" ref="BE20">IF(
  BC20 = 0, 
  "", 
  IFERROR(
    INDEX(
      'アイテム別限界値DB'!$L:$L, 
      MATCH(
        1, 
        ('アイテム別限界値DB'!$B:$B = BB$10) * 
        ('アイテム別限界値DB'!$C:$C = BB20) * 
        ('アイテム別限界値DB'!$F:$F = BC20), 
        0
      )
    ), 
    ""
  )
)
</f>
        <v/>
      </c>
      <c r="BF20" s="121"/>
      <c r="BG20" s="224" t="s">
        <v>70</v>
      </c>
      <c r="BH20" s="232"/>
      <c r="BI20" s="231" t="str">
        <f t="array" ref="BI20">IF(
  BH20 = 0, 
  "", 
  IFERROR(
    INDEX(
      'アイテム別限界値DB'!$K:$K, 
      MATCH(
        1, 
        ('アイテム別限界値DB'!$B:$B = BG$10) * 
        ('アイテム別限界値DB'!$F:$F = BG20) * 
        ('アイテム別限界値DB'!$H:$H = BH20), 
        0
      )
    ), 
    "再製作"
  )
)
</f>
        <v/>
      </c>
      <c r="BJ20" s="218" t="str">
        <f t="array" ref="BJ20">IF(
  BH20 = 0, 
  "", 
  IFERROR(
    INDEX(
      'アイテム別限界値DB'!$L:$L, 
      MATCH(
        1, 
        ('アイテム別限界値DB'!$B:$B = BG$10) * 
        ('アイテム別限界値DB'!$C:$C = BG20) * 
        ('アイテム別限界値DB'!$F:$F = BH20), 
        0
      )
    ), 
    ""
  )
)
</f>
        <v/>
      </c>
      <c r="BK20" s="121"/>
      <c r="BL20" s="224" t="s">
        <v>80</v>
      </c>
      <c r="BM20" s="232"/>
      <c r="BN20" s="231" t="str">
        <f t="array" ref="BN20">IF(
  BM20 = 0, 
  "", 
  IFERROR(
    INDEX(
      'アイテム別限界値DB'!$K:$K, 
      MATCH(
        1, 
        ('アイテム別限界値DB'!$B:$B = BL$10) * 
        ('アイテム別限界値DB'!$F:$F = BL20) * 
        ('アイテム別限界値DB'!$H:$H = BM20), 
        0
      )
    ), 
    "再製作"
  )
)
</f>
        <v/>
      </c>
      <c r="BO20" s="218" t="str">
        <f t="array" ref="BO20">IF(
  BM20 = 0, 
  "", 
  IFERROR(
    INDEX(
      'アイテム別限界値DB'!$L:$L, 
      MATCH(
        1, 
        ('アイテム別限界値DB'!$B:$B = BL$10) * 
        ('アイテム別限界値DB'!$C:$C = BL20) * 
        ('アイテム別限界値DB'!$F:$F = BM20), 
        0
      )
    ), 
    ""
  )
)
</f>
        <v/>
      </c>
      <c r="BP20" s="195"/>
    </row>
    <row r="21" ht="18.75" customHeight="1">
      <c r="A21" s="236" t="str">
        <f>if($A$19&lt;&gt;"", "《仕上がり数値》","")</f>
        <v>《仕上がり数値》</v>
      </c>
      <c r="B21" s="229"/>
      <c r="C21" s="224"/>
      <c r="D21" s="238" t="s">
        <v>81</v>
      </c>
      <c r="E21" s="230"/>
      <c r="F21" s="231" t="str">
        <f t="array" ref="F21">IF(
  E21 = 0, 
  "", 
  IFERROR(
    INDEX(
      'アイテム別限界値DB'!$K:$K, 
      MATCH(
        1, 
        ('アイテム別限界値DB'!$B:$B = D$10) * 
        ('アイテム別限界値DB'!$F:$F = D21) * 
        ('アイテム別限界値DB'!$H:$H = E21), 
        0
      )
    ), 
    "再製作"
  )
)
</f>
        <v/>
      </c>
      <c r="G21" s="218" t="str">
        <f t="array" ref="G21">IF(
  E21 = 0, 
  "", 
  IFERROR(
    INDEX(
      'アイテム別限界値DB'!$L:$L, 
      MATCH(
        1, 
        ('アイテム別限界値DB'!$B:$B = D$10) * 
        ('アイテム別限界値DB'!$C:$C = D21) * 
        ('アイテム別限界値DB'!$F:$F = E21), 
        0
      )
    ), 
    ""
  )
)
</f>
        <v/>
      </c>
      <c r="H21" s="12"/>
      <c r="I21" s="238" t="s">
        <v>82</v>
      </c>
      <c r="J21" s="230"/>
      <c r="K21" s="231" t="str">
        <f t="array" ref="K21">IF(
  J21 = 0, 
  "", 
  IFERROR(
    INDEX(
      'アイテム別限界値DB'!$K:$K, 
      MATCH(
        1, 
        ('アイテム別限界値DB'!$B:$B = I$10) * 
        ('アイテム別限界値DB'!$F:$F = I21) * 
        ('アイテム別限界値DB'!$H:$H = J21), 
        0
      )
    ), 
    "再製作"
  )
)
</f>
        <v/>
      </c>
      <c r="L21" s="218" t="str">
        <f t="array" ref="L21">IF(
  J21 = 0, 
  "", 
  IFERROR(
    INDEX(
      'アイテム別限界値DB'!$L:$L, 
      MATCH(
        1, 
        ('アイテム別限界値DB'!$B:$B = I$10) * 
        ('アイテム別限界値DB'!$C:$C = I21) * 
        ('アイテム別限界値DB'!$F:$F = J21), 
        0
      )
    ), 
    ""
  )
)
</f>
        <v/>
      </c>
      <c r="M21" s="12"/>
      <c r="N21" s="224" t="s">
        <v>83</v>
      </c>
      <c r="O21" s="232"/>
      <c r="P21" s="231" t="str">
        <f t="array" ref="P21">IF(
  O21 = 0, 
  "", 
  IFERROR(
    INDEX(
      'アイテム別限界値DB'!$K:$K, 
      MATCH(
        1, 
        ('アイテム別限界値DB'!$B:$B = N$10) * 
        ('アイテム別限界値DB'!$F:$F = N21) * 
        ('アイテム別限界値DB'!$H:$H = O21), 
        0
      )
    ), 
    "再製作"
  )
)
</f>
        <v/>
      </c>
      <c r="Q21" s="121" t="str">
        <f t="array" ref="Q21">IF(
  O21 = 0, 
  "", 
  IFERROR(
    INDEX(
      'アイテム別限界値DB'!$L:$L, 
      MATCH(
        1, 
        ('アイテム別限界値DB'!$B:$B = N$10) * 
        ('アイテム別限界値DB'!$C:$C = N21) * 
        ('アイテム別限界値DB'!$F:$F = O21), 
        0
      )
    ), 
    ""
  )
)
</f>
        <v/>
      </c>
      <c r="R21" s="11"/>
      <c r="S21" s="238" t="s">
        <v>82</v>
      </c>
      <c r="T21" s="232"/>
      <c r="U21" s="231" t="str">
        <f t="array" ref="U21">IF(
  T21 = 0, 
  "", 
  IFERROR(
    INDEX(
      'アイテム別限界値DB'!$K:$K, 
      MATCH(
        1, 
        ('アイテム別限界値DB'!$B:$B = S$10) * 
        ('アイテム別限界値DB'!$F:$F = S21) * 
        ('アイテム別限界値DB'!$H:$H = T21), 
        0
      )
    ), 
    "再製作"
  )
)
</f>
        <v/>
      </c>
      <c r="V21" s="218" t="str">
        <f t="array" ref="V21">IF(
  T21 = 0, 
  "", 
  IFERROR(
    INDEX(
      'アイテム別限界値DB'!$L:$L, 
      MATCH(
        1, 
        ('アイテム別限界値DB'!$B:$B = S$10) * 
        ('アイテム別限界値DB'!$C:$C = S21) * 
        ('アイテム別限界値DB'!$F:$F = T21), 
        0
      )
    ), 
    ""
  )
)
</f>
        <v/>
      </c>
      <c r="W21" s="11"/>
      <c r="X21" s="238" t="s">
        <v>84</v>
      </c>
      <c r="Y21" s="230"/>
      <c r="Z21" s="231" t="str">
        <f t="array" ref="Z21">IF(
  Y21 = 0, 
  "", 
  IFERROR(
    INDEX(
      'アイテム別限界値DB'!$K:$K, 
      MATCH(
        1, 
        ('アイテム別限界値DB'!$B:$B = X$10) * 
        ('アイテム別限界値DB'!$F:$F = X21) * 
        ('アイテム別限界値DB'!$H:$H = Y21), 
        0
      )
    ), 
    "再製作"
  )
)
</f>
        <v/>
      </c>
      <c r="AA21" s="218" t="str">
        <f t="array" ref="AA21">IF(
  Y21 = 0, 
  "", 
  IFERROR(
    INDEX(
      'アイテム別限界値DB'!$L:$L, 
      MATCH(
        1, 
        ('アイテム別限界値DB'!$B:$B = X$10) * 
        ('アイテム別限界値DB'!$C:$C = X21) * 
        ('アイテム別限界値DB'!$F:$F = Y21), 
        0
      )
    ), 
    ""
  )
)
</f>
        <v/>
      </c>
      <c r="AB21" s="11"/>
      <c r="AC21" s="238" t="s">
        <v>85</v>
      </c>
      <c r="AD21" s="232"/>
      <c r="AE21" s="231" t="str">
        <f t="array" ref="AE21">IF(
  AD21 = 0, 
  "", 
  IFERROR(
    INDEX(
      'アイテム別限界値DB'!$K:$K, 
      MATCH(
        1, 
        ('アイテム別限界値DB'!$B:$B = AC$10) * 
        ('アイテム別限界値DB'!$F:$F = AC21) * 
        ('アイテム別限界値DB'!$H:$H = AD21), 
        0
      )
    ), 
    "再製作"
  )
)
</f>
        <v/>
      </c>
      <c r="AF21" s="218" t="str">
        <f t="array" ref="AF21">IF(
  AD21 = 0, 
  "", 
  IFERROR(
    INDEX(
      'アイテム別限界値DB'!$L:$L, 
      MATCH(
        1, 
        ('アイテム別限界値DB'!$B:$B = AC$10) * 
        ('アイテム別限界値DB'!$C:$C = AC21) * 
        ('アイテム別限界値DB'!$F:$F = AD21), 
        0
      )
    ), 
    ""
  )
)
</f>
        <v/>
      </c>
      <c r="AG21" s="11"/>
      <c r="AH21" s="224"/>
      <c r="AI21" s="225"/>
      <c r="AJ21" s="220" t="str">
        <f t="array" ref="AJ21">IF(
  AI21 = 0, 
  "", 
  IFERROR(
    INDEX(
      'アイテム別限界値DB'!$I:$I, 
      MATCH(
        1, 
        ('アイテム別限界値DB'!$B:$B = AH$10) * 
        ('アイテム別限界値DB'!$C:$C = AH21) * 
        ('アイテム別限界値DB'!$F:$F = AI21), 
        0
      )
    ), 
    "再製作"
  )
)
</f>
        <v/>
      </c>
      <c r="AK21" s="121" t="str">
        <f t="array" ref="AK21">IF(
  AI21 = 0, 
  "", 
  IFERROR(
    INDEX(
      'アイテム別限界値DB'!$L:$L, 
      MATCH(
        1, 
        ('アイテム別限界値DB'!$B:$B = AH$10) * 
        ('アイテム別限界値DB'!$C:$C = AH21) * 
        ('アイテム別限界値DB'!$F:$F = AI21), 
        0
      )
    ), 
    ""
  )
)
</f>
        <v/>
      </c>
      <c r="AL21" s="11"/>
      <c r="AM21" s="224"/>
      <c r="AN21" s="225"/>
      <c r="AO21" s="220" t="str">
        <f t="array" ref="AO21">IF(
  AN21 = 0, 
  "", 
  IFERROR(
    INDEX(
      'アイテム別限界値DB'!$I:$I, 
      MATCH(
        1, 
        ('アイテム別限界値DB'!$B:$B = AM$10) * 
        ('アイテム別限界値DB'!$C:$C = AM21) * 
        ('アイテム別限界値DB'!$F:$F = AN21), 
        0
      )
    ), 
    "再製作"
  )
)
</f>
        <v/>
      </c>
      <c r="AP21" s="121" t="str">
        <f t="array" ref="AP21">IF(
  AN21 = 0, 
  "", 
  IFERROR(
    INDEX(
      'アイテム別限界値DB'!$L:$L, 
      MATCH(
        1, 
        ('アイテム別限界値DB'!$B:$B = AM$10) * 
        ('アイテム別限界値DB'!$C:$C = AM21) * 
        ('アイテム別限界値DB'!$F:$F = AN21), 
        0
      )
    ), 
    ""
  )
)
</f>
        <v/>
      </c>
      <c r="AQ21" s="11"/>
      <c r="AR21" s="224"/>
      <c r="AS21" s="225"/>
      <c r="AT21" s="220" t="str">
        <f t="array" ref="AT21">IF(
  AS21 = 0, 
  "", 
  IFERROR(
    INDEX(
      'アイテム別限界値DB'!$I:$I, 
      MATCH(
        1, 
        ('アイテム別限界値DB'!$B:$B = AR$10) * 
        ('アイテム別限界値DB'!$C:$C = AR21) * 
        ('アイテム別限界値DB'!$F:$F = AS21), 
        0
      )
    ), 
    "再製作"
  )
)
</f>
        <v/>
      </c>
      <c r="AU21" s="121" t="str">
        <f t="array" ref="AU21">IF(
  AS21 = 0, 
  "", 
  IFERROR(
    INDEX(
      'アイテム別限界値DB'!$L:$L, 
      MATCH(
        1, 
        ('アイテム別限界値DB'!$B:$B = AR$10) * 
        ('アイテム別限界値DB'!$C:$C = AR21) * 
        ('アイテム別限界値DB'!$F:$F = AS21), 
        0
      )
    ), 
    ""
  )
)
</f>
        <v/>
      </c>
      <c r="AV21" s="121"/>
      <c r="AW21" s="224"/>
      <c r="AX21" s="225"/>
      <c r="AY21" s="220" t="str">
        <f t="array" ref="AY21">IF(
  AX21 = 0, 
  "", 
  IFERROR(
    INDEX(
      'アイテム別限界値DB'!$I:$I, 
      MATCH(
        1, 
        ('アイテム別限界値DB'!$B:$B = AW$10) * 
        ('アイテム別限界値DB'!$C:$C = AW21) * 
        ('アイテム別限界値DB'!$F:$F = AX21), 
        0
      )
    ), 
    "再製作"
  )
)
</f>
        <v/>
      </c>
      <c r="AZ21" s="121" t="str">
        <f t="array" ref="AZ21">IF(
  AX21 = 0, 
  "", 
  IFERROR(
    INDEX(
      'アイテム別限界値DB'!$L:$L, 
      MATCH(
        1, 
        ('アイテム別限界値DB'!$B:$B = AW$10) * 
        ('アイテム別限界値DB'!$C:$C = AW21) * 
        ('アイテム別限界値DB'!$F:$F = AX21), 
        0
      )
    ), 
    ""
  )
)
</f>
        <v/>
      </c>
      <c r="BA21" s="121"/>
      <c r="BB21" s="224"/>
      <c r="BC21" s="225"/>
      <c r="BD21" s="220" t="str">
        <f t="array" ref="BD21">IF(
  BC21 = 0, 
  "", 
  IFERROR(
    INDEX(
      'アイテム別限界値DB'!$I:$I, 
      MATCH(
        1, 
        ('アイテム別限界値DB'!$B:$B = BB$10) * 
        ('アイテム別限界値DB'!$C:$C = BB21) * 
        ('アイテム別限界値DB'!$F:$F = BC21), 
        0
      )
    ), 
    "再製作"
  )
)
</f>
        <v/>
      </c>
      <c r="BE21" s="121" t="str">
        <f t="array" ref="BE21">IF(
  BC21 = 0, 
  "", 
  IFERROR(
    INDEX(
      'アイテム別限界値DB'!$L:$L, 
      MATCH(
        1, 
        ('アイテム別限界値DB'!$B:$B = BB$10) * 
        ('アイテム別限界値DB'!$C:$C = BB21) * 
        ('アイテム別限界値DB'!$F:$F = BC21), 
        0
      )
    ), 
    ""
  )
)
</f>
        <v/>
      </c>
      <c r="BF21" s="121"/>
      <c r="BG21" s="224"/>
      <c r="BH21" s="225"/>
      <c r="BI21" s="220" t="str">
        <f t="array" ref="BI21">IF(
  BH21 = 0, 
  "", 
  IFERROR(
    INDEX(
      'アイテム別限界値DB'!$I:$I, 
      MATCH(
        1, 
        ('アイテム別限界値DB'!$B:$B = BG$10) * 
        ('アイテム別限界値DB'!$C:$C = BG21) * 
        ('アイテム別限界値DB'!$F:$F = BH21), 
        0
      )
    ), 
    "再製作"
  )
)
</f>
        <v/>
      </c>
      <c r="BJ21" s="121" t="str">
        <f t="array" ref="BJ21">IF(
  BH21 = 0, 
  "", 
  IFERROR(
    INDEX(
      'アイテム別限界値DB'!$L:$L, 
      MATCH(
        1, 
        ('アイテム別限界値DB'!$B:$B = BG$10) * 
        ('アイテム別限界値DB'!$C:$C = BG21) * 
        ('アイテム別限界値DB'!$F:$F = BH21), 
        0
      )
    ), 
    ""
  )
)
</f>
        <v/>
      </c>
      <c r="BK21" s="121"/>
      <c r="BL21" s="224" t="s">
        <v>85</v>
      </c>
      <c r="BM21" s="232"/>
      <c r="BN21" s="231" t="str">
        <f t="array" ref="BN21">IF(
  BM21 = 0, 
  "", 
  IFERROR(
    INDEX(
      'アイテム別限界値DB'!$K:$K, 
      MATCH(
        1, 
        ('アイテム別限界値DB'!$B:$B = BL$10) * 
        ('アイテム別限界値DB'!$F:$F = BL21) * 
        ('アイテム別限界値DB'!$H:$H = BM21), 
        0
      )
    ), 
    "再製作"
  )
)
</f>
        <v/>
      </c>
      <c r="BO21" s="218" t="str">
        <f t="array" ref="BO21">IF(
  BM21 = 0, 
  "", 
  IFERROR(
    INDEX(
      'アイテム別限界値DB'!$L:$L, 
      MATCH(
        1, 
        ('アイテム別限界値DB'!$B:$B = BL$10) * 
        ('アイテム別限界値DB'!$C:$C = BL21) * 
        ('アイテム別限界値DB'!$F:$F = BM21), 
        0
      )
    ), 
    ""
  )
)
</f>
        <v/>
      </c>
      <c r="BP21" s="195"/>
    </row>
    <row r="22" ht="18.75" customHeight="1">
      <c r="A22" s="228" t="str">
        <f>IFERROR(__xludf.DUMMYFUNCTION("TEXTJOIN(CHAR(10),TRUE,FILTER(ARRAYFORMULA(IF(J$14:J72&lt;&gt;"""", I$14:I72 &amp;"" :  cm"","""")), I$14:I72 &lt;&gt;""""))"),"股下 / シングル :  cm
渡り巾 :  cm")</f>
        <v>股下 / シングル :  cm
渡り巾 :  cm</v>
      </c>
      <c r="B22" s="224"/>
      <c r="C22" s="224"/>
      <c r="D22" s="238" t="s">
        <v>86</v>
      </c>
      <c r="E22" s="230" t="s">
        <v>59</v>
      </c>
      <c r="F22" s="231">
        <f t="array" ref="F22">IF(
  E22 = 0, 
  "", 
  IFERROR(
    INDEX(
      'アイテム別限界値DB'!$K:$K, 
      MATCH(
        1, 
        ('アイテム別限界値DB'!$B:$B = D$10) * 
        ('アイテム別限界値DB'!$F:$F = D22) * 
        ('アイテム別限界値DB'!$H:$H = E22), 
        0
      )
    ), 
    "再製作"
  )
)
</f>
        <v>46000</v>
      </c>
      <c r="G22" s="218" t="str">
        <f t="array" ref="G22">IF(
  E22 = 0, 
  "", 
  IFERROR(
    INDEX(
      'アイテム別限界値DB'!$L:$L, 
      MATCH(
        1, 
        ('アイテム別限界値DB'!$B:$B = D$10) * 
        ('アイテム別限界値DB'!$C:$C = D22) * 
        ('アイテム別限界値DB'!$F:$F = E22), 
        0
      )
    ), 
    ""
  )
)
</f>
        <v/>
      </c>
      <c r="H22" s="12"/>
      <c r="I22" s="238" t="s">
        <v>87</v>
      </c>
      <c r="J22" s="230"/>
      <c r="K22" s="231" t="str">
        <f t="array" ref="K22">IF(
  J22 = 0, 
  "", 
  IFERROR(
    INDEX(
      'アイテム別限界値DB'!$K:$K, 
      MATCH(
        1, 
        ('アイテム別限界値DB'!$B:$B = I$10) * 
        ('アイテム別限界値DB'!$F:$F = I22) * 
        ('アイテム別限界値DB'!$H:$H = J22), 
        0
      )
    ), 
    "再製作"
  )
)
</f>
        <v/>
      </c>
      <c r="L22" s="218" t="str">
        <f t="array" ref="L22">IF(
  J22 = 0, 
  "", 
  IFERROR(
    INDEX(
      'アイテム別限界値DB'!$L:$L, 
      MATCH(
        1, 
        ('アイテム別限界値DB'!$B:$B = I$10) * 
        ('アイテム別限界値DB'!$C:$C = I22) * 
        ('アイテム別限界値DB'!$F:$F = J22), 
        0
      )
    ), 
    ""
  )
)
</f>
        <v/>
      </c>
      <c r="M22" s="11"/>
      <c r="N22" s="224"/>
      <c r="O22" s="220"/>
      <c r="P22" s="220" t="str">
        <f t="array" ref="P22">IF(
  O22 = 0, 
  "", 
  IFERROR(
    INDEX(
      'アイテム別限界値DB'!$I:$I, 
      MATCH(
        1, 
        ('アイテム別限界値DB'!$B:$B = N$10) * 
        ('アイテム別限界値DB'!$C:$C = N22) * 
        ('アイテム別限界値DB'!$F:$F = O22), 
        0
      )
    ), 
    "再製作"
  )
)
</f>
        <v/>
      </c>
      <c r="Q22" s="121" t="str">
        <f t="array" ref="Q22">IF(
  O22 = 0, 
  "", 
  IFERROR(
    INDEX(
      'アイテム別限界値DB'!$L:$L, 
      MATCH(
        1, 
        ('アイテム別限界値DB'!$B:$B = N$10) * 
        ('アイテム別限界値DB'!$C:$C = N22) * 
        ('アイテム別限界値DB'!$F:$F = O22), 
        0
      )
    ), 
    ""
  )
)
</f>
        <v/>
      </c>
      <c r="R22" s="11"/>
      <c r="S22" s="238" t="s">
        <v>87</v>
      </c>
      <c r="T22" s="232"/>
      <c r="U22" s="231" t="str">
        <f t="array" ref="U22">IF(
  T22 = 0, 
  "", 
  IFERROR(
    INDEX(
      'アイテム別限界値DB'!$K:$K, 
      MATCH(
        1, 
        ('アイテム別限界値DB'!$B:$B = S$10) * 
        ('アイテム別限界値DB'!$F:$F = S22) * 
        ('アイテム別限界値DB'!$H:$H = T22), 
        0
      )
    ), 
    "再製作"
  )
)
</f>
        <v/>
      </c>
      <c r="V22" s="218" t="str">
        <f t="array" ref="V22">IF(
  T22 = 0, 
  "", 
  IFERROR(
    INDEX(
      'アイテム別限界値DB'!$L:$L, 
      MATCH(
        1, 
        ('アイテム別限界値DB'!$B:$B = S$10) * 
        ('アイテム別限界値DB'!$C:$C = S22) * 
        ('アイテム別限界値DB'!$F:$F = T22), 
        0
      )
    ), 
    ""
  )
)
</f>
        <v/>
      </c>
      <c r="W22" s="11"/>
      <c r="X22" s="238" t="s">
        <v>88</v>
      </c>
      <c r="Y22" s="232"/>
      <c r="Z22" s="231" t="str">
        <f t="array" ref="Z22">IF(
  Y22 = 0, 
  "", 
  IFERROR(
    INDEX(
      'アイテム別限界値DB'!$K:$K, 
      MATCH(
        1, 
        ('アイテム別限界値DB'!$B:$B = X$10) * 
        ('アイテム別限界値DB'!$F:$F = X22) * 
        ('アイテム別限界値DB'!$H:$H = Y22), 
        0
      )
    ), 
    "再製作"
  )
)
</f>
        <v/>
      </c>
      <c r="AA22" s="218" t="str">
        <f t="array" ref="AA22">IF(
  Y22 = 0, 
  "", 
  IFERROR(
    INDEX(
      'アイテム別限界値DB'!$L:$L, 
      MATCH(
        1, 
        ('アイテム別限界値DB'!$B:$B = X$10) * 
        ('アイテム別限界値DB'!$C:$C = X22) * 
        ('アイテム別限界値DB'!$F:$F = Y22), 
        0
      )
    ), 
    ""
  )
)
</f>
        <v/>
      </c>
      <c r="AB22" s="11"/>
      <c r="AC22" s="238" t="s">
        <v>89</v>
      </c>
      <c r="AD22" s="232"/>
      <c r="AE22" s="231" t="str">
        <f t="array" ref="AE22">IF(
  AD22 = 0, 
  "", 
  IFERROR(
    INDEX(
      'アイテム別限界値DB'!$K:$K, 
      MATCH(
        1, 
        ('アイテム別限界値DB'!$B:$B = AC$10) * 
        ('アイテム別限界値DB'!$F:$F = AC22) * 
        ('アイテム別限界値DB'!$H:$H = AD22), 
        0
      )
    ), 
    "再製作"
  )
)
</f>
        <v/>
      </c>
      <c r="AF22" s="218" t="str">
        <f t="array" ref="AF22">IF(
  AD22 = 0, 
  "", 
  IFERROR(
    INDEX(
      'アイテム別限界値DB'!$L:$L, 
      MATCH(
        1, 
        ('アイテム別限界値DB'!$B:$B = AC$10) * 
        ('アイテム別限界値DB'!$C:$C = AC22) * 
        ('アイテム別限界値DB'!$F:$F = AD22), 
        0
      )
    ), 
    ""
  )
)
</f>
        <v/>
      </c>
      <c r="AG22" s="11"/>
      <c r="AH22" s="224"/>
      <c r="AI22" s="225"/>
      <c r="AJ22" s="220" t="str">
        <f t="array" ref="AJ22">IF(
  AI22 = 0, 
  "", 
  IFERROR(
    INDEX(
      'アイテム別限界値DB'!$I:$I, 
      MATCH(
        1, 
        ('アイテム別限界値DB'!$B:$B = AH$10) * 
        ('アイテム別限界値DB'!$C:$C = AH22) * 
        ('アイテム別限界値DB'!$F:$F = AI22), 
        0
      )
    ), 
    "再製作"
  )
)
</f>
        <v/>
      </c>
      <c r="AK22" s="121" t="str">
        <f t="array" ref="AK22">IF(
  AI22 = 0, 
  "", 
  IFERROR(
    INDEX(
      'アイテム別限界値DB'!$L:$L, 
      MATCH(
        1, 
        ('アイテム別限界値DB'!$B:$B = AH$10) * 
        ('アイテム別限界値DB'!$C:$C = AH22) * 
        ('アイテム別限界値DB'!$F:$F = AI22), 
        0
      )
    ), 
    ""
  )
)
</f>
        <v/>
      </c>
      <c r="AL22" s="11"/>
      <c r="AM22" s="224"/>
      <c r="AN22" s="225"/>
      <c r="AO22" s="220" t="str">
        <f t="array" ref="AO22">IF(
  AN22 = 0, 
  "", 
  IFERROR(
    INDEX(
      'アイテム別限界値DB'!$I:$I, 
      MATCH(
        1, 
        ('アイテム別限界値DB'!$B:$B = AM$10) * 
        ('アイテム別限界値DB'!$C:$C = AM22) * 
        ('アイテム別限界値DB'!$F:$F = AN22), 
        0
      )
    ), 
    "再製作"
  )
)
</f>
        <v/>
      </c>
      <c r="AP22" s="121" t="str">
        <f t="array" ref="AP22">IF(
  AN22 = 0, 
  "", 
  IFERROR(
    INDEX(
      'アイテム別限界値DB'!$L:$L, 
      MATCH(
        1, 
        ('アイテム別限界値DB'!$B:$B = AM$10) * 
        ('アイテム別限界値DB'!$C:$C = AM22) * 
        ('アイテム別限界値DB'!$F:$F = AN22), 
        0
      )
    ), 
    ""
  )
)
</f>
        <v/>
      </c>
      <c r="AQ22" s="11"/>
      <c r="AR22" s="224"/>
      <c r="AS22" s="225"/>
      <c r="AT22" s="220" t="str">
        <f t="array" ref="AT22">IF(
  AS22 = 0, 
  "", 
  IFERROR(
    INDEX(
      'アイテム別限界値DB'!$I:$I, 
      MATCH(
        1, 
        ('アイテム別限界値DB'!$B:$B = AR$10) * 
        ('アイテム別限界値DB'!$C:$C = AR22) * 
        ('アイテム別限界値DB'!$F:$F = AS22), 
        0
      )
    ), 
    "再製作"
  )
)
</f>
        <v/>
      </c>
      <c r="AU22" s="121" t="str">
        <f t="array" ref="AU22">IF(
  AS22 = 0, 
  "", 
  IFERROR(
    INDEX(
      'アイテム別限界値DB'!$L:$L, 
      MATCH(
        1, 
        ('アイテム別限界値DB'!$B:$B = AR$10) * 
        ('アイテム別限界値DB'!$C:$C = AR22) * 
        ('アイテム別限界値DB'!$F:$F = AS22), 
        0
      )
    ), 
    ""
  )
)
</f>
        <v/>
      </c>
      <c r="AV22" s="121"/>
      <c r="AW22" s="224"/>
      <c r="AX22" s="225"/>
      <c r="AY22" s="220" t="str">
        <f t="array" ref="AY22">IF(
  AX22 = 0, 
  "", 
  IFERROR(
    INDEX(
      'アイテム別限界値DB'!$I:$I, 
      MATCH(
        1, 
        ('アイテム別限界値DB'!$B:$B = AW$10) * 
        ('アイテム別限界値DB'!$C:$C = AW22) * 
        ('アイテム別限界値DB'!$F:$F = AX22), 
        0
      )
    ), 
    "再製作"
  )
)
</f>
        <v/>
      </c>
      <c r="AZ22" s="121" t="str">
        <f t="array" ref="AZ22">IF(
  AX22 = 0, 
  "", 
  IFERROR(
    INDEX(
      'アイテム別限界値DB'!$L:$L, 
      MATCH(
        1, 
        ('アイテム別限界値DB'!$B:$B = AW$10) * 
        ('アイテム別限界値DB'!$C:$C = AW22) * 
        ('アイテム別限界値DB'!$F:$F = AX22), 
        0
      )
    ), 
    ""
  )
)
</f>
        <v/>
      </c>
      <c r="BA22" s="121"/>
      <c r="BB22" s="224"/>
      <c r="BC22" s="225"/>
      <c r="BD22" s="220" t="str">
        <f t="array" ref="BD22">IF(
  BC22 = 0, 
  "", 
  IFERROR(
    INDEX(
      'アイテム別限界値DB'!$I:$I, 
      MATCH(
        1, 
        ('アイテム別限界値DB'!$B:$B = BB$10) * 
        ('アイテム別限界値DB'!$C:$C = BB22) * 
        ('アイテム別限界値DB'!$F:$F = BC22), 
        0
      )
    ), 
    "再製作"
  )
)
</f>
        <v/>
      </c>
      <c r="BE22" s="121" t="str">
        <f t="array" ref="BE22">IF(
  BC22 = 0, 
  "", 
  IFERROR(
    INDEX(
      'アイテム別限界値DB'!$L:$L, 
      MATCH(
        1, 
        ('アイテム別限界値DB'!$B:$B = BB$10) * 
        ('アイテム別限界値DB'!$C:$C = BB22) * 
        ('アイテム別限界値DB'!$F:$F = BC22), 
        0
      )
    ), 
    ""
  )
)
</f>
        <v/>
      </c>
      <c r="BF22" s="121"/>
      <c r="BG22" s="224"/>
      <c r="BH22" s="225"/>
      <c r="BI22" s="220" t="str">
        <f t="array" ref="BI22">IF(
  BH22 = 0, 
  "", 
  IFERROR(
    INDEX(
      'アイテム別限界値DB'!$I:$I, 
      MATCH(
        1, 
        ('アイテム別限界値DB'!$B:$B = BG$10) * 
        ('アイテム別限界値DB'!$C:$C = BG22) * 
        ('アイテム別限界値DB'!$F:$F = BH22), 
        0
      )
    ), 
    "再製作"
  )
)
</f>
        <v/>
      </c>
      <c r="BJ22" s="121" t="str">
        <f t="array" ref="BJ22">IF(
  BH22 = 0, 
  "", 
  IFERROR(
    INDEX(
      'アイテム別限界値DB'!$L:$L, 
      MATCH(
        1, 
        ('アイテム別限界値DB'!$B:$B = BG$10) * 
        ('アイテム別限界値DB'!$C:$C = BG22) * 
        ('アイテム別限界値DB'!$F:$F = BH22), 
        0
      )
    ), 
    ""
  )
)
</f>
        <v/>
      </c>
      <c r="BK22" s="121"/>
      <c r="BL22" s="224" t="s">
        <v>90</v>
      </c>
      <c r="BM22" s="232"/>
      <c r="BN22" s="231" t="str">
        <f t="array" ref="BN22">IF(
  BM22 = 0, 
  "", 
  IFERROR(
    INDEX(
      'アイテム別限界値DB'!$K:$K, 
      MATCH(
        1, 
        ('アイテム別限界値DB'!$B:$B = BL$10) * 
        ('アイテム別限界値DB'!$F:$F = BL22) * 
        ('アイテム別限界値DB'!$H:$H = BM22), 
        0
      )
    ), 
    "再製作"
  )
)
</f>
        <v/>
      </c>
      <c r="BO22" s="218" t="str">
        <f t="array" ref="BO22">IF(
  BM22 = 0, 
  "", 
  IFERROR(
    INDEX(
      'アイテム別限界値DB'!$L:$L, 
      MATCH(
        1, 
        ('アイテム別限界値DB'!$B:$B = BL$10) * 
        ('アイテム別限界値DB'!$C:$C = BL22) * 
        ('アイテム別限界値DB'!$F:$F = BM22), 
        0
      )
    ), 
    ""
  )
)
</f>
        <v/>
      </c>
      <c r="BP22" s="195"/>
    </row>
    <row r="23" ht="18.75" customHeight="1">
      <c r="A23" s="237" t="s">
        <v>91</v>
      </c>
      <c r="B23" s="229"/>
      <c r="C23" s="224"/>
      <c r="D23" s="238" t="s">
        <v>92</v>
      </c>
      <c r="E23" s="232"/>
      <c r="F23" s="231" t="str">
        <f t="array" ref="F23">IF(
  E23 = 0, 
  "", 
  IFERROR(
    INDEX(
      'アイテム別限界値DB'!$K:$K, 
      MATCH(
        1, 
        ('アイテム別限界値DB'!$B:$B = D$10) * 
        ('アイテム別限界値DB'!$F:$F = D23) * 
        ('アイテム別限界値DB'!$H:$H = E23), 
        0
      )
    ), 
    "再製作"
  )
)
</f>
        <v/>
      </c>
      <c r="G23" s="218" t="str">
        <f t="array" ref="G23">IF(
  E23 = 0, 
  "", 
  IFERROR(
    INDEX(
      'アイテム別限界値DB'!$L:$L, 
      MATCH(
        1, 
        ('アイテム別限界値DB'!$B:$B = D$10) * 
        ('アイテム別限界値DB'!$C:$C = D23) * 
        ('アイテム別限界値DB'!$F:$F = E23), 
        0
      )
    ), 
    ""
  )
)
</f>
        <v/>
      </c>
      <c r="H23" s="12"/>
      <c r="I23" s="238" t="s">
        <v>93</v>
      </c>
      <c r="J23" s="230"/>
      <c r="K23" s="231" t="str">
        <f t="array" ref="K23">IF(
  J23 = 0, 
  "", 
  IFERROR(
    INDEX(
      'アイテム別限界値DB'!$K:$K, 
      MATCH(
        1, 
        ('アイテム別限界値DB'!$B:$B = I$10) * 
        ('アイテム別限界値DB'!$F:$F = I23) * 
        ('アイテム別限界値DB'!$H:$H = J23), 
        0
      )
    ), 
    "再製作"
  )
)
</f>
        <v/>
      </c>
      <c r="L23" s="218" t="str">
        <f t="array" ref="L23">IF(
  J23 = 0, 
  "", 
  IFERROR(
    INDEX(
      'アイテム別限界値DB'!$L:$L, 
      MATCH(
        1, 
        ('アイテム別限界値DB'!$B:$B = I$10) * 
        ('アイテム別限界値DB'!$C:$C = I23) * 
        ('アイテム別限界値DB'!$F:$F = J23), 
        0
      )
    ), 
    ""
  )
)
</f>
        <v/>
      </c>
      <c r="M23" s="11"/>
      <c r="N23" s="224"/>
      <c r="O23" s="220"/>
      <c r="P23" s="220" t="str">
        <f t="array" ref="P23">IF(
  O23 = 0, 
  "", 
  IFERROR(
    INDEX(
      'アイテム別限界値DB'!$I:$I, 
      MATCH(
        1, 
        ('アイテム別限界値DB'!$B:$B = N$10) * 
        ('アイテム別限界値DB'!$C:$C = N23) * 
        ('アイテム別限界値DB'!$F:$F = O23), 
        0
      )
    ), 
    "再製作"
  )
)
</f>
        <v/>
      </c>
      <c r="Q23" s="121" t="str">
        <f t="array" ref="Q23">IF(
  O23 = 0, 
  "", 
  IFERROR(
    INDEX(
      'アイテム別限界値DB'!$L:$L, 
      MATCH(
        1, 
        ('アイテム別限界値DB'!$B:$B = N$10) * 
        ('アイテム別限界値DB'!$C:$C = N23) * 
        ('アイテム別限界値DB'!$F:$F = O23), 
        0
      )
    ), 
    ""
  )
)
</f>
        <v/>
      </c>
      <c r="R23" s="11"/>
      <c r="S23" s="238" t="s">
        <v>93</v>
      </c>
      <c r="T23" s="232"/>
      <c r="U23" s="231" t="str">
        <f t="array" ref="U23">IF(
  T23 = 0, 
  "", 
  IFERROR(
    INDEX(
      'アイテム別限界値DB'!$K:$K, 
      MATCH(
        1, 
        ('アイテム別限界値DB'!$B:$B = S$10) * 
        ('アイテム別限界値DB'!$F:$F = S23) * 
        ('アイテム別限界値DB'!$H:$H = T23), 
        0
      )
    ), 
    "再製作"
  )
)
</f>
        <v/>
      </c>
      <c r="V23" s="218" t="str">
        <f t="array" ref="V23">IF(
  T23 = 0, 
  "", 
  IFERROR(
    INDEX(
      'アイテム別限界値DB'!$L:$L, 
      MATCH(
        1, 
        ('アイテム別限界値DB'!$B:$B = S$10) * 
        ('アイテム別限界値DB'!$C:$C = S23) * 
        ('アイテム別限界値DB'!$F:$F = T23), 
        0
      )
    ), 
    ""
  )
)
</f>
        <v/>
      </c>
      <c r="W23" s="11"/>
      <c r="X23" s="238" t="s">
        <v>89</v>
      </c>
      <c r="Y23" s="232"/>
      <c r="Z23" s="231" t="str">
        <f t="array" ref="Z23">IF(
  Y23 = 0, 
  "", 
  IFERROR(
    INDEX(
      'アイテム別限界値DB'!$K:$K, 
      MATCH(
        1, 
        ('アイテム別限界値DB'!$B:$B = X$10) * 
        ('アイテム別限界値DB'!$F:$F = X23) * 
        ('アイテム別限界値DB'!$H:$H = Y23), 
        0
      )
    ), 
    "再製作"
  )
)
</f>
        <v/>
      </c>
      <c r="AA23" s="218" t="str">
        <f t="array" ref="AA23">IF(
  Y23 = 0, 
  "", 
  IFERROR(
    INDEX(
      'アイテム別限界値DB'!$L:$L, 
      MATCH(
        1, 
        ('アイテム別限界値DB'!$B:$B = X$10) * 
        ('アイテム別限界値DB'!$C:$C = X23) * 
        ('アイテム別限界値DB'!$F:$F = Y23), 
        0
      )
    ), 
    ""
  )
)
</f>
        <v/>
      </c>
      <c r="AB23" s="11"/>
      <c r="AC23" s="238" t="s">
        <v>90</v>
      </c>
      <c r="AD23" s="232"/>
      <c r="AE23" s="231" t="str">
        <f t="array" ref="AE23">IF(
  AD23 = 0, 
  "", 
  IFERROR(
    INDEX(
      'アイテム別限界値DB'!$K:$K, 
      MATCH(
        1, 
        ('アイテム別限界値DB'!$B:$B = AC$10) * 
        ('アイテム別限界値DB'!$F:$F = AC23) * 
        ('アイテム別限界値DB'!$H:$H = AD23), 
        0
      )
    ), 
    "再製作"
  )
)
</f>
        <v/>
      </c>
      <c r="AF23" s="218" t="str">
        <f t="array" ref="AF23">IF(
  AD23 = 0, 
  "", 
  IFERROR(
    INDEX(
      'アイテム別限界値DB'!$L:$L, 
      MATCH(
        1, 
        ('アイテム別限界値DB'!$B:$B = AC$10) * 
        ('アイテム別限界値DB'!$C:$C = AC23) * 
        ('アイテム別限界値DB'!$F:$F = AD23), 
        0
      )
    ), 
    ""
  )
)
</f>
        <v/>
      </c>
      <c r="AG23" s="11"/>
      <c r="AH23" s="224"/>
      <c r="AI23" s="225"/>
      <c r="AJ23" s="220" t="str">
        <f t="array" ref="AJ23">IF(
  AI23 = 0, 
  "", 
  IFERROR(
    INDEX(
      'アイテム別限界値DB'!$I:$I, 
      MATCH(
        1, 
        ('アイテム別限界値DB'!$B:$B = AH$10) * 
        ('アイテム別限界値DB'!$C:$C = AH23) * 
        ('アイテム別限界値DB'!$F:$F = AI23), 
        0
      )
    ), 
    "再製作"
  )
)
</f>
        <v/>
      </c>
      <c r="AK23" s="121" t="str">
        <f t="array" ref="AK23">IF(
  AI23 = 0, 
  "", 
  IFERROR(
    INDEX(
      'アイテム別限界値DB'!$L:$L, 
      MATCH(
        1, 
        ('アイテム別限界値DB'!$B:$B = AH$10) * 
        ('アイテム別限界値DB'!$C:$C = AH23) * 
        ('アイテム別限界値DB'!$F:$F = AI23), 
        0
      )
    ), 
    ""
  )
)
</f>
        <v/>
      </c>
      <c r="AL23" s="11"/>
      <c r="AM23" s="224"/>
      <c r="AN23" s="225"/>
      <c r="AO23" s="220" t="str">
        <f t="array" ref="AO23">IF(
  AN23 = 0, 
  "", 
  IFERROR(
    INDEX(
      'アイテム別限界値DB'!$I:$I, 
      MATCH(
        1, 
        ('アイテム別限界値DB'!$B:$B = AM$10) * 
        ('アイテム別限界値DB'!$C:$C = AM23) * 
        ('アイテム別限界値DB'!$F:$F = AN23), 
        0
      )
    ), 
    "再製作"
  )
)
</f>
        <v/>
      </c>
      <c r="AP23" s="121" t="str">
        <f t="array" ref="AP23">IF(
  AN23 = 0, 
  "", 
  IFERROR(
    INDEX(
      'アイテム別限界値DB'!$L:$L, 
      MATCH(
        1, 
        ('アイテム別限界値DB'!$B:$B = AM$10) * 
        ('アイテム別限界値DB'!$C:$C = AM23) * 
        ('アイテム別限界値DB'!$F:$F = AN23), 
        0
      )
    ), 
    ""
  )
)
</f>
        <v/>
      </c>
      <c r="AQ23" s="11"/>
      <c r="AR23" s="224"/>
      <c r="AS23" s="225"/>
      <c r="AT23" s="220" t="str">
        <f t="array" ref="AT23">IF(
  AS23 = 0, 
  "", 
  IFERROR(
    INDEX(
      'アイテム別限界値DB'!$I:$I, 
      MATCH(
        1, 
        ('アイテム別限界値DB'!$B:$B = AR$10) * 
        ('アイテム別限界値DB'!$C:$C = AR23) * 
        ('アイテム別限界値DB'!$F:$F = AS23), 
        0
      )
    ), 
    "再製作"
  )
)
</f>
        <v/>
      </c>
      <c r="AU23" s="121" t="str">
        <f t="array" ref="AU23">IF(
  AS23 = 0, 
  "", 
  IFERROR(
    INDEX(
      'アイテム別限界値DB'!$L:$L, 
      MATCH(
        1, 
        ('アイテム別限界値DB'!$B:$B = AR$10) * 
        ('アイテム別限界値DB'!$C:$C = AR23) * 
        ('アイテム別限界値DB'!$F:$F = AS23), 
        0
      )
    ), 
    ""
  )
)
</f>
        <v/>
      </c>
      <c r="AV23" s="121"/>
      <c r="AW23" s="224"/>
      <c r="AX23" s="225"/>
      <c r="AY23" s="220" t="str">
        <f t="array" ref="AY23">IF(
  AX23 = 0, 
  "", 
  IFERROR(
    INDEX(
      'アイテム別限界値DB'!$I:$I, 
      MATCH(
        1, 
        ('アイテム別限界値DB'!$B:$B = AW$10) * 
        ('アイテム別限界値DB'!$C:$C = AW23) * 
        ('アイテム別限界値DB'!$F:$F = AX23), 
        0
      )
    ), 
    "再製作"
  )
)
</f>
        <v/>
      </c>
      <c r="AZ23" s="121" t="str">
        <f t="array" ref="AZ23">IF(
  AX23 = 0, 
  "", 
  IFERROR(
    INDEX(
      'アイテム別限界値DB'!$L:$L, 
      MATCH(
        1, 
        ('アイテム別限界値DB'!$B:$B = AW$10) * 
        ('アイテム別限界値DB'!$C:$C = AW23) * 
        ('アイテム別限界値DB'!$F:$F = AX23), 
        0
      )
    ), 
    ""
  )
)
</f>
        <v/>
      </c>
      <c r="BA23" s="121"/>
      <c r="BB23" s="224"/>
      <c r="BC23" s="225"/>
      <c r="BD23" s="220" t="str">
        <f t="array" ref="BD23">IF(
  BC23 = 0, 
  "", 
  IFERROR(
    INDEX(
      'アイテム別限界値DB'!$I:$I, 
      MATCH(
        1, 
        ('アイテム別限界値DB'!$B:$B = BB$10) * 
        ('アイテム別限界値DB'!$C:$C = BB23) * 
        ('アイテム別限界値DB'!$F:$F = BC23), 
        0
      )
    ), 
    "再製作"
  )
)
</f>
        <v/>
      </c>
      <c r="BE23" s="121" t="str">
        <f t="array" ref="BE23">IF(
  BC23 = 0, 
  "", 
  IFERROR(
    INDEX(
      'アイテム別限界値DB'!$L:$L, 
      MATCH(
        1, 
        ('アイテム別限界値DB'!$B:$B = BB$10) * 
        ('アイテム別限界値DB'!$C:$C = BB23) * 
        ('アイテム別限界値DB'!$F:$F = BC23), 
        0
      )
    ), 
    ""
  )
)
</f>
        <v/>
      </c>
      <c r="BF23" s="121"/>
      <c r="BG23" s="224"/>
      <c r="BH23" s="225"/>
      <c r="BI23" s="220" t="str">
        <f t="array" ref="BI23">IF(
  BH23 = 0, 
  "", 
  IFERROR(
    INDEX(
      'アイテム別限界値DB'!$I:$I, 
      MATCH(
        1, 
        ('アイテム別限界値DB'!$B:$B = BG$10) * 
        ('アイテム別限界値DB'!$C:$C = BG23) * 
        ('アイテム別限界値DB'!$F:$F = BH23), 
        0
      )
    ), 
    "再製作"
  )
)
</f>
        <v/>
      </c>
      <c r="BJ23" s="121" t="str">
        <f t="array" ref="BJ23">IF(
  BH23 = 0, 
  "", 
  IFERROR(
    INDEX(
      'アイテム別限界値DB'!$L:$L, 
      MATCH(
        1, 
        ('アイテム別限界値DB'!$B:$B = BG$10) * 
        ('アイテム別限界値DB'!$C:$C = BG23) * 
        ('アイテム別限界値DB'!$F:$F = BH23), 
        0
      )
    ), 
    ""
  )
)
</f>
        <v/>
      </c>
      <c r="BK23" s="121"/>
      <c r="BL23" s="224" t="s">
        <v>62</v>
      </c>
      <c r="BM23" s="232"/>
      <c r="BN23" s="231" t="str">
        <f t="array" ref="BN23">IF(
  BM23 = 0, 
  "", 
  IFERROR(
    INDEX(
      'アイテム別限界値DB'!$K:$K, 
      MATCH(
        1, 
        ('アイテム別限界値DB'!$B:$B = BL$10) * 
        ('アイテム別限界値DB'!$F:$F = BL23) * 
        ('アイテム別限界値DB'!$H:$H = BM23), 
        0
      )
    ), 
    "再製作"
  )
)
</f>
        <v/>
      </c>
      <c r="BO23" s="218" t="str">
        <f t="array" ref="BO23">IF(
  BM23 = 0, 
  "", 
  IFERROR(
    INDEX(
      'アイテム別限界値DB'!$L:$L, 
      MATCH(
        1, 
        ('アイテム別限界値DB'!$B:$B = BL$10) * 
        ('アイテム別限界値DB'!$C:$C = BL23) * 
        ('アイテム別限界値DB'!$F:$F = BM23), 
        0
      )
    ), 
    ""
  )
)
</f>
        <v/>
      </c>
      <c r="BP23" s="195"/>
    </row>
    <row r="24" ht="18.75" customHeight="1">
      <c r="A24" s="228" t="str">
        <f>IF($N$11="再製作", "◼︎ ベスト（対応着地：再製作）" &amp; char(10) &amp; "《修正数値》", IF($N$11&lt;&gt;"", "◼︎ ベスト（対応着地：お直し）" &amp; char(10) &amp; "《修正数値》", ""))</f>
        <v/>
      </c>
      <c r="B24" s="229"/>
      <c r="C24" s="224"/>
      <c r="D24" s="239" t="s">
        <v>94</v>
      </c>
      <c r="E24" s="232"/>
      <c r="F24" s="231" t="str">
        <f t="array" ref="F24">IF(
  E24 = 0, 
  "", 
  IFERROR(
    INDEX(
      'アイテム別限界値DB'!$K:$K, 
      MATCH(
        1, 
        ('アイテム別限界値DB'!$B:$B = D$10) * 
        ('アイテム別限界値DB'!$F:$F = D24) * 
        ('アイテム別限界値DB'!$H:$H = E24), 
        0
      )
    ), 
    "再製作"
  )
)
</f>
        <v/>
      </c>
      <c r="G24" s="218" t="str">
        <f t="array" ref="G24">IF(
  E24 = 0, 
  "", 
  IFERROR(
    INDEX(
      'アイテム別限界値DB'!$L:$L, 
      MATCH(
        1, 
        ('アイテム別限界値DB'!$B:$B = D$10) * 
        ('アイテム別限界値DB'!$C:$C = D24) * 
        ('アイテム別限界値DB'!$F:$F = E24), 
        0
      )
    ), 
    ""
  )
)
</f>
        <v/>
      </c>
      <c r="H24" s="12"/>
      <c r="I24" s="239" t="s">
        <v>95</v>
      </c>
      <c r="J24" s="232"/>
      <c r="K24" s="231" t="str">
        <f t="array" ref="K24">IF(
  J24 = 0, 
  "", 
  IFERROR(
    INDEX(
      'アイテム別限界値DB'!$K:$K, 
      MATCH(
        1, 
        ('アイテム別限界値DB'!$B:$B = I$10) * 
        ('アイテム別限界値DB'!$F:$F = I24) * 
        ('アイテム別限界値DB'!$H:$H = J24), 
        0
      )
    ), 
    "再製作"
  )
)
</f>
        <v/>
      </c>
      <c r="L24" s="218" t="str">
        <f t="array" ref="L24">IF(
  J24 = 0, 
  "", 
  IFERROR(
    INDEX(
      'アイテム別限界値DB'!$L:$L, 
      MATCH(
        1, 
        ('アイテム別限界値DB'!$B:$B = I$10) * 
        ('アイテム別限界値DB'!$C:$C = I24) * 
        ('アイテム別限界値DB'!$F:$F = J24), 
        0
      )
    ), 
    ""
  )
)
</f>
        <v/>
      </c>
      <c r="M24" s="11"/>
      <c r="N24" s="224"/>
      <c r="O24" s="220"/>
      <c r="P24" s="220" t="str">
        <f t="array" ref="P24">IF(
  O24 = 0, 
  "", 
  IFERROR(
    INDEX(
      'アイテム別限界値DB'!$I:$I, 
      MATCH(
        1, 
        ('アイテム別限界値DB'!$B:$B = N$10) * 
        ('アイテム別限界値DB'!$C:$C = N24) * 
        ('アイテム別限界値DB'!$F:$F = O24), 
        0
      )
    ), 
    "再製作"
  )
)
</f>
        <v/>
      </c>
      <c r="Q24" s="121" t="str">
        <f t="array" ref="Q24">IF(
  O24 = 0, 
  "", 
  IFERROR(
    INDEX(
      'アイテム別限界値DB'!$L:$L, 
      MATCH(
        1, 
        ('アイテム別限界値DB'!$B:$B = N$10) * 
        ('アイテム別限界値DB'!$C:$C = N24) * 
        ('アイテム別限界値DB'!$F:$F = O24), 
        0
      )
    ), 
    ""
  )
)
</f>
        <v/>
      </c>
      <c r="R24" s="11"/>
      <c r="S24" s="239" t="s">
        <v>96</v>
      </c>
      <c r="T24" s="232"/>
      <c r="U24" s="231" t="str">
        <f t="array" ref="U24">IF(
  T24 = 0, 
  "", 
  IFERROR(
    INDEX(
      'アイテム別限界値DB'!$K:$K, 
      MATCH(
        1, 
        ('アイテム別限界値DB'!$B:$B = S$10) * 
        ('アイテム別限界値DB'!$F:$F = S24) * 
        ('アイテム別限界値DB'!$H:$H = T24), 
        0
      )
    ), 
    "再製作"
  )
)
</f>
        <v/>
      </c>
      <c r="V24" s="218" t="str">
        <f t="array" ref="V24">IF(
  T24 = 0, 
  "", 
  IFERROR(
    INDEX(
      'アイテム別限界値DB'!$L:$L, 
      MATCH(
        1, 
        ('アイテム別限界値DB'!$B:$B = S$10) * 
        ('アイテム別限界値DB'!$C:$C = S24) * 
        ('アイテム別限界値DB'!$F:$F = T24), 
        0
      )
    ), 
    ""
  )
)
</f>
        <v/>
      </c>
      <c r="W24" s="11"/>
      <c r="X24" s="239" t="s">
        <v>97</v>
      </c>
      <c r="Y24" s="230"/>
      <c r="Z24" s="231" t="str">
        <f t="array" ref="Z24">IF(
  Y24 = 0, 
  "", 
  IFERROR(
    INDEX(
      'アイテム別限界値DB'!$K:$K, 
      MATCH(
        1, 
        ('アイテム別限界値DB'!$B:$B = X$10) * 
        ('アイテム別限界値DB'!$F:$F = X24) * 
        ('アイテム別限界値DB'!$H:$H = Y24), 
        0
      )
    ), 
    "再製作"
  )
)
</f>
        <v/>
      </c>
      <c r="AA24" s="218" t="str">
        <f t="array" ref="AA24">IF(
  Y24 = 0, 
  "", 
  IFERROR(
    INDEX(
      'アイテム別限界値DB'!$L:$L, 
      MATCH(
        1, 
        ('アイテム別限界値DB'!$B:$B = X$10) * 
        ('アイテム別限界値DB'!$C:$C = X24) * 
        ('アイテム別限界値DB'!$F:$F = Y24), 
        0
      )
    ), 
    ""
  )
)
</f>
        <v/>
      </c>
      <c r="AB24" s="11"/>
      <c r="AC24" s="239" t="s">
        <v>62</v>
      </c>
      <c r="AD24" s="232"/>
      <c r="AE24" s="231" t="str">
        <f t="array" ref="AE24">IF(
  AD24 = 0, 
  "", 
  IFERROR(
    INDEX(
      'アイテム別限界値DB'!$K:$K, 
      MATCH(
        1, 
        ('アイテム別限界値DB'!$B:$B = AC$10) * 
        ('アイテム別限界値DB'!$F:$F = AC24) * 
        ('アイテム別限界値DB'!$H:$H = AD24), 
        0
      )
    ), 
    "再製作"
  )
)
</f>
        <v/>
      </c>
      <c r="AF24" s="218" t="str">
        <f t="array" ref="AF24">IF(
  AD24 = 0, 
  "", 
  IFERROR(
    INDEX(
      'アイテム別限界値DB'!$L:$L, 
      MATCH(
        1, 
        ('アイテム別限界値DB'!$B:$B = AC$10) * 
        ('アイテム別限界値DB'!$C:$C = AC24) * 
        ('アイテム別限界値DB'!$F:$F = AD24), 
        0
      )
    ), 
    ""
  )
)
</f>
        <v/>
      </c>
      <c r="AG24" s="11"/>
      <c r="AH24" s="224"/>
      <c r="AI24" s="225"/>
      <c r="AJ24" s="220" t="str">
        <f t="array" ref="AJ24">IF(
  AI24 = 0, 
  "", 
  IFERROR(
    INDEX(
      'アイテム別限界値DB'!$I:$I, 
      MATCH(
        1, 
        ('アイテム別限界値DB'!$B:$B = AH$10) * 
        ('アイテム別限界値DB'!$C:$C = AH24) * 
        ('アイテム別限界値DB'!$F:$F = AI24), 
        0
      )
    ), 
    "再製作"
  )
)
</f>
        <v/>
      </c>
      <c r="AK24" s="121" t="str">
        <f t="array" ref="AK24">IF(
  AI24 = 0, 
  "", 
  IFERROR(
    INDEX(
      'アイテム別限界値DB'!$L:$L, 
      MATCH(
        1, 
        ('アイテム別限界値DB'!$B:$B = AH$10) * 
        ('アイテム別限界値DB'!$C:$C = AH24) * 
        ('アイテム別限界値DB'!$F:$F = AI24), 
        0
      )
    ), 
    ""
  )
)
</f>
        <v/>
      </c>
      <c r="AL24" s="11"/>
      <c r="AM24" s="224"/>
      <c r="AN24" s="225"/>
      <c r="AO24" s="220" t="str">
        <f t="array" ref="AO24">IF(
  AN24 = 0, 
  "", 
  IFERROR(
    INDEX(
      'アイテム別限界値DB'!$I:$I, 
      MATCH(
        1, 
        ('アイテム別限界値DB'!$B:$B = AM$10) * 
        ('アイテム別限界値DB'!$C:$C = AM24) * 
        ('アイテム別限界値DB'!$F:$F = AN24), 
        0
      )
    ), 
    "再製作"
  )
)
</f>
        <v/>
      </c>
      <c r="AP24" s="121" t="str">
        <f t="array" ref="AP24">IF(
  AN24 = 0, 
  "", 
  IFERROR(
    INDEX(
      'アイテム別限界値DB'!$L:$L, 
      MATCH(
        1, 
        ('アイテム別限界値DB'!$B:$B = AM$10) * 
        ('アイテム別限界値DB'!$C:$C = AM24) * 
        ('アイテム別限界値DB'!$F:$F = AN24), 
        0
      )
    ), 
    ""
  )
)
</f>
        <v/>
      </c>
      <c r="AQ24" s="11"/>
      <c r="AR24" s="224"/>
      <c r="AS24" s="225"/>
      <c r="AT24" s="220" t="str">
        <f t="array" ref="AT24">IF(
  AS24 = 0, 
  "", 
  IFERROR(
    INDEX(
      'アイテム別限界値DB'!$I:$I, 
      MATCH(
        1, 
        ('アイテム別限界値DB'!$B:$B = AR$10) * 
        ('アイテム別限界値DB'!$C:$C = AR24) * 
        ('アイテム別限界値DB'!$F:$F = AS24), 
        0
      )
    ), 
    "再製作"
  )
)
</f>
        <v/>
      </c>
      <c r="AU24" s="121" t="str">
        <f t="array" ref="AU24">IF(
  AS24 = 0, 
  "", 
  IFERROR(
    INDEX(
      'アイテム別限界値DB'!$L:$L, 
      MATCH(
        1, 
        ('アイテム別限界値DB'!$B:$B = AR$10) * 
        ('アイテム別限界値DB'!$C:$C = AR24) * 
        ('アイテム別限界値DB'!$F:$F = AS24), 
        0
      )
    ), 
    ""
  )
)
</f>
        <v/>
      </c>
      <c r="AV24" s="121"/>
      <c r="AW24" s="224"/>
      <c r="AX24" s="225"/>
      <c r="AY24" s="220" t="str">
        <f t="array" ref="AY24">IF(
  AX24 = 0, 
  "", 
  IFERROR(
    INDEX(
      'アイテム別限界値DB'!$I:$I, 
      MATCH(
        1, 
        ('アイテム別限界値DB'!$B:$B = AW$10) * 
        ('アイテム別限界値DB'!$C:$C = AW24) * 
        ('アイテム別限界値DB'!$F:$F = AX24), 
        0
      )
    ), 
    "再製作"
  )
)
</f>
        <v/>
      </c>
      <c r="AZ24" s="121" t="str">
        <f t="array" ref="AZ24">IF(
  AX24 = 0, 
  "", 
  IFERROR(
    INDEX(
      'アイテム別限界値DB'!$L:$L, 
      MATCH(
        1, 
        ('アイテム別限界値DB'!$B:$B = AW$10) * 
        ('アイテム別限界値DB'!$C:$C = AW24) * 
        ('アイテム別限界値DB'!$F:$F = AX24), 
        0
      )
    ), 
    ""
  )
)
</f>
        <v/>
      </c>
      <c r="BA24" s="121"/>
      <c r="BB24" s="224"/>
      <c r="BC24" s="225"/>
      <c r="BD24" s="220" t="str">
        <f t="array" ref="BD24">IF(
  BC24 = 0, 
  "", 
  IFERROR(
    INDEX(
      'アイテム別限界値DB'!$I:$I, 
      MATCH(
        1, 
        ('アイテム別限界値DB'!$B:$B = BB$10) * 
        ('アイテム別限界値DB'!$C:$C = BB24) * 
        ('アイテム別限界値DB'!$F:$F = BC24), 
        0
      )
    ), 
    "再製作"
  )
)
</f>
        <v/>
      </c>
      <c r="BE24" s="121" t="str">
        <f t="array" ref="BE24">IF(
  BC24 = 0, 
  "", 
  IFERROR(
    INDEX(
      'アイテム別限界値DB'!$L:$L, 
      MATCH(
        1, 
        ('アイテム別限界値DB'!$B:$B = BB$10) * 
        ('アイテム別限界値DB'!$C:$C = BB24) * 
        ('アイテム別限界値DB'!$F:$F = BC24), 
        0
      )
    ), 
    ""
  )
)
</f>
        <v/>
      </c>
      <c r="BF24" s="121"/>
      <c r="BG24" s="224"/>
      <c r="BH24" s="225"/>
      <c r="BI24" s="220" t="str">
        <f t="array" ref="BI24">IF(
  BH24 = 0, 
  "", 
  IFERROR(
    INDEX(
      'アイテム別限界値DB'!$I:$I, 
      MATCH(
        1, 
        ('アイテム別限界値DB'!$B:$B = BG$10) * 
        ('アイテム別限界値DB'!$C:$C = BG24) * 
        ('アイテム別限界値DB'!$F:$F = BH24), 
        0
      )
    ), 
    "再製作"
  )
)
</f>
        <v/>
      </c>
      <c r="BJ24" s="121" t="str">
        <f t="array" ref="BJ24">IF(
  BH24 = 0, 
  "", 
  IFERROR(
    INDEX(
      'アイテム別限界値DB'!$L:$L, 
      MATCH(
        1, 
        ('アイテム別限界値DB'!$B:$B = BG$10) * 
        ('アイテム別限界値DB'!$C:$C = BG24) * 
        ('アイテム別限界値DB'!$F:$F = BH24), 
        0
      )
    ), 
    ""
  )
)
</f>
        <v/>
      </c>
      <c r="BK24" s="121"/>
      <c r="BL24" s="224"/>
      <c r="BM24" s="225"/>
      <c r="BN24" s="220" t="str">
        <f t="array" ref="BN24">IF(
  BM24 = 0, 
  "", 
  IFERROR(
    INDEX(
      'アイテム別限界値DB'!$I:$I, 
      MATCH(
        1, 
        ('アイテム別限界値DB'!$B:$B = BL$10) * 
        ('アイテム別限界値DB'!$C:$C = BL24) * 
        ('アイテム別限界値DB'!$F:$F = BM24), 
        0
      )
    ), 
    "再製作"
  )
)
</f>
        <v/>
      </c>
      <c r="BO24" s="121" t="str">
        <f t="array" ref="BO24">IF(
  BM24 = 0, 
  "", 
  IFERROR(
    INDEX(
      'アイテム別限界値DB'!$L:$L, 
      MATCH(
        1, 
        ('アイテム別限界値DB'!$B:$B = BL$10) * 
        ('アイテム別限界値DB'!$C:$C = BL24) * 
        ('アイテム別限界値DB'!$F:$F = BM24), 
        0
      )
    ), 
    ""
  )
)
</f>
        <v/>
      </c>
      <c r="BP24" s="195"/>
    </row>
    <row r="25" ht="18.75" customHeight="1">
      <c r="A25" s="228" t="str">
        <f>IFERROR(__xludf.DUMMYFUNCTION("TEXTJOIN(CHAR(10),TRUE,FILTER(ARRAYFORMULA(IF(O$14:O72&lt;&gt;"""",N$14:N72 &amp;"" : ""&amp; O$14:O72 &amp;"" cm"","""")), N$14:N72 &lt;&gt;""""))"),"")</f>
        <v/>
      </c>
      <c r="B25" s="224"/>
      <c r="C25" s="224"/>
      <c r="D25" s="239" t="s">
        <v>98</v>
      </c>
      <c r="E25" s="232"/>
      <c r="F25" s="231" t="str">
        <f t="array" ref="F25">IF(
  E25 = 0, 
  "", 
  IFERROR(
    INDEX(
      'アイテム別限界値DB'!$K:$K, 
      MATCH(
        1, 
        ('アイテム別限界値DB'!$B:$B = D$10) * 
        ('アイテム別限界値DB'!$F:$F = D25) * 
        ('アイテム別限界値DB'!$H:$H = E25), 
        0
      )
    ), 
    "再製作"
  )
)
</f>
        <v/>
      </c>
      <c r="G25" s="218" t="str">
        <f t="array" ref="G25">IF(
  E25 = 0, 
  "", 
  IFERROR(
    INDEX(
      'アイテム別限界値DB'!$L:$L, 
      MATCH(
        1, 
        ('アイテム別限界値DB'!$B:$B = D$10) * 
        ('アイテム別限界値DB'!$C:$C = D25) * 
        ('アイテム別限界値DB'!$F:$F = E25), 
        0
      )
    ), 
    ""
  )
)
</f>
        <v/>
      </c>
      <c r="H25" s="12"/>
      <c r="I25" s="224" t="s">
        <v>99</v>
      </c>
      <c r="J25" s="232"/>
      <c r="K25" s="231" t="str">
        <f t="array" ref="K25">IF(
  J25 = 0, 
  "", 
  IFERROR(
    INDEX(
      'アイテム別限界値DB'!$K:$K, 
      MATCH(
        1, 
        ('アイテム別限界値DB'!$B:$B = I$10) * 
        ('アイテム別限界値DB'!$F:$F = I25) * 
        ('アイテム別限界値DB'!$H:$H = J25), 
        0
      )
    ), 
    "再製作"
  )
)
</f>
        <v/>
      </c>
      <c r="L25" s="195"/>
      <c r="M25" s="11"/>
      <c r="N25" s="11"/>
      <c r="O25" s="220"/>
      <c r="P25" s="184"/>
      <c r="Q25" s="11"/>
      <c r="R25" s="11"/>
      <c r="S25" s="186" t="s">
        <v>100</v>
      </c>
      <c r="T25" s="232"/>
      <c r="U25" s="231" t="str">
        <f t="array" ref="U25">IF(
  T25 = 0, 
  "", 
  IFERROR(
    INDEX(
      'アイテム別限界値DB'!$K:$K, 
      MATCH(
        1, 
        ('アイテム別限界値DB'!$B:$B = S$10) * 
        ('アイテム別限界値DB'!$F:$F = S25) * 
        ('アイテム別限界値DB'!$H:$H = T25), 
        0
      )
    ), 
    "再製作"
  )
)
</f>
        <v/>
      </c>
      <c r="V25" s="234"/>
      <c r="W25" s="11"/>
      <c r="X25" s="186" t="s">
        <v>101</v>
      </c>
      <c r="Y25" s="232"/>
      <c r="Z25" s="231" t="str">
        <f t="array" ref="Z25">IF(
  Y25 = 0, 
  "", 
  IFERROR(
    INDEX(
      'アイテム別限界値DB'!$K:$K, 
      MATCH(
        1, 
        ('アイテム別限界値DB'!$B:$B = X$10) * 
        ('アイテム別限界値DB'!$F:$F = X25) * 
        ('アイテム別限界値DB'!$H:$H = Y25), 
        0
      )
    ), 
    "再製作"
  )
)
</f>
        <v/>
      </c>
      <c r="AA25" s="218" t="str">
        <f t="array" ref="AA25">IF(
  Y25 = 0, 
  "", 
  IFERROR(
    INDEX(
      'アイテム別限界値DB'!$L:$L, 
      MATCH(
        1, 
        ('アイテム別限界値DB'!$B:$B = X$10) * 
        ('アイテム別限界値DB'!$C:$C = X25) * 
        ('アイテム別限界値DB'!$F:$F = Y25), 
        0
      )
    ), 
    ""
  )
)
</f>
        <v/>
      </c>
      <c r="AB25" s="11"/>
      <c r="AC25" s="186" t="s">
        <v>74</v>
      </c>
      <c r="AD25" s="232"/>
      <c r="AE25" s="231" t="str">
        <f t="array" ref="AE25">IF(
  AD25 = 0, 
  "", 
  IFERROR(
    INDEX(
      'アイテム別限界値DB'!$K:$K, 
      MATCH(
        1, 
        ('アイテム別限界値DB'!$B:$B = AC$10) * 
        ('アイテム別限界値DB'!$F:$F = AC25) * 
        ('アイテム別限界値DB'!$H:$H = AD25), 
        0
      )
    ), 
    "再製作"
  )
)
</f>
        <v/>
      </c>
      <c r="AF25" s="218" t="str">
        <f t="array" ref="AF25">IF(
  AD25 = 0, 
  "", 
  IFERROR(
    INDEX(
      'アイテム別限界値DB'!$L:$L, 
      MATCH(
        1, 
        ('アイテム別限界値DB'!$B:$B = AC$10) * 
        ('アイテム別限界値DB'!$C:$C = AC25) * 
        ('アイテム別限界値DB'!$F:$F = AD25), 
        0
      )
    ), 
    ""
  )
)
</f>
        <v/>
      </c>
      <c r="AG25" s="11"/>
      <c r="AH25" s="12"/>
      <c r="AI25" s="220"/>
      <c r="AJ25" s="220" t="str">
        <f t="array" ref="AJ25">IF(
  AI25 = 0, 
  "", 
  IFERROR(
    INDEX(
      'アイテム別限界値DB'!$I:$I, 
      MATCH(
        1, 
        ('アイテム別限界値DB'!$B:$B = AH$10) * 
        ('アイテム別限界値DB'!$C:$C = AH25) * 
        ('アイテム別限界値DB'!$F:$F = AI25), 
        0
      )
    ), 
    "再製作"
  )
)
</f>
        <v/>
      </c>
      <c r="AK25" s="195"/>
      <c r="AL25" s="11"/>
      <c r="AM25" s="12"/>
      <c r="AN25" s="220"/>
      <c r="AO25" s="220" t="str">
        <f t="array" ref="AO25">IF(
  AN25 = 0, 
  "", 
  IFERROR(
    INDEX(
      'アイテム別限界値DB'!$I:$I, 
      MATCH(
        1, 
        ('アイテム別限界値DB'!$B:$B = AM$10) * 
        ('アイテム別限界値DB'!$C:$C = AM25) * 
        ('アイテム別限界値DB'!$F:$F = AN25), 
        0
      )
    ), 
    "再製作"
  )
)
</f>
        <v/>
      </c>
      <c r="AP25" s="195"/>
      <c r="AQ25" s="11"/>
      <c r="AR25" s="12"/>
      <c r="AS25" s="220"/>
      <c r="AT25" s="220" t="str">
        <f t="array" ref="AT25">IF(
  AS25 = 0, 
  "", 
  IFERROR(
    INDEX(
      'アイテム別限界値DB'!$I:$I, 
      MATCH(
        1, 
        ('アイテム別限界値DB'!$B:$B = AR$10) * 
        ('アイテム別限界値DB'!$C:$C = AR25) * 
        ('アイテム別限界値DB'!$F:$F = AS25), 
        0
      )
    ), 
    "再製作"
  )
)
</f>
        <v/>
      </c>
      <c r="AU25" s="195"/>
      <c r="AV25" s="195"/>
      <c r="AW25" s="12"/>
      <c r="AX25" s="220"/>
      <c r="AY25" s="220" t="str">
        <f t="array" ref="AY25">IF(
  AX25 = 0, 
  "", 
  IFERROR(
    INDEX(
      'アイテム別限界値DB'!$I:$I, 
      MATCH(
        1, 
        ('アイテム別限界値DB'!$B:$B = AW$10) * 
        ('アイテム別限界値DB'!$C:$C = AW25) * 
        ('アイテム別限界値DB'!$F:$F = AX25), 
        0
      )
    ), 
    "再製作"
  )
)
</f>
        <v/>
      </c>
      <c r="AZ25" s="195"/>
      <c r="BA25" s="195"/>
      <c r="BB25" s="12"/>
      <c r="BC25" s="220"/>
      <c r="BD25" s="220" t="str">
        <f t="array" ref="BD25">IF(
  BC25 = 0, 
  "", 
  IFERROR(
    INDEX(
      'アイテム別限界値DB'!$I:$I, 
      MATCH(
        1, 
        ('アイテム別限界値DB'!$B:$B = BB$10) * 
        ('アイテム別限界値DB'!$C:$C = BB25) * 
        ('アイテム別限界値DB'!$F:$F = BC25), 
        0
      )
    ), 
    "再製作"
  )
)
</f>
        <v/>
      </c>
      <c r="BE25" s="195"/>
      <c r="BF25" s="195"/>
      <c r="BG25" s="12"/>
      <c r="BH25" s="220"/>
      <c r="BI25" s="220" t="str">
        <f t="array" ref="BI25">IF(
  BH25 = 0, 
  "", 
  IFERROR(
    INDEX(
      'アイテム別限界値DB'!$I:$I, 
      MATCH(
        1, 
        ('アイテム別限界値DB'!$B:$B = BG$10) * 
        ('アイテム別限界値DB'!$C:$C = BG25) * 
        ('アイテム別限界値DB'!$F:$F = BH25), 
        0
      )
    ), 
    "再製作"
  )
)
</f>
        <v/>
      </c>
      <c r="BJ25" s="195"/>
      <c r="BK25" s="195"/>
      <c r="BL25" s="195"/>
      <c r="BM25" s="220"/>
      <c r="BN25" s="220" t="str">
        <f t="array" ref="BN25">IF(
  BM25 = 0, 
  "", 
  IFERROR(
    INDEX(
      'アイテム別限界値DB'!$I:$I, 
      MATCH(
        1, 
        ('アイテム別限界値DB'!$B:$B = BL$10) * 
        ('アイテム別限界値DB'!$C:$C = BL25) * 
        ('アイテム別限界値DB'!$F:$F = BM25), 
        0
      )
    ), 
    "再製作"
  )
)
</f>
        <v/>
      </c>
      <c r="BO25" s="195"/>
      <c r="BP25" s="195"/>
    </row>
    <row r="26" ht="18.75" customHeight="1">
      <c r="A26" s="236" t="str">
        <f>if($A$24&lt;&gt;"", "《仕上がり数値》","")</f>
        <v/>
      </c>
      <c r="B26" s="229"/>
      <c r="C26" s="224"/>
      <c r="D26" s="239" t="s">
        <v>74</v>
      </c>
      <c r="E26" s="230"/>
      <c r="F26" s="231" t="str">
        <f t="array" ref="F26">IF(
  E26 = 0, 
  "", 
  IFERROR(
    INDEX(
      'アイテム別限界値DB'!$K:$K, 
      MATCH(
        1, 
        ('アイテム別限界値DB'!$B:$B = D$10) * 
        ('アイテム別限界値DB'!$F:$F = D26) * 
        ('アイテム別限界値DB'!$H:$H = E26), 
        0
      )
    ), 
    "再製作"
  )
)
</f>
        <v/>
      </c>
      <c r="G26" s="218" t="str">
        <f t="array" ref="G26">IF(
  E26 = 0, 
  "", 
  IFERROR(
    INDEX(
      'アイテム別限界値DB'!$L:$L, 
      MATCH(
        1, 
        ('アイテム別限界値DB'!$B:$B = D$10) * 
        ('アイテム別限界値DB'!$C:$C = D26) * 
        ('アイテム別限界値DB'!$F:$F = E26), 
        0
      )
    ), 
    ""
  )
)
</f>
        <v/>
      </c>
      <c r="H26" s="12"/>
      <c r="I26" s="11" t="s">
        <v>100</v>
      </c>
      <c r="J26" s="232"/>
      <c r="K26" s="231" t="str">
        <f t="array" ref="K26">IF(
  J26 = 0, 
  "", 
  IFERROR(
    INDEX(
      'アイテム別限界値DB'!$K:$K, 
      MATCH(
        1, 
        ('アイテム別限界値DB'!$B:$B = I$10) * 
        ('アイテム別限界値DB'!$F:$F = I26) * 
        ('アイテム別限界値DB'!$H:$H = J26), 
        0
      )
    ), 
    "再製作"
  )
)
</f>
        <v/>
      </c>
      <c r="L26" s="195"/>
      <c r="M26" s="11"/>
      <c r="N26" s="11"/>
      <c r="O26" s="220"/>
      <c r="P26" s="184"/>
      <c r="Q26" s="11"/>
      <c r="R26" s="11"/>
      <c r="S26" s="12" t="s">
        <v>95</v>
      </c>
      <c r="T26" s="232"/>
      <c r="U26" s="231" t="str">
        <f t="array" ref="U26">IF(
  T26 = 0, 
  "", 
  IFERROR(
    INDEX(
      'アイテム別限界値DB'!$K:$K, 
      MATCH(
        1, 
        ('アイテム別限界値DB'!$B:$B = S$10) * 
        ('アイテム別限界値DB'!$F:$F = S26) * 
        ('アイテム別限界値DB'!$H:$H = T26), 
        0
      )
    ), 
    "再製作"
  )
)
</f>
        <v/>
      </c>
      <c r="V26" s="195"/>
      <c r="W26" s="11"/>
      <c r="X26" s="186" t="s">
        <v>62</v>
      </c>
      <c r="Y26" s="232"/>
      <c r="Z26" s="231" t="str">
        <f t="array" ref="Z26">IF(
  Y26 = 0, 
  "", 
  IFERROR(
    INDEX(
      'アイテム別限界値DB'!$K:$K, 
      MATCH(
        1, 
        ('アイテム別限界値DB'!$B:$B = X$10) * 
        ('アイテム別限界値DB'!$F:$F = X26) * 
        ('アイテム別限界値DB'!$H:$H = Y26), 
        0
      )
    ), 
    "再製作"
  )
)
</f>
        <v/>
      </c>
      <c r="AA26" s="218" t="str">
        <f t="array" ref="AA26">IF(
  Y26 = 0, 
  "", 
  IFERROR(
    INDEX(
      'アイテム別限界値DB'!$L:$L, 
      MATCH(
        1, 
        ('アイテム別限界値DB'!$B:$B = X$10) * 
        ('アイテム別限界値DB'!$C:$C = X26) * 
        ('アイテム別限界値DB'!$F:$F = Y26), 
        0
      )
    ), 
    ""
  )
)
</f>
        <v/>
      </c>
      <c r="AB26" s="11"/>
      <c r="AC26" s="186" t="s">
        <v>67</v>
      </c>
      <c r="AD26" s="232"/>
      <c r="AE26" s="231" t="str">
        <f t="array" ref="AE26">IF(
  AD26 = 0, 
  "", 
  IFERROR(
    INDEX(
      'アイテム別限界値DB'!$K:$K, 
      MATCH(
        1, 
        ('アイテム別限界値DB'!$B:$B = AC$10) * 
        ('アイテム別限界値DB'!$F:$F = AC26) * 
        ('アイテム別限界値DB'!$H:$H = AD26), 
        0
      )
    ), 
    "再製作"
  )
)
</f>
        <v/>
      </c>
      <c r="AF26" s="218" t="str">
        <f t="array" ref="AF26">IF(
  AD26 = 0, 
  "", 
  IFERROR(
    INDEX(
      'アイテム別限界値DB'!$L:$L, 
      MATCH(
        1, 
        ('アイテム別限界値DB'!$B:$B = AC$10) * 
        ('アイテム別限界値DB'!$C:$C = AC26) * 
        ('アイテム別限界値DB'!$F:$F = AD26), 
        0
      )
    ), 
    ""
  )
)
</f>
        <v/>
      </c>
      <c r="AG26" s="11"/>
      <c r="AH26" s="12"/>
      <c r="AI26" s="220"/>
      <c r="AJ26" s="220" t="str">
        <f t="array" ref="AJ26">IF(
  AI26 = 0, 
  "", 
  IFERROR(
    INDEX(
      'アイテム別限界値DB'!$I:$I, 
      MATCH(
        1, 
        ('アイテム別限界値DB'!$B:$B = AH$10) * 
        ('アイテム別限界値DB'!$C:$C = AH26) * 
        ('アイテム別限界値DB'!$F:$F = AI26), 
        0
      )
    ), 
    "再製作"
  )
)
</f>
        <v/>
      </c>
      <c r="AK26" s="195"/>
      <c r="AL26" s="11"/>
      <c r="AM26" s="12"/>
      <c r="AN26" s="220"/>
      <c r="AO26" s="220" t="str">
        <f t="array" ref="AO26">IF(
  AN26 = 0, 
  "", 
  IFERROR(
    INDEX(
      'アイテム別限界値DB'!$I:$I, 
      MATCH(
        1, 
        ('アイテム別限界値DB'!$B:$B = AM$10) * 
        ('アイテム別限界値DB'!$C:$C = AM26) * 
        ('アイテム別限界値DB'!$F:$F = AN26), 
        0
      )
    ), 
    "再製作"
  )
)
</f>
        <v/>
      </c>
      <c r="AP26" s="195"/>
      <c r="AQ26" s="11"/>
      <c r="AR26" s="12"/>
      <c r="AS26" s="220"/>
      <c r="AT26" s="220" t="str">
        <f t="array" ref="AT26">IF(
  AS26 = 0, 
  "", 
  IFERROR(
    INDEX(
      'アイテム別限界値DB'!$I:$I, 
      MATCH(
        1, 
        ('アイテム別限界値DB'!$B:$B = AR$10) * 
        ('アイテム別限界値DB'!$C:$C = AR26) * 
        ('アイテム別限界値DB'!$F:$F = AS26), 
        0
      )
    ), 
    "再製作"
  )
)
</f>
        <v/>
      </c>
      <c r="AU26" s="195"/>
      <c r="AV26" s="195"/>
      <c r="AW26" s="12"/>
      <c r="AX26" s="220"/>
      <c r="AY26" s="220" t="str">
        <f t="array" ref="AY26">IF(
  AX26 = 0, 
  "", 
  IFERROR(
    INDEX(
      'アイテム別限界値DB'!$I:$I, 
      MATCH(
        1, 
        ('アイテム別限界値DB'!$B:$B = AW$10) * 
        ('アイテム別限界値DB'!$C:$C = AW26) * 
        ('アイテム別限界値DB'!$F:$F = AX26), 
        0
      )
    ), 
    "再製作"
  )
)
</f>
        <v/>
      </c>
      <c r="AZ26" s="195"/>
      <c r="BA26" s="195"/>
      <c r="BB26" s="12"/>
      <c r="BC26" s="220"/>
      <c r="BD26" s="220" t="str">
        <f t="array" ref="BD26">IF(
  BC26 = 0, 
  "", 
  IFERROR(
    INDEX(
      'アイテム別限界値DB'!$I:$I, 
      MATCH(
        1, 
        ('アイテム別限界値DB'!$B:$B = BB$10) * 
        ('アイテム別限界値DB'!$C:$C = BB26) * 
        ('アイテム別限界値DB'!$F:$F = BC26), 
        0
      )
    ), 
    "再製作"
  )
)
</f>
        <v/>
      </c>
      <c r="BE26" s="195"/>
      <c r="BF26" s="195"/>
      <c r="BG26" s="12"/>
      <c r="BH26" s="220"/>
      <c r="BI26" s="220" t="str">
        <f t="array" ref="BI26">IF(
  BH26 = 0, 
  "", 
  IFERROR(
    INDEX(
      'アイテム別限界値DB'!$I:$I, 
      MATCH(
        1, 
        ('アイテム別限界値DB'!$B:$B = BG$10) * 
        ('アイテム別限界値DB'!$C:$C = BG26) * 
        ('アイテム別限界値DB'!$F:$F = BH26), 
        0
      )
    ), 
    "再製作"
  )
)
</f>
        <v/>
      </c>
      <c r="BJ26" s="195"/>
      <c r="BK26" s="195"/>
      <c r="BL26" s="195"/>
      <c r="BM26" s="220"/>
      <c r="BN26" s="220" t="str">
        <f t="array" ref="BN26">IF(
  BM26 = 0, 
  "", 
  IFERROR(
    INDEX(
      'アイテム別限界値DB'!$I:$I, 
      MATCH(
        1, 
        ('アイテム別限界値DB'!$B:$B = BL$10) * 
        ('アイテム別限界値DB'!$C:$C = BL26) * 
        ('アイテム別限界値DB'!$F:$F = BM26), 
        0
      )
    ), 
    "再製作"
  )
)
</f>
        <v/>
      </c>
      <c r="BO26" s="195"/>
      <c r="BP26" s="195"/>
    </row>
    <row r="27" ht="18.75" customHeight="1">
      <c r="A27" s="228" t="str">
        <f>IFERROR(__xludf.DUMMYFUNCTION("TEXTJOIN(CHAR(10),TRUE,FILTER(ARRAYFORMULA(IF(O$14:O72&lt;&gt;"""",N$14:N72 &amp;"" :  cm"","""")), N$14:N72 &lt;&gt;""""))"),"")</f>
        <v/>
      </c>
      <c r="B27" s="229"/>
      <c r="C27" s="224"/>
      <c r="D27" s="239" t="s">
        <v>67</v>
      </c>
      <c r="E27" s="230"/>
      <c r="F27" s="231" t="str">
        <f t="array" ref="F27">IF(
  E27 = 0, 
  "", 
  IFERROR(
    INDEX(
      'アイテム別限界値DB'!$K:$K, 
      MATCH(
        1, 
        ('アイテム別限界値DB'!$B:$B = D$10) * 
        ('アイテム別限界値DB'!$F:$F = D27) * 
        ('アイテム別限界値DB'!$H:$H = E27), 
        0
      )
    ), 
    "再製作"
  )
)
</f>
        <v/>
      </c>
      <c r="G27" s="218" t="str">
        <f t="array" ref="G27">IF(
  E27 = 0, 
  "", 
  IFERROR(
    INDEX(
      'アイテム別限界値DB'!$L:$L, 
      MATCH(
        1, 
        ('アイテム別限界値DB'!$B:$B = D$10) * 
        ('アイテム別限界値DB'!$C:$C = D27) * 
        ('アイテム別限界値DB'!$F:$F = E27), 
        0
      )
    ), 
    ""
  )
)
</f>
        <v/>
      </c>
      <c r="H27" s="12"/>
      <c r="I27" s="11" t="s">
        <v>103</v>
      </c>
      <c r="J27" s="232"/>
      <c r="K27" s="231" t="str">
        <f t="array" ref="K27">IF(
  J27 = 0, 
  "", 
  IFERROR(
    INDEX(
      'アイテム別限界値DB'!$K:$K, 
      MATCH(
        1, 
        ('アイテム別限界値DB'!$B:$B = I$10) * 
        ('アイテム別限界値DB'!$F:$F = I27) * 
        ('アイテム別限界値DB'!$H:$H = J27), 
        0
      )
    ), 
    "再製作"
  )
)
</f>
        <v/>
      </c>
      <c r="L27" s="11"/>
      <c r="M27" s="11"/>
      <c r="N27" s="11"/>
      <c r="O27" s="220"/>
      <c r="P27" s="184"/>
      <c r="Q27" s="11"/>
      <c r="R27" s="11"/>
      <c r="S27" s="12" t="s">
        <v>99</v>
      </c>
      <c r="T27" s="232"/>
      <c r="U27" s="231" t="str">
        <f t="array" ref="U27">IF(
  T27 = 0, 
  "", 
  IFERROR(
    INDEX(
      'アイテム別限界値DB'!$K:$K, 
      MATCH(
        1, 
        ('アイテム別限界値DB'!$B:$B = S$10) * 
        ('アイテム別限界値DB'!$F:$F = S27) * 
        ('アイテム別限界値DB'!$H:$H = T27), 
        0
      )
    ), 
    "再製作"
  )
)
</f>
        <v/>
      </c>
      <c r="V27" s="12"/>
      <c r="W27" s="11"/>
      <c r="X27" s="240" t="s">
        <v>74</v>
      </c>
      <c r="Y27" s="232"/>
      <c r="Z27" s="231" t="str">
        <f t="array" ref="Z27">IF(
  Y27 = 0, 
  "", 
  IFERROR(
    INDEX(
      'アイテム別限界値DB'!$K:$K, 
      MATCH(
        1, 
        ('アイテム別限界値DB'!$B:$B = X$10) * 
        ('アイテム別限界値DB'!$F:$F = X27) * 
        ('アイテム別限界値DB'!$H:$H = Y27), 
        0
      )
    ), 
    "再製作"
  )
)
</f>
        <v/>
      </c>
      <c r="AA27" s="218" t="str">
        <f t="array" ref="AA27">IF(
  Y27 = 0, 
  "", 
  IFERROR(
    INDEX(
      'アイテム別限界値DB'!$L:$L, 
      MATCH(
        1, 
        ('アイテム別限界値DB'!$B:$B = X$10) * 
        ('アイテム別限界値DB'!$C:$C = X27) * 
        ('アイテム別限界値DB'!$F:$F = Y27), 
        0
      )
    ), 
    ""
  )
)
</f>
        <v/>
      </c>
      <c r="AB27" s="11"/>
      <c r="AC27" s="240" t="s">
        <v>79</v>
      </c>
      <c r="AD27" s="232"/>
      <c r="AE27" s="231" t="str">
        <f t="array" ref="AE27">IF(
  AD27 = 0, 
  "", 
  IFERROR(
    INDEX(
      'アイテム別限界値DB'!$K:$K, 
      MATCH(
        1, 
        ('アイテム別限界値DB'!$B:$B = AC$10) * 
        ('アイテム別限界値DB'!$F:$F = AC27) * 
        ('アイテム別限界値DB'!$H:$H = AD27), 
        0
      )
    ), 
    "再製作"
  )
)
</f>
        <v/>
      </c>
      <c r="AF27" s="218" t="str">
        <f t="array" ref="AF27">IF(
  AD27 = 0, 
  "", 
  IFERROR(
    INDEX(
      'アイテム別限界値DB'!$L:$L, 
      MATCH(
        1, 
        ('アイテム別限界値DB'!$B:$B = AC$10) * 
        ('アイテム別限界値DB'!$C:$C = AC27) * 
        ('アイテム別限界値DB'!$F:$F = AD27), 
        0
      )
    ), 
    ""
  )
)
</f>
        <v/>
      </c>
      <c r="AG27" s="11"/>
      <c r="AH27" s="11"/>
      <c r="AI27" s="220"/>
      <c r="AJ27" s="184"/>
      <c r="AK27" s="11"/>
      <c r="AL27" s="11"/>
      <c r="AM27" s="11"/>
      <c r="AN27" s="220"/>
      <c r="AO27" s="184"/>
      <c r="AP27" s="11"/>
      <c r="AQ27" s="11"/>
      <c r="AR27" s="11"/>
      <c r="AS27" s="220"/>
      <c r="AT27" s="184"/>
      <c r="AU27" s="11"/>
      <c r="AV27" s="11"/>
      <c r="AW27" s="11"/>
      <c r="AX27" s="220"/>
      <c r="AY27" s="184"/>
      <c r="AZ27" s="11"/>
      <c r="BA27" s="11"/>
      <c r="BB27" s="11"/>
      <c r="BC27" s="220"/>
      <c r="BD27" s="184"/>
      <c r="BE27" s="11"/>
      <c r="BF27" s="11"/>
      <c r="BG27" s="11"/>
      <c r="BH27" s="220"/>
      <c r="BI27" s="184"/>
      <c r="BJ27" s="11"/>
      <c r="BK27" s="11"/>
      <c r="BL27" s="11"/>
      <c r="BM27" s="220"/>
      <c r="BN27" s="184"/>
      <c r="BO27" s="11"/>
      <c r="BP27" s="11"/>
    </row>
    <row r="28" ht="15.75" customHeight="1">
      <c r="A28" s="237" t="s">
        <v>104</v>
      </c>
      <c r="B28" s="11"/>
      <c r="C28" s="11"/>
      <c r="D28" s="11" t="s">
        <v>79</v>
      </c>
      <c r="E28" s="232"/>
      <c r="F28" s="231" t="str">
        <f t="array" ref="F28">IF(
  E28 = 0, 
  "", 
  IFERROR(
    INDEX(
      'アイテム別限界値DB'!$K:$K, 
      MATCH(
        1, 
        ('アイテム別限界値DB'!$B:$B = D$10) * 
        ('アイテム別限界値DB'!$F:$F = D28) * 
        ('アイテム別限界値DB'!$H:$H = E28), 
        0
      )
    ), 
    "再製作"
  )
)
</f>
        <v/>
      </c>
      <c r="G28" s="218" t="str">
        <f t="array" ref="G28">IF(
  E28 = 0, 
  "", 
  IFERROR(
    INDEX(
      'アイテム別限界値DB'!$L:$L, 
      MATCH(
        1, 
        ('アイテム別限界値DB'!$B:$B = D$10) * 
        ('アイテム別限界値DB'!$C:$C = D28) * 
        ('アイテム別限界値DB'!$F:$F = E28), 
        0
      )
    ), 
    ""
  )
)
</f>
        <v/>
      </c>
      <c r="H28" s="11"/>
      <c r="I28" s="11"/>
      <c r="J28" s="220"/>
      <c r="K28" s="184"/>
      <c r="L28" s="11"/>
      <c r="M28" s="11"/>
      <c r="N28" s="11"/>
      <c r="O28" s="220"/>
      <c r="P28" s="184"/>
      <c r="Q28" s="11"/>
      <c r="R28" s="12"/>
      <c r="S28" s="11" t="s">
        <v>103</v>
      </c>
      <c r="T28" s="232"/>
      <c r="U28" s="231" t="str">
        <f t="array" ref="U28">IF(
  T28 = 0, 
  "", 
  IFERROR(
    INDEX(
      'アイテム別限界値DB'!$K:$K, 
      MATCH(
        1, 
        ('アイテム別限界値DB'!$B:$B = S$10) * 
        ('アイテム別限界値DB'!$F:$F = S28) * 
        ('アイテム別限界値DB'!$H:$H = T28), 
        0
      )
    ), 
    "再製作"
  )
)
</f>
        <v/>
      </c>
      <c r="V28" s="11"/>
      <c r="W28" s="11"/>
      <c r="X28" s="11" t="s">
        <v>67</v>
      </c>
      <c r="Y28" s="241"/>
      <c r="Z28" s="231" t="str">
        <f t="array" ref="Z28">IF(
  Y28 = 0, 
  "", 
  IFERROR(
    INDEX(
      'アイテム別限界値DB'!$K:$K, 
      MATCH(
        1, 
        ('アイテム別限界値DB'!$B:$B = X$10) * 
        ('アイテム別限界値DB'!$F:$F = X28) * 
        ('アイテム別限界値DB'!$H:$H = Y28), 
        0
      )
    ), 
    "再製作"
  )
)
</f>
        <v/>
      </c>
      <c r="AA28" s="218" t="str">
        <f t="array" ref="AA28">IF(
  Y28 = 0, 
  "", 
  IFERROR(
    INDEX(
      'アイテム別限界値DB'!$L:$L, 
      MATCH(
        1, 
        ('アイテム別限界値DB'!$B:$B = X$10) * 
        ('アイテム別限界値DB'!$C:$C = X28) * 
        ('アイテム別限界値DB'!$F:$F = Y28), 
        0
      )
    ), 
    ""
  )
)
</f>
        <v/>
      </c>
      <c r="AB28" s="11"/>
      <c r="AC28" s="11" t="s">
        <v>83</v>
      </c>
      <c r="AD28" s="232"/>
      <c r="AE28" s="231" t="str">
        <f t="array" ref="AE28">IF(
  AD28 = 0, 
  "", 
  IFERROR(
    INDEX(
      'アイテム別限界値DB'!$K:$K, 
      MATCH(
        1, 
        ('アイテム別限界値DB'!$B:$B = AC$10) * 
        ('アイテム別限界値DB'!$F:$F = AC28) * 
        ('アイテム別限界値DB'!$H:$H = AD28), 
        0
      )
    ), 
    "再製作"
  )
)
</f>
        <v/>
      </c>
      <c r="AF28" s="218" t="str">
        <f t="array" ref="AF28">IF(
  AD28 = 0, 
  "", 
  IFERROR(
    INDEX(
      'アイテム別限界値DB'!$L:$L, 
      MATCH(
        1, 
        ('アイテム別限界値DB'!$B:$B = AC$10) * 
        ('アイテム別限界値DB'!$C:$C = AC28) * 
        ('アイテム別限界値DB'!$F:$F = AD28), 
        0
      )
    ), 
    ""
  )
)
</f>
        <v/>
      </c>
      <c r="AG28" s="11"/>
      <c r="AH28" s="11"/>
      <c r="AI28" s="220"/>
      <c r="AJ28" s="184"/>
      <c r="AK28" s="11"/>
      <c r="AL28" s="11"/>
      <c r="AM28" s="11"/>
      <c r="AN28" s="220"/>
      <c r="AO28" s="184"/>
      <c r="AP28" s="11"/>
      <c r="AQ28" s="11"/>
      <c r="AR28" s="11"/>
      <c r="AS28" s="220"/>
      <c r="AT28" s="184"/>
      <c r="AU28" s="11"/>
      <c r="AV28" s="11"/>
      <c r="AW28" s="11"/>
      <c r="AX28" s="220"/>
      <c r="AY28" s="184"/>
      <c r="AZ28" s="11"/>
      <c r="BA28" s="11"/>
      <c r="BB28" s="11"/>
      <c r="BC28" s="220"/>
      <c r="BD28" s="184"/>
      <c r="BE28" s="11"/>
      <c r="BF28" s="11"/>
      <c r="BG28" s="11"/>
      <c r="BH28" s="220"/>
      <c r="BI28" s="184"/>
      <c r="BJ28" s="11"/>
      <c r="BK28" s="11"/>
      <c r="BL28" s="11"/>
      <c r="BM28" s="220"/>
      <c r="BN28" s="184"/>
      <c r="BO28" s="11"/>
      <c r="BP28" s="11"/>
    </row>
    <row r="29" ht="15.75" customHeight="1">
      <c r="A29" s="228" t="str">
        <f>IF($S$11="再製作", "◼︎ チノ（対応着地：再製作）" &amp; char(10) &amp; "《修正数値》", IF($S$11&lt;&gt;"", "◼︎ チノ（対応着地：お直し）" &amp; char(10) &amp; "《修正数値》", ""))</f>
        <v/>
      </c>
      <c r="B29" s="160"/>
      <c r="C29" s="11"/>
      <c r="D29" s="11" t="s">
        <v>83</v>
      </c>
      <c r="E29" s="232"/>
      <c r="F29" s="231" t="str">
        <f t="array" ref="F29">IF(
  E29 = 0, 
  "", 
  IFERROR(
    INDEX(
      'アイテム別限界値DB'!$K:$K, 
      MATCH(
        1, 
        ('アイテム別限界値DB'!$B:$B = D$10) * 
        ('アイテム別限界値DB'!$F:$F = D29) * 
        ('アイテム別限界値DB'!$H:$H = E29), 
        0
      )
    ), 
    "再製作"
  )
)
</f>
        <v/>
      </c>
      <c r="G29" s="218" t="str">
        <f t="array" ref="G29">IF(
  E29 = 0, 
  "", 
  IFERROR(
    INDEX(
      'アイテム別限界値DB'!$L:$L, 
      MATCH(
        1, 
        ('アイテム別限界値DB'!$B:$B = D$10) * 
        ('アイテム別限界値DB'!$C:$C = D29) * 
        ('アイテム別限界値DB'!$F:$F = E29), 
        0
      )
    ), 
    ""
  )
)
</f>
        <v/>
      </c>
      <c r="H29" s="11"/>
      <c r="I29" s="11"/>
      <c r="J29" s="220"/>
      <c r="K29" s="184"/>
      <c r="L29" s="11"/>
      <c r="M29" s="11"/>
      <c r="N29" s="11"/>
      <c r="O29" s="220"/>
      <c r="P29" s="184"/>
      <c r="Q29" s="11"/>
      <c r="R29" s="12"/>
      <c r="S29" s="11"/>
      <c r="T29" s="220"/>
      <c r="U29" s="184"/>
      <c r="V29" s="11"/>
      <c r="W29" s="11"/>
      <c r="X29" s="11" t="s">
        <v>79</v>
      </c>
      <c r="Y29" s="232"/>
      <c r="Z29" s="231" t="str">
        <f t="array" ref="Z29">IF(
  Y29 = 0, 
  "", 
  IFERROR(
    INDEX(
      'アイテム別限界値DB'!$K:$K, 
      MATCH(
        1, 
        ('アイテム別限界値DB'!$B:$B = X$10) * 
        ('アイテム別限界値DB'!$F:$F = X29) * 
        ('アイテム別限界値DB'!$H:$H = Y29), 
        0
      )
    ), 
    "再製作"
  )
)
</f>
        <v/>
      </c>
      <c r="AA29" s="11"/>
      <c r="AB29" s="11"/>
      <c r="AC29" s="11" t="s">
        <v>105</v>
      </c>
      <c r="AD29" s="232"/>
      <c r="AE29" s="231" t="str">
        <f t="array" ref="AE29">IF(
  AD29 = 0, 
  "", 
  IFERROR(
    INDEX(
      'アイテム別限界値DB'!$K:$K, 
      MATCH(
        1, 
        ('アイテム別限界値DB'!$B:$B = AC$10) * 
        ('アイテム別限界値DB'!$F:$F = AC29) * 
        ('アイテム別限界値DB'!$H:$H = AD29), 
        0
      )
    ), 
    "再製作"
  )
)
</f>
        <v/>
      </c>
      <c r="AF29" s="11"/>
      <c r="AG29" s="11"/>
      <c r="AH29" s="11"/>
      <c r="AI29" s="220"/>
      <c r="AJ29" s="184"/>
      <c r="AK29" s="11"/>
      <c r="AL29" s="11"/>
      <c r="AM29" s="11"/>
      <c r="AN29" s="220"/>
      <c r="AO29" s="184"/>
      <c r="AP29" s="11"/>
      <c r="AQ29" s="11"/>
      <c r="AR29" s="11"/>
      <c r="AS29" s="220"/>
      <c r="AT29" s="184"/>
      <c r="AU29" s="11"/>
      <c r="AV29" s="11"/>
      <c r="AW29" s="11"/>
      <c r="AX29" s="220"/>
      <c r="AY29" s="184"/>
      <c r="AZ29" s="11"/>
      <c r="BA29" s="11"/>
      <c r="BB29" s="11"/>
      <c r="BC29" s="220"/>
      <c r="BD29" s="184"/>
      <c r="BE29" s="11"/>
      <c r="BF29" s="11"/>
      <c r="BG29" s="11"/>
      <c r="BH29" s="220"/>
      <c r="BI29" s="184"/>
      <c r="BJ29" s="11"/>
      <c r="BK29" s="11"/>
      <c r="BL29" s="11"/>
      <c r="BM29" s="220"/>
      <c r="BN29" s="184"/>
      <c r="BO29" s="11"/>
      <c r="BP29" s="11"/>
    </row>
    <row r="30" ht="15.75" customHeight="1">
      <c r="A30" s="228" t="str">
        <f>IFERROR(__xludf.DUMMYFUNCTION("TEXTJOIN(CHAR(10),TRUE,FILTER(ARRAYFORMULA(IF(T$14:T72&lt;&gt;"""", S$14:S72 &amp;"" : ""&amp; T$14:T72 &amp;"" cm"","""")), S$14:S72 &lt;&gt;""""))"),"")</f>
        <v/>
      </c>
      <c r="B30" s="229"/>
      <c r="C30" s="11"/>
      <c r="D30" s="11" t="s">
        <v>106</v>
      </c>
      <c r="E30" s="232"/>
      <c r="F30" s="231" t="str">
        <f t="array" ref="F30">IF(
  E30 = 0, 
  "", 
  IFERROR(
    INDEX(
      'アイテム別限界値DB'!$K:$K, 
      MATCH(
        1, 
        ('アイテム別限界値DB'!$B:$B = D$10) * 
        ('アイテム別限界値DB'!$F:$F = D30) * 
        ('アイテム別限界値DB'!$H:$H = E30), 
        0
      )
    ), 
    "再製作"
  )
)
</f>
        <v/>
      </c>
      <c r="G30" s="218" t="str">
        <f t="array" ref="G30">IF(
  E30 = 0, 
  "", 
  IFERROR(
    INDEX(
      'アイテム別限界値DB'!$L:$L, 
      MATCH(
        1, 
        ('アイテム別限界値DB'!$B:$B = D$10) * 
        ('アイテム別限界値DB'!$C:$C = D30) * 
        ('アイテム別限界値DB'!$F:$F = E30), 
        0
      )
    ), 
    ""
  )
)
</f>
        <v/>
      </c>
      <c r="H30" s="11"/>
      <c r="I30" s="11"/>
      <c r="J30" s="220"/>
      <c r="K30" s="184"/>
      <c r="L30" s="11"/>
      <c r="M30" s="11"/>
      <c r="N30" s="11"/>
      <c r="O30" s="220"/>
      <c r="P30" s="184"/>
      <c r="Q30" s="11"/>
      <c r="R30" s="12"/>
      <c r="S30" s="11"/>
      <c r="T30" s="220"/>
      <c r="U30" s="184"/>
      <c r="V30" s="11"/>
      <c r="W30" s="11"/>
      <c r="X30" s="11" t="s">
        <v>83</v>
      </c>
      <c r="Y30" s="232"/>
      <c r="Z30" s="231" t="str">
        <f t="array" ref="Z30">IF(
  Y30 = 0, 
  "", 
  IFERROR(
    INDEX(
      'アイテム別限界値DB'!$K:$K, 
      MATCH(
        1, 
        ('アイテム別限界値DB'!$B:$B = X$10) * 
        ('アイテム別限界値DB'!$F:$F = X30) * 
        ('アイテム別限界値DB'!$H:$H = Y30), 
        0
      )
    ), 
    "再製作"
  )
)
</f>
        <v/>
      </c>
      <c r="AA30" s="11"/>
      <c r="AB30" s="11"/>
      <c r="AC30" s="11"/>
      <c r="AD30" s="220"/>
      <c r="AE30" s="184"/>
      <c r="AF30" s="11"/>
      <c r="AG30" s="11"/>
      <c r="AH30" s="11"/>
      <c r="AI30" s="220"/>
      <c r="AJ30" s="184"/>
      <c r="AK30" s="11"/>
      <c r="AL30" s="11"/>
      <c r="AM30" s="11"/>
      <c r="AN30" s="220"/>
      <c r="AO30" s="184"/>
      <c r="AP30" s="11"/>
      <c r="AQ30" s="11"/>
      <c r="AR30" s="11"/>
      <c r="AS30" s="220"/>
      <c r="AT30" s="184"/>
      <c r="AU30" s="11"/>
      <c r="AV30" s="11"/>
      <c r="AW30" s="11"/>
      <c r="AX30" s="220"/>
      <c r="AY30" s="184"/>
      <c r="AZ30" s="11"/>
      <c r="BA30" s="11"/>
      <c r="BB30" s="11"/>
      <c r="BC30" s="220"/>
      <c r="BD30" s="184"/>
      <c r="BE30" s="11"/>
      <c r="BF30" s="11"/>
      <c r="BG30" s="11"/>
      <c r="BH30" s="220"/>
      <c r="BI30" s="184"/>
      <c r="BJ30" s="11"/>
      <c r="BK30" s="11"/>
      <c r="BL30" s="11"/>
      <c r="BM30" s="220"/>
      <c r="BN30" s="184"/>
      <c r="BO30" s="11"/>
      <c r="BP30" s="11"/>
    </row>
    <row r="31" ht="15.75" customHeight="1">
      <c r="A31" s="242" t="str">
        <f>if($A$29&lt;&gt;"", "《仕上がり数値》","")</f>
        <v/>
      </c>
      <c r="B31" s="12"/>
      <c r="C31" s="11"/>
      <c r="D31" s="11" t="s">
        <v>107</v>
      </c>
      <c r="E31" s="232"/>
      <c r="F31" s="231" t="str">
        <f t="array" ref="F31">IF(
  E31 = 0, 
  "", 
  IFERROR(
    INDEX(
      'アイテム別限界値DB'!$K:$K, 
      MATCH(
        1, 
        ('アイテム別限界値DB'!$B:$B = D$10) * 
        ('アイテム別限界値DB'!$F:$F = D31) * 
        ('アイテム別限界値DB'!$H:$H = E31), 
        0
      )
    ), 
    "再製作"
  )
)
</f>
        <v/>
      </c>
      <c r="G31" s="218" t="str">
        <f t="array" ref="G31">IF(
  E31 = 0, 
  "", 
  IFERROR(
    INDEX(
      'アイテム別限界値DB'!$L:$L, 
      MATCH(
        1, 
        ('アイテム別限界値DB'!$B:$B = D$10) * 
        ('アイテム別限界値DB'!$C:$C = D31) * 
        ('アイテム別限界値DB'!$F:$F = E31), 
        0
      )
    ), 
    ""
  )
)
</f>
        <v/>
      </c>
      <c r="H31" s="11"/>
      <c r="I31" s="11"/>
      <c r="J31" s="220"/>
      <c r="K31" s="184"/>
      <c r="L31" s="11"/>
      <c r="M31" s="11"/>
      <c r="N31" s="11"/>
      <c r="O31" s="220"/>
      <c r="P31" s="184"/>
      <c r="Q31" s="11"/>
      <c r="R31" s="12"/>
      <c r="S31" s="11"/>
      <c r="T31" s="220"/>
      <c r="U31" s="184"/>
      <c r="V31" s="11"/>
      <c r="W31" s="11"/>
      <c r="X31" s="11" t="s">
        <v>105</v>
      </c>
      <c r="Y31" s="232"/>
      <c r="Z31" s="231" t="str">
        <f t="array" ref="Z31">IF(
  Y31 = 0, 
  "", 
  IFERROR(
    INDEX(
      'アイテム別限界値DB'!$K:$K, 
      MATCH(
        1, 
        ('アイテム別限界値DB'!$B:$B = X$10) * 
        ('アイテム別限界値DB'!$F:$F = X31) * 
        ('アイテム別限界値DB'!$H:$H = Y31), 
        0
      )
    ), 
    "再製作"
  )
)
</f>
        <v/>
      </c>
      <c r="AA31" s="11"/>
      <c r="AB31" s="11"/>
      <c r="AC31" s="11"/>
      <c r="AD31" s="220"/>
      <c r="AE31" s="184"/>
      <c r="AF31" s="11"/>
      <c r="AG31" s="11"/>
      <c r="AH31" s="11"/>
      <c r="AI31" s="220"/>
      <c r="AJ31" s="184"/>
      <c r="AK31" s="11"/>
      <c r="AL31" s="11"/>
      <c r="AM31" s="11"/>
      <c r="AN31" s="220"/>
      <c r="AO31" s="184"/>
      <c r="AP31" s="11"/>
      <c r="AQ31" s="11"/>
      <c r="AR31" s="11"/>
      <c r="AS31" s="220"/>
      <c r="AT31" s="184"/>
      <c r="AU31" s="11"/>
      <c r="AV31" s="11"/>
      <c r="AW31" s="11"/>
      <c r="AX31" s="220"/>
      <c r="AY31" s="184"/>
      <c r="AZ31" s="11"/>
      <c r="BA31" s="11"/>
      <c r="BB31" s="11"/>
      <c r="BC31" s="220"/>
      <c r="BD31" s="184"/>
      <c r="BE31" s="11"/>
      <c r="BF31" s="11"/>
      <c r="BG31" s="11"/>
      <c r="BH31" s="220"/>
      <c r="BI31" s="184"/>
      <c r="BJ31" s="11"/>
      <c r="BK31" s="11"/>
      <c r="BL31" s="11"/>
      <c r="BM31" s="220"/>
      <c r="BN31" s="184"/>
      <c r="BO31" s="11"/>
      <c r="BP31" s="11"/>
    </row>
    <row r="32" ht="15.75" customHeight="1">
      <c r="A32" s="228" t="str">
        <f>IFERROR(__xludf.DUMMYFUNCTION("TEXTJOIN(CHAR(10),TRUE,FILTER(ARRAYFORMULA(IF(T$14:T72&lt;&gt;"""", S$14:S72 &amp;"" :  cm"","""")), S$14:S72 &lt;&gt;""""))"),"")</f>
        <v/>
      </c>
      <c r="B32" s="160"/>
      <c r="C32" s="11"/>
      <c r="D32" s="11" t="s">
        <v>108</v>
      </c>
      <c r="E32" s="230"/>
      <c r="F32" s="231" t="str">
        <f t="array" ref="F32">IF(
  E32 = 0, 
  "", 
  IFERROR(
    INDEX(
      'アイテム別限界値DB'!$K:$K, 
      MATCH(
        1, 
        ('アイテム別限界値DB'!$B:$B = D$10) * 
        ('アイテム別限界値DB'!$F:$F = D32) * 
        ('アイテム別限界値DB'!$H:$H = E32), 
        0
      )
    ), 
    "再製作"
  )
)
</f>
        <v/>
      </c>
      <c r="G32" s="218" t="str">
        <f t="array" ref="G32">IF(
  E32 = 0, 
  "", 
  IFERROR(
    INDEX(
      'アイテム別限界値DB'!$L:$L, 
      MATCH(
        1, 
        ('アイテム別限界値DB'!$B:$B = D$10) * 
        ('アイテム別限界値DB'!$C:$C = D32) * 
        ('アイテム別限界値DB'!$F:$F = E32), 
        0
      )
    ), 
    ""
  )
)
</f>
        <v/>
      </c>
      <c r="H32" s="11"/>
      <c r="I32" s="11"/>
      <c r="J32" s="220"/>
      <c r="K32" s="184"/>
      <c r="L32" s="11"/>
      <c r="M32" s="11"/>
      <c r="N32" s="11"/>
      <c r="O32" s="220"/>
      <c r="P32" s="184"/>
      <c r="Q32" s="11"/>
      <c r="R32" s="12"/>
      <c r="S32" s="11"/>
      <c r="T32" s="220"/>
      <c r="U32" s="184"/>
      <c r="V32" s="11"/>
      <c r="W32" s="11"/>
      <c r="X32" s="11"/>
      <c r="Y32" s="220"/>
      <c r="Z32" s="184"/>
      <c r="AA32" s="11"/>
      <c r="AB32" s="11"/>
      <c r="AC32" s="11"/>
      <c r="AD32" s="220"/>
      <c r="AE32" s="184"/>
      <c r="AF32" s="11"/>
      <c r="AG32" s="11"/>
      <c r="AH32" s="11"/>
      <c r="AI32" s="220"/>
      <c r="AJ32" s="184"/>
      <c r="AK32" s="11"/>
      <c r="AL32" s="11"/>
      <c r="AM32" s="11"/>
      <c r="AN32" s="220"/>
      <c r="AO32" s="184"/>
      <c r="AP32" s="11"/>
      <c r="AQ32" s="11"/>
      <c r="AR32" s="11"/>
      <c r="AS32" s="220"/>
      <c r="AT32" s="184"/>
      <c r="AU32" s="11"/>
      <c r="AV32" s="11"/>
      <c r="AW32" s="11"/>
      <c r="AX32" s="220"/>
      <c r="AY32" s="184"/>
      <c r="AZ32" s="11"/>
      <c r="BA32" s="11"/>
      <c r="BB32" s="11"/>
      <c r="BC32" s="220"/>
      <c r="BD32" s="184"/>
      <c r="BE32" s="11"/>
      <c r="BF32" s="11"/>
      <c r="BG32" s="11"/>
      <c r="BH32" s="220"/>
      <c r="BI32" s="184"/>
      <c r="BJ32" s="11"/>
      <c r="BK32" s="11"/>
      <c r="BL32" s="11"/>
      <c r="BM32" s="220"/>
      <c r="BN32" s="184"/>
      <c r="BO32" s="11"/>
      <c r="BP32" s="11"/>
    </row>
    <row r="33" ht="15.75" customHeight="1">
      <c r="A33" s="237" t="s">
        <v>109</v>
      </c>
      <c r="B33" s="229"/>
      <c r="C33" s="11"/>
      <c r="D33" s="11" t="s">
        <v>110</v>
      </c>
      <c r="E33" s="232"/>
      <c r="F33" s="231" t="str">
        <f t="array" ref="F33">IF(
  E33 = 0, 
  "", 
  IFERROR(
    INDEX(
      'アイテム別限界値DB'!$K:$K, 
      MATCH(
        1, 
        ('アイテム別限界値DB'!$B:$B = D$10) * 
        ('アイテム別限界値DB'!$F:$F = D33) * 
        ('アイテム別限界値DB'!$H:$H = E33), 
        0
      )
    ), 
    "再製作"
  )
)
</f>
        <v/>
      </c>
      <c r="G33" s="218" t="str">
        <f t="array" ref="G33">IF(
  E33 = 0, 
  "", 
  IFERROR(
    INDEX(
      'アイテム別限界値DB'!$L:$L, 
      MATCH(
        1, 
        ('アイテム別限界値DB'!$B:$B = D$10) * 
        ('アイテム別限界値DB'!$C:$C = D33) * 
        ('アイテム別限界値DB'!$F:$F = E33), 
        0
      )
    ), 
    ""
  )
)
</f>
        <v/>
      </c>
      <c r="H33" s="11"/>
      <c r="I33" s="11"/>
      <c r="J33" s="220"/>
      <c r="K33" s="184"/>
      <c r="L33" s="11"/>
      <c r="M33" s="11"/>
      <c r="N33" s="11"/>
      <c r="O33" s="220"/>
      <c r="P33" s="184"/>
      <c r="Q33" s="11"/>
      <c r="R33" s="12"/>
      <c r="S33" s="11"/>
      <c r="T33" s="220"/>
      <c r="U33" s="184"/>
      <c r="V33" s="11"/>
      <c r="W33" s="11"/>
      <c r="X33" s="11"/>
      <c r="Y33" s="220"/>
      <c r="Z33" s="184"/>
      <c r="AA33" s="11"/>
      <c r="AB33" s="11"/>
      <c r="AC33" s="11"/>
      <c r="AD33" s="220"/>
      <c r="AE33" s="184"/>
      <c r="AF33" s="11"/>
      <c r="AG33" s="11"/>
      <c r="AH33" s="11"/>
      <c r="AI33" s="220"/>
      <c r="AJ33" s="184"/>
      <c r="AK33" s="11"/>
      <c r="AL33" s="11"/>
      <c r="AM33" s="11"/>
      <c r="AN33" s="220"/>
      <c r="AO33" s="184"/>
      <c r="AP33" s="11"/>
      <c r="AQ33" s="11"/>
      <c r="AR33" s="11"/>
      <c r="AS33" s="220"/>
      <c r="AT33" s="184"/>
      <c r="AU33" s="11"/>
      <c r="AV33" s="11"/>
      <c r="AW33" s="11"/>
      <c r="AX33" s="220"/>
      <c r="AY33" s="184"/>
      <c r="AZ33" s="11"/>
      <c r="BA33" s="11"/>
      <c r="BB33" s="11"/>
      <c r="BC33" s="220"/>
      <c r="BD33" s="184"/>
      <c r="BE33" s="11"/>
      <c r="BF33" s="11"/>
      <c r="BG33" s="11"/>
      <c r="BH33" s="220"/>
      <c r="BI33" s="184"/>
      <c r="BJ33" s="11"/>
      <c r="BK33" s="11"/>
      <c r="BL33" s="11"/>
      <c r="BM33" s="220"/>
      <c r="BN33" s="184"/>
      <c r="BO33" s="11"/>
      <c r="BP33" s="11"/>
    </row>
    <row r="34" ht="15.75" customHeight="1">
      <c r="A34" s="228" t="str">
        <f>IF($X$11="再製作", "◼︎ シャツ（対応着地：再製作）" &amp; char(10) &amp; "《修正数値》" , IF($X$11&lt;&gt;"", "◼︎ シャツ（対応着地：お直し）" &amp; char(10) &amp; "《修正数値》", ""))</f>
        <v/>
      </c>
      <c r="B34" s="12"/>
      <c r="C34" s="11"/>
      <c r="D34" s="11" t="s">
        <v>111</v>
      </c>
      <c r="E34" s="230"/>
      <c r="F34" s="231" t="str">
        <f t="array" ref="F34">IF(
  E34 = 0, 
  "", 
  IFERROR(
    INDEX(
      'アイテム別限界値DB'!$K:$K, 
      MATCH(
        1, 
        ('アイテム別限界値DB'!$B:$B = D$10) * 
        ('アイテム別限界値DB'!$F:$F = D34) * 
        ('アイテム別限界値DB'!$H:$H = E34), 
        0
      )
    ), 
    "再製作"
  )
)
</f>
        <v/>
      </c>
      <c r="G34" s="218" t="str">
        <f t="array" ref="G34">IF(
  E34 = 0, 
  "", 
  IFERROR(
    INDEX(
      'アイテム別限界値DB'!$L:$L, 
      MATCH(
        1, 
        ('アイテム別限界値DB'!$B:$B = D$10) * 
        ('アイテム別限界値DB'!$C:$C = D34) * 
        ('アイテム別限界値DB'!$F:$F = E34), 
        0
      )
    ), 
    ""
  )
)
</f>
        <v/>
      </c>
      <c r="H34" s="11"/>
      <c r="I34" s="11"/>
      <c r="J34" s="220"/>
      <c r="K34" s="184"/>
      <c r="L34" s="11"/>
      <c r="M34" s="11"/>
      <c r="N34" s="11"/>
      <c r="O34" s="220"/>
      <c r="P34" s="184"/>
      <c r="Q34" s="11"/>
      <c r="R34" s="12"/>
      <c r="S34" s="11"/>
      <c r="T34" s="220"/>
      <c r="U34" s="184"/>
      <c r="V34" s="11"/>
      <c r="W34" s="11"/>
      <c r="X34" s="11"/>
      <c r="Y34" s="220"/>
      <c r="Z34" s="184"/>
      <c r="AA34" s="11"/>
      <c r="AB34" s="11"/>
      <c r="AC34" s="11"/>
      <c r="AD34" s="220"/>
      <c r="AE34" s="184"/>
      <c r="AF34" s="11"/>
      <c r="AG34" s="11"/>
      <c r="AH34" s="11"/>
      <c r="AI34" s="220"/>
      <c r="AJ34" s="184"/>
      <c r="AK34" s="11"/>
      <c r="AL34" s="11"/>
      <c r="AM34" s="11"/>
      <c r="AN34" s="220"/>
      <c r="AO34" s="184"/>
      <c r="AP34" s="11"/>
      <c r="AQ34" s="11"/>
      <c r="AR34" s="11"/>
      <c r="AS34" s="220"/>
      <c r="AT34" s="184"/>
      <c r="AU34" s="11"/>
      <c r="AV34" s="11"/>
      <c r="AW34" s="11"/>
      <c r="AX34" s="220"/>
      <c r="AY34" s="184"/>
      <c r="AZ34" s="11"/>
      <c r="BA34" s="11"/>
      <c r="BB34" s="11"/>
      <c r="BC34" s="220"/>
      <c r="BD34" s="184"/>
      <c r="BE34" s="11"/>
      <c r="BF34" s="11"/>
      <c r="BG34" s="11"/>
      <c r="BH34" s="220"/>
      <c r="BI34" s="184"/>
      <c r="BJ34" s="11"/>
      <c r="BK34" s="11"/>
      <c r="BL34" s="11"/>
      <c r="BM34" s="220"/>
      <c r="BN34" s="184"/>
      <c r="BO34" s="11"/>
      <c r="BP34" s="11"/>
    </row>
    <row r="35" ht="15.75" customHeight="1">
      <c r="A35" s="228" t="str">
        <f>IFERROR(__xludf.DUMMYFUNCTION("TEXTJOIN(CHAR(10),TRUE,FILTER(ARRAYFORMULA(IF(Y$14:Y72&lt;&gt;"""", X$14:X72 &amp;"" : ""&amp; Y$14:Y72 &amp;"" cm"","""")), X$14:X72 &lt;&gt;""""))"),"")</f>
        <v/>
      </c>
      <c r="B35" s="160"/>
      <c r="C35" s="11"/>
      <c r="D35" s="11" t="s">
        <v>112</v>
      </c>
      <c r="E35" s="232"/>
      <c r="F35" s="231" t="str">
        <f t="array" ref="F35">IF(
  E35 = 0, 
  "", 
  IFERROR(
    INDEX(
      'アイテム別限界値DB'!$K:$K, 
      MATCH(
        1, 
        ('アイテム別限界値DB'!$B:$B = D$10) * 
        ('アイテム別限界値DB'!$F:$F = D35) * 
        ('アイテム別限界値DB'!$H:$H = E35), 
        0
      )
    ), 
    "再製作"
  )
)
</f>
        <v/>
      </c>
      <c r="G35" s="218" t="str">
        <f t="array" ref="G35">IF(
  E35 = 0, 
  "", 
  IFERROR(
    INDEX(
      'アイテム別限界値DB'!$L:$L, 
      MATCH(
        1, 
        ('アイテム別限界値DB'!$B:$B = D$10) * 
        ('アイテム別限界値DB'!$C:$C = D35) * 
        ('アイテム別限界値DB'!$F:$F = E35), 
        0
      )
    ), 
    ""
  )
)
</f>
        <v/>
      </c>
      <c r="H35" s="11"/>
      <c r="I35" s="11"/>
      <c r="J35" s="220"/>
      <c r="K35" s="184"/>
      <c r="L35" s="11"/>
      <c r="M35" s="11"/>
      <c r="N35" s="11"/>
      <c r="O35" s="220"/>
      <c r="P35" s="184"/>
      <c r="Q35" s="11"/>
      <c r="R35" s="12"/>
      <c r="S35" s="11"/>
      <c r="T35" s="220"/>
      <c r="U35" s="184"/>
      <c r="V35" s="11"/>
      <c r="W35" s="11"/>
      <c r="X35" s="11"/>
      <c r="Y35" s="220"/>
      <c r="Z35" s="184"/>
      <c r="AA35" s="11"/>
      <c r="AB35" s="11"/>
      <c r="AC35" s="11"/>
      <c r="AD35" s="220"/>
      <c r="AE35" s="184"/>
      <c r="AF35" s="11"/>
      <c r="AG35" s="11"/>
      <c r="AH35" s="11"/>
      <c r="AI35" s="220"/>
      <c r="AJ35" s="184"/>
      <c r="AK35" s="11"/>
      <c r="AL35" s="11"/>
      <c r="AM35" s="11"/>
      <c r="AN35" s="220"/>
      <c r="AO35" s="184"/>
      <c r="AP35" s="11"/>
      <c r="AQ35" s="11"/>
      <c r="AR35" s="11"/>
      <c r="AS35" s="220"/>
      <c r="AT35" s="184"/>
      <c r="AU35" s="11"/>
      <c r="AV35" s="11"/>
      <c r="AW35" s="11"/>
      <c r="AX35" s="220"/>
      <c r="AY35" s="184"/>
      <c r="AZ35" s="11"/>
      <c r="BA35" s="11"/>
      <c r="BB35" s="11"/>
      <c r="BC35" s="220"/>
      <c r="BD35" s="184"/>
      <c r="BE35" s="11"/>
      <c r="BF35" s="11"/>
      <c r="BG35" s="11"/>
      <c r="BH35" s="220"/>
      <c r="BI35" s="184"/>
      <c r="BJ35" s="11"/>
      <c r="BK35" s="11"/>
      <c r="BL35" s="11"/>
      <c r="BM35" s="220"/>
      <c r="BN35" s="184"/>
      <c r="BO35" s="11"/>
      <c r="BP35" s="11"/>
    </row>
    <row r="36" ht="15.75" customHeight="1">
      <c r="A36" s="236" t="str">
        <f>if($A$34&lt;&gt;"", "《仕上がり数値》","")</f>
        <v/>
      </c>
      <c r="B36" s="229"/>
      <c r="C36" s="11"/>
      <c r="D36" s="11" t="s">
        <v>113</v>
      </c>
      <c r="E36" s="230"/>
      <c r="F36" s="231" t="str">
        <f t="array" ref="F36">IF(
  E36 = 0, 
  "", 
  IFERROR(
    INDEX(
      'アイテム別限界値DB'!$K:$K, 
      MATCH(
        1, 
        ('アイテム別限界値DB'!$B:$B = D$10) * 
        ('アイテム別限界値DB'!$F:$F = D36) * 
        ('アイテム別限界値DB'!$H:$H = E36), 
        0
      )
    ), 
    "再製作"
  )
)
</f>
        <v/>
      </c>
      <c r="G36" s="218" t="str">
        <f t="array" ref="G36">IF(
  E36 = 0, 
  "", 
  IFERROR(
    INDEX(
      'アイテム別限界値DB'!$L:$L, 
      MATCH(
        1, 
        ('アイテム別限界値DB'!$B:$B = D$10) * 
        ('アイテム別限界値DB'!$C:$C = D36) * 
        ('アイテム別限界値DB'!$F:$F = E36), 
        0
      )
    ), 
    ""
  )
)
</f>
        <v/>
      </c>
      <c r="H36" s="11"/>
      <c r="I36" s="11"/>
      <c r="J36" s="220"/>
      <c r="K36" s="184"/>
      <c r="L36" s="11"/>
      <c r="M36" s="11"/>
      <c r="N36" s="11"/>
      <c r="O36" s="220"/>
      <c r="P36" s="184"/>
      <c r="Q36" s="11"/>
      <c r="R36" s="12"/>
      <c r="S36" s="11"/>
      <c r="T36" s="220"/>
      <c r="U36" s="184"/>
      <c r="V36" s="11"/>
      <c r="W36" s="11"/>
      <c r="X36" s="11"/>
      <c r="Y36" s="220"/>
      <c r="Z36" s="184"/>
      <c r="AA36" s="11"/>
      <c r="AB36" s="11"/>
      <c r="AC36" s="11"/>
      <c r="AD36" s="220"/>
      <c r="AE36" s="184"/>
      <c r="AF36" s="11"/>
      <c r="AG36" s="11"/>
      <c r="AH36" s="11"/>
      <c r="AI36" s="220"/>
      <c r="AJ36" s="184"/>
      <c r="AK36" s="11"/>
      <c r="AL36" s="11"/>
      <c r="AM36" s="11"/>
      <c r="AN36" s="220"/>
      <c r="AO36" s="184"/>
      <c r="AP36" s="11"/>
      <c r="AQ36" s="11"/>
      <c r="AR36" s="11"/>
      <c r="AS36" s="220"/>
      <c r="AT36" s="184"/>
      <c r="AU36" s="11"/>
      <c r="AV36" s="11"/>
      <c r="AW36" s="11"/>
      <c r="AX36" s="220"/>
      <c r="AY36" s="184"/>
      <c r="AZ36" s="11"/>
      <c r="BA36" s="11"/>
      <c r="BB36" s="11"/>
      <c r="BC36" s="220"/>
      <c r="BD36" s="184"/>
      <c r="BE36" s="11"/>
      <c r="BF36" s="11"/>
      <c r="BG36" s="11"/>
      <c r="BH36" s="220"/>
      <c r="BI36" s="184"/>
      <c r="BJ36" s="11"/>
      <c r="BK36" s="11"/>
      <c r="BL36" s="11"/>
      <c r="BM36" s="220"/>
      <c r="BN36" s="184"/>
      <c r="BO36" s="11"/>
      <c r="BP36" s="11"/>
    </row>
    <row r="37">
      <c r="A37" s="228" t="str">
        <f>IFERROR(__xludf.DUMMYFUNCTION("TEXTJOIN(CHAR(10),TRUE,FILTER(ARRAYFORMULA(IF(Y$14:Y72&lt;&gt;"""", X$14:X72 &amp;"" :  cm"","""")), X$14:X72 &lt;&gt;""""))"),"")</f>
        <v/>
      </c>
      <c r="B37" s="12"/>
      <c r="C37" s="11"/>
      <c r="D37" s="11" t="s">
        <v>114</v>
      </c>
      <c r="E37" s="232"/>
      <c r="F37" s="231" t="str">
        <f t="array" ref="F37">IF(
  E37 = 0, 
  "", 
  IFERROR(
    INDEX(
      'アイテム別限界値DB'!$K:$K, 
      MATCH(
        1, 
        ('アイテム別限界値DB'!$B:$B = D$10) * 
        ('アイテム別限界値DB'!$F:$F = D37) * 
        ('アイテム別限界値DB'!$H:$H = E37), 
        0
      )
    ), 
    "再製作"
  )
)
</f>
        <v/>
      </c>
      <c r="G37" s="218" t="str">
        <f t="array" ref="G37">IF(
  E37 = 0, 
  "", 
  IFERROR(
    INDEX(
      'アイテム別限界値DB'!$L:$L, 
      MATCH(
        1, 
        ('アイテム別限界値DB'!$B:$B = D$10) * 
        ('アイテム別限界値DB'!$C:$C = D37) * 
        ('アイテム別限界値DB'!$F:$F = E37), 
        0
      )
    ), 
    ""
  )
)
</f>
        <v/>
      </c>
      <c r="H37" s="11"/>
      <c r="I37" s="11"/>
      <c r="J37" s="220"/>
      <c r="K37" s="184"/>
      <c r="L37" s="11"/>
      <c r="M37" s="11"/>
      <c r="N37" s="11"/>
      <c r="O37" s="220"/>
      <c r="P37" s="184"/>
      <c r="Q37" s="11"/>
      <c r="R37" s="12"/>
      <c r="S37" s="11"/>
      <c r="T37" s="220"/>
      <c r="U37" s="184"/>
      <c r="V37" s="11"/>
      <c r="W37" s="11"/>
      <c r="X37" s="11"/>
      <c r="Y37" s="220"/>
      <c r="Z37" s="184"/>
      <c r="AA37" s="11"/>
      <c r="AB37" s="11"/>
      <c r="AC37" s="11"/>
      <c r="AD37" s="220"/>
      <c r="AE37" s="184"/>
      <c r="AF37" s="11"/>
      <c r="AG37" s="11"/>
      <c r="AH37" s="11"/>
      <c r="AI37" s="220"/>
      <c r="AJ37" s="184"/>
      <c r="AK37" s="11"/>
      <c r="AL37" s="11"/>
      <c r="AM37" s="11"/>
      <c r="AN37" s="220"/>
      <c r="AO37" s="184"/>
      <c r="AP37" s="11"/>
      <c r="AQ37" s="11"/>
      <c r="AR37" s="11"/>
      <c r="AS37" s="220"/>
      <c r="AT37" s="184"/>
      <c r="AU37" s="11"/>
      <c r="AV37" s="11"/>
      <c r="AW37" s="11"/>
      <c r="AX37" s="220"/>
      <c r="AY37" s="184"/>
      <c r="AZ37" s="11"/>
      <c r="BA37" s="11"/>
      <c r="BB37" s="11"/>
      <c r="BC37" s="220"/>
      <c r="BD37" s="184"/>
      <c r="BE37" s="11"/>
      <c r="BF37" s="11"/>
      <c r="BG37" s="11"/>
      <c r="BH37" s="220"/>
      <c r="BI37" s="184"/>
      <c r="BJ37" s="11"/>
      <c r="BK37" s="11"/>
      <c r="BL37" s="11"/>
      <c r="BM37" s="220"/>
      <c r="BN37" s="184"/>
      <c r="BO37" s="11"/>
      <c r="BP37" s="11"/>
    </row>
    <row r="38">
      <c r="A38" s="243" t="s">
        <v>115</v>
      </c>
      <c r="B38" s="160"/>
      <c r="C38" s="11"/>
      <c r="D38" s="11" t="s">
        <v>116</v>
      </c>
      <c r="E38" s="232"/>
      <c r="F38" s="231" t="str">
        <f t="array" ref="F38">IF(
  E38 = 0, 
  "", 
  IFERROR(
    INDEX(
      'アイテム別限界値DB'!$K:$K, 
      MATCH(
        1, 
        ('アイテム別限界値DB'!$B:$B = D$10) * 
        ('アイテム別限界値DB'!$F:$F = D38) * 
        ('アイテム別限界値DB'!$H:$H = E38), 
        0
      )
    ), 
    "再製作"
  )
)
</f>
        <v/>
      </c>
      <c r="G38" s="218" t="str">
        <f t="array" ref="G38">IF(
  E38 = 0, 
  "", 
  IFERROR(
    INDEX(
      'アイテム別限界値DB'!$L:$L, 
      MATCH(
        1, 
        ('アイテム別限界値DB'!$B:$B = D$10) * 
        ('アイテム別限界値DB'!$C:$C = D38) * 
        ('アイテム別限界値DB'!$F:$F = E38), 
        0
      )
    ), 
    ""
  )
)
</f>
        <v/>
      </c>
      <c r="H38" s="11"/>
      <c r="I38" s="11"/>
      <c r="J38" s="220"/>
      <c r="K38" s="184"/>
      <c r="L38" s="11"/>
      <c r="M38" s="11"/>
      <c r="N38" s="11"/>
      <c r="O38" s="220"/>
      <c r="P38" s="184"/>
      <c r="Q38" s="11"/>
      <c r="R38" s="12"/>
      <c r="S38" s="11"/>
      <c r="T38" s="220"/>
      <c r="U38" s="184"/>
      <c r="V38" s="11"/>
      <c r="W38" s="11"/>
      <c r="X38" s="11"/>
      <c r="Y38" s="220"/>
      <c r="Z38" s="184"/>
      <c r="AA38" s="11"/>
      <c r="AB38" s="11"/>
      <c r="AC38" s="11"/>
      <c r="AD38" s="220"/>
      <c r="AE38" s="184"/>
      <c r="AF38" s="11"/>
      <c r="AG38" s="11"/>
      <c r="AH38" s="11"/>
      <c r="AI38" s="220"/>
      <c r="AJ38" s="184"/>
      <c r="AK38" s="11"/>
      <c r="AL38" s="11"/>
      <c r="AM38" s="11"/>
      <c r="AN38" s="220"/>
      <c r="AO38" s="184"/>
      <c r="AP38" s="11"/>
      <c r="AQ38" s="11"/>
      <c r="AR38" s="11"/>
      <c r="AS38" s="220"/>
      <c r="AT38" s="184"/>
      <c r="AU38" s="11"/>
      <c r="AV38" s="11"/>
      <c r="AW38" s="11"/>
      <c r="AX38" s="220"/>
      <c r="AY38" s="184"/>
      <c r="AZ38" s="11"/>
      <c r="BA38" s="11"/>
      <c r="BB38" s="11"/>
      <c r="BC38" s="220"/>
      <c r="BD38" s="184"/>
      <c r="BE38" s="11"/>
      <c r="BF38" s="11"/>
      <c r="BG38" s="11"/>
      <c r="BH38" s="220"/>
      <c r="BI38" s="184"/>
      <c r="BJ38" s="11"/>
      <c r="BK38" s="11"/>
      <c r="BL38" s="11"/>
      <c r="BM38" s="220"/>
      <c r="BN38" s="184"/>
      <c r="BO38" s="11"/>
      <c r="BP38" s="11"/>
    </row>
    <row r="39">
      <c r="A39" s="228" t="str">
        <f>IF( $AC$11 = "再製作", "◼︎ ポロシャツ（対応着地：再製作）" &amp; char(10) &amp; "《修正数値》" , IF($AC$11 &lt;&gt; "", "◼︎ ポロシャツ（対応着地：お直し）" &amp; char(10) &amp; "《修正数値》" , ""))</f>
        <v/>
      </c>
      <c r="B39" s="229"/>
      <c r="C39" s="11"/>
      <c r="D39" s="11" t="s">
        <v>117</v>
      </c>
      <c r="E39" s="230"/>
      <c r="F39" s="231" t="str">
        <f t="array" ref="F39">IF(
  E39 = 0, 
  "", 
  IFERROR(
    INDEX(
      'アイテム別限界値DB'!$I:$I, 
      MATCH(
        1, 
        ('アイテム別限界値DB'!$B:$B = D$10) * 
        ('アイテム別限界値DB'!$C:$C = D39) * 
        ('アイテム別限界値DB'!$F:$F = E39), 
        0
      )
    ), 
    "再製作"
  )
)
</f>
        <v/>
      </c>
      <c r="G39" s="218" t="str">
        <f t="array" ref="G39">IF(
  E39 = 0, 
  "", 
  IFERROR(
    INDEX(
      'アイテム別限界値DB'!$L:$L, 
      MATCH(
        1, 
        ('アイテム別限界値DB'!$B:$B = D$10) * 
        ('アイテム別限界値DB'!$C:$C = D39) * 
        ('アイテム別限界値DB'!$F:$F = E39), 
        0
      )
    ), 
    ""
  )
)
</f>
        <v/>
      </c>
      <c r="H39" s="11"/>
      <c r="I39" s="11"/>
      <c r="J39" s="220"/>
      <c r="K39" s="184"/>
      <c r="L39" s="11"/>
      <c r="M39" s="11"/>
      <c r="N39" s="11"/>
      <c r="O39" s="220"/>
      <c r="P39" s="184"/>
      <c r="Q39" s="11"/>
      <c r="R39" s="12"/>
      <c r="S39" s="11"/>
      <c r="T39" s="220"/>
      <c r="U39" s="184"/>
      <c r="V39" s="11"/>
      <c r="W39" s="11"/>
      <c r="X39" s="11"/>
      <c r="Y39" s="220"/>
      <c r="Z39" s="184"/>
      <c r="AA39" s="11"/>
      <c r="AB39" s="11"/>
      <c r="AC39" s="11"/>
      <c r="AD39" s="220"/>
      <c r="AE39" s="184"/>
      <c r="AF39" s="11"/>
      <c r="AG39" s="11"/>
      <c r="AH39" s="11"/>
      <c r="AI39" s="220"/>
      <c r="AJ39" s="184"/>
      <c r="AK39" s="11"/>
      <c r="AL39" s="11"/>
      <c r="AM39" s="11"/>
      <c r="AN39" s="220"/>
      <c r="AO39" s="184"/>
      <c r="AP39" s="11"/>
      <c r="AQ39" s="11"/>
      <c r="AR39" s="11"/>
      <c r="AS39" s="220"/>
      <c r="AT39" s="184"/>
      <c r="AU39" s="11"/>
      <c r="AV39" s="11"/>
      <c r="AW39" s="11"/>
      <c r="AX39" s="220"/>
      <c r="AY39" s="184"/>
      <c r="AZ39" s="11"/>
      <c r="BA39" s="11"/>
      <c r="BB39" s="11"/>
      <c r="BC39" s="220"/>
      <c r="BD39" s="184"/>
      <c r="BE39" s="11"/>
      <c r="BF39" s="11"/>
      <c r="BG39" s="11"/>
      <c r="BH39" s="220"/>
      <c r="BI39" s="184"/>
      <c r="BJ39" s="11"/>
      <c r="BK39" s="11"/>
      <c r="BL39" s="11"/>
      <c r="BM39" s="220"/>
      <c r="BN39" s="184"/>
      <c r="BO39" s="11"/>
      <c r="BP39" s="11"/>
    </row>
    <row r="40">
      <c r="A40" s="228" t="str">
        <f>IFERROR(__xludf.DUMMYFUNCTION("TEXTJOIN(CHAR(10),TRUE,FILTER(ARRAYFORMULA(IF(AD$14:AD72&lt;&gt;"""",AC$14:AC72&amp;"" : ""&amp; AD$14:AD72 &amp;"" cm"","""")), AC$14:AC72 &lt;&gt;""""))"),"")</f>
        <v/>
      </c>
      <c r="B40" s="12"/>
      <c r="C40" s="11"/>
      <c r="D40" s="11" t="s">
        <v>118</v>
      </c>
      <c r="E40" s="232"/>
      <c r="F40" s="231" t="str">
        <f t="array" ref="F40">IF(
  E40 = 0, 
  "", 
  IFERROR(
    INDEX(
      'アイテム別限界値DB'!$I:$I, 
      MATCH(
        1, 
        ('アイテム別限界値DB'!$B:$B = D$10) * 
        ('アイテム別限界値DB'!$C:$C = D40) * 
        ('アイテム別限界値DB'!$F:$F = E40), 
        0
      )
    ), 
    "再製作"
  )
)
</f>
        <v/>
      </c>
      <c r="G40" s="121"/>
      <c r="H40" s="11"/>
      <c r="I40" s="11"/>
      <c r="J40" s="220"/>
      <c r="K40" s="184"/>
      <c r="L40" s="11"/>
      <c r="M40" s="11"/>
      <c r="N40" s="11"/>
      <c r="O40" s="220"/>
      <c r="P40" s="184"/>
      <c r="Q40" s="11"/>
      <c r="R40" s="12"/>
      <c r="S40" s="11"/>
      <c r="T40" s="220"/>
      <c r="U40" s="184"/>
      <c r="V40" s="11"/>
      <c r="W40" s="11"/>
      <c r="X40" s="11"/>
      <c r="Y40" s="220"/>
      <c r="Z40" s="184"/>
      <c r="AA40" s="11"/>
      <c r="AB40" s="11"/>
      <c r="AC40" s="11"/>
      <c r="AD40" s="220"/>
      <c r="AE40" s="184"/>
      <c r="AF40" s="11"/>
      <c r="AG40" s="11"/>
      <c r="AH40" s="11"/>
      <c r="AI40" s="220"/>
      <c r="AJ40" s="184"/>
      <c r="AK40" s="11"/>
      <c r="AL40" s="11"/>
      <c r="AM40" s="11"/>
      <c r="AN40" s="220"/>
      <c r="AO40" s="184"/>
      <c r="AP40" s="11"/>
      <c r="AQ40" s="11"/>
      <c r="AR40" s="11"/>
      <c r="AS40" s="220"/>
      <c r="AT40" s="184"/>
      <c r="AU40" s="11"/>
      <c r="AV40" s="11"/>
      <c r="AW40" s="11"/>
      <c r="AX40" s="220"/>
      <c r="AY40" s="184"/>
      <c r="AZ40" s="11"/>
      <c r="BA40" s="11"/>
      <c r="BB40" s="11"/>
      <c r="BC40" s="220"/>
      <c r="BD40" s="184"/>
      <c r="BE40" s="11"/>
      <c r="BF40" s="11"/>
      <c r="BG40" s="11"/>
      <c r="BH40" s="220"/>
      <c r="BI40" s="184"/>
      <c r="BJ40" s="11"/>
      <c r="BK40" s="11"/>
      <c r="BL40" s="11"/>
      <c r="BM40" s="220"/>
      <c r="BN40" s="184"/>
      <c r="BO40" s="11"/>
      <c r="BP40" s="11"/>
    </row>
    <row r="41">
      <c r="A41" s="244" t="str">
        <f>if($A$39&lt;&gt;"", "《仕上がり数値》","")</f>
        <v/>
      </c>
      <c r="B41" s="160"/>
      <c r="C41" s="11"/>
      <c r="D41" s="11" t="s">
        <v>119</v>
      </c>
      <c r="E41" s="230"/>
      <c r="F41" s="231" t="str">
        <f t="array" ref="F41">IF(
  E41 = 0, 
  "", 
  IFERROR(
    INDEX(
      'アイテム別限界値DB'!$I:$I, 
      MATCH(
        1, 
        ('アイテム別限界値DB'!$B:$B = D$10) * 
        ('アイテム別限界値DB'!$C:$C = D41) * 
        ('アイテム別限界値DB'!$F:$F = E41), 
        0
      )
    ), 
    "再製作"
  )
)
</f>
        <v/>
      </c>
      <c r="G41" s="195"/>
      <c r="H41" s="11"/>
      <c r="I41" s="11"/>
      <c r="J41" s="220"/>
      <c r="K41" s="184"/>
      <c r="L41" s="11"/>
      <c r="M41" s="11"/>
      <c r="N41" s="11"/>
      <c r="O41" s="220"/>
      <c r="P41" s="184"/>
      <c r="Q41" s="11"/>
      <c r="R41" s="12"/>
      <c r="S41" s="11"/>
      <c r="T41" s="220"/>
      <c r="U41" s="184"/>
      <c r="V41" s="11"/>
      <c r="W41" s="11"/>
      <c r="X41" s="11"/>
      <c r="Y41" s="220"/>
      <c r="Z41" s="184"/>
      <c r="AA41" s="11"/>
      <c r="AB41" s="11"/>
      <c r="AC41" s="11"/>
      <c r="AD41" s="220"/>
      <c r="AE41" s="184"/>
      <c r="AF41" s="11"/>
      <c r="AG41" s="11"/>
      <c r="AH41" s="11"/>
      <c r="AI41" s="220"/>
      <c r="AJ41" s="184"/>
      <c r="AK41" s="11"/>
      <c r="AL41" s="11"/>
      <c r="AM41" s="11"/>
      <c r="AN41" s="220"/>
      <c r="AO41" s="184"/>
      <c r="AP41" s="11"/>
      <c r="AQ41" s="11"/>
      <c r="AR41" s="11"/>
      <c r="AS41" s="220"/>
      <c r="AT41" s="184"/>
      <c r="AU41" s="11"/>
      <c r="AV41" s="11"/>
      <c r="AW41" s="11"/>
      <c r="AX41" s="220"/>
      <c r="AY41" s="184"/>
      <c r="AZ41" s="11"/>
      <c r="BA41" s="11"/>
      <c r="BB41" s="11"/>
      <c r="BC41" s="220"/>
      <c r="BD41" s="184"/>
      <c r="BE41" s="11"/>
      <c r="BF41" s="11"/>
      <c r="BG41" s="11"/>
      <c r="BH41" s="220"/>
      <c r="BI41" s="184"/>
      <c r="BJ41" s="11"/>
      <c r="BK41" s="11"/>
      <c r="BL41" s="11"/>
      <c r="BM41" s="220"/>
      <c r="BN41" s="184"/>
      <c r="BO41" s="11"/>
      <c r="BP41" s="11"/>
    </row>
    <row r="42">
      <c r="A42" s="228" t="str">
        <f>IFERROR(__xludf.DUMMYFUNCTION("TEXTJOIN(CHAR(10),TRUE,FILTER(ARRAYFORMULA(IF(AD$14:AD72&lt;&gt;"""",AC$14:AC72&amp;"" :  cm"","""")), AC$14:AC72 &lt;&gt;""""))"),"")</f>
        <v/>
      </c>
      <c r="B42" s="229"/>
      <c r="C42" s="11"/>
      <c r="D42" s="11" t="s">
        <v>120</v>
      </c>
      <c r="E42" s="230"/>
      <c r="F42" s="231" t="str">
        <f t="array" ref="F42">IF(
  E42 = 0, 
  "", 
  IFERROR(
    INDEX(
      'アイテム別限界値DB'!$I:$I, 
      MATCH(
        1, 
        ('アイテム別限界値DB'!$B:$B = D$10) * 
        ('アイテム別限界値DB'!$C:$C = D42) * 
        ('アイテム別限界値DB'!$F:$F = E42), 
        0
      )
    ), 
    "再製作"
  )
)
</f>
        <v/>
      </c>
      <c r="G42" s="195"/>
      <c r="H42" s="11"/>
      <c r="I42" s="11"/>
      <c r="J42" s="220"/>
      <c r="K42" s="184"/>
      <c r="L42" s="11"/>
      <c r="M42" s="11"/>
      <c r="N42" s="11"/>
      <c r="O42" s="220"/>
      <c r="P42" s="184"/>
      <c r="Q42" s="11"/>
      <c r="R42" s="12"/>
      <c r="S42" s="11"/>
      <c r="T42" s="220"/>
      <c r="U42" s="184"/>
      <c r="V42" s="11"/>
      <c r="W42" s="11"/>
      <c r="X42" s="11"/>
      <c r="Y42" s="220"/>
      <c r="Z42" s="184"/>
      <c r="AA42" s="11"/>
      <c r="AB42" s="11"/>
      <c r="AC42" s="11"/>
      <c r="AD42" s="220"/>
      <c r="AE42" s="184"/>
      <c r="AF42" s="11"/>
      <c r="AG42" s="11"/>
      <c r="AH42" s="11"/>
      <c r="AI42" s="220"/>
      <c r="AJ42" s="184"/>
      <c r="AK42" s="11"/>
      <c r="AL42" s="11"/>
      <c r="AM42" s="11"/>
      <c r="AN42" s="220"/>
      <c r="AO42" s="184"/>
      <c r="AP42" s="11"/>
      <c r="AQ42" s="11"/>
      <c r="AR42" s="11"/>
      <c r="AS42" s="220"/>
      <c r="AT42" s="184"/>
      <c r="AU42" s="11"/>
      <c r="AV42" s="11"/>
      <c r="AW42" s="11"/>
      <c r="AX42" s="220"/>
      <c r="AY42" s="184"/>
      <c r="AZ42" s="11"/>
      <c r="BA42" s="11"/>
      <c r="BB42" s="11"/>
      <c r="BC42" s="220"/>
      <c r="BD42" s="184"/>
      <c r="BE42" s="11"/>
      <c r="BF42" s="11"/>
      <c r="BG42" s="11"/>
      <c r="BH42" s="220"/>
      <c r="BI42" s="184"/>
      <c r="BJ42" s="11"/>
      <c r="BK42" s="11"/>
      <c r="BL42" s="11"/>
      <c r="BM42" s="220"/>
      <c r="BN42" s="184"/>
      <c r="BO42" s="11"/>
      <c r="BP42" s="11"/>
    </row>
    <row r="43">
      <c r="A43" s="222" t="s">
        <v>121</v>
      </c>
      <c r="B43" s="185"/>
      <c r="C43" s="11"/>
      <c r="D43" s="11"/>
      <c r="E43" s="220"/>
      <c r="F43" s="220"/>
      <c r="G43" s="220"/>
      <c r="H43" s="11"/>
      <c r="I43" s="11"/>
      <c r="J43" s="220"/>
      <c r="K43" s="184"/>
      <c r="L43" s="184"/>
      <c r="M43" s="11"/>
      <c r="N43" s="11"/>
      <c r="O43" s="195"/>
      <c r="P43" s="11"/>
      <c r="Q43" s="11"/>
      <c r="R43" s="12"/>
      <c r="S43" s="11"/>
      <c r="T43" s="220"/>
      <c r="U43" s="184"/>
      <c r="V43" s="184"/>
      <c r="W43" s="11"/>
      <c r="X43" s="11"/>
      <c r="Y43" s="220"/>
      <c r="Z43" s="184"/>
      <c r="AA43" s="184"/>
      <c r="AB43" s="11"/>
      <c r="AC43" s="11"/>
      <c r="AD43" s="220"/>
      <c r="AE43" s="184"/>
      <c r="AF43" s="184"/>
      <c r="AG43" s="11"/>
      <c r="AH43" s="11"/>
      <c r="AI43" s="220"/>
      <c r="AJ43" s="184"/>
      <c r="AK43" s="184"/>
      <c r="AL43" s="11"/>
      <c r="AM43" s="11"/>
      <c r="AN43" s="220"/>
      <c r="AO43" s="184"/>
      <c r="AP43" s="184"/>
      <c r="AQ43" s="11"/>
      <c r="AR43" s="11"/>
      <c r="AS43" s="220"/>
      <c r="AT43" s="184"/>
      <c r="AU43" s="184"/>
      <c r="AV43" s="11"/>
      <c r="AW43" s="11"/>
      <c r="AX43" s="220"/>
      <c r="AY43" s="184"/>
      <c r="AZ43" s="184"/>
      <c r="BA43" s="11"/>
      <c r="BB43" s="11"/>
      <c r="BC43" s="220"/>
      <c r="BD43" s="184"/>
      <c r="BE43" s="184"/>
      <c r="BF43" s="11"/>
      <c r="BG43" s="11"/>
      <c r="BH43" s="220"/>
      <c r="BI43" s="184"/>
      <c r="BJ43" s="184"/>
      <c r="BK43" s="184"/>
      <c r="BL43" s="184"/>
      <c r="BM43" s="184"/>
      <c r="BN43" s="184"/>
      <c r="BO43" s="184"/>
      <c r="BP43" s="184"/>
    </row>
    <row r="44">
      <c r="A44" s="245" t="str">
        <f>IF( $AH$11 = "再製作", "◼︎ アルスターコート（対応着地：再製作）" &amp; char(10) &amp; "《修正数値》", IF($AH$11 &lt;&gt; "", "◼︎ アルスターコート（対応着地：お直し）" &amp; char(10) &amp; "《修正数値》", ""))</f>
        <v/>
      </c>
      <c r="B44" s="187"/>
      <c r="C44" s="11"/>
      <c r="D44" s="11"/>
      <c r="E44" s="220"/>
      <c r="F44" s="220"/>
      <c r="G44" s="220"/>
      <c r="H44" s="11"/>
      <c r="I44" s="11"/>
      <c r="J44" s="220"/>
      <c r="K44" s="184"/>
      <c r="L44" s="184"/>
      <c r="M44" s="11"/>
      <c r="N44" s="11"/>
      <c r="O44" s="195"/>
      <c r="P44" s="11"/>
      <c r="Q44" s="11"/>
      <c r="R44" s="12"/>
      <c r="S44" s="11"/>
      <c r="T44" s="220"/>
      <c r="U44" s="184"/>
      <c r="V44" s="184"/>
      <c r="W44" s="11"/>
      <c r="X44" s="11"/>
      <c r="Y44" s="220"/>
      <c r="Z44" s="184"/>
      <c r="AA44" s="184"/>
      <c r="AB44" s="11"/>
      <c r="AC44" s="11"/>
      <c r="AD44" s="220"/>
      <c r="AE44" s="184"/>
      <c r="AF44" s="184"/>
      <c r="AG44" s="11"/>
      <c r="AH44" s="11"/>
      <c r="AI44" s="220"/>
      <c r="AJ44" s="184"/>
      <c r="AK44" s="184"/>
      <c r="AL44" s="11"/>
      <c r="AM44" s="11"/>
      <c r="AN44" s="220"/>
      <c r="AO44" s="184"/>
      <c r="AP44" s="184"/>
      <c r="AQ44" s="11"/>
      <c r="AR44" s="11"/>
      <c r="AS44" s="220"/>
      <c r="AT44" s="184"/>
      <c r="AU44" s="184"/>
      <c r="AV44" s="11"/>
      <c r="AW44" s="11"/>
      <c r="AX44" s="220"/>
      <c r="AY44" s="184"/>
      <c r="AZ44" s="184"/>
      <c r="BA44" s="11"/>
      <c r="BB44" s="11"/>
      <c r="BC44" s="220"/>
      <c r="BD44" s="184"/>
      <c r="BE44" s="184"/>
      <c r="BF44" s="11"/>
      <c r="BG44" s="11"/>
      <c r="BH44" s="220"/>
      <c r="BI44" s="184"/>
      <c r="BJ44" s="184"/>
      <c r="BK44" s="184"/>
      <c r="BL44" s="184"/>
      <c r="BM44" s="184"/>
      <c r="BN44" s="184"/>
      <c r="BO44" s="184"/>
      <c r="BP44" s="184"/>
    </row>
    <row r="45">
      <c r="A45" s="228" t="str">
        <f>IFERROR(__xludf.DUMMYFUNCTION("TEXTJOIN(CHAR(10),TRUE,FILTER(ARRAYFORMULA(IF($AI$14:$AI72&lt;&gt;"""",AH$14:AH72&amp;"" : ""&amp; AI$14:AI72 &amp;"" cm"","""")), AH$14:AH72 &lt;&gt;""""))"),"")</f>
        <v/>
      </c>
      <c r="B45" s="246"/>
      <c r="C45" s="11"/>
      <c r="D45" s="11"/>
      <c r="E45" s="220"/>
      <c r="F45" s="220"/>
      <c r="G45" s="220"/>
      <c r="H45" s="11"/>
      <c r="I45" s="11"/>
      <c r="J45" s="220"/>
      <c r="K45" s="184"/>
      <c r="L45" s="184"/>
      <c r="M45" s="11"/>
      <c r="N45" s="11"/>
      <c r="O45" s="195"/>
      <c r="P45" s="11"/>
      <c r="Q45" s="11"/>
      <c r="R45" s="12"/>
      <c r="S45" s="11"/>
      <c r="T45" s="220"/>
      <c r="U45" s="184"/>
      <c r="V45" s="184"/>
      <c r="W45" s="11"/>
      <c r="X45" s="11"/>
      <c r="Y45" s="220"/>
      <c r="Z45" s="184"/>
      <c r="AA45" s="184"/>
      <c r="AB45" s="11"/>
      <c r="AC45" s="11"/>
      <c r="AD45" s="220"/>
      <c r="AE45" s="184"/>
      <c r="AF45" s="184"/>
      <c r="AG45" s="11"/>
      <c r="AH45" s="11"/>
      <c r="AI45" s="220"/>
      <c r="AJ45" s="184"/>
      <c r="AK45" s="184"/>
      <c r="AL45" s="11"/>
      <c r="AM45" s="11"/>
      <c r="AN45" s="220"/>
      <c r="AO45" s="184"/>
      <c r="AP45" s="184"/>
      <c r="AQ45" s="11"/>
      <c r="AR45" s="11"/>
      <c r="AS45" s="220"/>
      <c r="AT45" s="184"/>
      <c r="AU45" s="184"/>
      <c r="AV45" s="11"/>
      <c r="AW45" s="11"/>
      <c r="AX45" s="220"/>
      <c r="AY45" s="184"/>
      <c r="AZ45" s="184"/>
      <c r="BA45" s="11"/>
      <c r="BB45" s="11"/>
      <c r="BC45" s="220"/>
      <c r="BD45" s="184"/>
      <c r="BE45" s="184"/>
      <c r="BF45" s="11"/>
      <c r="BG45" s="11"/>
      <c r="BH45" s="220"/>
      <c r="BI45" s="184"/>
      <c r="BJ45" s="184"/>
      <c r="BK45" s="184"/>
      <c r="BL45" s="184"/>
      <c r="BM45" s="184"/>
      <c r="BN45" s="184"/>
      <c r="BO45" s="184"/>
      <c r="BP45" s="184"/>
    </row>
    <row r="46">
      <c r="A46" s="242" t="str">
        <f>if($A$44&lt;&gt;"", "《仕上がり数値》","")</f>
        <v/>
      </c>
      <c r="B46" s="240"/>
      <c r="C46" s="11"/>
      <c r="D46" s="11"/>
      <c r="E46" s="220"/>
      <c r="F46" s="220"/>
      <c r="G46" s="220"/>
      <c r="H46" s="11"/>
      <c r="I46" s="11"/>
      <c r="J46" s="220"/>
      <c r="K46" s="184"/>
      <c r="L46" s="184"/>
      <c r="M46" s="11"/>
      <c r="N46" s="11"/>
      <c r="O46" s="195"/>
      <c r="P46" s="11"/>
      <c r="Q46" s="11"/>
      <c r="R46" s="12"/>
      <c r="S46" s="11"/>
      <c r="T46" s="220"/>
      <c r="U46" s="184"/>
      <c r="V46" s="184"/>
      <c r="W46" s="11"/>
      <c r="X46" s="11"/>
      <c r="Y46" s="220"/>
      <c r="Z46" s="184"/>
      <c r="AA46" s="184"/>
      <c r="AB46" s="11"/>
      <c r="AC46" s="11"/>
      <c r="AD46" s="220"/>
      <c r="AE46" s="184"/>
      <c r="AF46" s="184"/>
      <c r="AG46" s="11"/>
      <c r="AH46" s="11"/>
      <c r="AI46" s="220"/>
      <c r="AJ46" s="184"/>
      <c r="AK46" s="184"/>
      <c r="AL46" s="11"/>
      <c r="AM46" s="11"/>
      <c r="AN46" s="220"/>
      <c r="AO46" s="184"/>
      <c r="AP46" s="184"/>
      <c r="AQ46" s="11"/>
      <c r="AR46" s="11"/>
      <c r="AS46" s="220"/>
      <c r="AT46" s="184"/>
      <c r="AU46" s="184"/>
      <c r="AV46" s="11"/>
      <c r="AW46" s="11"/>
      <c r="AX46" s="220"/>
      <c r="AY46" s="184"/>
      <c r="AZ46" s="184"/>
      <c r="BA46" s="11"/>
      <c r="BB46" s="11"/>
      <c r="BC46" s="220"/>
      <c r="BD46" s="184"/>
      <c r="BE46" s="184"/>
      <c r="BF46" s="11"/>
      <c r="BG46" s="11"/>
      <c r="BH46" s="220"/>
      <c r="BI46" s="184"/>
      <c r="BJ46" s="184"/>
      <c r="BK46" s="184"/>
      <c r="BL46" s="184"/>
      <c r="BM46" s="184"/>
      <c r="BN46" s="184"/>
      <c r="BO46" s="184"/>
      <c r="BP46" s="184"/>
    </row>
    <row r="47">
      <c r="A47" s="228" t="str">
        <f>IFERROR(__xludf.DUMMYFUNCTION("TEXTJOIN(CHAR(10),TRUE,FILTER(ARRAYFORMULA(IF($AI$14:$AI72&lt;&gt;"""",AH$14:AH72&amp;"" :  cm"","""")), AH$14:AH72 &lt;&gt;""""))"),"")</f>
        <v/>
      </c>
      <c r="B47" s="240"/>
      <c r="C47" s="11"/>
      <c r="D47" s="11"/>
      <c r="E47" s="220"/>
      <c r="F47" s="220"/>
      <c r="G47" s="220"/>
      <c r="H47" s="11"/>
      <c r="I47" s="11"/>
      <c r="J47" s="220"/>
      <c r="K47" s="184"/>
      <c r="L47" s="184"/>
      <c r="M47" s="11"/>
      <c r="N47" s="11"/>
      <c r="O47" s="195"/>
      <c r="P47" s="11"/>
      <c r="Q47" s="11"/>
      <c r="R47" s="12"/>
      <c r="S47" s="11"/>
      <c r="T47" s="220"/>
      <c r="U47" s="184"/>
      <c r="V47" s="184"/>
      <c r="W47" s="11"/>
      <c r="X47" s="11"/>
      <c r="Y47" s="220"/>
      <c r="Z47" s="184"/>
      <c r="AA47" s="184"/>
      <c r="AB47" s="11"/>
      <c r="AC47" s="11"/>
      <c r="AD47" s="220"/>
      <c r="AE47" s="184"/>
      <c r="AF47" s="184"/>
      <c r="AG47" s="11"/>
      <c r="AH47" s="11"/>
      <c r="AI47" s="220"/>
      <c r="AJ47" s="184"/>
      <c r="AK47" s="184"/>
      <c r="AL47" s="11"/>
      <c r="AM47" s="11"/>
      <c r="AN47" s="220"/>
      <c r="AO47" s="184"/>
      <c r="AP47" s="184"/>
      <c r="AQ47" s="11"/>
      <c r="AR47" s="11"/>
      <c r="AS47" s="220"/>
      <c r="AT47" s="184"/>
      <c r="AU47" s="184"/>
      <c r="AV47" s="11"/>
      <c r="AW47" s="11"/>
      <c r="AX47" s="220"/>
      <c r="AY47" s="184"/>
      <c r="AZ47" s="184"/>
      <c r="BA47" s="11"/>
      <c r="BB47" s="11"/>
      <c r="BC47" s="220"/>
      <c r="BD47" s="184"/>
      <c r="BE47" s="184"/>
      <c r="BF47" s="11"/>
      <c r="BG47" s="11"/>
      <c r="BH47" s="220"/>
      <c r="BI47" s="184"/>
      <c r="BJ47" s="184"/>
      <c r="BK47" s="184"/>
      <c r="BL47" s="184"/>
      <c r="BM47" s="184"/>
      <c r="BN47" s="184"/>
      <c r="BO47" s="184"/>
      <c r="BP47" s="184"/>
    </row>
    <row r="48">
      <c r="A48" s="237" t="s">
        <v>122</v>
      </c>
      <c r="B48" s="240"/>
      <c r="C48" s="11"/>
      <c r="D48" s="11"/>
      <c r="E48" s="220"/>
      <c r="F48" s="220"/>
      <c r="G48" s="220"/>
      <c r="H48" s="11"/>
      <c r="I48" s="11"/>
      <c r="J48" s="220"/>
      <c r="K48" s="184"/>
      <c r="L48" s="184"/>
      <c r="M48" s="11"/>
      <c r="N48" s="11"/>
      <c r="O48" s="195"/>
      <c r="P48" s="11"/>
      <c r="Q48" s="11"/>
      <c r="R48" s="12"/>
      <c r="S48" s="11"/>
      <c r="T48" s="220"/>
      <c r="U48" s="184"/>
      <c r="V48" s="184"/>
      <c r="W48" s="11"/>
      <c r="X48" s="11"/>
      <c r="Y48" s="220"/>
      <c r="Z48" s="184"/>
      <c r="AA48" s="184"/>
      <c r="AB48" s="11"/>
      <c r="AC48" s="11"/>
      <c r="AD48" s="220"/>
      <c r="AE48" s="184"/>
      <c r="AF48" s="184"/>
      <c r="AG48" s="11"/>
      <c r="AH48" s="11"/>
      <c r="AI48" s="220"/>
      <c r="AJ48" s="184"/>
      <c r="AK48" s="184"/>
      <c r="AL48" s="11"/>
      <c r="AM48" s="11"/>
      <c r="AN48" s="220"/>
      <c r="AO48" s="184"/>
      <c r="AP48" s="184"/>
      <c r="AQ48" s="11"/>
      <c r="AR48" s="11"/>
      <c r="AS48" s="220"/>
      <c r="AT48" s="184"/>
      <c r="AU48" s="184"/>
      <c r="AV48" s="11"/>
      <c r="AW48" s="11"/>
      <c r="AX48" s="220"/>
      <c r="AY48" s="184"/>
      <c r="AZ48" s="184"/>
      <c r="BA48" s="11"/>
      <c r="BB48" s="11"/>
      <c r="BC48" s="220"/>
      <c r="BD48" s="184"/>
      <c r="BE48" s="184"/>
      <c r="BF48" s="11"/>
      <c r="BG48" s="11"/>
      <c r="BH48" s="220"/>
      <c r="BI48" s="184"/>
      <c r="BJ48" s="184"/>
      <c r="BK48" s="184"/>
      <c r="BL48" s="184"/>
      <c r="BM48" s="184"/>
      <c r="BN48" s="184"/>
      <c r="BO48" s="184"/>
      <c r="BP48" s="184"/>
    </row>
    <row r="49">
      <c r="A49" s="245" t="str">
        <f>IF( $AM$11 = "再製作", "◼︎ ショートステンカラーコート（対応着地：再製作）" &amp; char(10) &amp; "《修正数値》", IF($AM$11 &lt;&gt; "", "◼︎ ショートステンカラーコート（対応着地：お直し）"  &amp; char(10) &amp; "《修正数値》", ""))</f>
        <v/>
      </c>
      <c r="B49" s="240"/>
      <c r="C49" s="11"/>
      <c r="D49" s="11"/>
      <c r="E49" s="220"/>
      <c r="F49" s="220"/>
      <c r="G49" s="220"/>
      <c r="H49" s="11"/>
      <c r="I49" s="11"/>
      <c r="J49" s="220"/>
      <c r="K49" s="184"/>
      <c r="L49" s="184"/>
      <c r="M49" s="11"/>
      <c r="N49" s="11"/>
      <c r="O49" s="195"/>
      <c r="P49" s="11"/>
      <c r="Q49" s="11"/>
      <c r="R49" s="12"/>
      <c r="S49" s="11"/>
      <c r="T49" s="220"/>
      <c r="U49" s="184"/>
      <c r="V49" s="184"/>
      <c r="W49" s="11"/>
      <c r="X49" s="11"/>
      <c r="Y49" s="220"/>
      <c r="Z49" s="184"/>
      <c r="AA49" s="184"/>
      <c r="AB49" s="11"/>
      <c r="AC49" s="11"/>
      <c r="AD49" s="220"/>
      <c r="AE49" s="184"/>
      <c r="AF49" s="184"/>
      <c r="AG49" s="11"/>
      <c r="AH49" s="11"/>
      <c r="AI49" s="220"/>
      <c r="AJ49" s="184"/>
      <c r="AK49" s="184"/>
      <c r="AL49" s="11"/>
      <c r="AM49" s="11"/>
      <c r="AN49" s="220"/>
      <c r="AO49" s="184"/>
      <c r="AP49" s="184"/>
      <c r="AQ49" s="11"/>
      <c r="AR49" s="11"/>
      <c r="AS49" s="220"/>
      <c r="AT49" s="184"/>
      <c r="AU49" s="184"/>
      <c r="AV49" s="11"/>
      <c r="AW49" s="11"/>
      <c r="AX49" s="220"/>
      <c r="AY49" s="184"/>
      <c r="AZ49" s="184"/>
      <c r="BA49" s="11"/>
      <c r="BB49" s="11"/>
      <c r="BC49" s="220"/>
      <c r="BD49" s="184"/>
      <c r="BE49" s="184"/>
      <c r="BF49" s="11"/>
      <c r="BG49" s="11"/>
      <c r="BH49" s="220"/>
      <c r="BI49" s="184"/>
      <c r="BJ49" s="184"/>
      <c r="BK49" s="184"/>
      <c r="BL49" s="184"/>
      <c r="BM49" s="184"/>
      <c r="BN49" s="184"/>
      <c r="BO49" s="184"/>
      <c r="BP49" s="184"/>
    </row>
    <row r="50">
      <c r="A50" s="228" t="str">
        <f>IFERROR(__xludf.DUMMYFUNCTION("TEXTJOIN(CHAR(10),TRUE,FILTER(ARRAYFORMULA(IF(AN$14:AN72&lt;&gt;"""",AM$14:AM72&amp;"" : ""&amp; AN$14:AN72 &amp;"" cm"" &amp; ""（仕上がり寸：cm）"","""")), AM$14:AM72 &lt;&gt;""""))"),"")</f>
        <v/>
      </c>
      <c r="B50" s="240"/>
      <c r="C50" s="11"/>
      <c r="D50" s="11"/>
      <c r="E50" s="220"/>
      <c r="F50" s="220"/>
      <c r="G50" s="220"/>
      <c r="H50" s="11"/>
      <c r="I50" s="11"/>
      <c r="J50" s="220"/>
      <c r="K50" s="184"/>
      <c r="L50" s="184"/>
      <c r="M50" s="11"/>
      <c r="N50" s="11"/>
      <c r="O50" s="195"/>
      <c r="P50" s="11"/>
      <c r="Q50" s="11"/>
      <c r="R50" s="12"/>
      <c r="S50" s="11"/>
      <c r="T50" s="220"/>
      <c r="U50" s="184"/>
      <c r="V50" s="184"/>
      <c r="W50" s="11"/>
      <c r="X50" s="11"/>
      <c r="Y50" s="220"/>
      <c r="Z50" s="184"/>
      <c r="AA50" s="184"/>
      <c r="AB50" s="11"/>
      <c r="AC50" s="11"/>
      <c r="AD50" s="220"/>
      <c r="AE50" s="184"/>
      <c r="AF50" s="184"/>
      <c r="AG50" s="11"/>
      <c r="AH50" s="11"/>
      <c r="AI50" s="220"/>
      <c r="AJ50" s="184"/>
      <c r="AK50" s="184"/>
      <c r="AL50" s="11"/>
      <c r="AM50" s="11"/>
      <c r="AN50" s="220"/>
      <c r="AO50" s="184"/>
      <c r="AP50" s="184"/>
      <c r="AQ50" s="11"/>
      <c r="AR50" s="11"/>
      <c r="AS50" s="220"/>
      <c r="AT50" s="184"/>
      <c r="AU50" s="184"/>
      <c r="AV50" s="11"/>
      <c r="AW50" s="11"/>
      <c r="AX50" s="220"/>
      <c r="AY50" s="184"/>
      <c r="AZ50" s="184"/>
      <c r="BA50" s="11"/>
      <c r="BB50" s="11"/>
      <c r="BC50" s="220"/>
      <c r="BD50" s="184"/>
      <c r="BE50" s="184"/>
      <c r="BF50" s="11"/>
      <c r="BG50" s="11"/>
      <c r="BH50" s="220"/>
      <c r="BI50" s="184"/>
      <c r="BJ50" s="184"/>
      <c r="BK50" s="184"/>
      <c r="BL50" s="184"/>
      <c r="BM50" s="184"/>
      <c r="BN50" s="184"/>
      <c r="BO50" s="184"/>
      <c r="BP50" s="184"/>
    </row>
    <row r="51">
      <c r="A51" s="244" t="str">
        <f>if($A$49&lt;&gt;"", "《仕上がり数値》","")</f>
        <v/>
      </c>
      <c r="B51" s="240"/>
      <c r="C51" s="11"/>
      <c r="D51" s="11"/>
      <c r="E51" s="220"/>
      <c r="F51" s="220"/>
      <c r="G51" s="220"/>
      <c r="H51" s="11"/>
      <c r="I51" s="11"/>
      <c r="J51" s="220"/>
      <c r="K51" s="184"/>
      <c r="L51" s="184"/>
      <c r="M51" s="11"/>
      <c r="N51" s="11"/>
      <c r="O51" s="195"/>
      <c r="P51" s="11"/>
      <c r="Q51" s="11"/>
      <c r="R51" s="12"/>
      <c r="S51" s="11"/>
      <c r="T51" s="220"/>
      <c r="U51" s="184"/>
      <c r="V51" s="184"/>
      <c r="W51" s="11"/>
      <c r="X51" s="11"/>
      <c r="Y51" s="220"/>
      <c r="Z51" s="184"/>
      <c r="AA51" s="184"/>
      <c r="AB51" s="11"/>
      <c r="AC51" s="11"/>
      <c r="AD51" s="220"/>
      <c r="AE51" s="184"/>
      <c r="AF51" s="184"/>
      <c r="AG51" s="11"/>
      <c r="AH51" s="11"/>
      <c r="AI51" s="220"/>
      <c r="AJ51" s="184"/>
      <c r="AK51" s="184"/>
      <c r="AL51" s="11"/>
      <c r="AM51" s="11"/>
      <c r="AN51" s="220"/>
      <c r="AO51" s="184"/>
      <c r="AP51" s="184"/>
      <c r="AQ51" s="11"/>
      <c r="AR51" s="11"/>
      <c r="AS51" s="220"/>
      <c r="AT51" s="184"/>
      <c r="AU51" s="184"/>
      <c r="AV51" s="11"/>
      <c r="AW51" s="11"/>
      <c r="AX51" s="220"/>
      <c r="AY51" s="184"/>
      <c r="AZ51" s="184"/>
      <c r="BA51" s="11"/>
      <c r="BB51" s="11"/>
      <c r="BC51" s="220"/>
      <c r="BD51" s="184"/>
      <c r="BE51" s="184"/>
      <c r="BF51" s="11"/>
      <c r="BG51" s="11"/>
      <c r="BH51" s="220"/>
      <c r="BI51" s="184"/>
      <c r="BJ51" s="184"/>
      <c r="BK51" s="184"/>
      <c r="BL51" s="184"/>
      <c r="BM51" s="184"/>
      <c r="BN51" s="184"/>
      <c r="BO51" s="184"/>
      <c r="BP51" s="184"/>
    </row>
    <row r="52">
      <c r="A52" s="228" t="str">
        <f>IFERROR(__xludf.DUMMYFUNCTION("TEXTJOIN(CHAR(10),TRUE,FILTER(ARRAYFORMULA(IF(AN$14:AN72&lt;&gt;"""",AM$14:AM72&amp;"" : ""&amp; AN$14:AN72 &amp;"" cm"" &amp; ""（仕上がり寸：cm）"","""")), AM$14:AM72 &lt;&gt;""""))"),"")</f>
        <v/>
      </c>
      <c r="B52" s="240"/>
      <c r="C52" s="11"/>
      <c r="D52" s="11"/>
      <c r="E52" s="220"/>
      <c r="F52" s="220"/>
      <c r="G52" s="220"/>
      <c r="H52" s="11"/>
      <c r="I52" s="11"/>
      <c r="J52" s="220"/>
      <c r="K52" s="184"/>
      <c r="L52" s="184"/>
      <c r="M52" s="11"/>
      <c r="N52" s="11"/>
      <c r="O52" s="195"/>
      <c r="P52" s="11"/>
      <c r="Q52" s="11"/>
      <c r="R52" s="12"/>
      <c r="S52" s="11"/>
      <c r="T52" s="220"/>
      <c r="U52" s="184"/>
      <c r="V52" s="184"/>
      <c r="W52" s="11"/>
      <c r="X52" s="11"/>
      <c r="Y52" s="220"/>
      <c r="Z52" s="184"/>
      <c r="AA52" s="184"/>
      <c r="AB52" s="11"/>
      <c r="AC52" s="11"/>
      <c r="AD52" s="220"/>
      <c r="AE52" s="184"/>
      <c r="AF52" s="184"/>
      <c r="AG52" s="11"/>
      <c r="AH52" s="11"/>
      <c r="AI52" s="220"/>
      <c r="AJ52" s="184"/>
      <c r="AK52" s="184"/>
      <c r="AL52" s="11"/>
      <c r="AM52" s="11"/>
      <c r="AN52" s="220"/>
      <c r="AO52" s="184"/>
      <c r="AP52" s="184"/>
      <c r="AQ52" s="11"/>
      <c r="AR52" s="11"/>
      <c r="AS52" s="220"/>
      <c r="AT52" s="184"/>
      <c r="AU52" s="184"/>
      <c r="AV52" s="11"/>
      <c r="AW52" s="11"/>
      <c r="AX52" s="220"/>
      <c r="AY52" s="184"/>
      <c r="AZ52" s="184"/>
      <c r="BA52" s="11"/>
      <c r="BB52" s="11"/>
      <c r="BC52" s="220"/>
      <c r="BD52" s="184"/>
      <c r="BE52" s="184"/>
      <c r="BF52" s="11"/>
      <c r="BG52" s="11"/>
      <c r="BH52" s="220"/>
      <c r="BI52" s="184"/>
      <c r="BJ52" s="184"/>
      <c r="BK52" s="184"/>
      <c r="BL52" s="184"/>
      <c r="BM52" s="184"/>
      <c r="BN52" s="184"/>
      <c r="BO52" s="184"/>
      <c r="BP52" s="184"/>
    </row>
    <row r="53">
      <c r="A53" s="243" t="s">
        <v>123</v>
      </c>
      <c r="B53" s="240"/>
      <c r="C53" s="11"/>
      <c r="D53" s="11"/>
      <c r="E53" s="220"/>
      <c r="F53" s="220"/>
      <c r="G53" s="220"/>
      <c r="H53" s="11"/>
      <c r="I53" s="11"/>
      <c r="J53" s="220"/>
      <c r="K53" s="184"/>
      <c r="L53" s="184"/>
      <c r="M53" s="11"/>
      <c r="N53" s="11"/>
      <c r="O53" s="195"/>
      <c r="P53" s="11"/>
      <c r="Q53" s="11"/>
      <c r="R53" s="12"/>
      <c r="S53" s="11"/>
      <c r="T53" s="220"/>
      <c r="U53" s="184"/>
      <c r="V53" s="184"/>
      <c r="W53" s="11"/>
      <c r="X53" s="11"/>
      <c r="Y53" s="220"/>
      <c r="Z53" s="184"/>
      <c r="AA53" s="184"/>
      <c r="AB53" s="11"/>
      <c r="AC53" s="11"/>
      <c r="AD53" s="220"/>
      <c r="AE53" s="184"/>
      <c r="AF53" s="184"/>
      <c r="AG53" s="11"/>
      <c r="AH53" s="11"/>
      <c r="AI53" s="220"/>
      <c r="AJ53" s="184"/>
      <c r="AK53" s="184"/>
      <c r="AL53" s="11"/>
      <c r="AM53" s="11"/>
      <c r="AN53" s="220"/>
      <c r="AO53" s="184"/>
      <c r="AP53" s="184"/>
      <c r="AQ53" s="11"/>
      <c r="AR53" s="11"/>
      <c r="AS53" s="220"/>
      <c r="AT53" s="184"/>
      <c r="AU53" s="184"/>
      <c r="AV53" s="11"/>
      <c r="AW53" s="11"/>
      <c r="AX53" s="220"/>
      <c r="AY53" s="184"/>
      <c r="AZ53" s="184"/>
      <c r="BA53" s="11"/>
      <c r="BB53" s="11"/>
      <c r="BC53" s="220"/>
      <c r="BD53" s="184"/>
      <c r="BE53" s="184"/>
      <c r="BF53" s="11"/>
      <c r="BG53" s="11"/>
      <c r="BH53" s="220"/>
      <c r="BI53" s="184"/>
      <c r="BJ53" s="184"/>
      <c r="BK53" s="184"/>
      <c r="BL53" s="184"/>
      <c r="BM53" s="184"/>
      <c r="BN53" s="184"/>
      <c r="BO53" s="184"/>
      <c r="BP53" s="184"/>
    </row>
    <row r="54">
      <c r="A54" s="245" t="str">
        <f>IF( $AR$11 = "再製作", "◼︎ ステンカラーコート（対応着地：再製作）" &amp;char(10)&amp; "《修正数値》", IF($AR$11 &lt;&gt; "", "◼︎ ステンカラーコート（対応着地：お直し）" &amp;char(10)&amp; "《修正数値》", ""))</f>
        <v/>
      </c>
      <c r="B54" s="240"/>
      <c r="C54" s="11"/>
      <c r="D54" s="11"/>
      <c r="E54" s="220"/>
      <c r="F54" s="220"/>
      <c r="G54" s="220"/>
      <c r="H54" s="11"/>
      <c r="I54" s="11"/>
      <c r="J54" s="220"/>
      <c r="K54" s="184"/>
      <c r="L54" s="184"/>
      <c r="M54" s="11"/>
      <c r="N54" s="11"/>
      <c r="O54" s="195"/>
      <c r="P54" s="11"/>
      <c r="Q54" s="11"/>
      <c r="R54" s="12"/>
      <c r="S54" s="11"/>
      <c r="T54" s="220"/>
      <c r="U54" s="184"/>
      <c r="V54" s="184"/>
      <c r="W54" s="11"/>
      <c r="X54" s="11"/>
      <c r="Y54" s="220"/>
      <c r="Z54" s="184"/>
      <c r="AA54" s="184"/>
      <c r="AB54" s="11"/>
      <c r="AC54" s="11"/>
      <c r="AD54" s="220"/>
      <c r="AE54" s="184"/>
      <c r="AF54" s="184"/>
      <c r="AG54" s="11"/>
      <c r="AH54" s="11"/>
      <c r="AI54" s="220"/>
      <c r="AJ54" s="184"/>
      <c r="AK54" s="184"/>
      <c r="AL54" s="11"/>
      <c r="AM54" s="11"/>
      <c r="AN54" s="220"/>
      <c r="AO54" s="184"/>
      <c r="AP54" s="184"/>
      <c r="AQ54" s="11"/>
      <c r="AR54" s="11"/>
      <c r="AS54" s="220"/>
      <c r="AT54" s="184"/>
      <c r="AU54" s="184"/>
      <c r="AV54" s="11"/>
      <c r="AW54" s="11"/>
      <c r="AX54" s="220"/>
      <c r="AY54" s="184"/>
      <c r="AZ54" s="184"/>
      <c r="BA54" s="11"/>
      <c r="BB54" s="11"/>
      <c r="BC54" s="220"/>
      <c r="BD54" s="184"/>
      <c r="BE54" s="184"/>
      <c r="BF54" s="11"/>
      <c r="BG54" s="11"/>
      <c r="BH54" s="220"/>
      <c r="BI54" s="184"/>
      <c r="BJ54" s="184"/>
      <c r="BK54" s="184"/>
      <c r="BL54" s="184"/>
      <c r="BM54" s="184"/>
      <c r="BN54" s="184"/>
      <c r="BO54" s="184"/>
      <c r="BP54" s="184"/>
    </row>
    <row r="55">
      <c r="A55" s="228" t="str">
        <f>IFERROR(__xludf.DUMMYFUNCTION("TEXTJOIN(CHAR(10),TRUE,FILTER(ARRAYFORMULA(IF(AS$14:AS72&lt;&gt;"""",AR$14:AR72&amp;"" : ""&amp; AS$14:AS72 &amp;"" cm"","""")), AR$14:AR72 &lt;&gt;""""))"),"")</f>
        <v/>
      </c>
      <c r="B55" s="240"/>
      <c r="C55" s="11"/>
      <c r="D55" s="11"/>
      <c r="E55" s="220"/>
      <c r="F55" s="220"/>
      <c r="G55" s="220"/>
      <c r="H55" s="11"/>
      <c r="I55" s="11"/>
      <c r="J55" s="220"/>
      <c r="K55" s="184"/>
      <c r="L55" s="184"/>
      <c r="M55" s="11"/>
      <c r="N55" s="11"/>
      <c r="O55" s="195"/>
      <c r="P55" s="11"/>
      <c r="Q55" s="11"/>
      <c r="R55" s="12"/>
      <c r="S55" s="11"/>
      <c r="T55" s="220"/>
      <c r="U55" s="184"/>
      <c r="V55" s="184"/>
      <c r="W55" s="11"/>
      <c r="X55" s="11"/>
      <c r="Y55" s="220"/>
      <c r="Z55" s="184"/>
      <c r="AA55" s="184"/>
      <c r="AB55" s="11"/>
      <c r="AC55" s="11"/>
      <c r="AD55" s="220"/>
      <c r="AE55" s="184"/>
      <c r="AF55" s="184"/>
      <c r="AG55" s="11"/>
      <c r="AH55" s="11"/>
      <c r="AI55" s="220"/>
      <c r="AJ55" s="184"/>
      <c r="AK55" s="184"/>
      <c r="AL55" s="11"/>
      <c r="AM55" s="11"/>
      <c r="AN55" s="220"/>
      <c r="AO55" s="184"/>
      <c r="AP55" s="184"/>
      <c r="AQ55" s="11"/>
      <c r="AR55" s="11"/>
      <c r="AS55" s="220"/>
      <c r="AT55" s="184"/>
      <c r="AU55" s="184"/>
      <c r="AV55" s="11"/>
      <c r="AW55" s="11"/>
      <c r="AX55" s="220"/>
      <c r="AY55" s="184"/>
      <c r="AZ55" s="184"/>
      <c r="BA55" s="11"/>
      <c r="BB55" s="11"/>
      <c r="BC55" s="220"/>
      <c r="BD55" s="184"/>
      <c r="BE55" s="184"/>
      <c r="BF55" s="11"/>
      <c r="BG55" s="11"/>
      <c r="BH55" s="220"/>
      <c r="BI55" s="184"/>
      <c r="BJ55" s="184"/>
      <c r="BK55" s="184"/>
      <c r="BL55" s="184"/>
      <c r="BM55" s="184"/>
      <c r="BN55" s="184"/>
      <c r="BO55" s="184"/>
      <c r="BP55" s="184"/>
    </row>
    <row r="56">
      <c r="A56" s="244" t="str">
        <f>if($A$54&lt;&gt;"", "《仕上がり数値》","")</f>
        <v/>
      </c>
      <c r="B56" s="240"/>
      <c r="C56" s="11"/>
      <c r="D56" s="11"/>
      <c r="E56" s="220"/>
      <c r="F56" s="220"/>
      <c r="G56" s="220"/>
      <c r="H56" s="11"/>
      <c r="I56" s="11"/>
      <c r="J56" s="220"/>
      <c r="K56" s="184"/>
      <c r="L56" s="184"/>
      <c r="M56" s="11"/>
      <c r="N56" s="11"/>
      <c r="O56" s="195"/>
      <c r="P56" s="11"/>
      <c r="Q56" s="11"/>
      <c r="R56" s="12"/>
      <c r="S56" s="11"/>
      <c r="T56" s="220"/>
      <c r="U56" s="184"/>
      <c r="V56" s="184"/>
      <c r="W56" s="11"/>
      <c r="X56" s="11"/>
      <c r="Y56" s="220"/>
      <c r="Z56" s="184"/>
      <c r="AA56" s="184"/>
      <c r="AB56" s="11"/>
      <c r="AC56" s="11"/>
      <c r="AD56" s="220"/>
      <c r="AE56" s="184"/>
      <c r="AF56" s="184"/>
      <c r="AG56" s="11"/>
      <c r="AH56" s="11"/>
      <c r="AI56" s="220"/>
      <c r="AJ56" s="184"/>
      <c r="AK56" s="184"/>
      <c r="AL56" s="11"/>
      <c r="AM56" s="11"/>
      <c r="AN56" s="220"/>
      <c r="AO56" s="184"/>
      <c r="AP56" s="184"/>
      <c r="AQ56" s="11"/>
      <c r="AR56" s="11"/>
      <c r="AS56" s="220"/>
      <c r="AT56" s="184"/>
      <c r="AU56" s="184"/>
      <c r="AV56" s="11"/>
      <c r="AW56" s="11"/>
      <c r="AX56" s="220"/>
      <c r="AY56" s="184"/>
      <c r="AZ56" s="184"/>
      <c r="BA56" s="11"/>
      <c r="BB56" s="11"/>
      <c r="BC56" s="220"/>
      <c r="BD56" s="184"/>
      <c r="BE56" s="184"/>
      <c r="BF56" s="11"/>
      <c r="BG56" s="11"/>
      <c r="BH56" s="220"/>
      <c r="BI56" s="184"/>
      <c r="BJ56" s="184"/>
      <c r="BK56" s="184"/>
      <c r="BL56" s="184"/>
      <c r="BM56" s="184"/>
      <c r="BN56" s="184"/>
      <c r="BO56" s="184"/>
      <c r="BP56" s="184"/>
    </row>
    <row r="57">
      <c r="A57" s="228" t="str">
        <f>IFERROR(__xludf.DUMMYFUNCTION("TEXTJOIN(CHAR(10),TRUE,FILTER(ARRAYFORMULA(IF(AS$14:AS72&lt;&gt;"""",AR$14:AR72&amp;"" :  cm"","""")), AR$14:AR72 &lt;&gt;""""))"),"")</f>
        <v/>
      </c>
      <c r="B57" s="240"/>
      <c r="C57" s="11"/>
      <c r="D57" s="11"/>
      <c r="E57" s="220"/>
      <c r="F57" s="220"/>
      <c r="G57" s="220"/>
      <c r="H57" s="11"/>
      <c r="I57" s="11"/>
      <c r="J57" s="220"/>
      <c r="K57" s="184"/>
      <c r="L57" s="184"/>
      <c r="M57" s="11"/>
      <c r="N57" s="11"/>
      <c r="O57" s="195"/>
      <c r="P57" s="11"/>
      <c r="Q57" s="11"/>
      <c r="R57" s="12"/>
      <c r="S57" s="11"/>
      <c r="T57" s="220"/>
      <c r="U57" s="184"/>
      <c r="V57" s="184"/>
      <c r="W57" s="11"/>
      <c r="X57" s="11"/>
      <c r="Y57" s="220"/>
      <c r="Z57" s="184"/>
      <c r="AA57" s="184"/>
      <c r="AB57" s="11"/>
      <c r="AC57" s="11"/>
      <c r="AD57" s="220"/>
      <c r="AE57" s="184"/>
      <c r="AF57" s="184"/>
      <c r="AG57" s="11"/>
      <c r="AH57" s="11"/>
      <c r="AI57" s="220"/>
      <c r="AJ57" s="184"/>
      <c r="AK57" s="184"/>
      <c r="AL57" s="11"/>
      <c r="AM57" s="11"/>
      <c r="AN57" s="220"/>
      <c r="AO57" s="184"/>
      <c r="AP57" s="184"/>
      <c r="AQ57" s="11"/>
      <c r="AR57" s="11"/>
      <c r="AS57" s="220"/>
      <c r="AT57" s="184"/>
      <c r="AU57" s="184"/>
      <c r="AV57" s="11"/>
      <c r="AW57" s="11"/>
      <c r="AX57" s="220"/>
      <c r="AY57" s="184"/>
      <c r="AZ57" s="184"/>
      <c r="BA57" s="11"/>
      <c r="BB57" s="11"/>
      <c r="BC57" s="220"/>
      <c r="BD57" s="184"/>
      <c r="BE57" s="184"/>
      <c r="BF57" s="11"/>
      <c r="BG57" s="11"/>
      <c r="BH57" s="220"/>
      <c r="BI57" s="184"/>
      <c r="BJ57" s="184"/>
      <c r="BK57" s="184"/>
      <c r="BL57" s="184"/>
      <c r="BM57" s="184"/>
      <c r="BN57" s="184"/>
      <c r="BO57" s="184"/>
      <c r="BP57" s="184"/>
    </row>
    <row r="58">
      <c r="A58" s="243" t="s">
        <v>124</v>
      </c>
      <c r="B58" s="240"/>
      <c r="C58" s="11"/>
      <c r="D58" s="11"/>
      <c r="E58" s="220"/>
      <c r="F58" s="220"/>
      <c r="G58" s="220"/>
      <c r="H58" s="11"/>
      <c r="I58" s="11"/>
      <c r="J58" s="220"/>
      <c r="K58" s="184"/>
      <c r="L58" s="184"/>
      <c r="M58" s="11"/>
      <c r="N58" s="11"/>
      <c r="O58" s="195"/>
      <c r="P58" s="11"/>
      <c r="Q58" s="11"/>
      <c r="R58" s="12"/>
      <c r="S58" s="11"/>
      <c r="T58" s="220"/>
      <c r="U58" s="184"/>
      <c r="V58" s="184"/>
      <c r="W58" s="11"/>
      <c r="X58" s="11"/>
      <c r="Y58" s="220"/>
      <c r="Z58" s="184"/>
      <c r="AA58" s="184"/>
      <c r="AB58" s="11"/>
      <c r="AC58" s="11"/>
      <c r="AD58" s="220"/>
      <c r="AE58" s="184"/>
      <c r="AF58" s="184"/>
      <c r="AG58" s="11"/>
      <c r="AH58" s="11"/>
      <c r="AI58" s="220"/>
      <c r="AJ58" s="184"/>
      <c r="AK58" s="184"/>
      <c r="AL58" s="11"/>
      <c r="AM58" s="11"/>
      <c r="AN58" s="220"/>
      <c r="AO58" s="184"/>
      <c r="AP58" s="184"/>
      <c r="AQ58" s="11"/>
      <c r="AR58" s="11"/>
      <c r="AS58" s="220"/>
      <c r="AT58" s="184"/>
      <c r="AU58" s="184"/>
      <c r="AV58" s="11"/>
      <c r="AW58" s="11"/>
      <c r="AX58" s="220"/>
      <c r="AY58" s="184"/>
      <c r="AZ58" s="184"/>
      <c r="BA58" s="11"/>
      <c r="BB58" s="11"/>
      <c r="BC58" s="220"/>
      <c r="BD58" s="184"/>
      <c r="BE58" s="184"/>
      <c r="BF58" s="11"/>
      <c r="BG58" s="11"/>
      <c r="BH58" s="220"/>
      <c r="BI58" s="184"/>
      <c r="BJ58" s="184"/>
      <c r="BK58" s="184"/>
      <c r="BL58" s="184"/>
      <c r="BM58" s="184"/>
      <c r="BN58" s="184"/>
      <c r="BO58" s="184"/>
      <c r="BP58" s="184"/>
    </row>
    <row r="59">
      <c r="A59" s="245" t="str">
        <f>IF( $AW$11 = "再製作", "◼︎ チェスターコート（対応着地：再製作）" &amp;char(10)&amp;"《修正数値》", IF($AW$11 &lt;&gt; "", "◼︎ チェスターコート（対応着地：お直し）" &amp;char(10)&amp;"《修正数値》", ""))</f>
        <v/>
      </c>
      <c r="B59" s="240"/>
      <c r="C59" s="11"/>
      <c r="D59" s="11"/>
      <c r="E59" s="220"/>
      <c r="F59" s="220"/>
      <c r="G59" s="220"/>
      <c r="H59" s="11"/>
      <c r="I59" s="11"/>
      <c r="J59" s="220"/>
      <c r="K59" s="184"/>
      <c r="L59" s="184"/>
      <c r="M59" s="11"/>
      <c r="N59" s="11"/>
      <c r="O59" s="195"/>
      <c r="P59" s="11"/>
      <c r="Q59" s="11"/>
      <c r="R59" s="12"/>
      <c r="S59" s="11"/>
      <c r="T59" s="220"/>
      <c r="U59" s="184"/>
      <c r="V59" s="184"/>
      <c r="W59" s="11"/>
      <c r="X59" s="11"/>
      <c r="Y59" s="220"/>
      <c r="Z59" s="184"/>
      <c r="AA59" s="184"/>
      <c r="AB59" s="11"/>
      <c r="AC59" s="11"/>
      <c r="AD59" s="220"/>
      <c r="AE59" s="184"/>
      <c r="AF59" s="184"/>
      <c r="AG59" s="11"/>
      <c r="AH59" s="11"/>
      <c r="AI59" s="220"/>
      <c r="AJ59" s="184"/>
      <c r="AK59" s="184"/>
      <c r="AL59" s="11"/>
      <c r="AM59" s="11"/>
      <c r="AN59" s="220"/>
      <c r="AO59" s="184"/>
      <c r="AP59" s="184"/>
      <c r="AQ59" s="11"/>
      <c r="AR59" s="11"/>
      <c r="AS59" s="220"/>
      <c r="AT59" s="184"/>
      <c r="AU59" s="184"/>
      <c r="AV59" s="11"/>
      <c r="AW59" s="11"/>
      <c r="AX59" s="220"/>
      <c r="AY59" s="184"/>
      <c r="AZ59" s="184"/>
      <c r="BA59" s="11"/>
      <c r="BB59" s="11"/>
      <c r="BC59" s="220"/>
      <c r="BD59" s="184"/>
      <c r="BE59" s="184"/>
      <c r="BF59" s="11"/>
      <c r="BG59" s="11"/>
      <c r="BH59" s="220"/>
      <c r="BI59" s="184"/>
      <c r="BJ59" s="184"/>
      <c r="BK59" s="184"/>
      <c r="BL59" s="184"/>
      <c r="BM59" s="184"/>
      <c r="BN59" s="184"/>
      <c r="BO59" s="184"/>
      <c r="BP59" s="184"/>
    </row>
    <row r="60">
      <c r="A60" s="228" t="str">
        <f>IFERROR(__xludf.DUMMYFUNCTION("TEXTJOIN(CHAR(10),TRUE,FILTER(ARRAYFORMULA(IF(AX$14:AX72&lt;&gt;"""",AW$14:AW72&amp;"" : ""&amp; AX$14:AX72 &amp;"" cm"","""")), AC$14:AC72 &lt;&gt;""""))"),"")</f>
        <v/>
      </c>
      <c r="B60" s="240"/>
      <c r="C60" s="11"/>
      <c r="D60" s="11"/>
      <c r="E60" s="220"/>
      <c r="F60" s="220"/>
      <c r="G60" s="220"/>
      <c r="H60" s="11"/>
      <c r="I60" s="11"/>
      <c r="J60" s="220"/>
      <c r="K60" s="184"/>
      <c r="L60" s="184"/>
      <c r="M60" s="11"/>
      <c r="N60" s="11"/>
      <c r="O60" s="195"/>
      <c r="P60" s="11"/>
      <c r="Q60" s="11"/>
      <c r="R60" s="12"/>
      <c r="S60" s="11"/>
      <c r="T60" s="220"/>
      <c r="U60" s="184"/>
      <c r="V60" s="184"/>
      <c r="W60" s="11"/>
      <c r="X60" s="11"/>
      <c r="Y60" s="220"/>
      <c r="Z60" s="184"/>
      <c r="AA60" s="184"/>
      <c r="AB60" s="11"/>
      <c r="AC60" s="11"/>
      <c r="AD60" s="220"/>
      <c r="AE60" s="184"/>
      <c r="AF60" s="184"/>
      <c r="AG60" s="11"/>
      <c r="AH60" s="11"/>
      <c r="AI60" s="220"/>
      <c r="AJ60" s="184"/>
      <c r="AK60" s="184"/>
      <c r="AL60" s="11"/>
      <c r="AM60" s="11"/>
      <c r="AN60" s="220"/>
      <c r="AO60" s="184"/>
      <c r="AP60" s="184"/>
      <c r="AQ60" s="11"/>
      <c r="AR60" s="11"/>
      <c r="AS60" s="220"/>
      <c r="AT60" s="184"/>
      <c r="AU60" s="184"/>
      <c r="AV60" s="11"/>
      <c r="AW60" s="11"/>
      <c r="AX60" s="220"/>
      <c r="AY60" s="184"/>
      <c r="AZ60" s="184"/>
      <c r="BA60" s="11"/>
      <c r="BB60" s="11"/>
      <c r="BC60" s="220"/>
      <c r="BD60" s="184"/>
      <c r="BE60" s="184"/>
      <c r="BF60" s="11"/>
      <c r="BG60" s="11"/>
      <c r="BH60" s="220"/>
      <c r="BI60" s="184"/>
      <c r="BJ60" s="184"/>
      <c r="BK60" s="184"/>
      <c r="BL60" s="184"/>
      <c r="BM60" s="184"/>
      <c r="BN60" s="184"/>
      <c r="BO60" s="184"/>
      <c r="BP60" s="184"/>
    </row>
    <row r="61">
      <c r="A61" s="244" t="str">
        <f>if($A$59&lt;&gt;"", "《仕上がり数値》","")</f>
        <v/>
      </c>
      <c r="B61" s="240"/>
      <c r="C61" s="11"/>
      <c r="D61" s="11"/>
      <c r="E61" s="220"/>
      <c r="F61" s="220"/>
      <c r="G61" s="220"/>
      <c r="H61" s="11"/>
      <c r="I61" s="11"/>
      <c r="J61" s="220"/>
      <c r="K61" s="184"/>
      <c r="L61" s="184"/>
      <c r="M61" s="11"/>
      <c r="N61" s="11"/>
      <c r="O61" s="195"/>
      <c r="P61" s="11"/>
      <c r="Q61" s="11"/>
      <c r="R61" s="12"/>
      <c r="S61" s="11"/>
      <c r="T61" s="220"/>
      <c r="U61" s="184"/>
      <c r="V61" s="184"/>
      <c r="W61" s="11"/>
      <c r="X61" s="11"/>
      <c r="Y61" s="220"/>
      <c r="Z61" s="184"/>
      <c r="AA61" s="184"/>
      <c r="AB61" s="11"/>
      <c r="AC61" s="11"/>
      <c r="AD61" s="220"/>
      <c r="AE61" s="184"/>
      <c r="AF61" s="184"/>
      <c r="AG61" s="11"/>
      <c r="AH61" s="11"/>
      <c r="AI61" s="220"/>
      <c r="AJ61" s="184"/>
      <c r="AK61" s="184"/>
      <c r="AL61" s="11"/>
      <c r="AM61" s="11"/>
      <c r="AN61" s="220"/>
      <c r="AO61" s="184"/>
      <c r="AP61" s="184"/>
      <c r="AQ61" s="11"/>
      <c r="AR61" s="11"/>
      <c r="AS61" s="220"/>
      <c r="AT61" s="184"/>
      <c r="AU61" s="184"/>
      <c r="AV61" s="11"/>
      <c r="AW61" s="11"/>
      <c r="AX61" s="220"/>
      <c r="AY61" s="184"/>
      <c r="AZ61" s="184"/>
      <c r="BA61" s="11"/>
      <c r="BB61" s="11"/>
      <c r="BC61" s="220"/>
      <c r="BD61" s="184"/>
      <c r="BE61" s="184"/>
      <c r="BF61" s="11"/>
      <c r="BG61" s="11"/>
      <c r="BH61" s="220"/>
      <c r="BI61" s="184"/>
      <c r="BJ61" s="184"/>
      <c r="BK61" s="184"/>
      <c r="BL61" s="184"/>
      <c r="BM61" s="184"/>
      <c r="BN61" s="184"/>
      <c r="BO61" s="184"/>
      <c r="BP61" s="184"/>
    </row>
    <row r="62">
      <c r="A62" s="228" t="str">
        <f>IFERROR(__xludf.DUMMYFUNCTION("TEXTJOIN(CHAR(10),TRUE,FILTER(ARRAYFORMULA(IF(AX$14:AX72&lt;&gt;"""",AW$14:AW72&amp;"" :  cm"","""")), AC$14:AC72 &lt;&gt;""""))"),"")</f>
        <v/>
      </c>
      <c r="B62" s="240"/>
      <c r="C62" s="11"/>
      <c r="D62" s="11"/>
      <c r="E62" s="220"/>
      <c r="F62" s="220"/>
      <c r="G62" s="220"/>
      <c r="H62" s="11"/>
      <c r="I62" s="11"/>
      <c r="J62" s="220"/>
      <c r="K62" s="184"/>
      <c r="L62" s="184"/>
      <c r="M62" s="11"/>
      <c r="N62" s="11"/>
      <c r="O62" s="195"/>
      <c r="P62" s="11"/>
      <c r="Q62" s="11"/>
      <c r="R62" s="12"/>
      <c r="S62" s="11"/>
      <c r="T62" s="220"/>
      <c r="U62" s="184"/>
      <c r="V62" s="184"/>
      <c r="W62" s="11"/>
      <c r="X62" s="11"/>
      <c r="Y62" s="220"/>
      <c r="Z62" s="184"/>
      <c r="AA62" s="184"/>
      <c r="AB62" s="11"/>
      <c r="AC62" s="11"/>
      <c r="AD62" s="220"/>
      <c r="AE62" s="184"/>
      <c r="AF62" s="184"/>
      <c r="AG62" s="11"/>
      <c r="AH62" s="11"/>
      <c r="AI62" s="220"/>
      <c r="AJ62" s="184"/>
      <c r="AK62" s="184"/>
      <c r="AL62" s="11"/>
      <c r="AM62" s="11"/>
      <c r="AN62" s="220"/>
      <c r="AO62" s="184"/>
      <c r="AP62" s="184"/>
      <c r="AQ62" s="11"/>
      <c r="AR62" s="11"/>
      <c r="AS62" s="220"/>
      <c r="AT62" s="184"/>
      <c r="AU62" s="184"/>
      <c r="AV62" s="11"/>
      <c r="AW62" s="11"/>
      <c r="AX62" s="220"/>
      <c r="AY62" s="184"/>
      <c r="AZ62" s="184"/>
      <c r="BA62" s="11"/>
      <c r="BB62" s="11"/>
      <c r="BC62" s="220"/>
      <c r="BD62" s="184"/>
      <c r="BE62" s="184"/>
      <c r="BF62" s="11"/>
      <c r="BG62" s="11"/>
      <c r="BH62" s="220"/>
      <c r="BI62" s="184"/>
      <c r="BJ62" s="184"/>
      <c r="BK62" s="184"/>
      <c r="BL62" s="184"/>
      <c r="BM62" s="184"/>
      <c r="BN62" s="184"/>
      <c r="BO62" s="184"/>
      <c r="BP62" s="184"/>
    </row>
    <row r="63">
      <c r="A63" s="243" t="s">
        <v>125</v>
      </c>
      <c r="B63" s="240"/>
      <c r="C63" s="11"/>
      <c r="D63" s="11"/>
      <c r="E63" s="220"/>
      <c r="F63" s="220"/>
      <c r="G63" s="220"/>
      <c r="H63" s="11"/>
      <c r="I63" s="11"/>
      <c r="J63" s="220"/>
      <c r="K63" s="184"/>
      <c r="L63" s="184"/>
      <c r="M63" s="11"/>
      <c r="N63" s="11"/>
      <c r="O63" s="195"/>
      <c r="P63" s="11"/>
      <c r="Q63" s="11"/>
      <c r="R63" s="12"/>
      <c r="S63" s="11"/>
      <c r="T63" s="220"/>
      <c r="U63" s="184"/>
      <c r="V63" s="184"/>
      <c r="W63" s="11"/>
      <c r="X63" s="11"/>
      <c r="Y63" s="220"/>
      <c r="Z63" s="184"/>
      <c r="AA63" s="184"/>
      <c r="AB63" s="11"/>
      <c r="AC63" s="11"/>
      <c r="AD63" s="220"/>
      <c r="AE63" s="184"/>
      <c r="AF63" s="184"/>
      <c r="AG63" s="11"/>
      <c r="AH63" s="11"/>
      <c r="AI63" s="220"/>
      <c r="AJ63" s="184"/>
      <c r="AK63" s="184"/>
      <c r="AL63" s="11"/>
      <c r="AM63" s="11"/>
      <c r="AN63" s="220"/>
      <c r="AO63" s="184"/>
      <c r="AP63" s="184"/>
      <c r="AQ63" s="11"/>
      <c r="AR63" s="11"/>
      <c r="AS63" s="220"/>
      <c r="AT63" s="184"/>
      <c r="AU63" s="184"/>
      <c r="AV63" s="11"/>
      <c r="AW63" s="11"/>
      <c r="AX63" s="220"/>
      <c r="AY63" s="184"/>
      <c r="AZ63" s="184"/>
      <c r="BA63" s="11"/>
      <c r="BB63" s="11"/>
      <c r="BC63" s="220"/>
      <c r="BD63" s="184"/>
      <c r="BE63" s="184"/>
      <c r="BF63" s="11"/>
      <c r="BG63" s="11"/>
      <c r="BH63" s="220"/>
      <c r="BI63" s="184"/>
      <c r="BJ63" s="184"/>
      <c r="BK63" s="184"/>
      <c r="BL63" s="184"/>
      <c r="BM63" s="184"/>
      <c r="BN63" s="184"/>
      <c r="BO63" s="184"/>
      <c r="BP63" s="184"/>
    </row>
    <row r="64">
      <c r="A64" s="245" t="str">
        <f>IF( $BB$11 = "再製作", "◼︎ トレンチコート（対応着地：再製作）" &amp;char(10)&amp; "《修正数値》", IF($BB$11 &lt;&gt; "", "◼︎ トレンチコート（対応着地：お直し）" &amp;char(10)&amp; "《修正数値》", ""))</f>
        <v/>
      </c>
      <c r="B64" s="240"/>
      <c r="C64" s="11"/>
      <c r="D64" s="11"/>
      <c r="E64" s="220"/>
      <c r="F64" s="220"/>
      <c r="G64" s="220"/>
      <c r="H64" s="11"/>
      <c r="I64" s="11"/>
      <c r="J64" s="220"/>
      <c r="K64" s="184"/>
      <c r="L64" s="184"/>
      <c r="M64" s="11"/>
      <c r="N64" s="11"/>
      <c r="O64" s="195"/>
      <c r="P64" s="11"/>
      <c r="Q64" s="11"/>
      <c r="R64" s="12"/>
      <c r="S64" s="11"/>
      <c r="T64" s="220"/>
      <c r="U64" s="184"/>
      <c r="V64" s="184"/>
      <c r="W64" s="11"/>
      <c r="X64" s="11"/>
      <c r="Y64" s="220"/>
      <c r="Z64" s="184"/>
      <c r="AA64" s="184"/>
      <c r="AB64" s="11"/>
      <c r="AC64" s="11"/>
      <c r="AD64" s="220"/>
      <c r="AE64" s="184"/>
      <c r="AF64" s="184"/>
      <c r="AG64" s="11"/>
      <c r="AH64" s="11"/>
      <c r="AI64" s="220"/>
      <c r="AJ64" s="184"/>
      <c r="AK64" s="184"/>
      <c r="AL64" s="11"/>
      <c r="AM64" s="11"/>
      <c r="AN64" s="220"/>
      <c r="AO64" s="184"/>
      <c r="AP64" s="184"/>
      <c r="AQ64" s="11"/>
      <c r="AR64" s="11"/>
      <c r="AS64" s="220"/>
      <c r="AT64" s="184"/>
      <c r="AU64" s="184"/>
      <c r="AV64" s="11"/>
      <c r="AW64" s="11"/>
      <c r="AX64" s="220"/>
      <c r="AY64" s="184"/>
      <c r="AZ64" s="184"/>
      <c r="BA64" s="11"/>
      <c r="BB64" s="11"/>
      <c r="BC64" s="220"/>
      <c r="BD64" s="184"/>
      <c r="BE64" s="184"/>
      <c r="BF64" s="11"/>
      <c r="BG64" s="11"/>
      <c r="BH64" s="220"/>
      <c r="BI64" s="184"/>
      <c r="BJ64" s="184"/>
      <c r="BK64" s="184"/>
      <c r="BL64" s="184"/>
      <c r="BM64" s="184"/>
      <c r="BN64" s="184"/>
      <c r="BO64" s="184"/>
      <c r="BP64" s="184"/>
    </row>
    <row r="65">
      <c r="A65" s="228" t="str">
        <f>IFERROR(__xludf.DUMMYFUNCTION("TEXTJOIN(CHAR(10),TRUE,FILTER(ARRAYFORMULA(IF(BC$14:BC72&lt;&gt;"""",BB$14:BB72&amp;"" : ""&amp; BC$14:BC72 &amp;"" cm"","""")), BB$14:BB72 &lt;&gt;""""))"),"")</f>
        <v/>
      </c>
      <c r="B65" s="240"/>
      <c r="C65" s="11"/>
      <c r="D65" s="11"/>
      <c r="E65" s="220"/>
      <c r="F65" s="220"/>
      <c r="G65" s="220"/>
      <c r="H65" s="11"/>
      <c r="I65" s="11"/>
      <c r="J65" s="220"/>
      <c r="K65" s="184"/>
      <c r="L65" s="184"/>
      <c r="M65" s="11"/>
      <c r="N65" s="11"/>
      <c r="O65" s="195"/>
      <c r="P65" s="11"/>
      <c r="Q65" s="11"/>
      <c r="R65" s="12"/>
      <c r="S65" s="11"/>
      <c r="T65" s="220"/>
      <c r="U65" s="184"/>
      <c r="V65" s="184"/>
      <c r="W65" s="11"/>
      <c r="X65" s="11"/>
      <c r="Y65" s="220"/>
      <c r="Z65" s="184"/>
      <c r="AA65" s="184"/>
      <c r="AB65" s="11"/>
      <c r="AC65" s="11"/>
      <c r="AD65" s="220"/>
      <c r="AE65" s="184"/>
      <c r="AF65" s="184"/>
      <c r="AG65" s="11"/>
      <c r="AH65" s="11"/>
      <c r="AI65" s="220"/>
      <c r="AJ65" s="184"/>
      <c r="AK65" s="184"/>
      <c r="AL65" s="11"/>
      <c r="AM65" s="11"/>
      <c r="AN65" s="220"/>
      <c r="AO65" s="184"/>
      <c r="AP65" s="184"/>
      <c r="AQ65" s="11"/>
      <c r="AR65" s="11"/>
      <c r="AS65" s="220"/>
      <c r="AT65" s="184"/>
      <c r="AU65" s="184"/>
      <c r="AV65" s="11"/>
      <c r="AW65" s="11"/>
      <c r="AX65" s="220"/>
      <c r="AY65" s="184"/>
      <c r="AZ65" s="184"/>
      <c r="BA65" s="11"/>
      <c r="BB65" s="11"/>
      <c r="BC65" s="220"/>
      <c r="BD65" s="184"/>
      <c r="BE65" s="184"/>
      <c r="BF65" s="11"/>
      <c r="BG65" s="11"/>
      <c r="BH65" s="220"/>
      <c r="BI65" s="184"/>
      <c r="BJ65" s="184"/>
      <c r="BK65" s="184"/>
      <c r="BL65" s="184"/>
      <c r="BM65" s="184"/>
      <c r="BN65" s="184"/>
      <c r="BO65" s="184"/>
      <c r="BP65" s="184"/>
    </row>
    <row r="66">
      <c r="A66" s="244" t="str">
        <f>if($A$64&lt;&gt;"", "《仕上がり数値》","")</f>
        <v/>
      </c>
      <c r="B66" s="240"/>
      <c r="C66" s="11"/>
      <c r="D66" s="11"/>
      <c r="E66" s="220"/>
      <c r="F66" s="220"/>
      <c r="G66" s="220"/>
      <c r="H66" s="11"/>
      <c r="I66" s="11"/>
      <c r="J66" s="220"/>
      <c r="K66" s="184"/>
      <c r="L66" s="184"/>
      <c r="M66" s="11"/>
      <c r="N66" s="11"/>
      <c r="O66" s="195"/>
      <c r="P66" s="11"/>
      <c r="Q66" s="11"/>
      <c r="R66" s="12"/>
      <c r="S66" s="11"/>
      <c r="T66" s="220"/>
      <c r="U66" s="184"/>
      <c r="V66" s="184"/>
      <c r="W66" s="11"/>
      <c r="X66" s="11"/>
      <c r="Y66" s="220"/>
      <c r="Z66" s="184"/>
      <c r="AA66" s="184"/>
      <c r="AB66" s="11"/>
      <c r="AC66" s="11"/>
      <c r="AD66" s="220"/>
      <c r="AE66" s="184"/>
      <c r="AF66" s="184"/>
      <c r="AG66" s="11"/>
      <c r="AH66" s="11"/>
      <c r="AI66" s="220"/>
      <c r="AJ66" s="184"/>
      <c r="AK66" s="184"/>
      <c r="AL66" s="11"/>
      <c r="AM66" s="11"/>
      <c r="AN66" s="220"/>
      <c r="AO66" s="184"/>
      <c r="AP66" s="184"/>
      <c r="AQ66" s="11"/>
      <c r="AR66" s="11"/>
      <c r="AS66" s="220"/>
      <c r="AT66" s="184"/>
      <c r="AU66" s="184"/>
      <c r="AV66" s="11"/>
      <c r="AW66" s="11"/>
      <c r="AX66" s="220"/>
      <c r="AY66" s="184"/>
      <c r="AZ66" s="184"/>
      <c r="BA66" s="11"/>
      <c r="BB66" s="11"/>
      <c r="BC66" s="220"/>
      <c r="BD66" s="184"/>
      <c r="BE66" s="184"/>
      <c r="BF66" s="11"/>
      <c r="BG66" s="11"/>
      <c r="BH66" s="220"/>
      <c r="BI66" s="184"/>
      <c r="BJ66" s="184"/>
      <c r="BK66" s="184"/>
      <c r="BL66" s="184"/>
      <c r="BM66" s="184"/>
      <c r="BN66" s="184"/>
      <c r="BO66" s="184"/>
      <c r="BP66" s="184"/>
    </row>
    <row r="67">
      <c r="A67" s="228" t="str">
        <f>IFERROR(__xludf.DUMMYFUNCTION("TEXTJOIN(CHAR(10),TRUE,FILTER(ARRAYFORMULA(IF(BC$14:BC72&lt;&gt;"""",BB$14:BB72&amp;"" :  cm"","""")), BB$14:BB72 &lt;&gt;""""))"),"")</f>
        <v/>
      </c>
      <c r="B67" s="240"/>
      <c r="C67" s="11"/>
      <c r="D67" s="11"/>
      <c r="E67" s="220"/>
      <c r="F67" s="220"/>
      <c r="G67" s="220"/>
      <c r="H67" s="11"/>
      <c r="I67" s="11"/>
      <c r="J67" s="220"/>
      <c r="K67" s="184"/>
      <c r="L67" s="184"/>
      <c r="M67" s="11"/>
      <c r="N67" s="11"/>
      <c r="O67" s="195"/>
      <c r="P67" s="11"/>
      <c r="Q67" s="11"/>
      <c r="R67" s="12"/>
      <c r="S67" s="11"/>
      <c r="T67" s="220"/>
      <c r="U67" s="184"/>
      <c r="V67" s="184"/>
      <c r="W67" s="11"/>
      <c r="X67" s="11"/>
      <c r="Y67" s="220"/>
      <c r="Z67" s="184"/>
      <c r="AA67" s="184"/>
      <c r="AB67" s="11"/>
      <c r="AC67" s="11"/>
      <c r="AD67" s="220"/>
      <c r="AE67" s="184"/>
      <c r="AF67" s="184"/>
      <c r="AG67" s="11"/>
      <c r="AH67" s="11"/>
      <c r="AI67" s="220"/>
      <c r="AJ67" s="184"/>
      <c r="AK67" s="184"/>
      <c r="AL67" s="11"/>
      <c r="AM67" s="11"/>
      <c r="AN67" s="220"/>
      <c r="AO67" s="184"/>
      <c r="AP67" s="184"/>
      <c r="AQ67" s="11"/>
      <c r="AR67" s="11"/>
      <c r="AS67" s="220"/>
      <c r="AT67" s="184"/>
      <c r="AU67" s="184"/>
      <c r="AV67" s="11"/>
      <c r="AW67" s="11"/>
      <c r="AX67" s="220"/>
      <c r="AY67" s="184"/>
      <c r="AZ67" s="184"/>
      <c r="BA67" s="11"/>
      <c r="BB67" s="11"/>
      <c r="BC67" s="220"/>
      <c r="BD67" s="184"/>
      <c r="BE67" s="184"/>
      <c r="BF67" s="11"/>
      <c r="BG67" s="11"/>
      <c r="BH67" s="220"/>
      <c r="BI67" s="184"/>
      <c r="BJ67" s="184"/>
      <c r="BK67" s="184"/>
      <c r="BL67" s="184"/>
      <c r="BM67" s="184"/>
      <c r="BN67" s="184"/>
      <c r="BO67" s="184"/>
      <c r="BP67" s="184"/>
    </row>
    <row r="68">
      <c r="A68" s="243" t="s">
        <v>126</v>
      </c>
      <c r="B68" s="240"/>
      <c r="C68" s="11"/>
      <c r="D68" s="11"/>
      <c r="E68" s="220"/>
      <c r="F68" s="220"/>
      <c r="G68" s="220"/>
      <c r="H68" s="11"/>
      <c r="I68" s="11"/>
      <c r="J68" s="220"/>
      <c r="K68" s="184"/>
      <c r="L68" s="184"/>
      <c r="M68" s="11"/>
      <c r="N68" s="11"/>
      <c r="O68" s="195"/>
      <c r="P68" s="11"/>
      <c r="Q68" s="11"/>
      <c r="R68" s="12"/>
      <c r="S68" s="11"/>
      <c r="T68" s="220"/>
      <c r="U68" s="184"/>
      <c r="V68" s="184"/>
      <c r="W68" s="11"/>
      <c r="X68" s="11"/>
      <c r="Y68" s="220"/>
      <c r="Z68" s="184"/>
      <c r="AA68" s="184"/>
      <c r="AB68" s="11"/>
      <c r="AC68" s="11"/>
      <c r="AD68" s="220"/>
      <c r="AE68" s="184"/>
      <c r="AF68" s="184"/>
      <c r="AG68" s="11"/>
      <c r="AH68" s="11"/>
      <c r="AI68" s="220"/>
      <c r="AJ68" s="184"/>
      <c r="AK68" s="184"/>
      <c r="AL68" s="11"/>
      <c r="AM68" s="11"/>
      <c r="AN68" s="220"/>
      <c r="AO68" s="184"/>
      <c r="AP68" s="184"/>
      <c r="AQ68" s="11"/>
      <c r="AR68" s="11"/>
      <c r="AS68" s="220"/>
      <c r="AT68" s="184"/>
      <c r="AU68" s="184"/>
      <c r="AV68" s="11"/>
      <c r="AW68" s="11"/>
      <c r="AX68" s="220"/>
      <c r="AY68" s="184"/>
      <c r="AZ68" s="184"/>
      <c r="BA68" s="11"/>
      <c r="BB68" s="11"/>
      <c r="BC68" s="220"/>
      <c r="BD68" s="184"/>
      <c r="BE68" s="184"/>
      <c r="BF68" s="11"/>
      <c r="BG68" s="11"/>
      <c r="BH68" s="220"/>
      <c r="BI68" s="184"/>
      <c r="BJ68" s="184"/>
      <c r="BK68" s="184"/>
      <c r="BL68" s="184"/>
      <c r="BM68" s="184"/>
      <c r="BN68" s="184"/>
      <c r="BO68" s="184"/>
      <c r="BP68" s="184"/>
    </row>
    <row r="69">
      <c r="A69" s="245" t="str">
        <f>IF( $BG$11 = "再製作", "◼︎ フーデッドコート（対応着地：再製作）"&amp;char(10)&amp;"《修正数値》", IF($BG$11 &lt;&gt; "", "◼︎ フーデッドコート（対応着地：お直し）"&amp;char(10)&amp;"《修正数値》", ""))</f>
        <v/>
      </c>
      <c r="B69" s="240"/>
      <c r="C69" s="11"/>
      <c r="D69" s="11"/>
      <c r="E69" s="220"/>
      <c r="F69" s="220"/>
      <c r="G69" s="220"/>
      <c r="H69" s="11"/>
      <c r="I69" s="11"/>
      <c r="J69" s="220"/>
      <c r="K69" s="184"/>
      <c r="L69" s="184"/>
      <c r="M69" s="11"/>
      <c r="N69" s="11"/>
      <c r="O69" s="195"/>
      <c r="P69" s="11"/>
      <c r="Q69" s="11"/>
      <c r="R69" s="12"/>
      <c r="S69" s="11"/>
      <c r="T69" s="220"/>
      <c r="U69" s="184"/>
      <c r="V69" s="184"/>
      <c r="W69" s="11"/>
      <c r="X69" s="11"/>
      <c r="Y69" s="220"/>
      <c r="Z69" s="184"/>
      <c r="AA69" s="184"/>
      <c r="AB69" s="11"/>
      <c r="AC69" s="11"/>
      <c r="AD69" s="220"/>
      <c r="AE69" s="184"/>
      <c r="AF69" s="184"/>
      <c r="AG69" s="11"/>
      <c r="AH69" s="11"/>
      <c r="AI69" s="220"/>
      <c r="AJ69" s="184"/>
      <c r="AK69" s="184"/>
      <c r="AL69" s="11"/>
      <c r="AM69" s="11"/>
      <c r="AN69" s="220"/>
      <c r="AO69" s="184"/>
      <c r="AP69" s="184"/>
      <c r="AQ69" s="11"/>
      <c r="AR69" s="11"/>
      <c r="AS69" s="220"/>
      <c r="AT69" s="184"/>
      <c r="AU69" s="184"/>
      <c r="AV69" s="11"/>
      <c r="AW69" s="11"/>
      <c r="AX69" s="220"/>
      <c r="AY69" s="184"/>
      <c r="AZ69" s="184"/>
      <c r="BA69" s="11"/>
      <c r="BB69" s="11"/>
      <c r="BC69" s="220"/>
      <c r="BD69" s="184"/>
      <c r="BE69" s="184"/>
      <c r="BF69" s="11"/>
      <c r="BG69" s="11"/>
      <c r="BH69" s="220"/>
      <c r="BI69" s="184"/>
      <c r="BJ69" s="184"/>
      <c r="BK69" s="184"/>
      <c r="BL69" s="184"/>
      <c r="BM69" s="184"/>
      <c r="BN69" s="184"/>
      <c r="BO69" s="184"/>
      <c r="BP69" s="184"/>
    </row>
    <row r="70">
      <c r="A70" s="228" t="str">
        <f>IFERROR(__xludf.DUMMYFUNCTION("TEXTJOIN(CHAR(10),TRUE,FILTER(ARRAYFORMULA(IF(BH$14:BH72&lt;&gt;"""",BG$14:BG72&amp;"" : ""&amp; BH$14:BH72 &amp;"" cm"","""")), BG$14:BG72 &lt;&gt;""""))"),"")</f>
        <v/>
      </c>
      <c r="B70" s="240"/>
      <c r="C70" s="11"/>
      <c r="D70" s="11"/>
      <c r="E70" s="220"/>
      <c r="F70" s="220"/>
      <c r="G70" s="220"/>
      <c r="H70" s="11"/>
      <c r="I70" s="11"/>
      <c r="J70" s="220"/>
      <c r="K70" s="184"/>
      <c r="L70" s="184"/>
      <c r="M70" s="11"/>
      <c r="N70" s="11"/>
      <c r="O70" s="195"/>
      <c r="P70" s="11"/>
      <c r="Q70" s="11"/>
      <c r="R70" s="12"/>
      <c r="S70" s="11"/>
      <c r="T70" s="220"/>
      <c r="U70" s="184"/>
      <c r="V70" s="184"/>
      <c r="W70" s="11"/>
      <c r="X70" s="11"/>
      <c r="Y70" s="220"/>
      <c r="Z70" s="184"/>
      <c r="AA70" s="184"/>
      <c r="AB70" s="11"/>
      <c r="AC70" s="11"/>
      <c r="AD70" s="220"/>
      <c r="AE70" s="184"/>
      <c r="AF70" s="184"/>
      <c r="AG70" s="11"/>
      <c r="AH70" s="11"/>
      <c r="AI70" s="220"/>
      <c r="AJ70" s="184"/>
      <c r="AK70" s="184"/>
      <c r="AL70" s="11"/>
      <c r="AM70" s="11"/>
      <c r="AN70" s="220"/>
      <c r="AO70" s="184"/>
      <c r="AP70" s="184"/>
      <c r="AQ70" s="11"/>
      <c r="AR70" s="11"/>
      <c r="AS70" s="220"/>
      <c r="AT70" s="184"/>
      <c r="AU70" s="184"/>
      <c r="AV70" s="11"/>
      <c r="AW70" s="11"/>
      <c r="AX70" s="220"/>
      <c r="AY70" s="184"/>
      <c r="AZ70" s="184"/>
      <c r="BA70" s="11"/>
      <c r="BB70" s="11"/>
      <c r="BC70" s="220"/>
      <c r="BD70" s="184"/>
      <c r="BE70" s="184"/>
      <c r="BF70" s="11"/>
      <c r="BG70" s="11"/>
      <c r="BH70" s="220"/>
      <c r="BI70" s="184"/>
      <c r="BJ70" s="184"/>
      <c r="BK70" s="184"/>
      <c r="BL70" s="184"/>
      <c r="BM70" s="184"/>
      <c r="BN70" s="184"/>
      <c r="BO70" s="184"/>
      <c r="BP70" s="184"/>
    </row>
    <row r="71">
      <c r="A71" s="244" t="str">
        <f>if($A$69&lt;&gt;"", "《仕上がり数値》","")</f>
        <v/>
      </c>
      <c r="B71" s="240"/>
      <c r="C71" s="11"/>
      <c r="D71" s="11"/>
      <c r="E71" s="220"/>
      <c r="F71" s="220"/>
      <c r="G71" s="220"/>
      <c r="H71" s="11"/>
      <c r="I71" s="11"/>
      <c r="J71" s="220"/>
      <c r="K71" s="184"/>
      <c r="L71" s="184"/>
      <c r="M71" s="11"/>
      <c r="N71" s="11"/>
      <c r="O71" s="195"/>
      <c r="P71" s="11"/>
      <c r="Q71" s="11"/>
      <c r="R71" s="12"/>
      <c r="S71" s="11"/>
      <c r="T71" s="220"/>
      <c r="U71" s="184"/>
      <c r="V71" s="184"/>
      <c r="W71" s="11"/>
      <c r="X71" s="11"/>
      <c r="Y71" s="220"/>
      <c r="Z71" s="184"/>
      <c r="AA71" s="184"/>
      <c r="AB71" s="11"/>
      <c r="AC71" s="11"/>
      <c r="AD71" s="220"/>
      <c r="AE71" s="184"/>
      <c r="AF71" s="184"/>
      <c r="AG71" s="11"/>
      <c r="AH71" s="11"/>
      <c r="AI71" s="220"/>
      <c r="AJ71" s="184"/>
      <c r="AK71" s="184"/>
      <c r="AL71" s="11"/>
      <c r="AM71" s="11"/>
      <c r="AN71" s="220"/>
      <c r="AO71" s="184"/>
      <c r="AP71" s="184"/>
      <c r="AQ71" s="11"/>
      <c r="AR71" s="11"/>
      <c r="AS71" s="220"/>
      <c r="AT71" s="184"/>
      <c r="AU71" s="184"/>
      <c r="AV71" s="11"/>
      <c r="AW71" s="11"/>
      <c r="AX71" s="220"/>
      <c r="AY71" s="184"/>
      <c r="AZ71" s="184"/>
      <c r="BA71" s="11"/>
      <c r="BB71" s="11"/>
      <c r="BC71" s="220"/>
      <c r="BD71" s="184"/>
      <c r="BE71" s="184"/>
      <c r="BF71" s="11"/>
      <c r="BG71" s="11"/>
      <c r="BH71" s="220"/>
      <c r="BI71" s="184"/>
      <c r="BJ71" s="184"/>
      <c r="BK71" s="184"/>
      <c r="BL71" s="184"/>
      <c r="BM71" s="184"/>
      <c r="BN71" s="184"/>
      <c r="BO71" s="184"/>
      <c r="BP71" s="184"/>
    </row>
    <row r="72">
      <c r="A72" s="228" t="str">
        <f>IFERROR(__xludf.DUMMYFUNCTION("TEXTJOIN(CHAR(10),TRUE,FILTER(ARRAYFORMULA(IF(BH$14:BH72&lt;&gt;"""",BG$14:BG72&amp;"" :  cm"","""")), BG$14:BG72 &lt;&gt;""""))"),"")</f>
        <v/>
      </c>
      <c r="B72" s="240"/>
      <c r="C72" s="11"/>
      <c r="D72" s="11"/>
      <c r="E72" s="220"/>
      <c r="F72" s="220"/>
      <c r="G72" s="220"/>
      <c r="H72" s="11"/>
      <c r="I72" s="11"/>
      <c r="J72" s="220"/>
      <c r="K72" s="184"/>
      <c r="L72" s="184"/>
      <c r="M72" s="11"/>
      <c r="N72" s="11"/>
      <c r="O72" s="195"/>
      <c r="P72" s="11"/>
      <c r="Q72" s="11"/>
      <c r="R72" s="12"/>
      <c r="S72" s="11"/>
      <c r="T72" s="220"/>
      <c r="U72" s="184"/>
      <c r="V72" s="184"/>
      <c r="W72" s="11"/>
      <c r="X72" s="11"/>
      <c r="Y72" s="220"/>
      <c r="Z72" s="184"/>
      <c r="AA72" s="184"/>
      <c r="AB72" s="11"/>
      <c r="AC72" s="11"/>
      <c r="AD72" s="220"/>
      <c r="AE72" s="184"/>
      <c r="AF72" s="184"/>
      <c r="AG72" s="11"/>
      <c r="AH72" s="11"/>
      <c r="AI72" s="220"/>
      <c r="AJ72" s="184"/>
      <c r="AK72" s="184"/>
      <c r="AL72" s="11"/>
      <c r="AM72" s="11"/>
      <c r="AN72" s="220"/>
      <c r="AO72" s="184"/>
      <c r="AP72" s="184"/>
      <c r="AQ72" s="11"/>
      <c r="AR72" s="11"/>
      <c r="AS72" s="220"/>
      <c r="AT72" s="184"/>
      <c r="AU72" s="184"/>
      <c r="AV72" s="11"/>
      <c r="AW72" s="11"/>
      <c r="AX72" s="220"/>
      <c r="AY72" s="184"/>
      <c r="AZ72" s="184"/>
      <c r="BA72" s="11"/>
      <c r="BB72" s="11"/>
      <c r="BC72" s="220"/>
      <c r="BD72" s="184"/>
      <c r="BE72" s="184"/>
      <c r="BF72" s="11"/>
      <c r="BG72" s="11"/>
      <c r="BH72" s="220"/>
      <c r="BI72" s="184"/>
      <c r="BJ72" s="184"/>
      <c r="BK72" s="184"/>
      <c r="BL72" s="184"/>
      <c r="BM72" s="184"/>
      <c r="BN72" s="184"/>
      <c r="BO72" s="184"/>
      <c r="BP72" s="184"/>
    </row>
  </sheetData>
  <mergeCells count="1">
    <mergeCell ref="D5:G5"/>
  </mergeCells>
  <hyperlinks>
    <hyperlink r:id="rId1" location="gid=1551873484" ref="K5"/>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hidden="1" min="1" max="2" width="20.88"/>
    <col customWidth="1" min="3" max="3" width="3.88"/>
    <col customWidth="1" min="4" max="4" width="25.13"/>
    <col customWidth="1" min="5" max="6" width="12.63"/>
    <col customWidth="1" hidden="1" min="7" max="7" width="12.63"/>
    <col customWidth="1" min="8" max="8" width="6.38"/>
    <col customWidth="1" min="9" max="9" width="25.13"/>
    <col customWidth="1" min="10" max="11" width="12.63"/>
    <col customWidth="1" hidden="1" min="12" max="12" width="12.63"/>
    <col customWidth="1" min="13" max="13" width="6.38"/>
    <col customWidth="1" min="14" max="14" width="25.13"/>
    <col customWidth="1" min="15" max="16" width="12.63"/>
    <col customWidth="1" hidden="1" min="17" max="17" width="12.63"/>
    <col customWidth="1" min="18" max="18" width="6.25"/>
    <col customWidth="1" min="19" max="19" width="25.13"/>
    <col customWidth="1" min="20" max="21" width="12.63"/>
    <col customWidth="1" hidden="1" min="22" max="22" width="12.63"/>
    <col customWidth="1" min="23" max="23" width="6.38"/>
    <col customWidth="1" min="24" max="24" width="25.13"/>
    <col customWidth="1" min="25" max="26" width="12.63"/>
    <col customWidth="1" hidden="1" min="27" max="27" width="12.63"/>
    <col customWidth="1" min="28" max="28" width="6.38"/>
    <col customWidth="1" min="29" max="29" width="25.13"/>
    <col customWidth="1" min="30" max="31" width="12.63"/>
    <col customWidth="1" hidden="1" min="32" max="32" width="12.63"/>
    <col customWidth="1" min="33" max="33" width="7.13"/>
    <col customWidth="1" min="34" max="34" width="25.13"/>
    <col customWidth="1" min="35" max="36" width="12.63"/>
    <col customWidth="1" hidden="1" min="37" max="37" width="12.63"/>
    <col customWidth="1" min="38" max="38" width="7.13"/>
    <col customWidth="1" min="39" max="39" width="25.13"/>
    <col customWidth="1" min="40" max="41" width="12.63"/>
    <col customWidth="1" hidden="1" min="42" max="42" width="12.63"/>
    <col customWidth="1" min="43" max="43" width="7.13"/>
    <col customWidth="1" min="44" max="44" width="25.13"/>
    <col customWidth="1" min="45" max="46" width="12.63"/>
    <col customWidth="1" hidden="1" min="47" max="47" width="12.63"/>
    <col customWidth="1" min="48" max="48" width="12.63"/>
    <col customWidth="1" min="49" max="49" width="25.13"/>
    <col customWidth="1" min="50" max="51" width="12.63"/>
    <col customWidth="1" hidden="1" min="52" max="52" width="12.63"/>
    <col customWidth="1" min="53" max="53" width="12.63"/>
    <col customWidth="1" min="54" max="54" width="25.13"/>
    <col customWidth="1" min="55" max="56" width="12.63"/>
    <col customWidth="1" hidden="1" min="57" max="57" width="12.63"/>
    <col customWidth="1" min="58" max="58" width="12.63"/>
    <col customWidth="1" min="59" max="59" width="25.13"/>
    <col customWidth="1" min="60" max="61" width="12.63"/>
    <col customWidth="1" hidden="1" min="62" max="62" width="12.63"/>
    <col customWidth="1" min="63" max="63" width="12.63"/>
    <col customWidth="1" min="64" max="64" width="19.25"/>
    <col customWidth="1" min="65" max="66" width="12.63"/>
    <col customWidth="1" hidden="1" min="67" max="67" width="12.63"/>
    <col customWidth="1" min="68" max="68" width="12.63"/>
  </cols>
  <sheetData>
    <row r="1">
      <c r="A1" s="248">
        <f>today()</f>
        <v>45991</v>
      </c>
      <c r="B1" s="249"/>
      <c r="C1" s="250"/>
      <c r="D1" s="251" t="s">
        <v>138</v>
      </c>
      <c r="E1" s="252"/>
      <c r="F1" s="252"/>
      <c r="G1" s="252"/>
      <c r="H1" s="253"/>
      <c r="I1" s="253"/>
      <c r="J1" s="252"/>
      <c r="K1" s="252"/>
      <c r="L1" s="252"/>
      <c r="M1" s="253"/>
      <c r="N1" s="252"/>
      <c r="O1" s="252"/>
      <c r="P1" s="252"/>
      <c r="Q1" s="252"/>
      <c r="R1" s="253"/>
      <c r="S1" s="253"/>
      <c r="T1" s="255"/>
      <c r="U1" s="255"/>
      <c r="V1" s="255"/>
      <c r="W1" s="253"/>
      <c r="X1" s="252"/>
      <c r="Y1" s="255"/>
      <c r="Z1" s="255"/>
      <c r="AA1" s="255"/>
      <c r="AB1" s="253"/>
      <c r="AC1" s="252"/>
      <c r="AD1" s="255"/>
      <c r="AE1" s="255"/>
      <c r="AF1" s="255"/>
      <c r="AG1" s="253"/>
      <c r="AH1" s="252"/>
      <c r="AI1" s="255"/>
      <c r="AJ1" s="255"/>
      <c r="AK1" s="255"/>
      <c r="AL1" s="253"/>
      <c r="AM1" s="252"/>
      <c r="AN1" s="255"/>
      <c r="AO1" s="255"/>
      <c r="AP1" s="255"/>
      <c r="AQ1" s="253"/>
      <c r="AR1" s="252"/>
      <c r="AS1" s="255"/>
      <c r="AT1" s="255"/>
      <c r="AU1" s="255"/>
      <c r="AV1" s="253"/>
      <c r="AW1" s="252"/>
      <c r="AX1" s="255"/>
      <c r="AY1" s="255"/>
      <c r="AZ1" s="255"/>
      <c r="BA1" s="253"/>
      <c r="BB1" s="252"/>
      <c r="BC1" s="255"/>
      <c r="BD1" s="255"/>
      <c r="BE1" s="255"/>
      <c r="BF1" s="253"/>
      <c r="BG1" s="252"/>
      <c r="BH1" s="255"/>
      <c r="BI1" s="255"/>
      <c r="BJ1" s="255"/>
      <c r="BK1" s="255"/>
      <c r="BL1" s="255"/>
      <c r="BM1" s="255"/>
      <c r="BN1" s="255"/>
      <c r="BO1" s="255"/>
      <c r="BP1" s="255"/>
    </row>
    <row r="2">
      <c r="A2" s="11"/>
      <c r="B2" s="183"/>
      <c r="C2" s="12"/>
      <c r="D2" s="12"/>
      <c r="E2" s="12"/>
      <c r="F2" s="12"/>
      <c r="G2" s="12"/>
      <c r="H2" s="11"/>
      <c r="I2" s="11"/>
      <c r="J2" s="12"/>
      <c r="K2" s="12"/>
      <c r="L2" s="12"/>
      <c r="M2" s="11"/>
      <c r="N2" s="12"/>
      <c r="O2" s="12"/>
      <c r="P2" s="12"/>
      <c r="Q2" s="12"/>
      <c r="R2" s="11"/>
      <c r="S2" s="11"/>
      <c r="T2" s="184"/>
      <c r="U2" s="184"/>
      <c r="V2" s="184"/>
      <c r="W2" s="11"/>
      <c r="X2" s="12"/>
      <c r="Y2" s="184"/>
      <c r="Z2" s="184"/>
      <c r="AA2" s="184"/>
      <c r="AB2" s="11"/>
      <c r="AC2" s="12"/>
      <c r="AD2" s="184"/>
      <c r="AE2" s="184"/>
      <c r="AF2" s="184"/>
      <c r="AG2" s="11"/>
      <c r="AH2" s="12"/>
      <c r="AI2" s="184"/>
      <c r="AJ2" s="184"/>
      <c r="AK2" s="184"/>
      <c r="AL2" s="11"/>
      <c r="AM2" s="12"/>
      <c r="AN2" s="184"/>
      <c r="AO2" s="184"/>
      <c r="AP2" s="184"/>
      <c r="AQ2" s="11"/>
      <c r="AR2" s="12"/>
      <c r="AS2" s="184"/>
      <c r="AT2" s="184"/>
      <c r="AU2" s="184"/>
      <c r="AV2" s="11"/>
      <c r="AW2" s="12"/>
      <c r="AX2" s="184"/>
      <c r="AY2" s="184"/>
      <c r="AZ2" s="184"/>
      <c r="BA2" s="11"/>
      <c r="BB2" s="12"/>
      <c r="BC2" s="184"/>
      <c r="BD2" s="184"/>
      <c r="BE2" s="184"/>
      <c r="BF2" s="11"/>
      <c r="BG2" s="12"/>
      <c r="BH2" s="184"/>
      <c r="BI2" s="184"/>
      <c r="BJ2" s="184"/>
      <c r="BK2" s="184"/>
      <c r="BL2" s="184"/>
      <c r="BM2" s="184"/>
      <c r="BN2" s="184"/>
      <c r="BO2" s="184"/>
      <c r="BP2" s="184"/>
    </row>
    <row r="3">
      <c r="A3" s="12"/>
      <c r="B3" s="185"/>
      <c r="C3" s="12"/>
      <c r="D3" s="12" t="str">
        <f t="array" ref="D3:D5">index(A3:A5,0)</f>
        <v/>
      </c>
      <c r="E3" s="12"/>
      <c r="F3" s="12"/>
      <c r="G3" s="12"/>
      <c r="H3" s="11"/>
      <c r="I3" s="11"/>
      <c r="J3" s="12"/>
      <c r="K3" s="12"/>
      <c r="L3" s="12"/>
      <c r="M3" s="11"/>
      <c r="N3" s="12"/>
      <c r="O3" s="12"/>
      <c r="P3" s="12"/>
      <c r="Q3" s="12"/>
      <c r="R3" s="11"/>
      <c r="S3" s="11"/>
      <c r="T3" s="184"/>
      <c r="U3" s="184"/>
      <c r="V3" s="184"/>
      <c r="W3" s="11"/>
      <c r="X3" s="12"/>
      <c r="Y3" s="184"/>
      <c r="Z3" s="184"/>
      <c r="AA3" s="184"/>
      <c r="AB3" s="11"/>
      <c r="AC3" s="12"/>
      <c r="AD3" s="184"/>
      <c r="AE3" s="184"/>
      <c r="AF3" s="184"/>
      <c r="AG3" s="11"/>
      <c r="AH3" s="12"/>
      <c r="AI3" s="184"/>
      <c r="AJ3" s="184"/>
      <c r="AK3" s="184"/>
      <c r="AL3" s="11"/>
      <c r="AM3" s="12"/>
      <c r="AN3" s="184"/>
      <c r="AO3" s="184"/>
      <c r="AP3" s="184"/>
      <c r="AQ3" s="11"/>
      <c r="AR3" s="12"/>
      <c r="AS3" s="184"/>
      <c r="AT3" s="184"/>
      <c r="AU3" s="184"/>
      <c r="AV3" s="11"/>
      <c r="AW3" s="12"/>
      <c r="AX3" s="184"/>
      <c r="AY3" s="184"/>
      <c r="AZ3" s="184"/>
      <c r="BA3" s="11"/>
      <c r="BB3" s="12"/>
      <c r="BC3" s="184"/>
      <c r="BD3" s="184"/>
      <c r="BE3" s="184"/>
      <c r="BF3" s="11"/>
      <c r="BG3" s="12"/>
      <c r="BH3" s="184"/>
      <c r="BI3" s="184"/>
      <c r="BJ3" s="184"/>
      <c r="BK3" s="184"/>
      <c r="BL3" s="184"/>
      <c r="BM3" s="184"/>
      <c r="BN3" s="184"/>
      <c r="BO3" s="184"/>
      <c r="BP3" s="184"/>
    </row>
    <row r="4">
      <c r="A4" s="186" t="s">
        <v>28</v>
      </c>
      <c r="B4" s="185"/>
      <c r="C4" s="12"/>
      <c r="D4" s="12" t="s">
        <v>28</v>
      </c>
      <c r="E4" s="12"/>
      <c r="F4" s="12"/>
      <c r="G4" s="12"/>
      <c r="H4" s="11"/>
      <c r="I4" s="11"/>
      <c r="J4" s="12"/>
      <c r="K4" s="12"/>
      <c r="L4" s="12"/>
      <c r="M4" s="11"/>
      <c r="N4" s="12"/>
      <c r="O4" s="12"/>
      <c r="P4" s="12"/>
      <c r="Q4" s="12"/>
      <c r="R4" s="11"/>
      <c r="S4" s="11"/>
      <c r="T4" s="184"/>
      <c r="U4" s="184"/>
      <c r="V4" s="184"/>
      <c r="W4" s="11"/>
      <c r="X4" s="12"/>
      <c r="Y4" s="184"/>
      <c r="Z4" s="184"/>
      <c r="AA4" s="184"/>
      <c r="AB4" s="11"/>
      <c r="AC4" s="12"/>
      <c r="AD4" s="184"/>
      <c r="AE4" s="184"/>
      <c r="AF4" s="184"/>
      <c r="AG4" s="11"/>
      <c r="AH4" s="12"/>
      <c r="AI4" s="184"/>
      <c r="AJ4" s="184"/>
      <c r="AK4" s="184"/>
      <c r="AL4" s="11"/>
      <c r="AM4" s="12"/>
      <c r="AN4" s="184"/>
      <c r="AO4" s="184"/>
      <c r="AP4" s="184"/>
      <c r="AQ4" s="11"/>
      <c r="AR4" s="12"/>
      <c r="AS4" s="184"/>
      <c r="AT4" s="184"/>
      <c r="AU4" s="184"/>
      <c r="AV4" s="11"/>
      <c r="AW4" s="12"/>
      <c r="AX4" s="184"/>
      <c r="AY4" s="184"/>
      <c r="AZ4" s="184"/>
      <c r="BA4" s="11"/>
      <c r="BB4" s="12"/>
      <c r="BC4" s="184"/>
      <c r="BD4" s="184"/>
      <c r="BE4" s="184"/>
      <c r="BF4" s="11"/>
      <c r="BG4" s="12"/>
      <c r="BH4" s="184"/>
      <c r="BI4" s="184"/>
      <c r="BJ4" s="184"/>
      <c r="BK4" s="184"/>
      <c r="BL4" s="184"/>
      <c r="BM4" s="184"/>
      <c r="BN4" s="184"/>
      <c r="BO4" s="184"/>
      <c r="BP4" s="184"/>
    </row>
    <row r="5" ht="225.0" customHeight="1">
      <c r="A5" s="187" t="str">
        <f>$A$7 &amp; $A$8 &amp; CHAR(10) &amp; $A$10 &amp; CHAR(10) &amp; CHAR(10) &amp; $A$11</f>
        <v>FABRIC TOKYO 渋谷MODI 2025-11-30 お直し適用サイズ
FABRIC TOKYO 渋谷MODI 2025-11-30 お直し適用サイズ ＊スーツサイズ
FABRIC TOKYO 渋谷MODI 2025-11-30 お直し適用サイズ ＊ビジネスカジュアルサイズ
◼︎ ジャケット（対応着地：お直し）
《修正数値》
袖丈 / 本切羽あり : -2.5 cm
《仕上がり数値》
袖丈 / 本切羽あり : cm
◼︎ パンツ（対応着地：お直し）
《修正数値》
股下 / ダブル(4cm以上) : -4 cm
《仕上がり数値》
股下 / ダブル(4cm以上) : cm
◼︎ シャツ（対応着地：お直し）
《修正数値》
裄丈 (長袖) : -2 cm
《仕上がり数値》
裄丈 (長袖)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v>
      </c>
      <c r="B5" s="188" t="str">
        <f>"【お直し来店済み】" &amp; CHAR(10) &amp; 
 "来店⽇時：" &amp; text($A$1," yyyy/mm/dd")&amp; CHAR(10) &amp;
 "来店店舗：" &amp; $D$1 &amp; CHAR(10) &amp; CHAR(10) &amp;
 "お直し着地：" &amp; CHAR(10) &amp; $A$10</f>
        <v>【お直し来店済み】
来店⽇時： 2025/11/30
来店店舗：渋谷MODI
お直し着地：
◼︎ ジャケット（対応着地：お直し）
《修正数値》
袖丈 / 本切羽あり : -2.5 cm
《仕上がり数値》
袖丈 / 本切羽あり : cm
◼︎ パンツ（対応着地：お直し）
《修正数値》
股下 / ダブル(4cm以上) : -4 cm
《仕上がり数値》
股下 / ダブル(4cm以上) : cm
◼︎ シャツ（対応着地：お直し）
《修正数値》
裄丈 (長袖) : -2 cm
《仕上がり数値》
裄丈 (長袖) : cm</v>
      </c>
      <c r="C5" s="12"/>
      <c r="D5" s="190" t="s">
        <v>141</v>
      </c>
      <c r="H5" s="11"/>
      <c r="I5" s="189">
        <v>1.0</v>
      </c>
      <c r="J5" s="12"/>
      <c r="K5" s="191" t="s">
        <v>30</v>
      </c>
      <c r="L5" s="12"/>
      <c r="M5" s="11"/>
      <c r="N5" s="12"/>
      <c r="O5" s="12"/>
      <c r="P5" s="12"/>
      <c r="Q5" s="12"/>
      <c r="R5" s="11"/>
      <c r="S5" s="11"/>
      <c r="T5" s="184"/>
      <c r="U5" s="184"/>
      <c r="V5" s="184"/>
      <c r="W5" s="11"/>
      <c r="X5" s="12"/>
      <c r="Y5" s="184"/>
      <c r="Z5" s="184"/>
      <c r="AA5" s="184"/>
      <c r="AB5" s="11"/>
      <c r="AC5" s="12"/>
      <c r="AD5" s="184"/>
      <c r="AE5" s="184"/>
      <c r="AF5" s="184"/>
      <c r="AG5" s="11"/>
      <c r="AH5" s="12"/>
      <c r="AI5" s="184"/>
      <c r="AJ5" s="184"/>
      <c r="AK5" s="184"/>
      <c r="AL5" s="11"/>
      <c r="AM5" s="12"/>
      <c r="AN5" s="184"/>
      <c r="AO5" s="184"/>
      <c r="AP5" s="184"/>
      <c r="AQ5" s="11"/>
      <c r="AR5" s="12"/>
      <c r="AS5" s="184"/>
      <c r="AT5" s="184"/>
      <c r="AU5" s="184"/>
      <c r="AV5" s="11"/>
      <c r="AW5" s="12"/>
      <c r="AX5" s="184"/>
      <c r="AY5" s="184"/>
      <c r="AZ5" s="184"/>
      <c r="BA5" s="11"/>
      <c r="BB5" s="12"/>
      <c r="BC5" s="184"/>
      <c r="BD5" s="184"/>
      <c r="BE5" s="184"/>
      <c r="BF5" s="11"/>
      <c r="BG5" s="12"/>
      <c r="BH5" s="184"/>
      <c r="BI5" s="184"/>
      <c r="BJ5" s="184"/>
      <c r="BK5" s="184"/>
      <c r="BL5" s="184"/>
      <c r="BM5" s="184"/>
      <c r="BN5" s="184"/>
      <c r="BO5" s="184"/>
      <c r="BP5" s="184"/>
    </row>
    <row r="6">
      <c r="A6" s="12"/>
      <c r="B6" s="186"/>
      <c r="C6" s="12"/>
      <c r="D6" s="12"/>
      <c r="E6" s="12"/>
      <c r="F6" s="12"/>
      <c r="G6" s="12"/>
      <c r="H6" s="11"/>
      <c r="I6" s="11"/>
      <c r="J6" s="12"/>
      <c r="K6" s="12"/>
      <c r="L6" s="12"/>
      <c r="M6" s="11"/>
      <c r="N6" s="12"/>
      <c r="O6" s="12"/>
      <c r="P6" s="12"/>
      <c r="Q6" s="12"/>
      <c r="R6" s="11"/>
      <c r="S6" s="11"/>
      <c r="T6" s="184"/>
      <c r="U6" s="184"/>
      <c r="V6" s="184"/>
      <c r="W6" s="11"/>
      <c r="X6" s="12"/>
      <c r="Y6" s="184"/>
      <c r="Z6" s="184"/>
      <c r="AA6" s="184"/>
      <c r="AB6" s="11"/>
      <c r="AC6" s="12"/>
      <c r="AD6" s="184"/>
      <c r="AE6" s="184"/>
      <c r="AF6" s="184"/>
      <c r="AG6" s="11"/>
      <c r="AH6" s="12"/>
      <c r="AI6" s="184"/>
      <c r="AJ6" s="184"/>
      <c r="AK6" s="184"/>
      <c r="AL6" s="11"/>
      <c r="AM6" s="12"/>
      <c r="AN6" s="184"/>
      <c r="AO6" s="184"/>
      <c r="AP6" s="184"/>
      <c r="AQ6" s="11"/>
      <c r="AR6" s="12"/>
      <c r="AS6" s="184"/>
      <c r="AT6" s="184"/>
      <c r="AU6" s="184"/>
      <c r="AV6" s="11"/>
      <c r="AW6" s="12"/>
      <c r="AX6" s="184"/>
      <c r="AY6" s="184"/>
      <c r="AZ6" s="184"/>
      <c r="BA6" s="11"/>
      <c r="BB6" s="12"/>
      <c r="BC6" s="184"/>
      <c r="BD6" s="184"/>
      <c r="BE6" s="184"/>
      <c r="BF6" s="11"/>
      <c r="BG6" s="12"/>
      <c r="BH6" s="184"/>
      <c r="BI6" s="184"/>
      <c r="BJ6" s="184"/>
      <c r="BK6" s="184"/>
      <c r="BL6" s="184"/>
      <c r="BM6" s="184"/>
      <c r="BN6" s="184"/>
      <c r="BO6" s="184"/>
      <c r="BP6" s="184"/>
    </row>
    <row r="7" ht="28.5" customHeight="1">
      <c r="A7" s="192" t="str">
        <f>IF((SUM(LEN(I11), LEN(N11), LEN(S11), LEN(X11), LEN(AC11), LEN(AH11), LEN(AM11), LEN(AR11), LEN(AW11), LEN(BB11), LEN(BG11)))&gt;0, "FABRIC TOKYO "&amp; $D$1 &amp; " " &amp; TEXT($A$1, "yyyy-m-d") &amp; " お直し適用サイズ" &amp; CHAR(10), "")</f>
        <v>FABRIC TOKYO 渋谷MODI 2025-11-30 お直し適用サイズ
</v>
      </c>
      <c r="B7" s="193"/>
      <c r="C7" s="12"/>
      <c r="D7" s="194" t="s">
        <v>31</v>
      </c>
      <c r="E7" s="12"/>
      <c r="F7" s="12"/>
      <c r="G7" s="12"/>
      <c r="H7" s="11"/>
      <c r="I7" s="11"/>
      <c r="J7" s="12"/>
      <c r="K7" s="12"/>
      <c r="L7" s="12"/>
      <c r="M7" s="11"/>
      <c r="N7" s="12"/>
      <c r="O7" s="12"/>
      <c r="P7" s="12"/>
      <c r="Q7" s="12"/>
      <c r="R7" s="11"/>
      <c r="S7" s="11"/>
      <c r="T7" s="184"/>
      <c r="U7" s="184"/>
      <c r="V7" s="184"/>
      <c r="W7" s="11"/>
      <c r="X7" s="12"/>
      <c r="Y7" s="184"/>
      <c r="Z7" s="184"/>
      <c r="AA7" s="184"/>
      <c r="AB7" s="11"/>
      <c r="AC7" s="12"/>
      <c r="AD7" s="184"/>
      <c r="AE7" s="184"/>
      <c r="AF7" s="184"/>
      <c r="AG7" s="11"/>
      <c r="AH7" s="12"/>
      <c r="AI7" s="184"/>
      <c r="AJ7" s="184"/>
      <c r="AK7" s="184"/>
      <c r="AL7" s="11"/>
      <c r="AM7" s="12"/>
      <c r="AN7" s="184"/>
      <c r="AO7" s="184"/>
      <c r="AP7" s="184"/>
      <c r="AQ7" s="11"/>
      <c r="AR7" s="12"/>
      <c r="AS7" s="184"/>
      <c r="AT7" s="184"/>
      <c r="AU7" s="184"/>
      <c r="AV7" s="11"/>
      <c r="AW7" s="12"/>
      <c r="AX7" s="184"/>
      <c r="AY7" s="184"/>
      <c r="AZ7" s="184"/>
      <c r="BA7" s="11"/>
      <c r="BB7" s="12"/>
      <c r="BC7" s="184"/>
      <c r="BD7" s="184"/>
      <c r="BE7" s="184"/>
      <c r="BF7" s="11"/>
      <c r="BG7" s="12"/>
      <c r="BH7" s="184"/>
      <c r="BI7" s="184"/>
      <c r="BJ7" s="184"/>
      <c r="BK7" s="184"/>
      <c r="BL7" s="184"/>
      <c r="BM7" s="184"/>
      <c r="BN7" s="184"/>
      <c r="BO7" s="184"/>
      <c r="BP7" s="184"/>
    </row>
    <row r="8">
      <c r="A8" s="192" t="str">
        <f>ifs($D$11&lt;&gt;"", 
"FABRIC TOKYO "&amp; $D$1&amp; "" &amp; text($A$1," yyyy-m-d"&amp;" お直し適用サイズ ＊スーツサイズ")
&amp; CHAR(10) &amp;
"FABRIC TOKYO "&amp; $D$1&amp; "" &amp; text($A$1," yyyy-m-d"&amp;" お直し適用サイズ ＊ビジネスカジュアルサイズ" &amp; CHAR(10))
,
$D$11="", "")</f>
        <v>FABRIC TOKYO 渋谷MODI 2025-11-30 お直し適用サイズ ＊スーツサイズ
FABRIC TOKYO 渋谷MODI 2025-11-30 お直し適用サイズ ＊ビジネスカジュアルサイズ
</v>
      </c>
      <c r="B8" s="193"/>
      <c r="C8" s="195"/>
      <c r="D8" s="196">
        <f>IF(OR($D$11="再製作", $I$11="再製作", $N$11="再製作"), "再製作", 
  IF(AND(COUNTIF($E$11:$O$11, "&gt;=" &amp;  TODAY()), COUNTIF($E$11:$O11, "&lt;&gt;")), MAX($D$11, $I$11, $N$11), ""))</f>
        <v>46001</v>
      </c>
      <c r="E8" s="197" t="s">
        <v>32</v>
      </c>
      <c r="F8" s="12"/>
      <c r="G8" s="12"/>
      <c r="H8" s="12"/>
      <c r="I8" s="12"/>
      <c r="J8" s="195"/>
      <c r="K8" s="195"/>
      <c r="L8" s="195"/>
      <c r="M8" s="11"/>
      <c r="N8" s="198" t="s">
        <v>33</v>
      </c>
      <c r="O8" s="12"/>
      <c r="P8" s="12"/>
      <c r="Q8" s="12"/>
      <c r="R8" s="11"/>
      <c r="S8" s="11"/>
      <c r="T8" s="184"/>
      <c r="U8" s="184"/>
      <c r="V8" s="184"/>
      <c r="W8" s="11"/>
      <c r="X8" s="12"/>
      <c r="Y8" s="184"/>
      <c r="Z8" s="184"/>
      <c r="AA8" s="184"/>
      <c r="AB8" s="11"/>
      <c r="AC8" s="12"/>
      <c r="AD8" s="184"/>
      <c r="AE8" s="184"/>
      <c r="AF8" s="184"/>
      <c r="AG8" s="11"/>
      <c r="AH8" s="12"/>
      <c r="AI8" s="184"/>
      <c r="AJ8" s="184"/>
      <c r="AK8" s="184"/>
      <c r="AL8" s="11"/>
      <c r="AM8" s="12"/>
      <c r="AN8" s="184"/>
      <c r="AO8" s="184"/>
      <c r="AP8" s="184"/>
      <c r="AQ8" s="11"/>
      <c r="AR8" s="12"/>
      <c r="AS8" s="184"/>
      <c r="AT8" s="184"/>
      <c r="AU8" s="184"/>
      <c r="AV8" s="11"/>
      <c r="AW8" s="12"/>
      <c r="AX8" s="184"/>
      <c r="AY8" s="184"/>
      <c r="AZ8" s="184"/>
      <c r="BA8" s="11"/>
      <c r="BB8" s="12"/>
      <c r="BC8" s="184"/>
      <c r="BD8" s="184"/>
      <c r="BE8" s="184"/>
      <c r="BF8" s="11"/>
      <c r="BG8" s="12"/>
      <c r="BH8" s="184"/>
      <c r="BI8" s="184"/>
      <c r="BJ8" s="184"/>
      <c r="BK8" s="184"/>
      <c r="BL8" s="184"/>
      <c r="BM8" s="184"/>
      <c r="BN8" s="184"/>
      <c r="BO8" s="184"/>
      <c r="BP8" s="184"/>
    </row>
    <row r="9">
      <c r="A9" s="12"/>
      <c r="B9" s="186"/>
      <c r="C9" s="12"/>
      <c r="D9" s="12"/>
      <c r="E9" s="11"/>
      <c r="F9" s="11"/>
      <c r="G9" s="11"/>
      <c r="H9" s="11"/>
      <c r="I9" s="11"/>
      <c r="J9" s="11"/>
      <c r="K9" s="11"/>
      <c r="L9" s="11"/>
      <c r="M9" s="11"/>
      <c r="N9" s="11"/>
      <c r="O9" s="11"/>
      <c r="P9" s="11"/>
      <c r="Q9" s="11"/>
      <c r="R9" s="11"/>
      <c r="S9" s="12"/>
      <c r="T9" s="184"/>
      <c r="U9" s="184"/>
      <c r="V9" s="184"/>
      <c r="W9" s="11"/>
      <c r="X9" s="12"/>
      <c r="Y9" s="184"/>
      <c r="Z9" s="184"/>
      <c r="AA9" s="184"/>
      <c r="AB9" s="11"/>
      <c r="AC9" s="12"/>
      <c r="AD9" s="184"/>
      <c r="AE9" s="184"/>
      <c r="AF9" s="184"/>
      <c r="AG9" s="11"/>
      <c r="AH9" s="12"/>
      <c r="AI9" s="184"/>
      <c r="AJ9" s="184"/>
      <c r="AK9" s="184"/>
      <c r="AL9" s="11"/>
      <c r="AM9" s="12"/>
      <c r="AN9" s="184"/>
      <c r="AO9" s="184"/>
      <c r="AP9" s="184"/>
      <c r="AQ9" s="11"/>
      <c r="AR9" s="12"/>
      <c r="AS9" s="184"/>
      <c r="AT9" s="184"/>
      <c r="AU9" s="184"/>
      <c r="AV9" s="11"/>
      <c r="AW9" s="12"/>
      <c r="AX9" s="184"/>
      <c r="AY9" s="184"/>
      <c r="AZ9" s="184"/>
      <c r="BA9" s="11"/>
      <c r="BB9" s="12"/>
      <c r="BC9" s="184"/>
      <c r="BD9" s="184"/>
      <c r="BE9" s="184"/>
      <c r="BF9" s="11"/>
      <c r="BG9" s="12"/>
      <c r="BH9" s="184"/>
      <c r="BI9" s="184"/>
      <c r="BJ9" s="184"/>
      <c r="BK9" s="184"/>
      <c r="BL9" s="184"/>
      <c r="BM9" s="184"/>
      <c r="BN9" s="184"/>
      <c r="BO9" s="184"/>
      <c r="BP9" s="184"/>
    </row>
    <row r="10" ht="15.75" customHeight="1">
      <c r="A10" s="199" t="str">
        <f t="array" ref="A10">TRIM(
 IF($A$14&lt;&gt;"",TEXTJOIN(CHAR(10),TRUE,IF($A$14:$A$17&lt;&gt;"",$A$14:$A$17,"")) &amp; CHAR(10) &amp; CHAR(10),"") &amp;
 IF($A$19&lt;&gt;"",TEXTJOIN(CHAR(10),TRUE,IF($A$19:$A$22&lt;&gt;"",$A$19:$A$22,"")) &amp; CHAR(10) &amp; CHAR(10),"") &amp;
 IF($A$24&lt;&gt;"",TEXTJOIN(CHAR(10),TRUE,IF($A$24:$A$27&lt;&gt;"",$A$24:$A$27,"")) &amp; CHAR(10) &amp; CHAR(10),"") &amp;
 IF($A$29&lt;&gt;"",TEXTJOIN(CHAR(10),TRUE,IF($A$29:$A$32&lt;&gt;"",$A$29:$A$32,"")) &amp; CHAR(10) &amp; CHAR(10),"") &amp;
 IF($A$34&lt;&gt;"",TEXTJOIN(CHAR(10),TRUE,IF($A$34:$A$37&lt;&gt;"",$A$34:$A$37,"")) &amp; CHAR(10) &amp; CHAR(10),"") &amp;
 IF($A$39&lt;&gt;"",TEXTJOIN(CHAR(10),TRUE,IF($A$39:$A$42&lt;&gt;"",$A$39:$A$42,"")) &amp; CHAR(10) &amp; CHAR(10),"") &amp;
 IF($A$44&lt;&gt;"",TEXTJOIN(CHAR(10),TRUE,IF($A$44:$A$47&lt;&gt;"",$A$44:$A$47,"")) &amp; CHAR(10) &amp; CHAR(10),"") &amp;
 IF($A$49&lt;&gt;"",TEXTJOIN(CHAR(10),TRUE,IF($A$49:$A$52&lt;&gt;"",$A$49:$A$52,"")) &amp; CHAR(10) &amp; CHAR(10),"") &amp;
 IF($A$54&lt;&gt;"",TEXTJOIN(CHAR(10),TRUE,IF($A$54:$A$57&lt;&gt;"",$A$54:$A$57,"")) &amp; CHAR(10) &amp; CHAR(10),"") &amp;
 IF($A$59&lt;&gt;"",TEXTJOIN(CHAR(10),TRUE,IF($A$59:$A$62&lt;&gt;"",$A$59:$A$62,"")) &amp; CHAR(10) &amp; CHAR(10),"") &amp;
 IF($A$64&lt;&gt;"",TEXTJOIN(CHAR(10),TRUE,IF($A$64:$A$67&lt;&gt;"",$A$64:$A$67,"")) &amp; CHAR(10) &amp; CHAR(10),"") &amp;
 IF($A$69&lt;&gt;"",TEXTJOIN(CHAR(10),TRUE,IF($A$69:$A$72&lt;&gt;"",$A$69:$A$72,"")) &amp; CHAR(10) &amp; CHAR(10),"") 
)
</f>
        <v>◼︎ ジャケット（対応着地：お直し）
《修正数値》
袖丈 / 本切羽あり : -2.5 cm
《仕上がり数値》
袖丈 / 本切羽あり : cm
◼︎ パンツ（対応着地：お直し）
《修正数値》
股下 / ダブル(4cm以上) : -4 cm
《仕上がり数値》
股下 / ダブル(4cm以上) : cm
◼︎ シャツ（対応着地：お直し）
《修正数値》
裄丈 (長袖) : -2 cm
《仕上がり数値》
裄丈 (長袖) : cm</v>
      </c>
      <c r="B10" s="12"/>
      <c r="C10" s="12"/>
      <c r="D10" s="200" t="s">
        <v>34</v>
      </c>
      <c r="E10" s="201"/>
      <c r="F10" s="201"/>
      <c r="G10" s="202" t="s">
        <v>35</v>
      </c>
      <c r="H10" s="11"/>
      <c r="I10" s="200" t="s">
        <v>36</v>
      </c>
      <c r="J10" s="203"/>
      <c r="K10" s="201"/>
      <c r="L10" s="202" t="s">
        <v>35</v>
      </c>
      <c r="M10" s="11"/>
      <c r="N10" s="204" t="s">
        <v>37</v>
      </c>
      <c r="O10" s="203"/>
      <c r="P10" s="201"/>
      <c r="Q10" s="202" t="s">
        <v>35</v>
      </c>
      <c r="R10" s="11"/>
      <c r="S10" s="200" t="s">
        <v>38</v>
      </c>
      <c r="T10" s="203"/>
      <c r="U10" s="201"/>
      <c r="V10" s="202" t="s">
        <v>35</v>
      </c>
      <c r="W10" s="11"/>
      <c r="X10" s="200" t="s">
        <v>39</v>
      </c>
      <c r="Y10" s="203"/>
      <c r="Z10" s="201"/>
      <c r="AA10" s="202" t="s">
        <v>35</v>
      </c>
      <c r="AB10" s="11"/>
      <c r="AC10" s="200" t="s">
        <v>40</v>
      </c>
      <c r="AD10" s="203"/>
      <c r="AE10" s="201"/>
      <c r="AF10" s="202" t="s">
        <v>35</v>
      </c>
      <c r="AG10" s="11"/>
      <c r="AH10" s="200" t="s">
        <v>41</v>
      </c>
      <c r="AI10" s="203"/>
      <c r="AJ10" s="201"/>
      <c r="AK10" s="202" t="s">
        <v>35</v>
      </c>
      <c r="AL10" s="11"/>
      <c r="AM10" s="200" t="s">
        <v>42</v>
      </c>
      <c r="AN10" s="203"/>
      <c r="AO10" s="201"/>
      <c r="AP10" s="202" t="s">
        <v>35</v>
      </c>
      <c r="AQ10" s="11"/>
      <c r="AR10" s="200" t="s">
        <v>43</v>
      </c>
      <c r="AS10" s="203"/>
      <c r="AT10" s="201"/>
      <c r="AU10" s="202" t="s">
        <v>35</v>
      </c>
      <c r="AV10" s="12"/>
      <c r="AW10" s="200" t="s">
        <v>44</v>
      </c>
      <c r="AX10" s="203"/>
      <c r="AY10" s="201"/>
      <c r="AZ10" s="202" t="s">
        <v>35</v>
      </c>
      <c r="BA10" s="12"/>
      <c r="BB10" s="200" t="s">
        <v>45</v>
      </c>
      <c r="BC10" s="203"/>
      <c r="BD10" s="201"/>
      <c r="BE10" s="202" t="s">
        <v>35</v>
      </c>
      <c r="BF10" s="12"/>
      <c r="BG10" s="200" t="s">
        <v>46</v>
      </c>
      <c r="BH10" s="203"/>
      <c r="BI10" s="201"/>
      <c r="BJ10" s="202" t="s">
        <v>35</v>
      </c>
      <c r="BK10" s="12"/>
      <c r="BL10" s="200" t="s">
        <v>47</v>
      </c>
      <c r="BM10" s="201"/>
      <c r="BN10" s="201"/>
      <c r="BO10" s="202" t="s">
        <v>35</v>
      </c>
      <c r="BP10" s="12"/>
    </row>
    <row r="11" ht="37.5" customHeight="1">
      <c r="A11" s="205" t="s">
        <v>48</v>
      </c>
      <c r="B11" s="206"/>
      <c r="C11" s="207"/>
      <c r="D11" s="196">
        <f t="array" ref="D11">IFS( COUNTA(F$13:F27) = 0, "", COUNTIF(F$13:F27, "再製作") &gt; 0, "再製作", COUNTIF(F$13:F27, "&gt;0") = 1, INDEX(F$13:F27, MATCH(TRUE, ISNUMBER(F$13:F27), 0)), COUNTIF(F$13:F27, "&gt;0") = 2, 'アイテム別限界値DB'!$S$4, COUNTIF(F$13:F27, "&gt;0") &gt;= 3, 'アイテム別限界値DB'!$S$6, TRUE, "" ) </f>
        <v>46001</v>
      </c>
      <c r="E11" s="208" t="s">
        <v>49</v>
      </c>
      <c r="F11" s="202" t="s">
        <v>50</v>
      </c>
      <c r="G11" s="209">
        <f>sum(G12:G72)</f>
        <v>0</v>
      </c>
      <c r="H11" s="206"/>
      <c r="I11" s="196">
        <f t="array" ref="I11">IFS( COUNTA(K$13:K27) = 0, "", COUNTIF(K$13:K27, "再製作") &gt; 0, "再製作", COUNTIF(K$13:K27, "&gt;0") = 1, INDEX(K$13:K27, MATCH(TRUE, ISNUMBER(K$13:K27), 0)), COUNTIF(K$13:K27, "&gt;0") = 2, 'アイテム別限界値DB'!$S$8, COUNTIF(K$13:K27, "&gt;0") &gt;= 3, 'アイテム別限界値DB'!$S$10, TRUE, "" ) </f>
        <v>45996</v>
      </c>
      <c r="J11" s="210" t="s">
        <v>49</v>
      </c>
      <c r="K11" s="202" t="s">
        <v>50</v>
      </c>
      <c r="L11" s="209">
        <f>sum(L12:L72)</f>
        <v>0</v>
      </c>
      <c r="M11" s="206"/>
      <c r="N11" s="196" t="str">
        <f t="array" ref="N11">IFS( COUNTA(P$13:P27) = 0, "", COUNTIF(P$13:P27, "再製作") &gt; 0, "再製作", COUNTIF(P$13:P27, "&gt;0") = 1, INDEX(P$13:P27, MATCH(TRUE, ISNUMBER(P$13:P27), 0)), COUNTIF(P$13:P27, "&gt;0") = 2, 'アイテム別限界値DB'!$S$4, COUNTIF(P$13:P27, "&gt;0") &gt;= 3, 'アイテム別限界値DB'!$S$6, TRUE, "" ) </f>
        <v/>
      </c>
      <c r="O11" s="210" t="s">
        <v>49</v>
      </c>
      <c r="P11" s="202" t="s">
        <v>50</v>
      </c>
      <c r="Q11" s="209">
        <f>sum(Q12:Q72)</f>
        <v>0</v>
      </c>
      <c r="R11" s="211"/>
      <c r="S11" s="196" t="str">
        <f t="array" ref="S11">IFS( COUNTA(U$13:U27) = 0, "", COUNTIF(U$13:U27, "再製作") &gt; 0, "再製作", COUNTIF(U$13:U27, "&gt;0") = 1, INDEX(U$13:U27, MATCH(TRUE, ISNUMBER(U$13:U27), 0)), COUNTIF(U$13:U27, "&gt;0") = 2, 'アイテム別限界値DB'!$S$8, COUNTIF(U$13:U27, "&gt;0") &gt;= 3, 'アイテム別限界値DB'!$S$10, TRUE, "" ) </f>
        <v/>
      </c>
      <c r="T11" s="210" t="s">
        <v>49</v>
      </c>
      <c r="U11" s="202" t="s">
        <v>50</v>
      </c>
      <c r="V11" s="209">
        <f>sum(V12:V72)</f>
        <v>0</v>
      </c>
      <c r="W11" s="212"/>
      <c r="X11" s="196">
        <f t="array" ref="X11">IFS( COUNTA(Z$13:Z27) = 0, "", COUNTIF(Z$13:Z27, "再製作") &gt; 0, "再製作", COUNTIF(Z$13:Z27, "&gt;0") = 1, INDEX(Z$13:Z27, MATCH(TRUE, ISNUMBER(Z$13:Z27), 0)), COUNTIF(Z$13:Z27, "&gt;0") = 2, 'アイテム別限界値DB'!$S$4, COUNTIF(Z$13:Z27, "&gt;0") &gt;= 3, 'アイテム別限界値DB'!$S$6, TRUE, "" ) </f>
        <v>46000</v>
      </c>
      <c r="Y11" s="210" t="s">
        <v>49</v>
      </c>
      <c r="Z11" s="202" t="s">
        <v>50</v>
      </c>
      <c r="AA11" s="209">
        <f>sum(AA12:AA72)</f>
        <v>0</v>
      </c>
      <c r="AB11" s="211"/>
      <c r="AC11" s="196" t="str">
        <f t="array" ref="AC11">IFS( COUNTA(AE$13:AE27) = 0, "", COUNTIF(AE$13:AE27, "再製作") &gt; 0, "再製作", COUNTIF(AE$13:AE27, "&gt;0") = 1, INDEX(AE$13:AE27, MATCH(TRUE, ISNUMBER(AE$13:AE27), 0)), COUNTIF(AE$13:AE27, "&gt;0") = 2, 'アイテム別限界値DB'!$S$4, COUNTIF(AE$13:AE27, "&gt;0") &gt;= 3, 'アイテム別限界値DB'!$S$6, TRUE, "" ) </f>
        <v/>
      </c>
      <c r="AD11" s="210" t="s">
        <v>49</v>
      </c>
      <c r="AE11" s="202" t="s">
        <v>50</v>
      </c>
      <c r="AF11" s="209">
        <f>sum(AF12:AF72)</f>
        <v>0</v>
      </c>
      <c r="AG11" s="211"/>
      <c r="AH11" s="196" t="str">
        <f t="array" ref="AH11">IFS( COUNTA(AJ$13:AJ27) = 0, "", COUNTIF(AJ$13:AJ27, "再製作") &gt; 0, "再製作", COUNTIF(AJ$13:AJ27, "&gt;0") = 1, INDEX(AJ$13:AJ27, MATCH(TRUE, ISNUMBER(AJ$13:AJ27), 0)), COUNTIF(AJ$13:AJ27, "&gt;0") = 2, 'アイテム別限界値DB'!$S$4, COUNTIF(AJ$13:AJ27, "&gt;0") &gt;= 3, 'アイテム別限界値DB'!$S$6, TRUE, "" ) </f>
        <v/>
      </c>
      <c r="AI11" s="210" t="s">
        <v>49</v>
      </c>
      <c r="AJ11" s="202" t="s">
        <v>50</v>
      </c>
      <c r="AK11" s="209">
        <f>sum(AK12:AK72)</f>
        <v>0</v>
      </c>
      <c r="AL11" s="211"/>
      <c r="AM11" s="196" t="str">
        <f t="array" ref="AM11">IFS( COUNTA(AO$13:AO27) = 0, "", COUNTIF(AO$13:AO27, "再製作") &gt; 0, "再製作", COUNTIF(AO$13:AO27, "&gt;0") = 1, INDEX(AO$13:AO27, MATCH(TRUE, ISNUMBER(AO$13:AO27), 0)), COUNTIF(AO$13:AO27, "&gt;0") = 2, 'アイテム別限界値DB'!$S$4, COUNTIF(AO$13:AO27, "&gt;0") &gt;= 3, 'アイテム別限界値DB'!$S$6, TRUE, "" ) </f>
        <v/>
      </c>
      <c r="AN11" s="210" t="s">
        <v>49</v>
      </c>
      <c r="AO11" s="202" t="s">
        <v>50</v>
      </c>
      <c r="AP11" s="209">
        <f>sum(AP12:AP72)</f>
        <v>0</v>
      </c>
      <c r="AQ11" s="211"/>
      <c r="AR11" s="196" t="str">
        <f t="array" ref="AR11">IFS( COUNTA(AT$13:AT27) = 0, "", COUNTIF(AT$13:AT27, "再製作") &gt; 0, "再製作", COUNTIF(AT$13:AT27, "&gt;0") = 1, INDEX(AT$13:AT27, MATCH(TRUE, ISNUMBER(AT$13:AT27), 0)), COUNTIF(AT$13:AT27, "&gt;0") = 2, 'アイテム別限界値DB'!$S$4, COUNTIF(AT$13:AT27, "&gt;0") &gt;= 3, 'アイテム別限界値DB'!$S$6, TRUE, "" ) </f>
        <v/>
      </c>
      <c r="AS11" s="210" t="s">
        <v>49</v>
      </c>
      <c r="AT11" s="202" t="s">
        <v>50</v>
      </c>
      <c r="AU11" s="209">
        <f>sum(AU12:AU72)</f>
        <v>0</v>
      </c>
      <c r="AV11" s="213"/>
      <c r="AW11" s="196" t="str">
        <f t="array" ref="AW11">IFS( COUNTA(AY$13:AY27) = 0, "", COUNTIF(AY$13:AY27, "再製作") &gt; 0, "再製作", COUNTIF(AY$13:AY27, "&gt;0") = 1, INDEX(AY$13:AY27, MATCH(TRUE, ISNUMBER(AY$13:AY27), 0)), COUNTIF(AY$13:AY27, "&gt;0") = 2, 'アイテム別限界値DB'!$S$4, COUNTIF(AY$13:AY27, "&gt;0") &gt;= 3, 'アイテム別限界値DB'!$S$6, TRUE, "" ) </f>
        <v/>
      </c>
      <c r="AX11" s="210" t="s">
        <v>49</v>
      </c>
      <c r="AY11" s="202" t="s">
        <v>50</v>
      </c>
      <c r="AZ11" s="209">
        <f>sum(AZ12:AZ72)</f>
        <v>0</v>
      </c>
      <c r="BA11" s="213"/>
      <c r="BB11" s="196" t="str">
        <f t="array" ref="BB11">IFS( COUNTA(BD$13:BD27) = 0, "", COUNTIF(BD$13:BD27, "再製作") &gt; 0, "再製作", COUNTIF(BD$13:BD27, "&gt;0") = 1, INDEX(BD$13:BD27, MATCH(TRUE, ISNUMBER(BD$13:BD27), 0)), COUNTIF(BD$13:BD27, "&gt;0") = 2, 'アイテム別限界値DB'!$S$4, COUNTIF(BD$13:BD27, "&gt;0") &gt;= 3, 'アイテム別限界値DB'!$S$6, TRUE, "" ) </f>
        <v/>
      </c>
      <c r="BC11" s="210" t="s">
        <v>49</v>
      </c>
      <c r="BD11" s="202" t="s">
        <v>50</v>
      </c>
      <c r="BE11" s="209">
        <f>sum(BE12:BE72)</f>
        <v>0</v>
      </c>
      <c r="BF11" s="213"/>
      <c r="BG11" s="196" t="str">
        <f t="array" ref="BG11">IFS( COUNTA(BI$13:BI27) = 0, "", COUNTIF(BI$13:BI27, "再製作") &gt; 0, "再製作", COUNTIF(BI$13:BI27, "&gt;0") = 1, INDEX(BI$13:BI27, MATCH(TRUE, ISNUMBER(BI$13:BI27), 0)), COUNTIF(BI$13:BI27, "&gt;0") = 2, 'アイテム別限界値DB'!$S$4, COUNTIF(BI$13:BI27, "&gt;0") &gt;= 3, 'アイテム別限界値DB'!$S$6, TRUE, "" ) </f>
        <v/>
      </c>
      <c r="BH11" s="210" t="s">
        <v>49</v>
      </c>
      <c r="BI11" s="202" t="s">
        <v>50</v>
      </c>
      <c r="BJ11" s="209">
        <f>sum(BJ12:BJ72)</f>
        <v>0</v>
      </c>
      <c r="BK11" s="213"/>
      <c r="BL11" s="196">
        <f t="array" ref="BL11">IFS( COUNTA(BN$13:BN27) = 0, "", COUNTIF(BN$13:BN27, "再製作") &gt; 0, "再製作", COUNTIF(BN$13:BN27, "&gt;0") = 1, INDEX(BN$13:BN27, MATCH(TRUE, ISNUMBER(BN$13:BN27), 0)), COUNTIF(BN$13:BN27, "&gt;0") = 2, 'アイテム別限界値DB'!$S$4, COUNTIF(BN$13:BN27, "&gt;0") &gt;= 3, 'アイテム別限界値DB'!$S$6, TRUE, "" ) </f>
        <v>46003</v>
      </c>
      <c r="BM11" s="214" t="s">
        <v>49</v>
      </c>
      <c r="BN11" s="215" t="s">
        <v>50</v>
      </c>
      <c r="BO11" s="209">
        <f>sum(BO12:BO72)</f>
        <v>0</v>
      </c>
      <c r="BP11" s="213"/>
    </row>
    <row r="12" ht="15.75" hidden="1" customHeight="1">
      <c r="A12" s="11"/>
      <c r="B12" s="11"/>
      <c r="C12" s="11"/>
      <c r="D12" s="216" t="s">
        <v>51</v>
      </c>
      <c r="E12" s="217" t="str">
        <f>IF(D11="再製作", "再製作", IF(D11&lt;&gt;"", "お直し", ""))
</f>
        <v>お直し</v>
      </c>
      <c r="F12" s="195"/>
      <c r="G12" s="218" t="str">
        <f t="array" ref="G12">IF(
  E12 = "再製作", 
  "", 
 if(E12="", "",
  IFERROR(
    INDEX(
      'アイテム別限界値DB'!$L:$L, 
      MATCH(
        1, 
        ('アイテム別限界値DB'!$B:$B = D$10) * 
        ('アイテム別限界値DB'!$C:$C = D12), 
        0
      )
    ), 
    "再製作"
  )
))
</f>
        <v/>
      </c>
      <c r="H12" s="12"/>
      <c r="I12" s="216" t="s">
        <v>51</v>
      </c>
      <c r="J12" s="217" t="str">
        <f>IF(I11="再製作", "再製作", IF(I11&lt;&gt;"", "お直し", ""))
</f>
        <v>お直し</v>
      </c>
      <c r="K12" s="195"/>
      <c r="L12" s="218" t="str">
        <f t="array" ref="L12">IF(
  J12 = "再製作", 
  "", 
 if(J12="", "",
  IFERROR(
    INDEX(
      'アイテム別限界値DB'!$L:$L, 
      MATCH(
        1, 
        ('アイテム別限界値DB'!$B:$B = I$10) * 
        ('アイテム別限界値DB'!$C:$C = I12), 
        0
      )
    ), 
    "再製作"
  )
))
</f>
        <v/>
      </c>
      <c r="M12" s="121"/>
      <c r="N12" s="216" t="s">
        <v>51</v>
      </c>
      <c r="O12" s="217" t="str">
        <f>IF(N11="再製作", "再製作", IF(N11&lt;&gt;"", "お直し", ""))
</f>
        <v/>
      </c>
      <c r="P12" s="195"/>
      <c r="Q12" s="218" t="str">
        <f t="array" ref="Q12">IF(
  O12 = "再製作", 
  "", 
 if(O12="", "",
  IFERROR(
    INDEX(
      'アイテム別限界値DB'!$L:$L, 
      MATCH(
        1, 
        ('アイテム別限界値DB'!$B:$B = N$10) * 
        ('アイテム別限界値DB'!$C:$C = N12), 
        0
      )
    ), 
    "再製作"
  )
))
</f>
        <v/>
      </c>
      <c r="R12" s="11"/>
      <c r="S12" s="216" t="s">
        <v>51</v>
      </c>
      <c r="T12" s="219" t="str">
        <f>IF(S11="再製作", "再製作", IF(S11&lt;&gt;"", "お直し", ""))
</f>
        <v/>
      </c>
      <c r="U12" s="220"/>
      <c r="V12" s="218" t="str">
        <f t="array" ref="V12">IF(
  T12 = "再製作", 
  "", 
 if(T12="", "",
  IFERROR(
    INDEX(
      'アイテム別限界値DB'!$L:$L, 
      MATCH(
        1, 
        ('アイテム別限界値DB'!$B:$B = S$10) * 
        ('アイテム別限界値DB'!$C:$C = S12), 
        0
      )
    ), 
    "再製作"
  )
))
</f>
        <v/>
      </c>
      <c r="W12" s="12"/>
      <c r="X12" s="216" t="s">
        <v>51</v>
      </c>
      <c r="Y12" s="219" t="str">
        <f>IF(X11="再製作", "再製作", IF(X11&lt;&gt;"", "お直し", ""))
</f>
        <v>お直し</v>
      </c>
      <c r="Z12" s="220"/>
      <c r="AA12" s="218" t="str">
        <f t="array" ref="AA12">IF(
  Y12 = "再製作", 
  "", 
 if(Y12="", "",
  IFERROR(
    INDEX(
      'アイテム別限界値DB'!$L:$L, 
      MATCH(
        1, 
        ('アイテム別限界値DB'!$B:$B = X$10) * 
        ('アイテム別限界値DB'!$C:$C = X12), 
        0
      )
    ), 
    "再製作"
  )
))
</f>
        <v/>
      </c>
      <c r="AB12" s="11"/>
      <c r="AC12" s="216" t="s">
        <v>51</v>
      </c>
      <c r="AD12" s="219" t="str">
        <f>IF(AC11="再製作", "再製作", IF(AC11&lt;&gt;"", "お直し", ""))
</f>
        <v/>
      </c>
      <c r="AE12" s="220"/>
      <c r="AF12" s="218" t="str">
        <f t="array" ref="AF12">IF(
  AD12 = "再製作", 
  "", 
 if(AD12="", "",
  IFERROR(
    INDEX(
      'アイテム別限界値DB'!$L:$L, 
      MATCH(
        1, 
        ('アイテム別限界値DB'!$B:$B = AC$10) * 
        ('アイテム別限界値DB'!$C:$C = AC12), 
        0
      )
    ), 
    "再製作"
  )
))
</f>
        <v/>
      </c>
      <c r="AG12" s="11"/>
      <c r="AH12" s="216" t="s">
        <v>51</v>
      </c>
      <c r="AI12" s="219" t="str">
        <f>IF(AH11="再製作", "再製作", IF(AH11&lt;&gt;"", "お直し", ""))
</f>
        <v/>
      </c>
      <c r="AJ12" s="220"/>
      <c r="AK12" s="218" t="str">
        <f t="array" ref="AK12">IF(
  AI12 = "再製作", 
  "", 
 if(AI12="", "",
  IFERROR(
    INDEX(
      'アイテム別限界値DB'!$L:$L, 
      MATCH(
        1, 
        ('アイテム別限界値DB'!$B:$B = AH$10) * 
        ('アイテム別限界値DB'!$C:$C = AH12), 
        0
      )
    ), 
    "再製作"
  )
))
</f>
        <v/>
      </c>
      <c r="AL12" s="11"/>
      <c r="AM12" s="216" t="s">
        <v>51</v>
      </c>
      <c r="AN12" s="219" t="str">
        <f>IF(AM11="再製作", "再製作", IF(AM11&lt;&gt;"", "お直し", ""))
</f>
        <v/>
      </c>
      <c r="AO12" s="220"/>
      <c r="AP12" s="218" t="str">
        <f t="array" ref="AP12">IF(
  AN12 = "再製作", 
  "", 
 if(AN12="", "",
  IFERROR(
    INDEX(
      'アイテム別限界値DB'!$L:$L, 
      MATCH(
        1, 
        ('アイテム別限界値DB'!$B:$B = AM$10) * 
        ('アイテム別限界値DB'!$C:$C = AM12), 
        0
      )
    ), 
    "再製作"
  )
))
</f>
        <v/>
      </c>
      <c r="AQ12" s="11"/>
      <c r="AR12" s="216" t="s">
        <v>51</v>
      </c>
      <c r="AS12" s="219" t="str">
        <f>IF(AR11="再製作", "再製作", IF(AR11&lt;&gt;"", "お直し", ""))
</f>
        <v/>
      </c>
      <c r="AT12" s="220"/>
      <c r="AU12" s="218" t="str">
        <f t="array" ref="AU12">IF(
  AS12 = "再製作", 
  "", 
 if(AS12="", "",
  IFERROR(
    INDEX(
      'アイテム別限界値DB'!$L:$L, 
      MATCH(
        1, 
        ('アイテム別限界値DB'!$B:$B = AR$10) * 
        ('アイテム別限界値DB'!$C:$C = AR12), 
        0
      )
    ), 
    "再製作"
  )
))
</f>
        <v/>
      </c>
      <c r="AV12" s="121"/>
      <c r="AW12" s="216" t="s">
        <v>51</v>
      </c>
      <c r="AX12" s="219" t="str">
        <f>IF(AW11="再製作", "再製作", IF(AW11&lt;&gt;"", "お直し", ""))
</f>
        <v/>
      </c>
      <c r="AY12" s="220"/>
      <c r="AZ12" s="218" t="str">
        <f t="array" ref="AZ12">IF(
  AX12 = "再製作", 
  "", 
 if(AX12="", "",
  IFERROR(
    INDEX(
      'アイテム別限界値DB'!$L:$L, 
      MATCH(
        1, 
        ('アイテム別限界値DB'!$B:$B = AW$10) * 
        ('アイテム別限界値DB'!$C:$C = AW12), 
        0
      )
    ), 
    "再製作"
  )
))
</f>
        <v/>
      </c>
      <c r="BA12" s="121"/>
      <c r="BB12" s="216" t="s">
        <v>51</v>
      </c>
      <c r="BC12" s="217" t="str">
        <f>IF(BB11="再製作", "再製作", IF(BB11&lt;&gt;"", "お直し", ""))
</f>
        <v/>
      </c>
      <c r="BD12" s="195"/>
      <c r="BE12" s="218" t="str">
        <f t="array" ref="BE12">IF(
  BC12 = "再製作", 
  "", 
 if(BC12="", "",
  IFERROR(
    INDEX(
      'アイテム別限界値DB'!$L:$L, 
      MATCH(
        1, 
        ('アイテム別限界値DB'!$B:$B = BB$10) * 
        ('アイテム別限界値DB'!$C:$C = BB12), 
        0
      )
    ), 
    "再製作"
  )
))
</f>
        <v/>
      </c>
      <c r="BF12" s="121"/>
      <c r="BG12" s="216" t="s">
        <v>51</v>
      </c>
      <c r="BH12" s="217" t="str">
        <f>IF(BG11="再製作", "再製作", IF(BG11&lt;&gt;"", "お直し", ""))
</f>
        <v/>
      </c>
      <c r="BI12" s="195"/>
      <c r="BJ12" s="218" t="str">
        <f t="array" ref="BJ12">IF(
  BH12 = "再製作", 
  "", 
 if(BH12="", "",
  IFERROR(
    INDEX(
      'アイテム別限界値DB'!$L:$L, 
      MATCH(
        1, 
        ('アイテム別限界値DB'!$B:$B = BG$10) * 
        ('アイテム別限界値DB'!$C:$C = BG12), 
        0
      )
    ), 
    "再製作"
  )
))
</f>
        <v/>
      </c>
      <c r="BK12" s="121"/>
      <c r="BL12" s="221" t="s">
        <v>51</v>
      </c>
      <c r="BM12" s="219" t="str">
        <f>IF(BL11="再製作", "再製作", IF(BL11&lt;&gt;"", "お直し", ""))
</f>
        <v>お直し</v>
      </c>
      <c r="BN12" s="195"/>
      <c r="BO12" s="218" t="str">
        <f t="array" ref="BO12">IF(
  BM12 = "再製作", 
  "", 
 if(BM12="", "",
  IFERROR(
    INDEX(
      'アイテム別限界値DB'!$L:$L, 
      MATCH(
        1, 
        ('アイテム別限界値DB'!$B:$B = BL$10) * 
        ('アイテム別限界値DB'!$C:$C = BL12), 
        0
      )
    ), 
    "再製作"
  )
))
</f>
        <v/>
      </c>
      <c r="BP12" s="195"/>
    </row>
    <row r="13" ht="18.75" hidden="1" customHeight="1">
      <c r="A13" s="222" t="s">
        <v>52</v>
      </c>
      <c r="B13" s="12"/>
      <c r="C13" s="12"/>
      <c r="D13" s="223" t="b">
        <f t="array" ref="D13:D42">UNIQUE(IF( ('アイテム別限界値DB'!$B:$B = D$10) * ('アイテム別限界値DB'!$A:$A = "サイズ"),  IF('アイテム別限界値DB'!$B:$B = D$10, 'アイテム別限界値DB'!$F:$F, "") ))</f>
        <v>0</v>
      </c>
      <c r="E13" s="224"/>
      <c r="F13" s="12"/>
      <c r="G13" s="121"/>
      <c r="H13" s="12"/>
      <c r="I13" s="223" t="b">
        <f t="array" ref="I13:I27">UNIQUE(IF( ('アイテム別限界値DB'!$B:$B = I$10) * ('アイテム別限界値DB'!$A:$A = "サイズ"),  IF('アイテム別限界値DB'!$B:$B = I$10, 'アイテム別限界値DB'!$F:$F, "") ))</f>
        <v>0</v>
      </c>
      <c r="J13" s="224"/>
      <c r="K13" s="12"/>
      <c r="L13" s="121"/>
      <c r="M13" s="12"/>
      <c r="N13" s="223" t="b">
        <f t="array" ref="N13:N21">UNIQUE(IF( ('アイテム別限界値DB'!$B:$B = N$10) * ('アイテム別限界値DB'!$A:$A = "サイズ"),  IF('アイテム別限界値DB'!$B:$B = N$10, 'アイテム別限界値DB'!$C:$C, "") ))</f>
        <v>0</v>
      </c>
      <c r="O13" s="224"/>
      <c r="P13" s="12"/>
      <c r="Q13" s="121"/>
      <c r="R13" s="11"/>
      <c r="S13" s="223" t="b">
        <f t="array" ref="S13:S28">UNIQUE(IF( ('アイテム別限界値DB'!$B:$B = S$10) * ('アイテム別限界値DB'!$A:$A = "サイズ"),  IF('アイテム別限界値DB'!$B:$B = S$10, 'アイテム別限界値DB'!$F:$F, "") ))</f>
        <v>0</v>
      </c>
      <c r="T13" s="225"/>
      <c r="U13" s="226"/>
      <c r="V13" s="121"/>
      <c r="W13" s="12"/>
      <c r="X13" s="223" t="b">
        <f t="array" ref="X13:X31">UNIQUE(IF( ('アイテム別限界値DB'!$B:$B = X$10) * ('アイテム別限界値DB'!$A:$A = "サイズ"),  IF('アイテム別限界値DB'!$B:$B = X$10, 'アイテム別限界値DB'!$C:$C, "") ))</f>
        <v>0</v>
      </c>
      <c r="Y13" s="225"/>
      <c r="Z13" s="226"/>
      <c r="AA13" s="121"/>
      <c r="AB13" s="11"/>
      <c r="AC13" s="223" t="b">
        <f t="array" ref="AC13:AC29">UNIQUE(IF( ('アイテム別限界値DB'!$B:$B = AC$10) * ('アイテム別限界値DB'!$A:$A = "サイズ"),  IF('アイテム別限界値DB'!$B:$B = AC$10, 'アイテム別限界値DB'!$F:$F, "") ))</f>
        <v>0</v>
      </c>
      <c r="AD13" s="225"/>
      <c r="AE13" s="226"/>
      <c r="AF13" s="121"/>
      <c r="AG13" s="11"/>
      <c r="AH13" s="223" t="b">
        <f t="array" ref="AH13:AH20">UNIQUE(IF( ('アイテム別限界値DB'!$B:$B = AH$10) * ('アイテム別限界値DB'!$A:$A = "サイズ"),  IF('アイテム別限界値DB'!$B:$B = AH$10, 'アイテム別限界値DB'!$F:$F, "") ))</f>
        <v>0</v>
      </c>
      <c r="AI13" s="225"/>
      <c r="AJ13" s="226"/>
      <c r="AK13" s="121"/>
      <c r="AL13" s="11"/>
      <c r="AM13" s="223" t="b">
        <f t="array" ref="AM13:AM20">UNIQUE(IF( ('アイテム別限界値DB'!$B:$B = AM$10) * ('アイテム別限界値DB'!$A:$A = "サイズ"),  IF('アイテム別限界値DB'!$B:$B = AM$10, 'アイテム別限界値DB'!$F:$F, "") ))</f>
        <v>0</v>
      </c>
      <c r="AN13" s="225"/>
      <c r="AO13" s="226"/>
      <c r="AP13" s="121"/>
      <c r="AQ13" s="11"/>
      <c r="AR13" s="223" t="b">
        <f t="array" ref="AR13:AR20">UNIQUE(IF( ('アイテム別限界値DB'!$B:$B = AR$10) * ('アイテム別限界値DB'!$A:$A = "サイズ"),  IF('アイテム別限界値DB'!$B:$B = AR$10, 'アイテム別限界値DB'!$F:$F, "") ))</f>
        <v>0</v>
      </c>
      <c r="AS13" s="225"/>
      <c r="AT13" s="226"/>
      <c r="AU13" s="121"/>
      <c r="AV13" s="121"/>
      <c r="AW13" s="223" t="b">
        <f t="array" ref="AW13:AW20">UNIQUE(IF( ('アイテム別限界値DB'!$B:$B = AW$10) * ('アイテム別限界値DB'!$A:$A = "サイズ"),  IF('アイテム別限界値DB'!$B:$B = AW$10, 'アイテム別限界値DB'!$F:$F, "") ))</f>
        <v>0</v>
      </c>
      <c r="AX13" s="225"/>
      <c r="AY13" s="226"/>
      <c r="AZ13" s="121"/>
      <c r="BA13" s="121"/>
      <c r="BB13" s="223" t="b">
        <f t="array" ref="BB13:BB20">UNIQUE(IF( ('アイテム別限界値DB'!$B:$B = BB$10) * ('アイテム別限界値DB'!$A:$A = "サイズ"),  IF('アイテム別限界値DB'!$B:$B = BB$10, 'アイテム別限界値DB'!$F:$F, "") ))</f>
        <v>0</v>
      </c>
      <c r="BC13" s="224"/>
      <c r="BD13" s="12"/>
      <c r="BE13" s="121"/>
      <c r="BF13" s="121"/>
      <c r="BG13" s="223" t="b">
        <f t="array" ref="BG13:BG20">UNIQUE(IF( ('アイテム別限界値DB'!$B:$B = BG$10) * ('アイテム別限界値DB'!$A:$A = "サイズ"),  IF('アイテム別限界値DB'!$B:$B = BG$10, 'アイテム別限界値DB'!$F:$F, "") ))</f>
        <v>0</v>
      </c>
      <c r="BH13" s="224"/>
      <c r="BI13" s="12"/>
      <c r="BJ13" s="121"/>
      <c r="BK13" s="121"/>
      <c r="BL13" s="227" t="b">
        <f t="array" ref="BL13:BL23">UNIQUE(IF( ('アイテム別限界値DB'!$B:$B = BL$10) * ('アイテム別限界値DB'!$A:$A = "サイズ"),  IF('アイテム別限界値DB'!$B:$B = BL$10, 'アイテム別限界値DB'!$F:$F, "") ))</f>
        <v>0</v>
      </c>
      <c r="BM13" s="224"/>
      <c r="BN13" s="121"/>
      <c r="BO13" s="121"/>
      <c r="BP13" s="121"/>
    </row>
    <row r="14" ht="18.75" customHeight="1">
      <c r="A14" s="228" t="str">
        <f>IF($D$11 = "再製作", "◼︎ ジャケット（対応着地：再製作）" &amp; char(10) &amp; "《修正数値》", IF( $D$11 &lt;&gt;"", "◼︎ ジャケット（対応着地：お直し）" &amp; char(10) &amp; "《修正数値》", ""))</f>
        <v>◼︎ ジャケット（対応着地：お直し）
《修正数値》</v>
      </c>
      <c r="B14" s="229"/>
      <c r="C14" s="224"/>
      <c r="D14" s="224" t="s">
        <v>51</v>
      </c>
      <c r="E14" s="232"/>
      <c r="F14" s="231" t="str">
        <f t="array" ref="F14">IF(
  E14 = 0, 
  "", 
  IFERROR(
    INDEX(
      'アイテム別限界値DB'!$K:$K, 
      MATCH(
        1, 
        ('アイテム別限界値DB'!$B:$B = D$10) * 
        ('アイテム別限界値DB'!$F:$F = D14) * 
        ('アイテム別限界値DB'!$H:$H = E14), 
        0
      )
    ), 
    "再製作"
  )
)
</f>
        <v/>
      </c>
      <c r="G14" s="218" t="str">
        <f t="array" ref="G14">IF(
  E14 = 0, 
  "", 
  IFERROR(
    INDEX(
      'アイテム別限界値DB'!$L:$L, 
      MATCH(
        1, 
        ('アイテム別限界値DB'!$B:$B = D$10) * 
        ('アイテム別限界値DB'!$C:$C = D14) * 
        ('アイテム別限界値DB'!$F:$F = E14), 
        0
      )
    ), 
    ""
  )
)
</f>
        <v/>
      </c>
      <c r="H14" s="195"/>
      <c r="I14" s="224" t="s">
        <v>51</v>
      </c>
      <c r="J14" s="232"/>
      <c r="K14" s="231" t="str">
        <f t="array" ref="K14">IF(
  J14 = 0, 
  "", 
  IFERROR(
    INDEX(
      'アイテム別限界値DB'!$K:$K, 
      MATCH(
        1, 
        ('アイテム別限界値DB'!$B:$B = I$10) * 
        ('アイテム別限界値DB'!$F:$F = I14) * 
        ('アイテム別限界値DB'!$H:$H = J14), 
        0
      )
    ), 
    "再製作"
  )
)
</f>
        <v/>
      </c>
      <c r="L14" s="218" t="str">
        <f t="array" ref="L14">IF(
  J14 = 0, 
  "", 
  IFERROR(
    INDEX(
      'アイテム別限界値DB'!$L:$L, 
      MATCH(
        1, 
        ('アイテム別限界値DB'!$B:$B = I$10) * 
        ('アイテム別限界値DB'!$C:$C = I14) * 
        ('アイテム別限界値DB'!$F:$F = J14), 
        0
      )
    ), 
    ""
  )
)
</f>
        <v/>
      </c>
      <c r="M14" s="12"/>
      <c r="N14" s="224" t="s">
        <v>51</v>
      </c>
      <c r="O14" s="232"/>
      <c r="P14" s="231" t="str">
        <f t="array" ref="P14">IF(
  O14 = 0, 
  "", 
  IFERROR(
    INDEX(
      'アイテム別限界値DB'!$K:$K, 
      MATCH(
        1, 
        ('アイテム別限界値DB'!$B:$B = N$10) * 
        ('アイテム別限界値DB'!$F:$F = N14) * 
        ('アイテム別限界値DB'!$H:$H = O14), 
        0
      )
    ), 
    "再製作"
  )
)
</f>
        <v/>
      </c>
      <c r="Q14" s="218" t="str">
        <f t="array" ref="Q14">IF(
  O14 = 0, 
  "", 
  IFERROR(
    INDEX(
      'アイテム別限界値DB'!$L:$L, 
      MATCH(
        1, 
        ('アイテム別限界値DB'!$B:$B = N$10) * 
        ('アイテム別限界値DB'!$C:$C = N14) * 
        ('アイテム別限界値DB'!$F:$F = O14), 
        0
      )
    ), 
    ""
  )
)
</f>
        <v/>
      </c>
      <c r="R14" s="12"/>
      <c r="S14" s="224" t="s">
        <v>51</v>
      </c>
      <c r="T14" s="232"/>
      <c r="U14" s="231" t="str">
        <f t="array" ref="U14">IF(
  T14 = 0, 
  "", 
  IFERROR(
    INDEX(
      'アイテム別限界値DB'!$K:$K, 
      MATCH(
        1, 
        ('アイテム別限界値DB'!$B:$B = S$10) * 
        ('アイテム別限界値DB'!$F:$F = S14) * 
        ('アイテム別限界値DB'!$H:$H = T14), 
        0
      )
    ), 
    "再製作"
  )
)
</f>
        <v/>
      </c>
      <c r="V14" s="218" t="str">
        <f t="array" ref="V14">IF(
  T14 = 0, 
  "", 
  IFERROR(
    INDEX(
      'アイテム別限界値DB'!$L:$L, 
      MATCH(
        1, 
        ('アイテム別限界値DB'!$B:$B = S$10) * 
        ('アイテム別限界値DB'!$C:$C = S14) * 
        ('アイテム別限界値DB'!$F:$F = T14), 
        0
      )
    ), 
    ""
  )
)
</f>
        <v/>
      </c>
      <c r="W14" s="12"/>
      <c r="X14" s="224" t="s">
        <v>51</v>
      </c>
      <c r="Y14" s="232"/>
      <c r="Z14" s="231" t="str">
        <f t="array" ref="Z14">IF(
  Y14 = 0, 
  "", 
  IFERROR(
    INDEX(
      'アイテム別限界値DB'!$K:$K, 
      MATCH(
        1, 
        ('アイテム別限界値DB'!$B:$B = X$10) * 
        ('アイテム別限界値DB'!$F:$F = X14) * 
        ('アイテム別限界値DB'!$H:$H = Y14), 
        0
      )
    ), 
    "再製作"
  )
)
</f>
        <v/>
      </c>
      <c r="AA14" s="218" t="str">
        <f t="array" ref="AA14">IF(
  Y14 = 0, 
  "", 
  IFERROR(
    INDEX(
      'アイテム別限界値DB'!$L:$L, 
      MATCH(
        1, 
        ('アイテム別限界値DB'!$B:$B = X$10) * 
        ('アイテム別限界値DB'!$C:$C = X14) * 
        ('アイテム別限界値DB'!$F:$F = Y14), 
        0
      )
    ), 
    ""
  )
)
</f>
        <v/>
      </c>
      <c r="AB14" s="11"/>
      <c r="AC14" s="224" t="s">
        <v>51</v>
      </c>
      <c r="AD14" s="232"/>
      <c r="AE14" s="231" t="str">
        <f t="array" ref="AE14">IF(
  AD14 = 0, 
  "", 
  IFERROR(
    INDEX(
      'アイテム別限界値DB'!$K:$K, 
      MATCH(
        1, 
        ('アイテム別限界値DB'!$B:$B = AC$10) * 
        ('アイテム別限界値DB'!$F:$F = AC14) * 
        ('アイテム別限界値DB'!$H:$H = AD14), 
        0
      )
    ), 
    "再製作"
  )
)
</f>
        <v/>
      </c>
      <c r="AF14" s="218" t="str">
        <f t="array" ref="AF14">IF(
  AD14 = 0, 
  "", 
  IFERROR(
    INDEX(
      'アイテム別限界値DB'!$L:$L, 
      MATCH(
        1, 
        ('アイテム別限界値DB'!$B:$B = AC$10) * 
        ('アイテム別限界値DB'!$C:$C = AC14) * 
        ('アイテム別限界値DB'!$F:$F = AD14), 
        0
      )
    ), 
    ""
  )
)
</f>
        <v/>
      </c>
      <c r="AG14" s="11"/>
      <c r="AH14" s="224" t="s">
        <v>51</v>
      </c>
      <c r="AI14" s="232"/>
      <c r="AJ14" s="231" t="str">
        <f t="array" ref="AJ14">IF(
  AI14 = 0, 
  "", 
  IFERROR(
    INDEX(
      'アイテム別限界値DB'!$K:$K, 
      MATCH(
        1, 
        ('アイテム別限界値DB'!$B:$B = AH$10) * 
        ('アイテム別限界値DB'!$F:$F = AH14) * 
        ('アイテム別限界値DB'!$H:$H = AI14), 
        0
      )
    ), 
    "再製作"
  )
)
</f>
        <v/>
      </c>
      <c r="AK14" s="218" t="str">
        <f t="array" ref="AK14">IF(
  AI14 = 0, 
  "", 
  IFERROR(
    INDEX(
      'アイテム別限界値DB'!$L:$L, 
      MATCH(
        1, 
        ('アイテム別限界値DB'!$B:$B = AH$10) * 
        ('アイテム別限界値DB'!$C:$C = AH14) * 
        ('アイテム別限界値DB'!$F:$F = AI14), 
        0
      )
    ), 
    ""
  )
)
</f>
        <v/>
      </c>
      <c r="AL14" s="11"/>
      <c r="AM14" s="224" t="s">
        <v>51</v>
      </c>
      <c r="AN14" s="232"/>
      <c r="AO14" s="231" t="str">
        <f t="array" ref="AO14">IF(
  AN14 = 0, 
  "", 
  IFERROR(
    INDEX(
      'アイテム別限界値DB'!$K:$K, 
      MATCH(
        1, 
        ('アイテム別限界値DB'!$B:$B = AM$10) * 
        ('アイテム別限界値DB'!$F:$F = AM14) * 
        ('アイテム別限界値DB'!$H:$H = AN14), 
        0
      )
    ), 
    "再製作"
  )
)
</f>
        <v/>
      </c>
      <c r="AP14" s="218" t="str">
        <f t="array" ref="AP14">IF(
  AN14 = 0, 
  "", 
  IFERROR(
    INDEX(
      'アイテム別限界値DB'!$L:$L, 
      MATCH(
        1, 
        ('アイテム別限界値DB'!$B:$B = AM$10) * 
        ('アイテム別限界値DB'!$C:$C = AM14) * 
        ('アイテム別限界値DB'!$F:$F = AN14), 
        0
      )
    ), 
    ""
  )
)
</f>
        <v/>
      </c>
      <c r="AQ14" s="11"/>
      <c r="AR14" s="224" t="s">
        <v>51</v>
      </c>
      <c r="AS14" s="232"/>
      <c r="AT14" s="231" t="str">
        <f t="array" ref="AT14">IF(
  AS14 = 0, 
  "", 
  IFERROR(
    INDEX(
      'アイテム別限界値DB'!$K:$K, 
      MATCH(
        1, 
        ('アイテム別限界値DB'!$B:$B = AR$10) * 
        ('アイテム別限界値DB'!$F:$F = AR14) * 
        ('アイテム別限界値DB'!$H:$H = AS14), 
        0
      )
    ), 
    "再製作"
  )
)
</f>
        <v/>
      </c>
      <c r="AU14" s="218" t="str">
        <f t="array" ref="AU14">IF(
  AS14 = 0, 
  "", 
  IFERROR(
    INDEX(
      'アイテム別限界値DB'!$L:$L, 
      MATCH(
        1, 
        ('アイテム別限界値DB'!$B:$B = AR$10) * 
        ('アイテム別限界値DB'!$C:$C = AR14) * 
        ('アイテム別限界値DB'!$F:$F = AS14), 
        0
      )
    ), 
    ""
  )
)
</f>
        <v/>
      </c>
      <c r="AV14" s="121"/>
      <c r="AW14" s="224" t="s">
        <v>51</v>
      </c>
      <c r="AX14" s="232"/>
      <c r="AY14" s="231" t="str">
        <f t="array" ref="AY14">IF(
  AX14 = 0, 
  "", 
  IFERROR(
    INDEX(
      'アイテム別限界値DB'!$K:$K, 
      MATCH(
        1, 
        ('アイテム別限界値DB'!$B:$B = AW$10) * 
        ('アイテム別限界値DB'!$F:$F = AW14) * 
        ('アイテム別限界値DB'!$H:$H = AX14), 
        0
      )
    ), 
    "再製作"
  )
)
</f>
        <v/>
      </c>
      <c r="AZ14" s="218" t="str">
        <f t="array" ref="AZ14">IF(
  AX14 = 0, 
  "", 
  IFERROR(
    INDEX(
      'アイテム別限界値DB'!$L:$L, 
      MATCH(
        1, 
        ('アイテム別限界値DB'!$B:$B = AW$10) * 
        ('アイテム別限界値DB'!$C:$C = AW14) * 
        ('アイテム別限界値DB'!$F:$F = AX14), 
        0
      )
    ), 
    ""
  )
)
</f>
        <v/>
      </c>
      <c r="BA14" s="121"/>
      <c r="BB14" s="224" t="s">
        <v>51</v>
      </c>
      <c r="BC14" s="232"/>
      <c r="BD14" s="231" t="str">
        <f t="array" ref="BD14">IF(
  BC14 = 0, 
  "", 
  IFERROR(
    INDEX(
      'アイテム別限界値DB'!$K:$K, 
      MATCH(
        1, 
        ('アイテム別限界値DB'!$B:$B = BB$10) * 
        ('アイテム別限界値DB'!$F:$F = BB14) * 
        ('アイテム別限界値DB'!$H:$H = BC14), 
        0
      )
    ), 
    "再製作"
  )
)
</f>
        <v/>
      </c>
      <c r="BE14" s="218" t="str">
        <f t="array" ref="BE14">IF(
  BC14 = 0, 
  "", 
  IFERROR(
    INDEX(
      'アイテム別限界値DB'!$L:$L, 
      MATCH(
        1, 
        ('アイテム別限界値DB'!$B:$B = BB$10) * 
        ('アイテム別限界値DB'!$C:$C = BB14) * 
        ('アイテム別限界値DB'!$F:$F = BC14), 
        0
      )
    ), 
    ""
  )
)
</f>
        <v/>
      </c>
      <c r="BF14" s="121"/>
      <c r="BG14" s="224" t="s">
        <v>51</v>
      </c>
      <c r="BH14" s="233"/>
      <c r="BI14" s="234" t="str">
        <f t="array" ref="BI14">IF(
  BH14 = 0, 
  "", 
  IFERROR(
    INDEX(
      'アイテム別限界値DB'!$K:$K, 
      MATCH(
        1, 
        ('アイテム別限界値DB'!$B:$B = BG$10) * 
        ('アイテム別限界値DB'!$F:$F = BG14) * 
        ('アイテム別限界値DB'!$H:$H = BH14), 
        0
      )
    ), 
    "再製作"
  )
)
</f>
        <v/>
      </c>
      <c r="BJ14" s="218" t="str">
        <f t="array" ref="BJ14">IF(
  BH14 = 0, 
  "", 
  IFERROR(
    INDEX(
      'アイテム別限界値DB'!$L:$L, 
      MATCH(
        1, 
        ('アイテム別限界値DB'!$B:$B = BG$10) * 
        ('アイテム別限界値DB'!$C:$C = BG14) * 
        ('アイテム別限界値DB'!$F:$F = BH14), 
        0
      )
    ), 
    ""
  )
)
</f>
        <v/>
      </c>
      <c r="BK14" s="121"/>
      <c r="BL14" s="224" t="s">
        <v>51</v>
      </c>
      <c r="BM14" s="232"/>
      <c r="BN14" s="231" t="str">
        <f t="array" ref="BN14">IF(
  BM14 = 0, 
  "", 
  IFERROR(
    INDEX(
      'アイテム別限界値DB'!$K:$K, 
      MATCH(
        1, 
        ('アイテム別限界値DB'!$B:$B = BL$10) * 
        ('アイテム別限界値DB'!$F:$F = BL14) * 
        ('アイテム別限界値DB'!$H:$H = BM14), 
        0
      )
    ), 
    "再製作"
  )
)
</f>
        <v/>
      </c>
      <c r="BO14" s="218" t="str">
        <f t="array" ref="BO14">IF(
  BM14 = 0, 
  "", 
  IFERROR(
    INDEX(
      'アイテム別限界値DB'!$L:$L, 
      MATCH(
        1, 
        ('アイテム別限界値DB'!$B:$B = BL$10) * 
        ('アイテム別限界値DB'!$C:$C = BL14) * 
        ('アイテム別限界値DB'!$F:$F = BM14), 
        0
      )
    ), 
    ""
  )
)
</f>
        <v/>
      </c>
      <c r="BP14" s="195"/>
    </row>
    <row r="15" ht="18.75" customHeight="1">
      <c r="A15" s="228" t="str">
        <f>IFERROR(__xludf.DUMMYFUNCTION("TEXTJOIN(CHAR(10),TRUE,FILTER(ARRAYFORMULA(IF(E$14:E72&lt;&gt;"""",D$14:D72&amp;"" : ""&amp; E$14:E72 &amp;"" cm"","""")), D$14:D72 &lt;&gt;""""))"),"袖丈 / 本切羽あり : -2.5 cm")</f>
        <v>袖丈 / 本切羽あり : -2.5 cm</v>
      </c>
      <c r="B15" s="235"/>
      <c r="C15" s="224"/>
      <c r="D15" s="224" t="s">
        <v>53</v>
      </c>
      <c r="E15" s="230"/>
      <c r="F15" s="231" t="str">
        <f t="array" ref="F15">IF(
  E15 = 0, 
  "", 
  IFERROR(
    INDEX(
      'アイテム別限界値DB'!$K:$K, 
      MATCH(
        1, 
        ('アイテム別限界値DB'!$B:$B = D$10) * 
        ('アイテム別限界値DB'!$F:$F = D15) * 
        ('アイテム別限界値DB'!$H:$H = E15), 
        0
      )
    ), 
    "再製作"
  )
)
</f>
        <v/>
      </c>
      <c r="G15" s="218" t="str">
        <f t="array" ref="G15">IF(
  E15 = 0, 
  "", 
  IFERROR(
    INDEX(
      'アイテム別限界値DB'!$L:$L, 
      MATCH(
        1, 
        ('アイテム別限界値DB'!$B:$B = D$10) * 
        ('アイテム別限界値DB'!$C:$C = D15) * 
        ('アイテム別限界値DB'!$F:$F = E15), 
        0
      )
    ), 
    ""
  )
)
</f>
        <v/>
      </c>
      <c r="H15" s="12"/>
      <c r="I15" s="224" t="s">
        <v>54</v>
      </c>
      <c r="J15" s="230"/>
      <c r="K15" s="231" t="str">
        <f t="array" ref="K15">IF(
  J15 = 0, 
  "", 
  IFERROR(
    INDEX(
      'アイテム別限界値DB'!$K:$K, 
      MATCH(
        1, 
        ('アイテム別限界値DB'!$B:$B = I$10) * 
        ('アイテム別限界値DB'!$F:$F = I15) * 
        ('アイテム別限界値DB'!$H:$H = J15), 
        0
      )
    ), 
    "再製作"
  )
)
</f>
        <v/>
      </c>
      <c r="L15" s="218" t="str">
        <f t="array" ref="L15">IF(
  J15 = 0, 
  "", 
  IFERROR(
    INDEX(
      'アイテム別限界値DB'!$L:$L, 
      MATCH(
        1, 
        ('アイテム別限界値DB'!$B:$B = I$10) * 
        ('アイテム別限界値DB'!$C:$C = I15) * 
        ('アイテム別限界値DB'!$F:$F = J15), 
        0
      )
    ), 
    ""
  )
)
</f>
        <v/>
      </c>
      <c r="M15" s="12"/>
      <c r="N15" s="224" t="s">
        <v>55</v>
      </c>
      <c r="O15" s="232"/>
      <c r="P15" s="231" t="str">
        <f t="array" ref="P15">IF(
  O15 = 0, 
  "", 
  IFERROR(
    INDEX(
      'アイテム別限界値DB'!$K:$K, 
      MATCH(
        1, 
        ('アイテム別限界値DB'!$B:$B = N$10) * 
        ('アイテム別限界値DB'!$F:$F = N15) * 
        ('アイテム別限界値DB'!$H:$H = O15), 
        0
      )
    ), 
    "再製作"
  )
)
</f>
        <v/>
      </c>
      <c r="Q15" s="218" t="str">
        <f t="array" ref="Q15">IF(
  O15 = 0, 
  "", 
  IFERROR(
    INDEX(
      'アイテム別限界値DB'!$L:$L, 
      MATCH(
        1, 
        ('アイテム別限界値DB'!$B:$B = N$10) * 
        ('アイテム別限界値DB'!$C:$C = N15) * 
        ('アイテム別限界値DB'!$F:$F = O15), 
        0
      )
    ), 
    ""
  )
)
</f>
        <v/>
      </c>
      <c r="R15" s="12"/>
      <c r="S15" s="224" t="s">
        <v>54</v>
      </c>
      <c r="T15" s="232"/>
      <c r="U15" s="231" t="str">
        <f t="array" ref="U15">IF(
  T15 = 0, 
  "", 
  IFERROR(
    INDEX(
      'アイテム別限界値DB'!$K:$K, 
      MATCH(
        1, 
        ('アイテム別限界値DB'!$B:$B = S$10) * 
        ('アイテム別限界値DB'!$F:$F = S15) * 
        ('アイテム別限界値DB'!$H:$H = T15), 
        0
      )
    ), 
    "再製作"
  )
)
</f>
        <v/>
      </c>
      <c r="V15" s="218" t="str">
        <f t="array" ref="V15">IF(
  T15 = 0, 
  "", 
  IFERROR(
    INDEX(
      'アイテム別限界値DB'!$L:$L, 
      MATCH(
        1, 
        ('アイテム別限界値DB'!$B:$B = S$10) * 
        ('アイテム別限界値DB'!$C:$C = S15) * 
        ('アイテム別限界値DB'!$F:$F = T15), 
        0
      )
    ), 
    ""
  )
)
</f>
        <v/>
      </c>
      <c r="W15" s="12"/>
      <c r="X15" s="224" t="s">
        <v>53</v>
      </c>
      <c r="Y15" s="232"/>
      <c r="Z15" s="231" t="str">
        <f t="array" ref="Z15">IF(
  Y15 = 0, 
  "", 
  IFERROR(
    INDEX(
      'アイテム別限界値DB'!$K:$K, 
      MATCH(
        1, 
        ('アイテム別限界値DB'!$B:$B = X$10) * 
        ('アイテム別限界値DB'!$F:$F = X15) * 
        ('アイテム別限界値DB'!$H:$H = Y15), 
        0
      )
    ), 
    "再製作"
  )
)
</f>
        <v/>
      </c>
      <c r="AA15" s="218" t="str">
        <f t="array" ref="AA15">IF(
  Y15 = 0, 
  "", 
  IFERROR(
    INDEX(
      'アイテム別限界値DB'!$L:$L, 
      MATCH(
        1, 
        ('アイテム別限界値DB'!$B:$B = X$10) * 
        ('アイテム別限界値DB'!$C:$C = X15) * 
        ('アイテム別限界値DB'!$F:$F = Y15), 
        0
      )
    ), 
    ""
  )
)
</f>
        <v/>
      </c>
      <c r="AB15" s="11"/>
      <c r="AC15" s="224" t="s">
        <v>53</v>
      </c>
      <c r="AD15" s="232"/>
      <c r="AE15" s="231" t="str">
        <f t="array" ref="AE15">IF(
  AD15 = 0, 
  "", 
  IFERROR(
    INDEX(
      'アイテム別限界値DB'!$K:$K, 
      MATCH(
        1, 
        ('アイテム別限界値DB'!$B:$B = AC$10) * 
        ('アイテム別限界値DB'!$F:$F = AC15) * 
        ('アイテム別限界値DB'!$H:$H = AD15), 
        0
      )
    ), 
    "再製作"
  )
)
</f>
        <v/>
      </c>
      <c r="AF15" s="218" t="str">
        <f t="array" ref="AF15">IF(
  AD15 = 0, 
  "", 
  IFERROR(
    INDEX(
      'アイテム別限界値DB'!$L:$L, 
      MATCH(
        1, 
        ('アイテム別限界値DB'!$B:$B = AC$10) * 
        ('アイテム別限界値DB'!$C:$C = AC15) * 
        ('アイテム別限界値DB'!$F:$F = AD15), 
        0
      )
    ), 
    ""
  )
)
</f>
        <v/>
      </c>
      <c r="AG15" s="11"/>
      <c r="AH15" s="224" t="s">
        <v>53</v>
      </c>
      <c r="AI15" s="232"/>
      <c r="AJ15" s="231" t="str">
        <f t="array" ref="AJ15">IF(
  AI15 = 0, 
  "", 
  IFERROR(
    INDEX(
      'アイテム別限界値DB'!$K:$K, 
      MATCH(
        1, 
        ('アイテム別限界値DB'!$B:$B = AH$10) * 
        ('アイテム別限界値DB'!$F:$F = AH15) * 
        ('アイテム別限界値DB'!$H:$H = AI15), 
        0
      )
    ), 
    "再製作"
  )
)
</f>
        <v/>
      </c>
      <c r="AK15" s="218" t="str">
        <f t="array" ref="AK15">IF(
  AI15 = 0, 
  "", 
  IFERROR(
    INDEX(
      'アイテム別限界値DB'!$L:$L, 
      MATCH(
        1, 
        ('アイテム別限界値DB'!$B:$B = AH$10) * 
        ('アイテム別限界値DB'!$C:$C = AH15) * 
        ('アイテム別限界値DB'!$F:$F = AI15), 
        0
      )
    ), 
    ""
  )
)
</f>
        <v/>
      </c>
      <c r="AL15" s="11"/>
      <c r="AM15" s="224" t="s">
        <v>53</v>
      </c>
      <c r="AN15" s="232"/>
      <c r="AO15" s="231" t="str">
        <f t="array" ref="AO15">IF(
  AN15 = 0, 
  "", 
  IFERROR(
    INDEX(
      'アイテム別限界値DB'!$K:$K, 
      MATCH(
        1, 
        ('アイテム別限界値DB'!$B:$B = AM$10) * 
        ('アイテム別限界値DB'!$F:$F = AM15) * 
        ('アイテム別限界値DB'!$H:$H = AN15), 
        0
      )
    ), 
    "再製作"
  )
)
</f>
        <v/>
      </c>
      <c r="AP15" s="218" t="str">
        <f t="array" ref="AP15">IF(
  AN15 = 0, 
  "", 
  IFERROR(
    INDEX(
      'アイテム別限界値DB'!$L:$L, 
      MATCH(
        1, 
        ('アイテム別限界値DB'!$B:$B = AM$10) * 
        ('アイテム別限界値DB'!$C:$C = AM15) * 
        ('アイテム別限界値DB'!$F:$F = AN15), 
        0
      )
    ), 
    ""
  )
)
</f>
        <v/>
      </c>
      <c r="AQ15" s="11"/>
      <c r="AR15" s="224" t="s">
        <v>53</v>
      </c>
      <c r="AS15" s="232"/>
      <c r="AT15" s="231" t="str">
        <f t="array" ref="AT15">IF(
  AS15 = 0, 
  "", 
  IFERROR(
    INDEX(
      'アイテム別限界値DB'!$K:$K, 
      MATCH(
        1, 
        ('アイテム別限界値DB'!$B:$B = AR$10) * 
        ('アイテム別限界値DB'!$F:$F = AR15) * 
        ('アイテム別限界値DB'!$H:$H = AS15), 
        0
      )
    ), 
    "再製作"
  )
)
</f>
        <v/>
      </c>
      <c r="AU15" s="218" t="str">
        <f t="array" ref="AU15">IF(
  AS15 = 0, 
  "", 
  IFERROR(
    INDEX(
      'アイテム別限界値DB'!$L:$L, 
      MATCH(
        1, 
        ('アイテム別限界値DB'!$B:$B = AR$10) * 
        ('アイテム別限界値DB'!$C:$C = AR15) * 
        ('アイテム別限界値DB'!$F:$F = AS15), 
        0
      )
    ), 
    ""
  )
)
</f>
        <v/>
      </c>
      <c r="AV15" s="121"/>
      <c r="AW15" s="224" t="s">
        <v>53</v>
      </c>
      <c r="AX15" s="232"/>
      <c r="AY15" s="231" t="str">
        <f t="array" ref="AY15">IF(
  AX15 = 0, 
  "", 
  IFERROR(
    INDEX(
      'アイテム別限界値DB'!$K:$K, 
      MATCH(
        1, 
        ('アイテム別限界値DB'!$B:$B = AW$10) * 
        ('アイテム別限界値DB'!$F:$F = AW15) * 
        ('アイテム別限界値DB'!$H:$H = AX15), 
        0
      )
    ), 
    "再製作"
  )
)
</f>
        <v/>
      </c>
      <c r="AZ15" s="218" t="str">
        <f t="array" ref="AZ15">IF(
  AX15 = 0, 
  "", 
  IFERROR(
    INDEX(
      'アイテム別限界値DB'!$L:$L, 
      MATCH(
        1, 
        ('アイテム別限界値DB'!$B:$B = AW$10) * 
        ('アイテム別限界値DB'!$C:$C = AW15) * 
        ('アイテム別限界値DB'!$F:$F = AX15), 
        0
      )
    ), 
    ""
  )
)
</f>
        <v/>
      </c>
      <c r="BA15" s="121"/>
      <c r="BB15" s="224" t="s">
        <v>53</v>
      </c>
      <c r="BC15" s="232"/>
      <c r="BD15" s="231" t="str">
        <f t="array" ref="BD15">IF(
  BC15 = 0, 
  "", 
  IFERROR(
    INDEX(
      'アイテム別限界値DB'!$K:$K, 
      MATCH(
        1, 
        ('アイテム別限界値DB'!$B:$B = BB$10) * 
        ('アイテム別限界値DB'!$F:$F = BB15) * 
        ('アイテム別限界値DB'!$H:$H = BC15), 
        0
      )
    ), 
    "再製作"
  )
)
</f>
        <v/>
      </c>
      <c r="BE15" s="218" t="str">
        <f t="array" ref="BE15">IF(
  BC15 = 0, 
  "", 
  IFERROR(
    INDEX(
      'アイテム別限界値DB'!$L:$L, 
      MATCH(
        1, 
        ('アイテム別限界値DB'!$B:$B = BB$10) * 
        ('アイテム別限界値DB'!$C:$C = BB15) * 
        ('アイテム別限界値DB'!$F:$F = BC15), 
        0
      )
    ), 
    ""
  )
)
</f>
        <v/>
      </c>
      <c r="BF15" s="121"/>
      <c r="BG15" s="224" t="s">
        <v>53</v>
      </c>
      <c r="BH15" s="232"/>
      <c r="BI15" s="231" t="str">
        <f t="array" ref="BI15">IF(
  BH15 = 0, 
  "", 
  IFERROR(
    INDEX(
      'アイテム別限界値DB'!$K:$K, 
      MATCH(
        1, 
        ('アイテム別限界値DB'!$B:$B = BG$10) * 
        ('アイテム別限界値DB'!$F:$F = BG15) * 
        ('アイテム別限界値DB'!$H:$H = BH15), 
        0
      )
    ), 
    "再製作"
  )
)
</f>
        <v/>
      </c>
      <c r="BJ15" s="218" t="str">
        <f t="array" ref="BJ15">IF(
  BH15 = 0, 
  "", 
  IFERROR(
    INDEX(
      'アイテム別限界値DB'!$L:$L, 
      MATCH(
        1, 
        ('アイテム別限界値DB'!$B:$B = BG$10) * 
        ('アイテム別限界値DB'!$C:$C = BG15) * 
        ('アイテム別限界値DB'!$F:$F = BH15), 
        0
      )
    ), 
    ""
  )
)
</f>
        <v/>
      </c>
      <c r="BK15" s="121"/>
      <c r="BL15" s="224" t="s">
        <v>53</v>
      </c>
      <c r="BM15" s="232"/>
      <c r="BN15" s="231" t="str">
        <f t="array" ref="BN15">IF(
  BM15 = 0, 
  "", 
  IFERROR(
    INDEX(
      'アイテム別限界値DB'!$K:$K, 
      MATCH(
        1, 
        ('アイテム別限界値DB'!$B:$B = BL$10) * 
        ('アイテム別限界値DB'!$F:$F = BL15) * 
        ('アイテム別限界値DB'!$H:$H = BM15), 
        0
      )
    ), 
    "再製作"
  )
)
</f>
        <v/>
      </c>
      <c r="BO15" s="218" t="str">
        <f t="array" ref="BO15">IF(
  BM15 = 0, 
  "", 
  IFERROR(
    INDEX(
      'アイテム別限界値DB'!$L:$L, 
      MATCH(
        1, 
        ('アイテム別限界値DB'!$B:$B = BL$10) * 
        ('アイテム別限界値DB'!$C:$C = BL15) * 
        ('アイテム別限界値DB'!$F:$F = BM15), 
        0
      )
    ), 
    ""
  )
)
</f>
        <v/>
      </c>
      <c r="BP15" s="195"/>
    </row>
    <row r="16" ht="18.75" customHeight="1">
      <c r="A16" s="236" t="str">
        <f>if($A$14&lt;&gt;"", "《仕上がり数値》","")</f>
        <v>《仕上がり数値》</v>
      </c>
      <c r="B16" s="224"/>
      <c r="C16" s="224"/>
      <c r="D16" s="224" t="s">
        <v>55</v>
      </c>
      <c r="E16" s="230"/>
      <c r="F16" s="231" t="str">
        <f t="array" ref="F16">IF(
  E16 = 0, 
  "", 
  IFERROR(
    INDEX(
      'アイテム別限界値DB'!$K:$K, 
      MATCH(
        1, 
        ('アイテム別限界値DB'!$B:$B = D$10) * 
        ('アイテム別限界値DB'!$F:$F = D16) * 
        ('アイテム別限界値DB'!$H:$H = E16), 
        0
      )
    ), 
    "再製作"
  )
)
</f>
        <v/>
      </c>
      <c r="G16" s="218" t="str">
        <f t="array" ref="G16">IF(
  E16 = 0, 
  "", 
  IFERROR(
    INDEX(
      'アイテム別限界値DB'!$L:$L, 
      MATCH(
        1, 
        ('アイテム別限界値DB'!$B:$B = D$10) * 
        ('アイテム別限界値DB'!$C:$C = D16) * 
        ('アイテム別限界値DB'!$F:$F = E16), 
        0
      )
    ), 
    ""
  )
)
</f>
        <v/>
      </c>
      <c r="H16" s="12"/>
      <c r="I16" s="224" t="s">
        <v>56</v>
      </c>
      <c r="J16" s="230"/>
      <c r="K16" s="231" t="str">
        <f t="array" ref="K16">IF(
  J16 = 0, 
  "", 
  IFERROR(
    INDEX(
      'アイテム別限界値DB'!$K:$K, 
      MATCH(
        1, 
        ('アイテム別限界値DB'!$B:$B = I$10) * 
        ('アイテム別限界値DB'!$F:$F = I16) * 
        ('アイテム別限界値DB'!$H:$H = J16), 
        0
      )
    ), 
    "再製作"
  )
)
</f>
        <v/>
      </c>
      <c r="L16" s="218" t="str">
        <f t="array" ref="L16">IF(
  J16 = 0, 
  "", 
  IFERROR(
    INDEX(
      'アイテム別限界値DB'!$L:$L, 
      MATCH(
        1, 
        ('アイテム別限界値DB'!$B:$B = I$10) * 
        ('アイテム別限界値DB'!$C:$C = I16) * 
        ('アイテム別限界値DB'!$F:$F = J16), 
        0
      )
    ), 
    ""
  )
)
</f>
        <v/>
      </c>
      <c r="M16" s="12"/>
      <c r="N16" s="224" t="s">
        <v>57</v>
      </c>
      <c r="O16" s="232"/>
      <c r="P16" s="231" t="str">
        <f t="array" ref="P16">IF(
  O16 = 0, 
  "", 
  IFERROR(
    INDEX(
      'アイテム別限界値DB'!$K:$K, 
      MATCH(
        1, 
        ('アイテム別限界値DB'!$B:$B = N$10) * 
        ('アイテム別限界値DB'!$F:$F = N16) * 
        ('アイテム別限界値DB'!$H:$H = O16), 
        0
      )
    ), 
    "再製作"
  )
)
</f>
        <v/>
      </c>
      <c r="Q16" s="218" t="str">
        <f t="array" ref="Q16">IF(
  O16 = 0, 
  "", 
  IFERROR(
    INDEX(
      'アイテム別限界値DB'!$L:$L, 
      MATCH(
        1, 
        ('アイテム別限界値DB'!$B:$B = N$10) * 
        ('アイテム別限界値DB'!$C:$C = N16) * 
        ('アイテム別限界値DB'!$F:$F = O16), 
        0
      )
    ), 
    ""
  )
)
</f>
        <v/>
      </c>
      <c r="R16" s="12"/>
      <c r="S16" s="224" t="s">
        <v>56</v>
      </c>
      <c r="T16" s="232"/>
      <c r="U16" s="231" t="str">
        <f t="array" ref="U16">IF(
  T16 = 0, 
  "", 
  IFERROR(
    INDEX(
      'アイテム別限界値DB'!$K:$K, 
      MATCH(
        1, 
        ('アイテム別限界値DB'!$B:$B = S$10) * 
        ('アイテム別限界値DB'!$F:$F = S16) * 
        ('アイテム別限界値DB'!$H:$H = T16), 
        0
      )
    ), 
    "再製作"
  )
)
</f>
        <v/>
      </c>
      <c r="V16" s="218" t="str">
        <f t="array" ref="V16">IF(
  T16 = 0, 
  "", 
  IFERROR(
    INDEX(
      'アイテム別限界値DB'!$L:$L, 
      MATCH(
        1, 
        ('アイテム別限界値DB'!$B:$B = S$10) * 
        ('アイテム別限界値DB'!$C:$C = S16) * 
        ('アイテム別限界値DB'!$F:$F = T16), 
        0
      )
    ), 
    ""
  )
)
</f>
        <v/>
      </c>
      <c r="W16" s="12"/>
      <c r="X16" s="224" t="s">
        <v>58</v>
      </c>
      <c r="Y16" s="232"/>
      <c r="Z16" s="231" t="str">
        <f t="array" ref="Z16">IF(
  Y16 = 0, 
  "", 
  IFERROR(
    INDEX(
      'アイテム別限界値DB'!$K:$K, 
      MATCH(
        1, 
        ('アイテム別限界値DB'!$B:$B = X$10) * 
        ('アイテム別限界値DB'!$F:$F = X16) * 
        ('アイテム別限界値DB'!$H:$H = Y16), 
        0
      )
    ), 
    "再製作"
  )
)
</f>
        <v/>
      </c>
      <c r="AA16" s="218" t="str">
        <f t="array" ref="AA16">IF(
  Y16 = 0, 
  "", 
  IFERROR(
    INDEX(
      'アイテム別限界値DB'!$L:$L, 
      MATCH(
        1, 
        ('アイテム別限界値DB'!$B:$B = X$10) * 
        ('アイテム別限界値DB'!$C:$C = X16) * 
        ('アイテム別限界値DB'!$F:$F = Y16), 
        0
      )
    ), 
    ""
  )
)
</f>
        <v/>
      </c>
      <c r="AB16" s="11"/>
      <c r="AC16" s="224" t="s">
        <v>55</v>
      </c>
      <c r="AD16" s="232"/>
      <c r="AE16" s="231" t="str">
        <f t="array" ref="AE16">IF(
  AD16 = 0, 
  "", 
  IFERROR(
    INDEX(
      'アイテム別限界値DB'!$K:$K, 
      MATCH(
        1, 
        ('アイテム別限界値DB'!$B:$B = AC$10) * 
        ('アイテム別限界値DB'!$F:$F = AC16) * 
        ('アイテム別限界値DB'!$H:$H = AD16), 
        0
      )
    ), 
    "再製作"
  )
)
</f>
        <v/>
      </c>
      <c r="AF16" s="218" t="str">
        <f t="array" ref="AF16">IF(
  AD16 = 0, 
  "", 
  IFERROR(
    INDEX(
      'アイテム別限界値DB'!$L:$L, 
      MATCH(
        1, 
        ('アイテム別限界値DB'!$B:$B = AC$10) * 
        ('アイテム別限界値DB'!$C:$C = AC16) * 
        ('アイテム別限界値DB'!$F:$F = AD16), 
        0
      )
    ), 
    ""
  )
)
</f>
        <v/>
      </c>
      <c r="AG16" s="11"/>
      <c r="AH16" s="224" t="s">
        <v>55</v>
      </c>
      <c r="AI16" s="232"/>
      <c r="AJ16" s="231" t="str">
        <f t="array" ref="AJ16">IF(
  AI16 = 0, 
  "", 
  IFERROR(
    INDEX(
      'アイテム別限界値DB'!$K:$K, 
      MATCH(
        1, 
        ('アイテム別限界値DB'!$B:$B = AH$10) * 
        ('アイテム別限界値DB'!$F:$F = AH16) * 
        ('アイテム別限界値DB'!$H:$H = AI16), 
        0
      )
    ), 
    "再製作"
  )
)
</f>
        <v/>
      </c>
      <c r="AK16" s="218" t="str">
        <f t="array" ref="AK16">IF(
  AI16 = 0, 
  "", 
  IFERROR(
    INDEX(
      'アイテム別限界値DB'!$L:$L, 
      MATCH(
        1, 
        ('アイテム別限界値DB'!$B:$B = AH$10) * 
        ('アイテム別限界値DB'!$C:$C = AH16) * 
        ('アイテム別限界値DB'!$F:$F = AI16), 
        0
      )
    ), 
    ""
  )
)
</f>
        <v/>
      </c>
      <c r="AL16" s="11"/>
      <c r="AM16" s="224" t="s">
        <v>55</v>
      </c>
      <c r="AN16" s="232"/>
      <c r="AO16" s="231" t="str">
        <f t="array" ref="AO16">IF(
  AN16 = 0, 
  "", 
  IFERROR(
    INDEX(
      'アイテム別限界値DB'!$K:$K, 
      MATCH(
        1, 
        ('アイテム別限界値DB'!$B:$B = AM$10) * 
        ('アイテム別限界値DB'!$F:$F = AM16) * 
        ('アイテム別限界値DB'!$H:$H = AN16), 
        0
      )
    ), 
    "再製作"
  )
)
</f>
        <v/>
      </c>
      <c r="AP16" s="218" t="str">
        <f t="array" ref="AP16">IF(
  AN16 = 0, 
  "", 
  IFERROR(
    INDEX(
      'アイテム別限界値DB'!$L:$L, 
      MATCH(
        1, 
        ('アイテム別限界値DB'!$B:$B = AM$10) * 
        ('アイテム別限界値DB'!$C:$C = AM16) * 
        ('アイテム別限界値DB'!$F:$F = AN16), 
        0
      )
    ), 
    ""
  )
)
</f>
        <v/>
      </c>
      <c r="AQ16" s="11"/>
      <c r="AR16" s="224" t="s">
        <v>55</v>
      </c>
      <c r="AS16" s="232"/>
      <c r="AT16" s="231" t="str">
        <f t="array" ref="AT16">IF(
  AS16 = 0, 
  "", 
  IFERROR(
    INDEX(
      'アイテム別限界値DB'!$K:$K, 
      MATCH(
        1, 
        ('アイテム別限界値DB'!$B:$B = AR$10) * 
        ('アイテム別限界値DB'!$F:$F = AR16) * 
        ('アイテム別限界値DB'!$H:$H = AS16), 
        0
      )
    ), 
    "再製作"
  )
)
</f>
        <v/>
      </c>
      <c r="AU16" s="218" t="str">
        <f t="array" ref="AU16">IF(
  AS16 = 0, 
  "", 
  IFERROR(
    INDEX(
      'アイテム別限界値DB'!$L:$L, 
      MATCH(
        1, 
        ('アイテム別限界値DB'!$B:$B = AR$10) * 
        ('アイテム別限界値DB'!$C:$C = AR16) * 
        ('アイテム別限界値DB'!$F:$F = AS16), 
        0
      )
    ), 
    ""
  )
)
</f>
        <v/>
      </c>
      <c r="AV16" s="121"/>
      <c r="AW16" s="224" t="s">
        <v>55</v>
      </c>
      <c r="AX16" s="232"/>
      <c r="AY16" s="231" t="str">
        <f t="array" ref="AY16">IF(
  AX16 = 0, 
  "", 
  IFERROR(
    INDEX(
      'アイテム別限界値DB'!$K:$K, 
      MATCH(
        1, 
        ('アイテム別限界値DB'!$B:$B = AW$10) * 
        ('アイテム別限界値DB'!$F:$F = AW16) * 
        ('アイテム別限界値DB'!$H:$H = AX16), 
        0
      )
    ), 
    "再製作"
  )
)
</f>
        <v/>
      </c>
      <c r="AZ16" s="218" t="str">
        <f t="array" ref="AZ16">IF(
  AX16 = 0, 
  "", 
  IFERROR(
    INDEX(
      'アイテム別限界値DB'!$L:$L, 
      MATCH(
        1, 
        ('アイテム別限界値DB'!$B:$B = AW$10) * 
        ('アイテム別限界値DB'!$C:$C = AW16) * 
        ('アイテム別限界値DB'!$F:$F = AX16), 
        0
      )
    ), 
    ""
  )
)
</f>
        <v/>
      </c>
      <c r="BA16" s="121"/>
      <c r="BB16" s="224" t="s">
        <v>55</v>
      </c>
      <c r="BC16" s="232"/>
      <c r="BD16" s="231" t="str">
        <f t="array" ref="BD16">IF(
  BC16 = 0, 
  "", 
  IFERROR(
    INDEX(
      'アイテム別限界値DB'!$K:$K, 
      MATCH(
        1, 
        ('アイテム別限界値DB'!$B:$B = BB$10) * 
        ('アイテム別限界値DB'!$F:$F = BB16) * 
        ('アイテム別限界値DB'!$H:$H = BC16), 
        0
      )
    ), 
    "再製作"
  )
)
</f>
        <v/>
      </c>
      <c r="BE16" s="218" t="str">
        <f t="array" ref="BE16">IF(
  BC16 = 0, 
  "", 
  IFERROR(
    INDEX(
      'アイテム別限界値DB'!$L:$L, 
      MATCH(
        1, 
        ('アイテム別限界値DB'!$B:$B = BB$10) * 
        ('アイテム別限界値DB'!$C:$C = BB16) * 
        ('アイテム別限界値DB'!$F:$F = BC16), 
        0
      )
    ), 
    ""
  )
)
</f>
        <v/>
      </c>
      <c r="BF16" s="121"/>
      <c r="BG16" s="224" t="s">
        <v>55</v>
      </c>
      <c r="BH16" s="232"/>
      <c r="BI16" s="231" t="str">
        <f t="array" ref="BI16">IF(
  BH16 = 0, 
  "", 
  IFERROR(
    INDEX(
      'アイテム別限界値DB'!$K:$K, 
      MATCH(
        1, 
        ('アイテム別限界値DB'!$B:$B = BG$10) * 
        ('アイテム別限界値DB'!$F:$F = BG16) * 
        ('アイテム別限界値DB'!$H:$H = BH16), 
        0
      )
    ), 
    "再製作"
  )
)
</f>
        <v/>
      </c>
      <c r="BJ16" s="218" t="str">
        <f t="array" ref="BJ16">IF(
  BH16 = 0, 
  "", 
  IFERROR(
    INDEX(
      'アイテム別限界値DB'!$L:$L, 
      MATCH(
        1, 
        ('アイテム別限界値DB'!$B:$B = BG$10) * 
        ('アイテム別限界値DB'!$C:$C = BG16) * 
        ('アイテム別限界値DB'!$F:$F = BH16), 
        0
      )
    ), 
    ""
  )
)
</f>
        <v/>
      </c>
      <c r="BK16" s="121"/>
      <c r="BL16" s="224" t="s">
        <v>55</v>
      </c>
      <c r="BM16" s="232" t="s">
        <v>59</v>
      </c>
      <c r="BN16" s="231">
        <f t="array" ref="BN16">IF(
  BM16 = 0, 
  "", 
  IFERROR(
    INDEX(
      'アイテム別限界値DB'!$K:$K, 
      MATCH(
        1, 
        ('アイテム別限界値DB'!$B:$B = BL$10) * 
        ('アイテム別限界値DB'!$F:$F = BL16) * 
        ('アイテム別限界値DB'!$H:$H = BM16), 
        0
      )
    ), 
    "再製作"
  )
)
</f>
        <v>46000</v>
      </c>
      <c r="BO16" s="218" t="str">
        <f t="array" ref="BO16">IF(
  BM16 = 0, 
  "", 
  IFERROR(
    INDEX(
      'アイテム別限界値DB'!$L:$L, 
      MATCH(
        1, 
        ('アイテム別限界値DB'!$B:$B = BL$10) * 
        ('アイテム別限界値DB'!$C:$C = BL16) * 
        ('アイテム別限界値DB'!$F:$F = BM16), 
        0
      )
    ), 
    ""
  )
)
</f>
        <v/>
      </c>
      <c r="BP16" s="195"/>
    </row>
    <row r="17" ht="18.75" customHeight="1">
      <c r="A17" s="228" t="str">
        <f>IFERROR(__xludf.DUMMYFUNCTION("TEXTJOIN(CHAR(10),TRUE,FILTER(ARRAYFORMULA(IF(E$14:E72&lt;&gt;"""",D$14:D72&amp;"" :  cm"","""")), D$14:D72 &lt;&gt;""""))"),"袖丈 / 本切羽あり :  cm")</f>
        <v>袖丈 / 本切羽あり :  cm</v>
      </c>
      <c r="B17" s="229"/>
      <c r="C17" s="224"/>
      <c r="D17" s="224" t="s">
        <v>60</v>
      </c>
      <c r="E17" s="230"/>
      <c r="F17" s="231" t="str">
        <f t="array" ref="F17">IF(
  E17 = 0, 
  "", 
  IFERROR(
    INDEX(
      'アイテム別限界値DB'!$K:$K, 
      MATCH(
        1, 
        ('アイテム別限界値DB'!$B:$B = D$10) * 
        ('アイテム別限界値DB'!$F:$F = D17) * 
        ('アイテム別限界値DB'!$H:$H = E17), 
        0
      )
    ), 
    "再製作"
  )
)
</f>
        <v/>
      </c>
      <c r="G17" s="218" t="str">
        <f t="array" ref="G17">IF(
  E17 = 0, 
  "", 
  IFERROR(
    INDEX(
      'アイテム別限界値DB'!$L:$L, 
      MATCH(
        1, 
        ('アイテム別限界値DB'!$B:$B = D$10) * 
        ('アイテム別限界値DB'!$C:$C = D17) * 
        ('アイテム別限界値DB'!$F:$F = E17), 
        0
      )
    ), 
    ""
  )
)
</f>
        <v/>
      </c>
      <c r="H17" s="12"/>
      <c r="I17" s="224" t="s">
        <v>61</v>
      </c>
      <c r="J17" s="230"/>
      <c r="K17" s="231" t="str">
        <f t="array" ref="K17">IF(
  J17 = 0, 
  "", 
  IFERROR(
    INDEX(
      'アイテム別限界値DB'!$K:$K, 
      MATCH(
        1, 
        ('アイテム別限界値DB'!$B:$B = I$10) * 
        ('アイテム別限界値DB'!$F:$F = I17) * 
        ('アイテム別限界値DB'!$H:$H = J17), 
        0
      )
    ), 
    "再製作"
  )
)
</f>
        <v/>
      </c>
      <c r="L17" s="218" t="str">
        <f t="array" ref="L17">IF(
  J17 = 0, 
  "", 
  IFERROR(
    INDEX(
      'アイテム別限界値DB'!$L:$L, 
      MATCH(
        1, 
        ('アイテム別限界値DB'!$B:$B = I$10) * 
        ('アイテム別限界値DB'!$C:$C = I17) * 
        ('アイテム別限界値DB'!$F:$F = J17), 
        0
      )
    ), 
    ""
  )
)
</f>
        <v/>
      </c>
      <c r="M17" s="12"/>
      <c r="N17" s="224" t="s">
        <v>62</v>
      </c>
      <c r="O17" s="232"/>
      <c r="P17" s="231" t="str">
        <f t="array" ref="P17">IF(
  O17 = 0, 
  "", 
  IFERROR(
    INDEX(
      'アイテム別限界値DB'!$K:$K, 
      MATCH(
        1, 
        ('アイテム別限界値DB'!$B:$B = N$10) * 
        ('アイテム別限界値DB'!$F:$F = N17) * 
        ('アイテム別限界値DB'!$H:$H = O17), 
        0
      )
    ), 
    "再製作"
  )
)
</f>
        <v/>
      </c>
      <c r="Q17" s="218" t="str">
        <f t="array" ref="Q17">IF(
  O17 = 0, 
  "", 
  IFERROR(
    INDEX(
      'アイテム別限界値DB'!$L:$L, 
      MATCH(
        1, 
        ('アイテム別限界値DB'!$B:$B = N$10) * 
        ('アイテム別限界値DB'!$C:$C = N17) * 
        ('アイテム別限界値DB'!$F:$F = O17), 
        0
      )
    ), 
    ""
  )
)
</f>
        <v/>
      </c>
      <c r="R17" s="11"/>
      <c r="S17" s="224" t="s">
        <v>61</v>
      </c>
      <c r="T17" s="232"/>
      <c r="U17" s="231" t="str">
        <f t="array" ref="U17">IF(
  T17 = 0, 
  "", 
  IFERROR(
    INDEX(
      'アイテム別限界値DB'!$K:$K, 
      MATCH(
        1, 
        ('アイテム別限界値DB'!$B:$B = S$10) * 
        ('アイテム別限界値DB'!$F:$F = S17) * 
        ('アイテム別限界値DB'!$H:$H = T17), 
        0
      )
    ), 
    "再製作"
  )
)
</f>
        <v/>
      </c>
      <c r="V17" s="218" t="str">
        <f t="array" ref="V17">IF(
  T17 = 0, 
  "", 
  IFERROR(
    INDEX(
      'アイテム別限界値DB'!$L:$L, 
      MATCH(
        1, 
        ('アイテム別限界値DB'!$B:$B = S$10) * 
        ('アイテム別限界値DB'!$C:$C = S17) * 
        ('アイテム別限界値DB'!$F:$F = T17), 
        0
      )
    ), 
    ""
  )
)
</f>
        <v/>
      </c>
      <c r="W17" s="12"/>
      <c r="X17" s="224" t="s">
        <v>63</v>
      </c>
      <c r="Y17" s="232"/>
      <c r="Z17" s="231" t="str">
        <f t="array" ref="Z17">IF(
  Y17 = 0, 
  "", 
  IFERROR(
    INDEX(
      'アイテム別限界値DB'!$K:$K, 
      MATCH(
        1, 
        ('アイテム別限界値DB'!$B:$B = X$10) * 
        ('アイテム別限界値DB'!$F:$F = X17) * 
        ('アイテム別限界値DB'!$H:$H = Y17), 
        0
      )
    ), 
    "再製作"
  )
)
</f>
        <v/>
      </c>
      <c r="AA17" s="218" t="str">
        <f t="array" ref="AA17">IF(
  Y17 = 0, 
  "", 
  IFERROR(
    INDEX(
      'アイテム別限界値DB'!$L:$L, 
      MATCH(
        1, 
        ('アイテム別限界値DB'!$B:$B = X$10) * 
        ('アイテム別限界値DB'!$C:$C = X17) * 
        ('アイテム別限界値DB'!$F:$F = Y17), 
        0
      )
    ), 
    ""
  )
)
</f>
        <v/>
      </c>
      <c r="AB17" s="11"/>
      <c r="AC17" s="224" t="s">
        <v>57</v>
      </c>
      <c r="AD17" s="232"/>
      <c r="AE17" s="231" t="str">
        <f t="array" ref="AE17">IF(
  AD17 = 0, 
  "", 
  IFERROR(
    INDEX(
      'アイテム別限界値DB'!$K:$K, 
      MATCH(
        1, 
        ('アイテム別限界値DB'!$B:$B = AC$10) * 
        ('アイテム別限界値DB'!$F:$F = AC17) * 
        ('アイテム別限界値DB'!$H:$H = AD17), 
        0
      )
    ), 
    "再製作"
  )
)
</f>
        <v/>
      </c>
      <c r="AF17" s="218" t="str">
        <f t="array" ref="AF17">IF(
  AD17 = 0, 
  "", 
  IFERROR(
    INDEX(
      'アイテム別限界値DB'!$L:$L, 
      MATCH(
        1, 
        ('アイテム別限界値DB'!$B:$B = AC$10) * 
        ('アイテム別限界値DB'!$C:$C = AC17) * 
        ('アイテム別限界値DB'!$F:$F = AD17), 
        0
      )
    ), 
    ""
  )
)
</f>
        <v/>
      </c>
      <c r="AG17" s="11"/>
      <c r="AH17" s="224" t="s">
        <v>57</v>
      </c>
      <c r="AI17" s="232"/>
      <c r="AJ17" s="231" t="str">
        <f t="array" ref="AJ17">IF(
  AI17 = 0, 
  "", 
  IFERROR(
    INDEX(
      'アイテム別限界値DB'!$K:$K, 
      MATCH(
        1, 
        ('アイテム別限界値DB'!$B:$B = AH$10) * 
        ('アイテム別限界値DB'!$F:$F = AH17) * 
        ('アイテム別限界値DB'!$H:$H = AI17), 
        0
      )
    ), 
    "再製作"
  )
)
</f>
        <v/>
      </c>
      <c r="AK17" s="218" t="str">
        <f t="array" ref="AK17">IF(
  AI17 = 0, 
  "", 
  IFERROR(
    INDEX(
      'アイテム別限界値DB'!$L:$L, 
      MATCH(
        1, 
        ('アイテム別限界値DB'!$B:$B = AH$10) * 
        ('アイテム別限界値DB'!$C:$C = AH17) * 
        ('アイテム別限界値DB'!$F:$F = AI17), 
        0
      )
    ), 
    ""
  )
)
</f>
        <v/>
      </c>
      <c r="AL17" s="11"/>
      <c r="AM17" s="224" t="s">
        <v>57</v>
      </c>
      <c r="AN17" s="232"/>
      <c r="AO17" s="231" t="str">
        <f t="array" ref="AO17">IF(
  AN17 = 0, 
  "", 
  IFERROR(
    INDEX(
      'アイテム別限界値DB'!$K:$K, 
      MATCH(
        1, 
        ('アイテム別限界値DB'!$B:$B = AM$10) * 
        ('アイテム別限界値DB'!$F:$F = AM17) * 
        ('アイテム別限界値DB'!$H:$H = AN17), 
        0
      )
    ), 
    "再製作"
  )
)
</f>
        <v/>
      </c>
      <c r="AP17" s="218" t="str">
        <f t="array" ref="AP17">IF(
  AN17 = 0, 
  "", 
  IFERROR(
    INDEX(
      'アイテム別限界値DB'!$L:$L, 
      MATCH(
        1, 
        ('アイテム別限界値DB'!$B:$B = AM$10) * 
        ('アイテム別限界値DB'!$C:$C = AM17) * 
        ('アイテム別限界値DB'!$F:$F = AN17), 
        0
      )
    ), 
    ""
  )
)
</f>
        <v/>
      </c>
      <c r="AQ17" s="11"/>
      <c r="AR17" s="224" t="s">
        <v>57</v>
      </c>
      <c r="AS17" s="232"/>
      <c r="AT17" s="231" t="str">
        <f t="array" ref="AT17">IF(
  AS17 = 0, 
  "", 
  IFERROR(
    INDEX(
      'アイテム別限界値DB'!$K:$K, 
      MATCH(
        1, 
        ('アイテム別限界値DB'!$B:$B = AR$10) * 
        ('アイテム別限界値DB'!$F:$F = AR17) * 
        ('アイテム別限界値DB'!$H:$H = AS17), 
        0
      )
    ), 
    "再製作"
  )
)
</f>
        <v/>
      </c>
      <c r="AU17" s="218" t="str">
        <f t="array" ref="AU17">IF(
  AS17 = 0, 
  "", 
  IFERROR(
    INDEX(
      'アイテム別限界値DB'!$L:$L, 
      MATCH(
        1, 
        ('アイテム別限界値DB'!$B:$B = AR$10) * 
        ('アイテム別限界値DB'!$C:$C = AR17) * 
        ('アイテム別限界値DB'!$F:$F = AS17), 
        0
      )
    ), 
    ""
  )
)
</f>
        <v/>
      </c>
      <c r="AV17" s="121"/>
      <c r="AW17" s="224" t="s">
        <v>57</v>
      </c>
      <c r="AX17" s="232"/>
      <c r="AY17" s="231" t="str">
        <f t="array" ref="AY17">IF(
  AX17 = 0, 
  "", 
  IFERROR(
    INDEX(
      'アイテム別限界値DB'!$K:$K, 
      MATCH(
        1, 
        ('アイテム別限界値DB'!$B:$B = AW$10) * 
        ('アイテム別限界値DB'!$F:$F = AW17) * 
        ('アイテム別限界値DB'!$H:$H = AX17), 
        0
      )
    ), 
    "再製作"
  )
)
</f>
        <v/>
      </c>
      <c r="AZ17" s="218" t="str">
        <f t="array" ref="AZ17">IF(
  AX17 = 0, 
  "", 
  IFERROR(
    INDEX(
      'アイテム別限界値DB'!$L:$L, 
      MATCH(
        1, 
        ('アイテム別限界値DB'!$B:$B = AW$10) * 
        ('アイテム別限界値DB'!$C:$C = AW17) * 
        ('アイテム別限界値DB'!$F:$F = AX17), 
        0
      )
    ), 
    ""
  )
)
</f>
        <v/>
      </c>
      <c r="BA17" s="121"/>
      <c r="BB17" s="224" t="s">
        <v>57</v>
      </c>
      <c r="BC17" s="232"/>
      <c r="BD17" s="231" t="str">
        <f t="array" ref="BD17">IF(
  BC17 = 0, 
  "", 
  IFERROR(
    INDEX(
      'アイテム別限界値DB'!$K:$K, 
      MATCH(
        1, 
        ('アイテム別限界値DB'!$B:$B = BB$10) * 
        ('アイテム別限界値DB'!$F:$F = BB17) * 
        ('アイテム別限界値DB'!$H:$H = BC17), 
        0
      )
    ), 
    "再製作"
  )
)
</f>
        <v/>
      </c>
      <c r="BE17" s="218" t="str">
        <f t="array" ref="BE17">IF(
  BC17 = 0, 
  "", 
  IFERROR(
    INDEX(
      'アイテム別限界値DB'!$L:$L, 
      MATCH(
        1, 
        ('アイテム別限界値DB'!$B:$B = BB$10) * 
        ('アイテム別限界値DB'!$C:$C = BB17) * 
        ('アイテム別限界値DB'!$F:$F = BC17), 
        0
      )
    ), 
    ""
  )
)
</f>
        <v/>
      </c>
      <c r="BF17" s="121"/>
      <c r="BG17" s="224" t="s">
        <v>57</v>
      </c>
      <c r="BH17" s="232"/>
      <c r="BI17" s="231" t="str">
        <f t="array" ref="BI17">IF(
  BH17 = 0, 
  "", 
  IFERROR(
    INDEX(
      'アイテム別限界値DB'!$K:$K, 
      MATCH(
        1, 
        ('アイテム別限界値DB'!$B:$B = BG$10) * 
        ('アイテム別限界値DB'!$F:$F = BG17) * 
        ('アイテム別限界値DB'!$H:$H = BH17), 
        0
      )
    ), 
    "再製作"
  )
)
</f>
        <v/>
      </c>
      <c r="BJ17" s="218" t="str">
        <f t="array" ref="BJ17">IF(
  BH17 = 0, 
  "", 
  IFERROR(
    INDEX(
      'アイテム別限界値DB'!$L:$L, 
      MATCH(
        1, 
        ('アイテム別限界値DB'!$B:$B = BG$10) * 
        ('アイテム別限界値DB'!$C:$C = BG17) * 
        ('アイテム別限界値DB'!$F:$F = BH17), 
        0
      )
    ), 
    ""
  )
)
</f>
        <v/>
      </c>
      <c r="BK17" s="121"/>
      <c r="BL17" s="224" t="s">
        <v>57</v>
      </c>
      <c r="BM17" s="232" t="s">
        <v>59</v>
      </c>
      <c r="BN17" s="231">
        <f t="array" ref="BN17">IF(
  BM17 = 0, 
  "", 
  IFERROR(
    INDEX(
      'アイテム別限界値DB'!$K:$K, 
      MATCH(
        1, 
        ('アイテム別限界値DB'!$B:$B = BL$10) * 
        ('アイテム別限界値DB'!$F:$F = BL17) * 
        ('アイテム別限界値DB'!$H:$H = BM17), 
        0
      )
    ), 
    "再製作"
  )
)
</f>
        <v>46000</v>
      </c>
      <c r="BO17" s="218" t="str">
        <f t="array" ref="BO17">IF(
  BM17 = 0, 
  "", 
  IFERROR(
    INDEX(
      'アイテム別限界値DB'!$L:$L, 
      MATCH(
        1, 
        ('アイテム別限界値DB'!$B:$B = BL$10) * 
        ('アイテム別限界値DB'!$C:$C = BL17) * 
        ('アイテム別限界値DB'!$F:$F = BM17), 
        0
      )
    ), 
    ""
  )
)
</f>
        <v/>
      </c>
      <c r="BP17" s="195"/>
    </row>
    <row r="18" ht="18.75" customHeight="1">
      <c r="A18" s="237" t="s">
        <v>64</v>
      </c>
      <c r="B18" s="235"/>
      <c r="C18" s="224"/>
      <c r="D18" s="224" t="s">
        <v>65</v>
      </c>
      <c r="E18" s="230"/>
      <c r="F18" s="231" t="str">
        <f t="array" ref="F18">IF(
  E18 = 0, 
  "", 
  IFERROR(
    INDEX(
      'アイテム別限界値DB'!$K:$K, 
      MATCH(
        1, 
        ('アイテム別限界値DB'!$B:$B = D$10) * 
        ('アイテム別限界値DB'!$F:$F = D18) * 
        ('アイテム別限界値DB'!$H:$H = E18), 
        0
      )
    ), 
    "再製作"
  )
)
</f>
        <v/>
      </c>
      <c r="G18" s="218" t="str">
        <f t="array" ref="G18">IF(
  E18 = 0, 
  "", 
  IFERROR(
    INDEX(
      'アイテム別限界値DB'!$L:$L, 
      MATCH(
        1, 
        ('アイテム別限界値DB'!$B:$B = D$10) * 
        ('アイテム別限界値DB'!$C:$C = D18) * 
        ('アイテム別限界値DB'!$F:$F = E18), 
        0
      )
    ), 
    ""
  )
)
</f>
        <v/>
      </c>
      <c r="H18" s="12"/>
      <c r="I18" s="224" t="s">
        <v>66</v>
      </c>
      <c r="J18" s="232"/>
      <c r="K18" s="231" t="str">
        <f t="array" ref="K18">IF(
  J18 = 0, 
  "", 
  IFERROR(
    INDEX(
      'アイテム別限界値DB'!$K:$K, 
      MATCH(
        1, 
        ('アイテム別限界値DB'!$B:$B = I$10) * 
        ('アイテム別限界値DB'!$F:$F = I18) * 
        ('アイテム別限界値DB'!$H:$H = J18), 
        0
      )
    ), 
    "再製作"
  )
)
</f>
        <v/>
      </c>
      <c r="L18" s="218" t="str">
        <f t="array" ref="L18">IF(
  J18 = 0, 
  "", 
  IFERROR(
    INDEX(
      'アイテム別限界値DB'!$L:$L, 
      MATCH(
        1, 
        ('アイテム別限界値DB'!$B:$B = I$10) * 
        ('アイテム別限界値DB'!$C:$C = I18) * 
        ('アイテム別限界値DB'!$F:$F = J18), 
        0
      )
    ), 
    ""
  )
)
</f>
        <v/>
      </c>
      <c r="M18" s="12"/>
      <c r="N18" s="224" t="s">
        <v>67</v>
      </c>
      <c r="O18" s="232"/>
      <c r="P18" s="231" t="str">
        <f t="array" ref="P18">IF(
  O18 = 0, 
  "", 
  IFERROR(
    INDEX(
      'アイテム別限界値DB'!$K:$K, 
      MATCH(
        1, 
        ('アイテム別限界値DB'!$B:$B = N$10) * 
        ('アイテム別限界値DB'!$F:$F = N18) * 
        ('アイテム別限界値DB'!$H:$H = O18), 
        0
      )
    ), 
    "再製作"
  )
)
</f>
        <v/>
      </c>
      <c r="Q18" s="218" t="str">
        <f t="array" ref="Q18">IF(
  O18 = 0, 
  "", 
  IFERROR(
    INDEX(
      'アイテム別限界値DB'!$L:$L, 
      MATCH(
        1, 
        ('アイテム別限界値DB'!$B:$B = N$10) * 
        ('アイテム別限界値DB'!$C:$C = N18) * 
        ('アイテム別限界値DB'!$F:$F = O18), 
        0
      )
    ), 
    ""
  )
)
</f>
        <v/>
      </c>
      <c r="R18" s="11"/>
      <c r="S18" s="224" t="s">
        <v>68</v>
      </c>
      <c r="T18" s="232"/>
      <c r="U18" s="231" t="str">
        <f t="array" ref="U18">IF(
  T18 = 0, 
  "", 
  IFERROR(
    INDEX(
      'アイテム別限界値DB'!$K:$K, 
      MATCH(
        1, 
        ('アイテム別限界値DB'!$B:$B = S$10) * 
        ('アイテム別限界値DB'!$F:$F = S18) * 
        ('アイテム別限界値DB'!$H:$H = T18), 
        0
      )
    ), 
    "再製作"
  )
)
</f>
        <v/>
      </c>
      <c r="V18" s="218" t="str">
        <f t="array" ref="V18">IF(
  T18 = 0, 
  "", 
  IFERROR(
    INDEX(
      'アイテム別限界値DB'!$L:$L, 
      MATCH(
        1, 
        ('アイテム別限界値DB'!$B:$B = S$10) * 
        ('アイテム別限界値DB'!$C:$C = S18) * 
        ('アイテム別限界値DB'!$F:$F = T18), 
        0
      )
    ), 
    ""
  )
)
</f>
        <v/>
      </c>
      <c r="W18" s="11"/>
      <c r="X18" s="224" t="s">
        <v>57</v>
      </c>
      <c r="Y18" s="232"/>
      <c r="Z18" s="231" t="str">
        <f t="array" ref="Z18">IF(
  Y18 = 0, 
  "", 
  IFERROR(
    INDEX(
      'アイテム別限界値DB'!$K:$K, 
      MATCH(
        1, 
        ('アイテム別限界値DB'!$B:$B = X$10) * 
        ('アイテム別限界値DB'!$F:$F = X18) * 
        ('アイテム別限界値DB'!$H:$H = Y18), 
        0
      )
    ), 
    "再製作"
  )
)
</f>
        <v/>
      </c>
      <c r="AA18" s="218" t="str">
        <f t="array" ref="AA18">IF(
  Y18 = 0, 
  "", 
  IFERROR(
    INDEX(
      'アイテム別限界値DB'!$L:$L, 
      MATCH(
        1, 
        ('アイテム別限界値DB'!$B:$B = X$10) * 
        ('アイテム別限界値DB'!$C:$C = X18) * 
        ('アイテム別限界値DB'!$F:$F = Y18), 
        0
      )
    ), 
    ""
  )
)
</f>
        <v/>
      </c>
      <c r="AB18" s="11"/>
      <c r="AC18" s="224" t="s">
        <v>69</v>
      </c>
      <c r="AD18" s="232"/>
      <c r="AE18" s="231" t="str">
        <f t="array" ref="AE18">IF(
  AD18 = 0, 
  "", 
  IFERROR(
    INDEX(
      'アイテム別限界値DB'!$K:$K, 
      MATCH(
        1, 
        ('アイテム別限界値DB'!$B:$B = AC$10) * 
        ('アイテム別限界値DB'!$F:$F = AC18) * 
        ('アイテム別限界値DB'!$H:$H = AD18), 
        0
      )
    ), 
    "再製作"
  )
)
</f>
        <v/>
      </c>
      <c r="AF18" s="218" t="str">
        <f t="array" ref="AF18">IF(
  AD18 = 0, 
  "", 
  IFERROR(
    INDEX(
      'アイテム別限界値DB'!$L:$L, 
      MATCH(
        1, 
        ('アイテム別限界値DB'!$B:$B = AC$10) * 
        ('アイテム別限界値DB'!$C:$C = AC18) * 
        ('アイテム別限界値DB'!$F:$F = AD18), 
        0
      )
    ), 
    ""
  )
)
</f>
        <v/>
      </c>
      <c r="AG18" s="11"/>
      <c r="AH18" s="224" t="s">
        <v>70</v>
      </c>
      <c r="AI18" s="232"/>
      <c r="AJ18" s="231" t="str">
        <f t="array" ref="AJ18">IF(
  AI18 = 0, 
  "", 
  IFERROR(
    INDEX(
      'アイテム別限界値DB'!$K:$K, 
      MATCH(
        1, 
        ('アイテム別限界値DB'!$B:$B = AH$10) * 
        ('アイテム別限界値DB'!$F:$F = AH18) * 
        ('アイテム別限界値DB'!$H:$H = AI18), 
        0
      )
    ), 
    "再製作"
  )
)
</f>
        <v/>
      </c>
      <c r="AK18" s="218" t="str">
        <f t="array" ref="AK18">IF(
  AI18 = 0, 
  "", 
  IFERROR(
    INDEX(
      'アイテム別限界値DB'!$L:$L, 
      MATCH(
        1, 
        ('アイテム別限界値DB'!$B:$B = AH$10) * 
        ('アイテム別限界値DB'!$C:$C = AH18) * 
        ('アイテム別限界値DB'!$F:$F = AI18), 
        0
      )
    ), 
    ""
  )
)
</f>
        <v/>
      </c>
      <c r="AL18" s="11"/>
      <c r="AM18" s="224" t="s">
        <v>71</v>
      </c>
      <c r="AN18" s="232"/>
      <c r="AO18" s="231" t="str">
        <f t="array" ref="AO18">IF(
  AN18 = 0, 
  "", 
  IFERROR(
    INDEX(
      'アイテム別限界値DB'!$K:$K, 
      MATCH(
        1, 
        ('アイテム別限界値DB'!$B:$B = AM$10) * 
        ('アイテム別限界値DB'!$F:$F = AM18) * 
        ('アイテム別限界値DB'!$H:$H = AN18), 
        0
      )
    ), 
    "再製作"
  )
)
</f>
        <v/>
      </c>
      <c r="AP18" s="218" t="str">
        <f t="array" ref="AP18">IF(
  AN18 = 0, 
  "", 
  IFERROR(
    INDEX(
      'アイテム別限界値DB'!$L:$L, 
      MATCH(
        1, 
        ('アイテム別限界値DB'!$B:$B = AM$10) * 
        ('アイテム別限界値DB'!$C:$C = AM18) * 
        ('アイテム別限界値DB'!$F:$F = AN18), 
        0
      )
    ), 
    ""
  )
)
</f>
        <v/>
      </c>
      <c r="AQ18" s="11"/>
      <c r="AR18" s="224" t="s">
        <v>71</v>
      </c>
      <c r="AS18" s="232"/>
      <c r="AT18" s="231" t="str">
        <f t="array" ref="AT18">IF(
  AS18 = 0, 
  "", 
  IFERROR(
    INDEX(
      'アイテム別限界値DB'!$K:$K, 
      MATCH(
        1, 
        ('アイテム別限界値DB'!$B:$B = AR$10) * 
        ('アイテム別限界値DB'!$F:$F = AR18) * 
        ('アイテム別限界値DB'!$H:$H = AS18), 
        0
      )
    ), 
    "再製作"
  )
)
</f>
        <v/>
      </c>
      <c r="AU18" s="218" t="str">
        <f t="array" ref="AU18">IF(
  AS18 = 0, 
  "", 
  IFERROR(
    INDEX(
      'アイテム別限界値DB'!$L:$L, 
      MATCH(
        1, 
        ('アイテム別限界値DB'!$B:$B = AR$10) * 
        ('アイテム別限界値DB'!$C:$C = AR18) * 
        ('アイテム別限界値DB'!$F:$F = AS18), 
        0
      )
    ), 
    ""
  )
)
</f>
        <v/>
      </c>
      <c r="AV18" s="121"/>
      <c r="AW18" s="224" t="s">
        <v>71</v>
      </c>
      <c r="AX18" s="232"/>
      <c r="AY18" s="231" t="str">
        <f t="array" ref="AY18">IF(
  AX18 = 0, 
  "", 
  IFERROR(
    INDEX(
      'アイテム別限界値DB'!$K:$K, 
      MATCH(
        1, 
        ('アイテム別限界値DB'!$B:$B = AW$10) * 
        ('アイテム別限界値DB'!$F:$F = AW18) * 
        ('アイテム別限界値DB'!$H:$H = AX18), 
        0
      )
    ), 
    "再製作"
  )
)
</f>
        <v/>
      </c>
      <c r="AZ18" s="218" t="str">
        <f t="array" ref="AZ18">IF(
  AX18 = 0, 
  "", 
  IFERROR(
    INDEX(
      'アイテム別限界値DB'!$L:$L, 
      MATCH(
        1, 
        ('アイテム別限界値DB'!$B:$B = AW$10) * 
        ('アイテム別限界値DB'!$C:$C = AW18) * 
        ('アイテム別限界値DB'!$F:$F = AX18), 
        0
      )
    ), 
    ""
  )
)
</f>
        <v/>
      </c>
      <c r="BA18" s="121"/>
      <c r="BB18" s="224" t="s">
        <v>71</v>
      </c>
      <c r="BC18" s="232"/>
      <c r="BD18" s="231" t="str">
        <f t="array" ref="BD18">IF(
  BC18 = 0, 
  "", 
  IFERROR(
    INDEX(
      'アイテム別限界値DB'!$K:$K, 
      MATCH(
        1, 
        ('アイテム別限界値DB'!$B:$B = BB$10) * 
        ('アイテム別限界値DB'!$F:$F = BB18) * 
        ('アイテム別限界値DB'!$H:$H = BC18), 
        0
      )
    ), 
    "再製作"
  )
)
</f>
        <v/>
      </c>
      <c r="BE18" s="218" t="str">
        <f t="array" ref="BE18">IF(
  BC18 = 0, 
  "", 
  IFERROR(
    INDEX(
      'アイテム別限界値DB'!$L:$L, 
      MATCH(
        1, 
        ('アイテム別限界値DB'!$B:$B = BB$10) * 
        ('アイテム別限界値DB'!$C:$C = BB18) * 
        ('アイテム別限界値DB'!$F:$F = BC18), 
        0
      )
    ), 
    ""
  )
)
</f>
        <v/>
      </c>
      <c r="BF18" s="121"/>
      <c r="BG18" s="224" t="s">
        <v>71</v>
      </c>
      <c r="BH18" s="232"/>
      <c r="BI18" s="231" t="str">
        <f t="array" ref="BI18">IF(
  BH18 = 0, 
  "", 
  IFERROR(
    INDEX(
      'アイテム別限界値DB'!$K:$K, 
      MATCH(
        1, 
        ('アイテム別限界値DB'!$B:$B = BG$10) * 
        ('アイテム別限界値DB'!$F:$F = BG18) * 
        ('アイテム別限界値DB'!$H:$H = BH18), 
        0
      )
    ), 
    "再製作"
  )
)
</f>
        <v/>
      </c>
      <c r="BJ18" s="218" t="str">
        <f t="array" ref="BJ18">IF(
  BH18 = 0, 
  "", 
  IFERROR(
    INDEX(
      'アイテム別限界値DB'!$L:$L, 
      MATCH(
        1, 
        ('アイテム別限界値DB'!$B:$B = BG$10) * 
        ('アイテム別限界値DB'!$C:$C = BG18) * 
        ('アイテム別限界値DB'!$F:$F = BH18), 
        0
      )
    ), 
    ""
  )
)
</f>
        <v/>
      </c>
      <c r="BK18" s="121"/>
      <c r="BL18" s="224" t="s">
        <v>69</v>
      </c>
      <c r="BM18" s="232"/>
      <c r="BN18" s="231" t="str">
        <f t="array" ref="BN18">IF(
  BM18 = 0, 
  "", 
  IFERROR(
    INDEX(
      'アイテム別限界値DB'!$K:$K, 
      MATCH(
        1, 
        ('アイテム別限界値DB'!$B:$B = BL$10) * 
        ('アイテム別限界値DB'!$F:$F = BL18) * 
        ('アイテム別限界値DB'!$H:$H = BM18), 
        0
      )
    ), 
    "再製作"
  )
)
</f>
        <v/>
      </c>
      <c r="BO18" s="218" t="str">
        <f t="array" ref="BO18">IF(
  BM18 = 0, 
  "", 
  IFERROR(
    INDEX(
      'アイテム別限界値DB'!$L:$L, 
      MATCH(
        1, 
        ('アイテム別限界値DB'!$B:$B = BL$10) * 
        ('アイテム別限界値DB'!$C:$C = BL18) * 
        ('アイテム別限界値DB'!$F:$F = BM18), 
        0
      )
    ), 
    ""
  )
)
</f>
        <v/>
      </c>
      <c r="BP18" s="195"/>
    </row>
    <row r="19" ht="18.75" customHeight="1">
      <c r="A19" s="228" t="str">
        <f>IF($I$11 ="再製作", "◼︎ パンツ（対応着地：再製作）"　&amp; char(10) &amp; "《修正数値》", IF($I$11 &lt;&gt; "", "◼︎ パンツ（対応着地：お直し）"　&amp; char(10) &amp; "《修正数値》", ""))</f>
        <v>◼︎ パンツ（対応着地：お直し）
《修正数値》</v>
      </c>
      <c r="B19" s="224"/>
      <c r="C19" s="224"/>
      <c r="D19" s="238" t="s">
        <v>72</v>
      </c>
      <c r="E19" s="232"/>
      <c r="F19" s="231" t="str">
        <f t="array" ref="F19">IF(
  E19 = 0, 
  "", 
  IFERROR(
    INDEX(
      'アイテム別限界値DB'!$K:$K, 
      MATCH(
        1, 
        ('アイテム別限界値DB'!$B:$B = D$10) * 
        ('アイテム別限界値DB'!$F:$F = D19) * 
        ('アイテム別限界値DB'!$H:$H = E19), 
        0
      )
    ), 
    "再製作"
  )
)
</f>
        <v/>
      </c>
      <c r="G19" s="218" t="str">
        <f t="array" ref="G19">IF(
  E19 = 0, 
  "", 
  IFERROR(
    INDEX(
      'アイテム別限界値DB'!$L:$L, 
      MATCH(
        1, 
        ('アイテム別限界値DB'!$B:$B = D$10) * 
        ('アイテム別限界値DB'!$C:$C = D19) * 
        ('アイテム別限界値DB'!$F:$F = E19), 
        0
      )
    ), 
    ""
  )
)
</f>
        <v/>
      </c>
      <c r="H19" s="12"/>
      <c r="I19" s="238" t="s">
        <v>73</v>
      </c>
      <c r="J19" s="230" t="s">
        <v>142</v>
      </c>
      <c r="K19" s="231">
        <f t="array" ref="K19">IF(
  J19 = 0, 
  "", 
  IFERROR(
    INDEX(
      'アイテム別限界値DB'!$K:$K, 
      MATCH(
        1, 
        ('アイテム別限界値DB'!$B:$B = I$10) * 
        ('アイテム別限界値DB'!$F:$F = I19) * 
        ('アイテム別限界値DB'!$H:$H = J19), 
        0
      )
    ), 
    "再製作"
  )
)
</f>
        <v>45996</v>
      </c>
      <c r="L19" s="218" t="str">
        <f t="array" ref="L19">IF(
  J19 = 0, 
  "", 
  IFERROR(
    INDEX(
      'アイテム別限界値DB'!$L:$L, 
      MATCH(
        1, 
        ('アイテム別限界値DB'!$B:$B = I$10) * 
        ('アイテム別限界値DB'!$C:$C = I19) * 
        ('アイテム別限界値DB'!$F:$F = J19), 
        0
      )
    ), 
    ""
  )
)
</f>
        <v/>
      </c>
      <c r="M19" s="12"/>
      <c r="N19" s="238" t="s">
        <v>74</v>
      </c>
      <c r="O19" s="232"/>
      <c r="P19" s="231" t="str">
        <f t="array" ref="P19">IF(
  O19 = 0, 
  "", 
  IFERROR(
    INDEX(
      'アイテム別限界値DB'!$K:$K, 
      MATCH(
        1, 
        ('アイテム別限界値DB'!$B:$B = N$10) * 
        ('アイテム別限界値DB'!$F:$F = N19) * 
        ('アイテム別限界値DB'!$H:$H = O19), 
        0
      )
    ), 
    "再製作"
  )
)
</f>
        <v/>
      </c>
      <c r="Q19" s="218" t="str">
        <f t="array" ref="Q19">IF(
  O19 = 0, 
  "", 
  IFERROR(
    INDEX(
      'アイテム別限界値DB'!$L:$L, 
      MATCH(
        1, 
        ('アイテム別限界値DB'!$B:$B = N$10) * 
        ('アイテム別限界値DB'!$C:$C = N19) * 
        ('アイテム別限界値DB'!$F:$F = O19), 
        0
      )
    ), 
    ""
  )
)
</f>
        <v/>
      </c>
      <c r="R19" s="11"/>
      <c r="S19" s="238" t="s">
        <v>75</v>
      </c>
      <c r="T19" s="232"/>
      <c r="U19" s="231" t="str">
        <f t="array" ref="U19">IF(
  T19 = 0, 
  "", 
  IFERROR(
    INDEX(
      'アイテム別限界値DB'!$K:$K, 
      MATCH(
        1, 
        ('アイテム別限界値DB'!$B:$B = S$10) * 
        ('アイテム別限界値DB'!$F:$F = S19) * 
        ('アイテム別限界値DB'!$H:$H = T19), 
        0
      )
    ), 
    "再製作"
  )
)
</f>
        <v/>
      </c>
      <c r="V19" s="218" t="str">
        <f t="array" ref="V19">IF(
  T19 = 0, 
  "", 
  IFERROR(
    INDEX(
      'アイテム別限界値DB'!$L:$L, 
      MATCH(
        1, 
        ('アイテム別限界値DB'!$B:$B = S$10) * 
        ('アイテム別限界値DB'!$C:$C = S19) * 
        ('アイテム別限界値DB'!$F:$F = T19), 
        0
      )
    ), 
    ""
  )
)
</f>
        <v/>
      </c>
      <c r="W19" s="11"/>
      <c r="X19" s="238" t="s">
        <v>69</v>
      </c>
      <c r="Y19" s="232"/>
      <c r="Z19" s="231" t="str">
        <f t="array" ref="Z19">IF(
  Y19 = 0, 
  "", 
  IFERROR(
    INDEX(
      'アイテム別限界値DB'!$K:$K, 
      MATCH(
        1, 
        ('アイテム別限界値DB'!$B:$B = X$10) * 
        ('アイテム別限界値DB'!$F:$F = X19) * 
        ('アイテム別限界値DB'!$H:$H = Y19), 
        0
      )
    ), 
    "再製作"
  )
)
</f>
        <v/>
      </c>
      <c r="AA19" s="218" t="str">
        <f t="array" ref="AA19">IF(
  Y19 = 0, 
  "", 
  IFERROR(
    INDEX(
      'アイテム別限界値DB'!$L:$L, 
      MATCH(
        1, 
        ('アイテム別限界値DB'!$B:$B = X$10) * 
        ('アイテム別限界値DB'!$C:$C = X19) * 
        ('アイテム別限界値DB'!$F:$F = Y19), 
        0
      )
    ), 
    ""
  )
)
</f>
        <v/>
      </c>
      <c r="AB19" s="11"/>
      <c r="AC19" s="238" t="s">
        <v>76</v>
      </c>
      <c r="AD19" s="232"/>
      <c r="AE19" s="231" t="str">
        <f t="array" ref="AE19">IF(
  AD19 = 0, 
  "", 
  IFERROR(
    INDEX(
      'アイテム別限界値DB'!$K:$K, 
      MATCH(
        1, 
        ('アイテム別限界値DB'!$B:$B = AC$10) * 
        ('アイテム別限界値DB'!$F:$F = AC19) * 
        ('アイテム別限界値DB'!$H:$H = AD19), 
        0
      )
    ), 
    "再製作"
  )
)
</f>
        <v/>
      </c>
      <c r="AF19" s="218" t="str">
        <f t="array" ref="AF19">IF(
  AD19 = 0, 
  "", 
  IFERROR(
    INDEX(
      'アイテム別限界値DB'!$L:$L, 
      MATCH(
        1, 
        ('アイテム別限界値DB'!$B:$B = AC$10) * 
        ('アイテム別限界値DB'!$C:$C = AC19) * 
        ('アイテム別限界値DB'!$F:$F = AD19), 
        0
      )
    ), 
    ""
  )
)
</f>
        <v/>
      </c>
      <c r="AG19" s="11"/>
      <c r="AH19" s="238" t="s">
        <v>71</v>
      </c>
      <c r="AI19" s="232"/>
      <c r="AJ19" s="231" t="str">
        <f t="array" ref="AJ19">IF(
  AI19 = 0, 
  "", 
  IFERROR(
    INDEX(
      'アイテム別限界値DB'!$K:$K, 
      MATCH(
        1, 
        ('アイテム別限界値DB'!$B:$B = AH$10) * 
        ('アイテム別限界値DB'!$F:$F = AH19) * 
        ('アイテム別限界値DB'!$H:$H = AI19), 
        0
      )
    ), 
    "再製作"
  )
)
</f>
        <v/>
      </c>
      <c r="AK19" s="218" t="str">
        <f t="array" ref="AK19">IF(
  AI19 = 0, 
  "", 
  IFERROR(
    INDEX(
      'アイテム別限界値DB'!$L:$L, 
      MATCH(
        1, 
        ('アイテム別限界値DB'!$B:$B = AH$10) * 
        ('アイテム別限界値DB'!$C:$C = AH19) * 
        ('アイテム別限界値DB'!$F:$F = AI19), 
        0
      )
    ), 
    ""
  )
)
</f>
        <v/>
      </c>
      <c r="AL19" s="11"/>
      <c r="AM19" s="238" t="s">
        <v>62</v>
      </c>
      <c r="AN19" s="232"/>
      <c r="AO19" s="231" t="str">
        <f t="array" ref="AO19">IF(
  AN19 = 0, 
  "", 
  IFERROR(
    INDEX(
      'アイテム別限界値DB'!$K:$K, 
      MATCH(
        1, 
        ('アイテム別限界値DB'!$B:$B = AM$10) * 
        ('アイテム別限界値DB'!$F:$F = AM19) * 
        ('アイテム別限界値DB'!$H:$H = AN19), 
        0
      )
    ), 
    "再製作"
  )
)
</f>
        <v/>
      </c>
      <c r="AP19" s="218" t="str">
        <f t="array" ref="AP19">IF(
  AN19 = 0, 
  "", 
  IFERROR(
    INDEX(
      'アイテム別限界値DB'!$L:$L, 
      MATCH(
        1, 
        ('アイテム別限界値DB'!$B:$B = AM$10) * 
        ('アイテム別限界値DB'!$C:$C = AM19) * 
        ('アイテム別限界値DB'!$F:$F = AN19), 
        0
      )
    ), 
    ""
  )
)
</f>
        <v/>
      </c>
      <c r="AQ19" s="11"/>
      <c r="AR19" s="238" t="s">
        <v>62</v>
      </c>
      <c r="AS19" s="232"/>
      <c r="AT19" s="231" t="str">
        <f t="array" ref="AT19">IF(
  AS19 = 0, 
  "", 
  IFERROR(
    INDEX(
      'アイテム別限界値DB'!$K:$K, 
      MATCH(
        1, 
        ('アイテム別限界値DB'!$B:$B = AR$10) * 
        ('アイテム別限界値DB'!$F:$F = AR19) * 
        ('アイテム別限界値DB'!$H:$H = AS19), 
        0
      )
    ), 
    "再製作"
  )
)
</f>
        <v/>
      </c>
      <c r="AU19" s="218" t="str">
        <f t="array" ref="AU19">IF(
  AS19 = 0, 
  "", 
  IFERROR(
    INDEX(
      'アイテム別限界値DB'!$L:$L, 
      MATCH(
        1, 
        ('アイテム別限界値DB'!$B:$B = AR$10) * 
        ('アイテム別限界値DB'!$C:$C = AR19) * 
        ('アイテム別限界値DB'!$F:$F = AS19), 
        0
      )
    ), 
    ""
  )
)
</f>
        <v/>
      </c>
      <c r="AV19" s="121"/>
      <c r="AW19" s="224" t="s">
        <v>62</v>
      </c>
      <c r="AX19" s="232"/>
      <c r="AY19" s="231" t="str">
        <f t="array" ref="AY19">IF(
  AX19 = 0, 
  "", 
  IFERROR(
    INDEX(
      'アイテム別限界値DB'!$K:$K, 
      MATCH(
        1, 
        ('アイテム別限界値DB'!$B:$B = AW$10) * 
        ('アイテム別限界値DB'!$F:$F = AW19) * 
        ('アイテム別限界値DB'!$H:$H = AX19), 
        0
      )
    ), 
    "再製作"
  )
)
</f>
        <v/>
      </c>
      <c r="AZ19" s="218" t="str">
        <f t="array" ref="AZ19">IF(
  AX19 = 0, 
  "", 
  IFERROR(
    INDEX(
      'アイテム別限界値DB'!$L:$L, 
      MATCH(
        1, 
        ('アイテム別限界値DB'!$B:$B = AW$10) * 
        ('アイテム別限界値DB'!$C:$C = AW19) * 
        ('アイテム別限界値DB'!$F:$F = AX19), 
        0
      )
    ), 
    ""
  )
)
</f>
        <v/>
      </c>
      <c r="BA19" s="121"/>
      <c r="BB19" s="224" t="s">
        <v>62</v>
      </c>
      <c r="BC19" s="232"/>
      <c r="BD19" s="231" t="str">
        <f t="array" ref="BD19">IF(
  BC19 = 0, 
  "", 
  IFERROR(
    INDEX(
      'アイテム別限界値DB'!$K:$K, 
      MATCH(
        1, 
        ('アイテム別限界値DB'!$B:$B = BB$10) * 
        ('アイテム別限界値DB'!$F:$F = BB19) * 
        ('アイテム別限界値DB'!$H:$H = BC19), 
        0
      )
    ), 
    "再製作"
  )
)
</f>
        <v/>
      </c>
      <c r="BE19" s="218" t="str">
        <f t="array" ref="BE19">IF(
  BC19 = 0, 
  "", 
  IFERROR(
    INDEX(
      'アイテム別限界値DB'!$L:$L, 
      MATCH(
        1, 
        ('アイテム別限界値DB'!$B:$B = BB$10) * 
        ('アイテム別限界値DB'!$C:$C = BB19) * 
        ('アイテム別限界値DB'!$F:$F = BC19), 
        0
      )
    ), 
    ""
  )
)
</f>
        <v/>
      </c>
      <c r="BF19" s="121"/>
      <c r="BG19" s="224" t="s">
        <v>62</v>
      </c>
      <c r="BH19" s="232"/>
      <c r="BI19" s="231" t="str">
        <f t="array" ref="BI19">IF(
  BH19 = 0, 
  "", 
  IFERROR(
    INDEX(
      'アイテム別限界値DB'!$K:$K, 
      MATCH(
        1, 
        ('アイテム別限界値DB'!$B:$B = BG$10) * 
        ('アイテム別限界値DB'!$F:$F = BG19) * 
        ('アイテム別限界値DB'!$H:$H = BH19), 
        0
      )
    ), 
    "再製作"
  )
)
</f>
        <v/>
      </c>
      <c r="BJ19" s="218" t="str">
        <f t="array" ref="BJ19">IF(
  BH19 = 0, 
  "", 
  IFERROR(
    INDEX(
      'アイテム別限界値DB'!$L:$L, 
      MATCH(
        1, 
        ('アイテム別限界値DB'!$B:$B = BG$10) * 
        ('アイテム別限界値DB'!$C:$C = BG19) * 
        ('アイテム別限界値DB'!$F:$F = BH19), 
        0
      )
    ), 
    ""
  )
)
</f>
        <v/>
      </c>
      <c r="BK19" s="121"/>
      <c r="BL19" s="224" t="s">
        <v>76</v>
      </c>
      <c r="BM19" s="232"/>
      <c r="BN19" s="231" t="str">
        <f t="array" ref="BN19">IF(
  BM19 = 0, 
  "", 
  IFERROR(
    INDEX(
      'アイテム別限界値DB'!$K:$K, 
      MATCH(
        1, 
        ('アイテム別限界値DB'!$B:$B = BL$10) * 
        ('アイテム別限界値DB'!$F:$F = BL19) * 
        ('アイテム別限界値DB'!$H:$H = BM19), 
        0
      )
    ), 
    "再製作"
  )
)
</f>
        <v/>
      </c>
      <c r="BO19" s="218" t="str">
        <f t="array" ref="BO19">IF(
  BM19 = 0, 
  "", 
  IFERROR(
    INDEX(
      'アイテム別限界値DB'!$L:$L, 
      MATCH(
        1, 
        ('アイテム別限界値DB'!$B:$B = BL$10) * 
        ('アイテム別限界値DB'!$C:$C = BL19) * 
        ('アイテム別限界値DB'!$F:$F = BM19), 
        0
      )
    ), 
    ""
  )
)
</f>
        <v/>
      </c>
      <c r="BP19" s="195"/>
    </row>
    <row r="20" ht="18.75" customHeight="1">
      <c r="A20" s="228" t="str">
        <f>IFERROR(__xludf.DUMMYFUNCTION("TEXTJOIN(CHAR(10),TRUE,FILTER(ARRAYFORMULA(IF(J$14:J72&lt;&gt;"""", I$14:I72 &amp;"" : ""&amp; J$14:J72 &amp;"" cm"","""")), I$14:I72 &lt;&gt;""""))"),"股下 / ダブル(4cm以上) : -4 cm")</f>
        <v>股下 / ダブル(4cm以上) : -4 cm</v>
      </c>
      <c r="B20" s="229"/>
      <c r="C20" s="224"/>
      <c r="D20" s="238" t="s">
        <v>77</v>
      </c>
      <c r="E20" s="230"/>
      <c r="F20" s="231" t="str">
        <f t="array" ref="F20">IF(
  E20 = 0, 
  "", 
  IFERROR(
    INDEX(
      'アイテム別限界値DB'!$K:$K, 
      MATCH(
        1, 
        ('アイテム別限界値DB'!$B:$B = D$10) * 
        ('アイテム別限界値DB'!$F:$F = D20) * 
        ('アイテム別限界値DB'!$H:$H = E20), 
        0
      )
    ), 
    "再製作"
  )
)
</f>
        <v/>
      </c>
      <c r="G20" s="218" t="str">
        <f t="array" ref="G20">IF(
  E20 = 0, 
  "", 
  IFERROR(
    INDEX(
      'アイテム別限界値DB'!$L:$L, 
      MATCH(
        1, 
        ('アイテム別限界値DB'!$B:$B = D$10) * 
        ('アイテム別限界値DB'!$C:$C = D20) * 
        ('アイテム別限界値DB'!$F:$F = E20), 
        0
      )
    ), 
    ""
  )
)
</f>
        <v/>
      </c>
      <c r="H20" s="12"/>
      <c r="I20" s="238" t="s">
        <v>78</v>
      </c>
      <c r="J20" s="230"/>
      <c r="K20" s="231" t="str">
        <f t="array" ref="K20">IF(
  J20 = 0, 
  "", 
  IFERROR(
    INDEX(
      'アイテム別限界値DB'!$K:$K, 
      MATCH(
        1, 
        ('アイテム別限界値DB'!$B:$B = I$10) * 
        ('アイテム別限界値DB'!$F:$F = I20) * 
        ('アイテム別限界値DB'!$H:$H = J20), 
        0
      )
    ), 
    "再製作"
  )
)
</f>
        <v/>
      </c>
      <c r="L20" s="218" t="str">
        <f t="array" ref="L20">IF(
  J20 = 0, 
  "", 
  IFERROR(
    INDEX(
      'アイテム別限界値DB'!$L:$L, 
      MATCH(
        1, 
        ('アイテム別限界値DB'!$B:$B = I$10) * 
        ('アイテム別限界値DB'!$C:$C = I20) * 
        ('アイテム別限界値DB'!$F:$F = J20), 
        0
      )
    ), 
    ""
  )
)
</f>
        <v/>
      </c>
      <c r="M20" s="12"/>
      <c r="N20" s="238" t="s">
        <v>79</v>
      </c>
      <c r="O20" s="232"/>
      <c r="P20" s="231" t="str">
        <f t="array" ref="P20">IF(
  O20 = 0, 
  "", 
  IFERROR(
    INDEX(
      'アイテム別限界値DB'!$K:$K, 
      MATCH(
        1, 
        ('アイテム別限界値DB'!$B:$B = N$10) * 
        ('アイテム別限界値DB'!$F:$F = N20) * 
        ('アイテム別限界値DB'!$H:$H = O20), 
        0
      )
    ), 
    "再製作"
  )
)
</f>
        <v/>
      </c>
      <c r="Q20" s="218" t="str">
        <f t="array" ref="Q20">IF(
  O20 = 0, 
  "", 
  IFERROR(
    INDEX(
      'アイテム別限界値DB'!$L:$L, 
      MATCH(
        1, 
        ('アイテム別限界値DB'!$B:$B = N$10) * 
        ('アイテム別限界値DB'!$C:$C = N20) * 
        ('アイテム別限界値DB'!$F:$F = O20), 
        0
      )
    ), 
    ""
  )
)
</f>
        <v/>
      </c>
      <c r="R20" s="11"/>
      <c r="S20" s="238" t="s">
        <v>78</v>
      </c>
      <c r="T20" s="232"/>
      <c r="U20" s="231" t="str">
        <f t="array" ref="U20">IF(
  T20 = 0, 
  "", 
  IFERROR(
    INDEX(
      'アイテム別限界値DB'!$K:$K, 
      MATCH(
        1, 
        ('アイテム別限界値DB'!$B:$B = S$10) * 
        ('アイテム別限界値DB'!$F:$F = S20) * 
        ('アイテム別限界値DB'!$H:$H = T20), 
        0
      )
    ), 
    "再製作"
  )
)
</f>
        <v/>
      </c>
      <c r="V20" s="218" t="str">
        <f t="array" ref="V20">IF(
  T20 = 0, 
  "", 
  IFERROR(
    INDEX(
      'アイテム別限界値DB'!$L:$L, 
      MATCH(
        1, 
        ('アイテム別限界値DB'!$B:$B = S$10) * 
        ('アイテム別限界値DB'!$C:$C = S20) * 
        ('アイテム別限界値DB'!$F:$F = T20), 
        0
      )
    ), 
    ""
  )
)
</f>
        <v/>
      </c>
      <c r="W20" s="11"/>
      <c r="X20" s="238" t="s">
        <v>76</v>
      </c>
      <c r="Y20" s="232"/>
      <c r="Z20" s="231" t="str">
        <f t="array" ref="Z20">IF(
  Y20 = 0, 
  "", 
  IFERROR(
    INDEX(
      'アイテム別限界値DB'!$K:$K, 
      MATCH(
        1, 
        ('アイテム別限界値DB'!$B:$B = X$10) * 
        ('アイテム別限界値DB'!$F:$F = X20) * 
        ('アイテム別限界値DB'!$H:$H = Y20), 
        0
      )
    ), 
    "再製作"
  )
)
</f>
        <v/>
      </c>
      <c r="AA20" s="218" t="str">
        <f t="array" ref="AA20">IF(
  Y20 = 0, 
  "", 
  IFERROR(
    INDEX(
      'アイテム別限界値DB'!$L:$L, 
      MATCH(
        1, 
        ('アイテム別限界値DB'!$B:$B = X$10) * 
        ('アイテム別限界値DB'!$C:$C = X20) * 
        ('アイテム別限界値DB'!$F:$F = Y20), 
        0
      )
    ), 
    ""
  )
)
</f>
        <v/>
      </c>
      <c r="AB20" s="11"/>
      <c r="AC20" s="238" t="s">
        <v>80</v>
      </c>
      <c r="AD20" s="232"/>
      <c r="AE20" s="231" t="str">
        <f t="array" ref="AE20">IF(
  AD20 = 0, 
  "", 
  IFERROR(
    INDEX(
      'アイテム別限界値DB'!$K:$K, 
      MATCH(
        1, 
        ('アイテム別限界値DB'!$B:$B = AC$10) * 
        ('アイテム別限界値DB'!$F:$F = AC20) * 
        ('アイテム別限界値DB'!$H:$H = AD20), 
        0
      )
    ), 
    "再製作"
  )
)
</f>
        <v/>
      </c>
      <c r="AF20" s="218" t="str">
        <f t="array" ref="AF20">IF(
  AD20 = 0, 
  "", 
  IFERROR(
    INDEX(
      'アイテム別限界値DB'!$L:$L, 
      MATCH(
        1, 
        ('アイテム別限界値DB'!$B:$B = AC$10) * 
        ('アイテム別限界値DB'!$C:$C = AC20) * 
        ('アイテム別限界値DB'!$F:$F = AD20), 
        0
      )
    ), 
    ""
  )
)
</f>
        <v/>
      </c>
      <c r="AG20" s="11"/>
      <c r="AH20" s="224" t="s">
        <v>62</v>
      </c>
      <c r="AI20" s="232"/>
      <c r="AJ20" s="231" t="str">
        <f t="array" ref="AJ20">IF(
  AI20 = 0, 
  "", 
  IFERROR(
    INDEX(
      'アイテム別限界値DB'!$K:$K, 
      MATCH(
        1, 
        ('アイテム別限界値DB'!$B:$B = AH$10) * 
        ('アイテム別限界値DB'!$F:$F = AH20) * 
        ('アイテム別限界値DB'!$H:$H = AI20), 
        0
      )
    ), 
    "再製作"
  )
)
</f>
        <v/>
      </c>
      <c r="AK20" s="218" t="str">
        <f t="array" ref="AK20">IF(
  AI20 = 0, 
  "", 
  IFERROR(
    INDEX(
      'アイテム別限界値DB'!$L:$L, 
      MATCH(
        1, 
        ('アイテム別限界値DB'!$B:$B = AH$10) * 
        ('アイテム別限界値DB'!$C:$C = AH20) * 
        ('アイテム別限界値DB'!$F:$F = AI20), 
        0
      )
    ), 
    ""
  )
)
</f>
        <v/>
      </c>
      <c r="AL20" s="11"/>
      <c r="AM20" s="224" t="s">
        <v>70</v>
      </c>
      <c r="AN20" s="232"/>
      <c r="AO20" s="231" t="str">
        <f t="array" ref="AO20">IF(
  AN20 = 0, 
  "", 
  IFERROR(
    INDEX(
      'アイテム別限界値DB'!$K:$K, 
      MATCH(
        1, 
        ('アイテム別限界値DB'!$B:$B = AM$10) * 
        ('アイテム別限界値DB'!$F:$F = AM20) * 
        ('アイテム別限界値DB'!$H:$H = AN20), 
        0
      )
    ), 
    "再製作"
  )
)
</f>
        <v/>
      </c>
      <c r="AP20" s="218" t="str">
        <f t="array" ref="AP20">IF(
  AN20 = 0, 
  "", 
  IFERROR(
    INDEX(
      'アイテム別限界値DB'!$L:$L, 
      MATCH(
        1, 
        ('アイテム別限界値DB'!$B:$B = AM$10) * 
        ('アイテム別限界値DB'!$C:$C = AM20) * 
        ('アイテム別限界値DB'!$F:$F = AN20), 
        0
      )
    ), 
    ""
  )
)
</f>
        <v/>
      </c>
      <c r="AQ20" s="11"/>
      <c r="AR20" s="224" t="s">
        <v>70</v>
      </c>
      <c r="AS20" s="232"/>
      <c r="AT20" s="231" t="str">
        <f t="array" ref="AT20">IF(
  AS20 = 0, 
  "", 
  IFERROR(
    INDEX(
      'アイテム別限界値DB'!$K:$K, 
      MATCH(
        1, 
        ('アイテム別限界値DB'!$B:$B = AR$10) * 
        ('アイテム別限界値DB'!$F:$F = AR20) * 
        ('アイテム別限界値DB'!$H:$H = AS20), 
        0
      )
    ), 
    "再製作"
  )
)
</f>
        <v/>
      </c>
      <c r="AU20" s="218" t="str">
        <f t="array" ref="AU20">IF(
  AS20 = 0, 
  "", 
  IFERROR(
    INDEX(
      'アイテム別限界値DB'!$L:$L, 
      MATCH(
        1, 
        ('アイテム別限界値DB'!$B:$B = AR$10) * 
        ('アイテム別限界値DB'!$C:$C = AR20) * 
        ('アイテム別限界値DB'!$F:$F = AS20), 
        0
      )
    ), 
    ""
  )
)
</f>
        <v/>
      </c>
      <c r="AV20" s="121"/>
      <c r="AW20" s="224" t="s">
        <v>70</v>
      </c>
      <c r="AX20" s="232"/>
      <c r="AY20" s="231" t="str">
        <f t="array" ref="AY20">IF(
  AX20 = 0, 
  "", 
  IFERROR(
    INDEX(
      'アイテム別限界値DB'!$K:$K, 
      MATCH(
        1, 
        ('アイテム別限界値DB'!$B:$B = AW$10) * 
        ('アイテム別限界値DB'!$F:$F = AW20) * 
        ('アイテム別限界値DB'!$H:$H = AX20), 
        0
      )
    ), 
    "再製作"
  )
)
</f>
        <v/>
      </c>
      <c r="AZ20" s="218" t="str">
        <f t="array" ref="AZ20">IF(
  AX20 = 0, 
  "", 
  IFERROR(
    INDEX(
      'アイテム別限界値DB'!$L:$L, 
      MATCH(
        1, 
        ('アイテム別限界値DB'!$B:$B = AW$10) * 
        ('アイテム別限界値DB'!$C:$C = AW20) * 
        ('アイテム別限界値DB'!$F:$F = AX20), 
        0
      )
    ), 
    ""
  )
)
</f>
        <v/>
      </c>
      <c r="BA20" s="121"/>
      <c r="BB20" s="224" t="s">
        <v>70</v>
      </c>
      <c r="BC20" s="232"/>
      <c r="BD20" s="231" t="str">
        <f t="array" ref="BD20">IF(
  BC20 = 0, 
  "", 
  IFERROR(
    INDEX(
      'アイテム別限界値DB'!$K:$K, 
      MATCH(
        1, 
        ('アイテム別限界値DB'!$B:$B = BB$10) * 
        ('アイテム別限界値DB'!$F:$F = BB20) * 
        ('アイテム別限界値DB'!$H:$H = BC20), 
        0
      )
    ), 
    "再製作"
  )
)
</f>
        <v/>
      </c>
      <c r="BE20" s="218" t="str">
        <f t="array" ref="BE20">IF(
  BC20 = 0, 
  "", 
  IFERROR(
    INDEX(
      'アイテム別限界値DB'!$L:$L, 
      MATCH(
        1, 
        ('アイテム別限界値DB'!$B:$B = BB$10) * 
        ('アイテム別限界値DB'!$C:$C = BB20) * 
        ('アイテム別限界値DB'!$F:$F = BC20), 
        0
      )
    ), 
    ""
  )
)
</f>
        <v/>
      </c>
      <c r="BF20" s="121"/>
      <c r="BG20" s="224" t="s">
        <v>70</v>
      </c>
      <c r="BH20" s="232"/>
      <c r="BI20" s="231" t="str">
        <f t="array" ref="BI20">IF(
  BH20 = 0, 
  "", 
  IFERROR(
    INDEX(
      'アイテム別限界値DB'!$K:$K, 
      MATCH(
        1, 
        ('アイテム別限界値DB'!$B:$B = BG$10) * 
        ('アイテム別限界値DB'!$F:$F = BG20) * 
        ('アイテム別限界値DB'!$H:$H = BH20), 
        0
      )
    ), 
    "再製作"
  )
)
</f>
        <v/>
      </c>
      <c r="BJ20" s="218" t="str">
        <f t="array" ref="BJ20">IF(
  BH20 = 0, 
  "", 
  IFERROR(
    INDEX(
      'アイテム別限界値DB'!$L:$L, 
      MATCH(
        1, 
        ('アイテム別限界値DB'!$B:$B = BG$10) * 
        ('アイテム別限界値DB'!$C:$C = BG20) * 
        ('アイテム別限界値DB'!$F:$F = BH20), 
        0
      )
    ), 
    ""
  )
)
</f>
        <v/>
      </c>
      <c r="BK20" s="121"/>
      <c r="BL20" s="224" t="s">
        <v>80</v>
      </c>
      <c r="BM20" s="232"/>
      <c r="BN20" s="231" t="str">
        <f t="array" ref="BN20">IF(
  BM20 = 0, 
  "", 
  IFERROR(
    INDEX(
      'アイテム別限界値DB'!$K:$K, 
      MATCH(
        1, 
        ('アイテム別限界値DB'!$B:$B = BL$10) * 
        ('アイテム別限界値DB'!$F:$F = BL20) * 
        ('アイテム別限界値DB'!$H:$H = BM20), 
        0
      )
    ), 
    "再製作"
  )
)
</f>
        <v/>
      </c>
      <c r="BO20" s="218" t="str">
        <f t="array" ref="BO20">IF(
  BM20 = 0, 
  "", 
  IFERROR(
    INDEX(
      'アイテム別限界値DB'!$L:$L, 
      MATCH(
        1, 
        ('アイテム別限界値DB'!$B:$B = BL$10) * 
        ('アイテム別限界値DB'!$C:$C = BL20) * 
        ('アイテム別限界値DB'!$F:$F = BM20), 
        0
      )
    ), 
    ""
  )
)
</f>
        <v/>
      </c>
      <c r="BP20" s="195"/>
    </row>
    <row r="21" ht="18.75" customHeight="1">
      <c r="A21" s="236" t="str">
        <f>if($A$19&lt;&gt;"", "《仕上がり数値》","")</f>
        <v>《仕上がり数値》</v>
      </c>
      <c r="B21" s="229"/>
      <c r="C21" s="224"/>
      <c r="D21" s="238" t="s">
        <v>81</v>
      </c>
      <c r="E21" s="230" t="s">
        <v>143</v>
      </c>
      <c r="F21" s="231">
        <f t="array" ref="F21">IF(
  E21 = 0, 
  "", 
  IFERROR(
    INDEX(
      'アイテム別限界値DB'!$K:$K, 
      MATCH(
        1, 
        ('アイテム別限界値DB'!$B:$B = D$10) * 
        ('アイテム別限界値DB'!$F:$F = D21) * 
        ('アイテム別限界値DB'!$H:$H = E21), 
        0
      )
    ), 
    "再製作"
  )
)
</f>
        <v>46001</v>
      </c>
      <c r="G21" s="218" t="str">
        <f t="array" ref="G21">IF(
  E21 = 0, 
  "", 
  IFERROR(
    INDEX(
      'アイテム別限界値DB'!$L:$L, 
      MATCH(
        1, 
        ('アイテム別限界値DB'!$B:$B = D$10) * 
        ('アイテム別限界値DB'!$C:$C = D21) * 
        ('アイテム別限界値DB'!$F:$F = E21), 
        0
      )
    ), 
    ""
  )
)
</f>
        <v/>
      </c>
      <c r="H21" s="12"/>
      <c r="I21" s="238" t="s">
        <v>82</v>
      </c>
      <c r="J21" s="232"/>
      <c r="K21" s="231" t="str">
        <f t="array" ref="K21">IF(
  J21 = 0, 
  "", 
  IFERROR(
    INDEX(
      'アイテム別限界値DB'!$K:$K, 
      MATCH(
        1, 
        ('アイテム別限界値DB'!$B:$B = I$10) * 
        ('アイテム別限界値DB'!$F:$F = I21) * 
        ('アイテム別限界値DB'!$H:$H = J21), 
        0
      )
    ), 
    "再製作"
  )
)
</f>
        <v/>
      </c>
      <c r="L21" s="218" t="str">
        <f t="array" ref="L21">IF(
  J21 = 0, 
  "", 
  IFERROR(
    INDEX(
      'アイテム別限界値DB'!$L:$L, 
      MATCH(
        1, 
        ('アイテム別限界値DB'!$B:$B = I$10) * 
        ('アイテム別限界値DB'!$C:$C = I21) * 
        ('アイテム別限界値DB'!$F:$F = J21), 
        0
      )
    ), 
    ""
  )
)
</f>
        <v/>
      </c>
      <c r="M21" s="12"/>
      <c r="N21" s="224" t="s">
        <v>83</v>
      </c>
      <c r="O21" s="232"/>
      <c r="P21" s="231" t="str">
        <f t="array" ref="P21">IF(
  O21 = 0, 
  "", 
  IFERROR(
    INDEX(
      'アイテム別限界値DB'!$K:$K, 
      MATCH(
        1, 
        ('アイテム別限界値DB'!$B:$B = N$10) * 
        ('アイテム別限界値DB'!$F:$F = N21) * 
        ('アイテム別限界値DB'!$H:$H = O21), 
        0
      )
    ), 
    "再製作"
  )
)
</f>
        <v/>
      </c>
      <c r="Q21" s="121" t="str">
        <f t="array" ref="Q21">IF(
  O21 = 0, 
  "", 
  IFERROR(
    INDEX(
      'アイテム別限界値DB'!$L:$L, 
      MATCH(
        1, 
        ('アイテム別限界値DB'!$B:$B = N$10) * 
        ('アイテム別限界値DB'!$C:$C = N21) * 
        ('アイテム別限界値DB'!$F:$F = O21), 
        0
      )
    ), 
    ""
  )
)
</f>
        <v/>
      </c>
      <c r="R21" s="11"/>
      <c r="S21" s="238" t="s">
        <v>82</v>
      </c>
      <c r="T21" s="232"/>
      <c r="U21" s="231" t="str">
        <f t="array" ref="U21">IF(
  T21 = 0, 
  "", 
  IFERROR(
    INDEX(
      'アイテム別限界値DB'!$K:$K, 
      MATCH(
        1, 
        ('アイテム別限界値DB'!$B:$B = S$10) * 
        ('アイテム別限界値DB'!$F:$F = S21) * 
        ('アイテム別限界値DB'!$H:$H = T21), 
        0
      )
    ), 
    "再製作"
  )
)
</f>
        <v/>
      </c>
      <c r="V21" s="218" t="str">
        <f t="array" ref="V21">IF(
  T21 = 0, 
  "", 
  IFERROR(
    INDEX(
      'アイテム別限界値DB'!$L:$L, 
      MATCH(
        1, 
        ('アイテム別限界値DB'!$B:$B = S$10) * 
        ('アイテム別限界値DB'!$C:$C = S21) * 
        ('アイテム別限界値DB'!$F:$F = T21), 
        0
      )
    ), 
    ""
  )
)
</f>
        <v/>
      </c>
      <c r="W21" s="11"/>
      <c r="X21" s="238" t="s">
        <v>84</v>
      </c>
      <c r="Y21" s="230" t="s">
        <v>129</v>
      </c>
      <c r="Z21" s="231">
        <f t="array" ref="Z21">IF(
  Y21 = 0, 
  "", 
  IFERROR(
    INDEX(
      'アイテム別限界値DB'!$K:$K, 
      MATCH(
        1, 
        ('アイテム別限界値DB'!$B:$B = X$10) * 
        ('アイテム別限界値DB'!$F:$F = X21) * 
        ('アイテム別限界値DB'!$H:$H = Y21), 
        0
      )
    ), 
    "再製作"
  )
)
</f>
        <v>46000</v>
      </c>
      <c r="AA21" s="218" t="str">
        <f t="array" ref="AA21">IF(
  Y21 = 0, 
  "", 
  IFERROR(
    INDEX(
      'アイテム別限界値DB'!$L:$L, 
      MATCH(
        1, 
        ('アイテム別限界値DB'!$B:$B = X$10) * 
        ('アイテム別限界値DB'!$C:$C = X21) * 
        ('アイテム別限界値DB'!$F:$F = Y21), 
        0
      )
    ), 
    ""
  )
)
</f>
        <v/>
      </c>
      <c r="AB21" s="11"/>
      <c r="AC21" s="238" t="s">
        <v>85</v>
      </c>
      <c r="AD21" s="232"/>
      <c r="AE21" s="231" t="str">
        <f t="array" ref="AE21">IF(
  AD21 = 0, 
  "", 
  IFERROR(
    INDEX(
      'アイテム別限界値DB'!$K:$K, 
      MATCH(
        1, 
        ('アイテム別限界値DB'!$B:$B = AC$10) * 
        ('アイテム別限界値DB'!$F:$F = AC21) * 
        ('アイテム別限界値DB'!$H:$H = AD21), 
        0
      )
    ), 
    "再製作"
  )
)
</f>
        <v/>
      </c>
      <c r="AF21" s="218" t="str">
        <f t="array" ref="AF21">IF(
  AD21 = 0, 
  "", 
  IFERROR(
    INDEX(
      'アイテム別限界値DB'!$L:$L, 
      MATCH(
        1, 
        ('アイテム別限界値DB'!$B:$B = AC$10) * 
        ('アイテム別限界値DB'!$C:$C = AC21) * 
        ('アイテム別限界値DB'!$F:$F = AD21), 
        0
      )
    ), 
    ""
  )
)
</f>
        <v/>
      </c>
      <c r="AG21" s="11"/>
      <c r="AH21" s="224"/>
      <c r="AI21" s="225"/>
      <c r="AJ21" s="220" t="str">
        <f t="array" ref="AJ21">IF(
  AI21 = 0, 
  "", 
  IFERROR(
    INDEX(
      'アイテム別限界値DB'!$I:$I, 
      MATCH(
        1, 
        ('アイテム別限界値DB'!$B:$B = AH$10) * 
        ('アイテム別限界値DB'!$C:$C = AH21) * 
        ('アイテム別限界値DB'!$F:$F = AI21), 
        0
      )
    ), 
    "再製作"
  )
)
</f>
        <v/>
      </c>
      <c r="AK21" s="121" t="str">
        <f t="array" ref="AK21">IF(
  AI21 = 0, 
  "", 
  IFERROR(
    INDEX(
      'アイテム別限界値DB'!$L:$L, 
      MATCH(
        1, 
        ('アイテム別限界値DB'!$B:$B = AH$10) * 
        ('アイテム別限界値DB'!$C:$C = AH21) * 
        ('アイテム別限界値DB'!$F:$F = AI21), 
        0
      )
    ), 
    ""
  )
)
</f>
        <v/>
      </c>
      <c r="AL21" s="11"/>
      <c r="AM21" s="224"/>
      <c r="AN21" s="225"/>
      <c r="AO21" s="220" t="str">
        <f t="array" ref="AO21">IF(
  AN21 = 0, 
  "", 
  IFERROR(
    INDEX(
      'アイテム別限界値DB'!$I:$I, 
      MATCH(
        1, 
        ('アイテム別限界値DB'!$B:$B = AM$10) * 
        ('アイテム別限界値DB'!$C:$C = AM21) * 
        ('アイテム別限界値DB'!$F:$F = AN21), 
        0
      )
    ), 
    "再製作"
  )
)
</f>
        <v/>
      </c>
      <c r="AP21" s="121" t="str">
        <f t="array" ref="AP21">IF(
  AN21 = 0, 
  "", 
  IFERROR(
    INDEX(
      'アイテム別限界値DB'!$L:$L, 
      MATCH(
        1, 
        ('アイテム別限界値DB'!$B:$B = AM$10) * 
        ('アイテム別限界値DB'!$C:$C = AM21) * 
        ('アイテム別限界値DB'!$F:$F = AN21), 
        0
      )
    ), 
    ""
  )
)
</f>
        <v/>
      </c>
      <c r="AQ21" s="11"/>
      <c r="AR21" s="224"/>
      <c r="AS21" s="225"/>
      <c r="AT21" s="220" t="str">
        <f t="array" ref="AT21">IF(
  AS21 = 0, 
  "", 
  IFERROR(
    INDEX(
      'アイテム別限界値DB'!$I:$I, 
      MATCH(
        1, 
        ('アイテム別限界値DB'!$B:$B = AR$10) * 
        ('アイテム別限界値DB'!$C:$C = AR21) * 
        ('アイテム別限界値DB'!$F:$F = AS21), 
        0
      )
    ), 
    "再製作"
  )
)
</f>
        <v/>
      </c>
      <c r="AU21" s="121" t="str">
        <f t="array" ref="AU21">IF(
  AS21 = 0, 
  "", 
  IFERROR(
    INDEX(
      'アイテム別限界値DB'!$L:$L, 
      MATCH(
        1, 
        ('アイテム別限界値DB'!$B:$B = AR$10) * 
        ('アイテム別限界値DB'!$C:$C = AR21) * 
        ('アイテム別限界値DB'!$F:$F = AS21), 
        0
      )
    ), 
    ""
  )
)
</f>
        <v/>
      </c>
      <c r="AV21" s="121"/>
      <c r="AW21" s="224"/>
      <c r="AX21" s="225"/>
      <c r="AY21" s="220" t="str">
        <f t="array" ref="AY21">IF(
  AX21 = 0, 
  "", 
  IFERROR(
    INDEX(
      'アイテム別限界値DB'!$I:$I, 
      MATCH(
        1, 
        ('アイテム別限界値DB'!$B:$B = AW$10) * 
        ('アイテム別限界値DB'!$C:$C = AW21) * 
        ('アイテム別限界値DB'!$F:$F = AX21), 
        0
      )
    ), 
    "再製作"
  )
)
</f>
        <v/>
      </c>
      <c r="AZ21" s="121" t="str">
        <f t="array" ref="AZ21">IF(
  AX21 = 0, 
  "", 
  IFERROR(
    INDEX(
      'アイテム別限界値DB'!$L:$L, 
      MATCH(
        1, 
        ('アイテム別限界値DB'!$B:$B = AW$10) * 
        ('アイテム別限界値DB'!$C:$C = AW21) * 
        ('アイテム別限界値DB'!$F:$F = AX21), 
        0
      )
    ), 
    ""
  )
)
</f>
        <v/>
      </c>
      <c r="BA21" s="121"/>
      <c r="BB21" s="224"/>
      <c r="BC21" s="225"/>
      <c r="BD21" s="220" t="str">
        <f t="array" ref="BD21">IF(
  BC21 = 0, 
  "", 
  IFERROR(
    INDEX(
      'アイテム別限界値DB'!$I:$I, 
      MATCH(
        1, 
        ('アイテム別限界値DB'!$B:$B = BB$10) * 
        ('アイテム別限界値DB'!$C:$C = BB21) * 
        ('アイテム別限界値DB'!$F:$F = BC21), 
        0
      )
    ), 
    "再製作"
  )
)
</f>
        <v/>
      </c>
      <c r="BE21" s="121" t="str">
        <f t="array" ref="BE21">IF(
  BC21 = 0, 
  "", 
  IFERROR(
    INDEX(
      'アイテム別限界値DB'!$L:$L, 
      MATCH(
        1, 
        ('アイテム別限界値DB'!$B:$B = BB$10) * 
        ('アイテム別限界値DB'!$C:$C = BB21) * 
        ('アイテム別限界値DB'!$F:$F = BC21), 
        0
      )
    ), 
    ""
  )
)
</f>
        <v/>
      </c>
      <c r="BF21" s="121"/>
      <c r="BG21" s="224"/>
      <c r="BH21" s="225"/>
      <c r="BI21" s="220" t="str">
        <f t="array" ref="BI21">IF(
  BH21 = 0, 
  "", 
  IFERROR(
    INDEX(
      'アイテム別限界値DB'!$I:$I, 
      MATCH(
        1, 
        ('アイテム別限界値DB'!$B:$B = BG$10) * 
        ('アイテム別限界値DB'!$C:$C = BG21) * 
        ('アイテム別限界値DB'!$F:$F = BH21), 
        0
      )
    ), 
    "再製作"
  )
)
</f>
        <v/>
      </c>
      <c r="BJ21" s="121" t="str">
        <f t="array" ref="BJ21">IF(
  BH21 = 0, 
  "", 
  IFERROR(
    INDEX(
      'アイテム別限界値DB'!$L:$L, 
      MATCH(
        1, 
        ('アイテム別限界値DB'!$B:$B = BG$10) * 
        ('アイテム別限界値DB'!$C:$C = BG21) * 
        ('アイテム別限界値DB'!$F:$F = BH21), 
        0
      )
    ), 
    ""
  )
)
</f>
        <v/>
      </c>
      <c r="BK21" s="121"/>
      <c r="BL21" s="224" t="s">
        <v>85</v>
      </c>
      <c r="BM21" s="232"/>
      <c r="BN21" s="231" t="str">
        <f t="array" ref="BN21">IF(
  BM21 = 0, 
  "", 
  IFERROR(
    INDEX(
      'アイテム別限界値DB'!$K:$K, 
      MATCH(
        1, 
        ('アイテム別限界値DB'!$B:$B = BL$10) * 
        ('アイテム別限界値DB'!$F:$F = BL21) * 
        ('アイテム別限界値DB'!$H:$H = BM21), 
        0
      )
    ), 
    "再製作"
  )
)
</f>
        <v/>
      </c>
      <c r="BO21" s="218" t="str">
        <f t="array" ref="BO21">IF(
  BM21 = 0, 
  "", 
  IFERROR(
    INDEX(
      'アイテム別限界値DB'!$L:$L, 
      MATCH(
        1, 
        ('アイテム別限界値DB'!$B:$B = BL$10) * 
        ('アイテム別限界値DB'!$C:$C = BL21) * 
        ('アイテム別限界値DB'!$F:$F = BM21), 
        0
      )
    ), 
    ""
  )
)
</f>
        <v/>
      </c>
      <c r="BP21" s="195"/>
    </row>
    <row r="22" ht="18.75" customHeight="1">
      <c r="A22" s="228" t="str">
        <f>IFERROR(__xludf.DUMMYFUNCTION("TEXTJOIN(CHAR(10),TRUE,FILTER(ARRAYFORMULA(IF(J$14:J72&lt;&gt;"""", I$14:I72 &amp;"" :  cm"","""")), I$14:I72 &lt;&gt;""""))"),"股下 / ダブル(4cm以上) :  cm")</f>
        <v>股下 / ダブル(4cm以上) :  cm</v>
      </c>
      <c r="B22" s="224"/>
      <c r="C22" s="224"/>
      <c r="D22" s="238" t="s">
        <v>86</v>
      </c>
      <c r="E22" s="232"/>
      <c r="F22" s="231" t="str">
        <f t="array" ref="F22">IF(
  E22 = 0, 
  "", 
  IFERROR(
    INDEX(
      'アイテム別限界値DB'!$K:$K, 
      MATCH(
        1, 
        ('アイテム別限界値DB'!$B:$B = D$10) * 
        ('アイテム別限界値DB'!$F:$F = D22) * 
        ('アイテム別限界値DB'!$H:$H = E22), 
        0
      )
    ), 
    "再製作"
  )
)
</f>
        <v/>
      </c>
      <c r="G22" s="218" t="str">
        <f t="array" ref="G22">IF(
  E22 = 0, 
  "", 
  IFERROR(
    INDEX(
      'アイテム別限界値DB'!$L:$L, 
      MATCH(
        1, 
        ('アイテム別限界値DB'!$B:$B = D$10) * 
        ('アイテム別限界値DB'!$C:$C = D22) * 
        ('アイテム別限界値DB'!$F:$F = E22), 
        0
      )
    ), 
    ""
  )
)
</f>
        <v/>
      </c>
      <c r="H22" s="12"/>
      <c r="I22" s="238" t="s">
        <v>87</v>
      </c>
      <c r="J22" s="232"/>
      <c r="K22" s="231" t="str">
        <f t="array" ref="K22">IF(
  J22 = 0, 
  "", 
  IFERROR(
    INDEX(
      'アイテム別限界値DB'!$K:$K, 
      MATCH(
        1, 
        ('アイテム別限界値DB'!$B:$B = I$10) * 
        ('アイテム別限界値DB'!$F:$F = I22) * 
        ('アイテム別限界値DB'!$H:$H = J22), 
        0
      )
    ), 
    "再製作"
  )
)
</f>
        <v/>
      </c>
      <c r="L22" s="218" t="str">
        <f t="array" ref="L22">IF(
  J22 = 0, 
  "", 
  IFERROR(
    INDEX(
      'アイテム別限界値DB'!$L:$L, 
      MATCH(
        1, 
        ('アイテム別限界値DB'!$B:$B = I$10) * 
        ('アイテム別限界値DB'!$C:$C = I22) * 
        ('アイテム別限界値DB'!$F:$F = J22), 
        0
      )
    ), 
    ""
  )
)
</f>
        <v/>
      </c>
      <c r="M22" s="11"/>
      <c r="N22" s="224"/>
      <c r="O22" s="220"/>
      <c r="P22" s="220" t="str">
        <f t="array" ref="P22">IF(
  O22 = 0, 
  "", 
  IFERROR(
    INDEX(
      'アイテム別限界値DB'!$I:$I, 
      MATCH(
        1, 
        ('アイテム別限界値DB'!$B:$B = N$10) * 
        ('アイテム別限界値DB'!$C:$C = N22) * 
        ('アイテム別限界値DB'!$F:$F = O22), 
        0
      )
    ), 
    "再製作"
  )
)
</f>
        <v/>
      </c>
      <c r="Q22" s="121" t="str">
        <f t="array" ref="Q22">IF(
  O22 = 0, 
  "", 
  IFERROR(
    INDEX(
      'アイテム別限界値DB'!$L:$L, 
      MATCH(
        1, 
        ('アイテム別限界値DB'!$B:$B = N$10) * 
        ('アイテム別限界値DB'!$C:$C = N22) * 
        ('アイテム別限界値DB'!$F:$F = O22), 
        0
      )
    ), 
    ""
  )
)
</f>
        <v/>
      </c>
      <c r="R22" s="11"/>
      <c r="S22" s="238" t="s">
        <v>87</v>
      </c>
      <c r="T22" s="232"/>
      <c r="U22" s="231" t="str">
        <f t="array" ref="U22">IF(
  T22 = 0, 
  "", 
  IFERROR(
    INDEX(
      'アイテム別限界値DB'!$K:$K, 
      MATCH(
        1, 
        ('アイテム別限界値DB'!$B:$B = S$10) * 
        ('アイテム別限界値DB'!$F:$F = S22) * 
        ('アイテム別限界値DB'!$H:$H = T22), 
        0
      )
    ), 
    "再製作"
  )
)
</f>
        <v/>
      </c>
      <c r="V22" s="218" t="str">
        <f t="array" ref="V22">IF(
  T22 = 0, 
  "", 
  IFERROR(
    INDEX(
      'アイテム別限界値DB'!$L:$L, 
      MATCH(
        1, 
        ('アイテム別限界値DB'!$B:$B = S$10) * 
        ('アイテム別限界値DB'!$C:$C = S22) * 
        ('アイテム別限界値DB'!$F:$F = T22), 
        0
      )
    ), 
    ""
  )
)
</f>
        <v/>
      </c>
      <c r="W22" s="11"/>
      <c r="X22" s="238" t="s">
        <v>88</v>
      </c>
      <c r="Y22" s="232"/>
      <c r="Z22" s="231" t="str">
        <f t="array" ref="Z22">IF(
  Y22 = 0, 
  "", 
  IFERROR(
    INDEX(
      'アイテム別限界値DB'!$K:$K, 
      MATCH(
        1, 
        ('アイテム別限界値DB'!$B:$B = X$10) * 
        ('アイテム別限界値DB'!$F:$F = X22) * 
        ('アイテム別限界値DB'!$H:$H = Y22), 
        0
      )
    ), 
    "再製作"
  )
)
</f>
        <v/>
      </c>
      <c r="AA22" s="218" t="str">
        <f t="array" ref="AA22">IF(
  Y22 = 0, 
  "", 
  IFERROR(
    INDEX(
      'アイテム別限界値DB'!$L:$L, 
      MATCH(
        1, 
        ('アイテム別限界値DB'!$B:$B = X$10) * 
        ('アイテム別限界値DB'!$C:$C = X22) * 
        ('アイテム別限界値DB'!$F:$F = Y22), 
        0
      )
    ), 
    ""
  )
)
</f>
        <v/>
      </c>
      <c r="AB22" s="11"/>
      <c r="AC22" s="238" t="s">
        <v>89</v>
      </c>
      <c r="AD22" s="232"/>
      <c r="AE22" s="231" t="str">
        <f t="array" ref="AE22">IF(
  AD22 = 0, 
  "", 
  IFERROR(
    INDEX(
      'アイテム別限界値DB'!$K:$K, 
      MATCH(
        1, 
        ('アイテム別限界値DB'!$B:$B = AC$10) * 
        ('アイテム別限界値DB'!$F:$F = AC22) * 
        ('アイテム別限界値DB'!$H:$H = AD22), 
        0
      )
    ), 
    "再製作"
  )
)
</f>
        <v/>
      </c>
      <c r="AF22" s="218" t="str">
        <f t="array" ref="AF22">IF(
  AD22 = 0, 
  "", 
  IFERROR(
    INDEX(
      'アイテム別限界値DB'!$L:$L, 
      MATCH(
        1, 
        ('アイテム別限界値DB'!$B:$B = AC$10) * 
        ('アイテム別限界値DB'!$C:$C = AC22) * 
        ('アイテム別限界値DB'!$F:$F = AD22), 
        0
      )
    ), 
    ""
  )
)
</f>
        <v/>
      </c>
      <c r="AG22" s="11"/>
      <c r="AH22" s="224"/>
      <c r="AI22" s="225"/>
      <c r="AJ22" s="220" t="str">
        <f t="array" ref="AJ22">IF(
  AI22 = 0, 
  "", 
  IFERROR(
    INDEX(
      'アイテム別限界値DB'!$I:$I, 
      MATCH(
        1, 
        ('アイテム別限界値DB'!$B:$B = AH$10) * 
        ('アイテム別限界値DB'!$C:$C = AH22) * 
        ('アイテム別限界値DB'!$F:$F = AI22), 
        0
      )
    ), 
    "再製作"
  )
)
</f>
        <v/>
      </c>
      <c r="AK22" s="121" t="str">
        <f t="array" ref="AK22">IF(
  AI22 = 0, 
  "", 
  IFERROR(
    INDEX(
      'アイテム別限界値DB'!$L:$L, 
      MATCH(
        1, 
        ('アイテム別限界値DB'!$B:$B = AH$10) * 
        ('アイテム別限界値DB'!$C:$C = AH22) * 
        ('アイテム別限界値DB'!$F:$F = AI22), 
        0
      )
    ), 
    ""
  )
)
</f>
        <v/>
      </c>
      <c r="AL22" s="11"/>
      <c r="AM22" s="224"/>
      <c r="AN22" s="225"/>
      <c r="AO22" s="220" t="str">
        <f t="array" ref="AO22">IF(
  AN22 = 0, 
  "", 
  IFERROR(
    INDEX(
      'アイテム別限界値DB'!$I:$I, 
      MATCH(
        1, 
        ('アイテム別限界値DB'!$B:$B = AM$10) * 
        ('アイテム別限界値DB'!$C:$C = AM22) * 
        ('アイテム別限界値DB'!$F:$F = AN22), 
        0
      )
    ), 
    "再製作"
  )
)
</f>
        <v/>
      </c>
      <c r="AP22" s="121" t="str">
        <f t="array" ref="AP22">IF(
  AN22 = 0, 
  "", 
  IFERROR(
    INDEX(
      'アイテム別限界値DB'!$L:$L, 
      MATCH(
        1, 
        ('アイテム別限界値DB'!$B:$B = AM$10) * 
        ('アイテム別限界値DB'!$C:$C = AM22) * 
        ('アイテム別限界値DB'!$F:$F = AN22), 
        0
      )
    ), 
    ""
  )
)
</f>
        <v/>
      </c>
      <c r="AQ22" s="11"/>
      <c r="AR22" s="224"/>
      <c r="AS22" s="225"/>
      <c r="AT22" s="220" t="str">
        <f t="array" ref="AT22">IF(
  AS22 = 0, 
  "", 
  IFERROR(
    INDEX(
      'アイテム別限界値DB'!$I:$I, 
      MATCH(
        1, 
        ('アイテム別限界値DB'!$B:$B = AR$10) * 
        ('アイテム別限界値DB'!$C:$C = AR22) * 
        ('アイテム別限界値DB'!$F:$F = AS22), 
        0
      )
    ), 
    "再製作"
  )
)
</f>
        <v/>
      </c>
      <c r="AU22" s="121" t="str">
        <f t="array" ref="AU22">IF(
  AS22 = 0, 
  "", 
  IFERROR(
    INDEX(
      'アイテム別限界値DB'!$L:$L, 
      MATCH(
        1, 
        ('アイテム別限界値DB'!$B:$B = AR$10) * 
        ('アイテム別限界値DB'!$C:$C = AR22) * 
        ('アイテム別限界値DB'!$F:$F = AS22), 
        0
      )
    ), 
    ""
  )
)
</f>
        <v/>
      </c>
      <c r="AV22" s="121"/>
      <c r="AW22" s="224"/>
      <c r="AX22" s="225"/>
      <c r="AY22" s="220" t="str">
        <f t="array" ref="AY22">IF(
  AX22 = 0, 
  "", 
  IFERROR(
    INDEX(
      'アイテム別限界値DB'!$I:$I, 
      MATCH(
        1, 
        ('アイテム別限界値DB'!$B:$B = AW$10) * 
        ('アイテム別限界値DB'!$C:$C = AW22) * 
        ('アイテム別限界値DB'!$F:$F = AX22), 
        0
      )
    ), 
    "再製作"
  )
)
</f>
        <v/>
      </c>
      <c r="AZ22" s="121" t="str">
        <f t="array" ref="AZ22">IF(
  AX22 = 0, 
  "", 
  IFERROR(
    INDEX(
      'アイテム別限界値DB'!$L:$L, 
      MATCH(
        1, 
        ('アイテム別限界値DB'!$B:$B = AW$10) * 
        ('アイテム別限界値DB'!$C:$C = AW22) * 
        ('アイテム別限界値DB'!$F:$F = AX22), 
        0
      )
    ), 
    ""
  )
)
</f>
        <v/>
      </c>
      <c r="BA22" s="121"/>
      <c r="BB22" s="224"/>
      <c r="BC22" s="225"/>
      <c r="BD22" s="220" t="str">
        <f t="array" ref="BD22">IF(
  BC22 = 0, 
  "", 
  IFERROR(
    INDEX(
      'アイテム別限界値DB'!$I:$I, 
      MATCH(
        1, 
        ('アイテム別限界値DB'!$B:$B = BB$10) * 
        ('アイテム別限界値DB'!$C:$C = BB22) * 
        ('アイテム別限界値DB'!$F:$F = BC22), 
        0
      )
    ), 
    "再製作"
  )
)
</f>
        <v/>
      </c>
      <c r="BE22" s="121" t="str">
        <f t="array" ref="BE22">IF(
  BC22 = 0, 
  "", 
  IFERROR(
    INDEX(
      'アイテム別限界値DB'!$L:$L, 
      MATCH(
        1, 
        ('アイテム別限界値DB'!$B:$B = BB$10) * 
        ('アイテム別限界値DB'!$C:$C = BB22) * 
        ('アイテム別限界値DB'!$F:$F = BC22), 
        0
      )
    ), 
    ""
  )
)
</f>
        <v/>
      </c>
      <c r="BF22" s="121"/>
      <c r="BG22" s="224"/>
      <c r="BH22" s="225"/>
      <c r="BI22" s="220" t="str">
        <f t="array" ref="BI22">IF(
  BH22 = 0, 
  "", 
  IFERROR(
    INDEX(
      'アイテム別限界値DB'!$I:$I, 
      MATCH(
        1, 
        ('アイテム別限界値DB'!$B:$B = BG$10) * 
        ('アイテム別限界値DB'!$C:$C = BG22) * 
        ('アイテム別限界値DB'!$F:$F = BH22), 
        0
      )
    ), 
    "再製作"
  )
)
</f>
        <v/>
      </c>
      <c r="BJ22" s="121" t="str">
        <f t="array" ref="BJ22">IF(
  BH22 = 0, 
  "", 
  IFERROR(
    INDEX(
      'アイテム別限界値DB'!$L:$L, 
      MATCH(
        1, 
        ('アイテム別限界値DB'!$B:$B = BG$10) * 
        ('アイテム別限界値DB'!$C:$C = BG22) * 
        ('アイテム別限界値DB'!$F:$F = BH22), 
        0
      )
    ), 
    ""
  )
)
</f>
        <v/>
      </c>
      <c r="BK22" s="121"/>
      <c r="BL22" s="224" t="s">
        <v>90</v>
      </c>
      <c r="BM22" s="232"/>
      <c r="BN22" s="231" t="str">
        <f t="array" ref="BN22">IF(
  BM22 = 0, 
  "", 
  IFERROR(
    INDEX(
      'アイテム別限界値DB'!$K:$K, 
      MATCH(
        1, 
        ('アイテム別限界値DB'!$B:$B = BL$10) * 
        ('アイテム別限界値DB'!$F:$F = BL22) * 
        ('アイテム別限界値DB'!$H:$H = BM22), 
        0
      )
    ), 
    "再製作"
  )
)
</f>
        <v/>
      </c>
      <c r="BO22" s="218" t="str">
        <f t="array" ref="BO22">IF(
  BM22 = 0, 
  "", 
  IFERROR(
    INDEX(
      'アイテム別限界値DB'!$L:$L, 
      MATCH(
        1, 
        ('アイテム別限界値DB'!$B:$B = BL$10) * 
        ('アイテム別限界値DB'!$C:$C = BL22) * 
        ('アイテム別限界値DB'!$F:$F = BM22), 
        0
      )
    ), 
    ""
  )
)
</f>
        <v/>
      </c>
      <c r="BP22" s="195"/>
    </row>
    <row r="23" ht="18.75" customHeight="1">
      <c r="A23" s="237" t="s">
        <v>91</v>
      </c>
      <c r="B23" s="229"/>
      <c r="C23" s="224"/>
      <c r="D23" s="238" t="s">
        <v>92</v>
      </c>
      <c r="E23" s="232"/>
      <c r="F23" s="231" t="str">
        <f t="array" ref="F23">IF(
  E23 = 0, 
  "", 
  IFERROR(
    INDEX(
      'アイテム別限界値DB'!$K:$K, 
      MATCH(
        1, 
        ('アイテム別限界値DB'!$B:$B = D$10) * 
        ('アイテム別限界値DB'!$F:$F = D23) * 
        ('アイテム別限界値DB'!$H:$H = E23), 
        0
      )
    ), 
    "再製作"
  )
)
</f>
        <v/>
      </c>
      <c r="G23" s="218" t="str">
        <f t="array" ref="G23">IF(
  E23 = 0, 
  "", 
  IFERROR(
    INDEX(
      'アイテム別限界値DB'!$L:$L, 
      MATCH(
        1, 
        ('アイテム別限界値DB'!$B:$B = D$10) * 
        ('アイテム別限界値DB'!$C:$C = D23) * 
        ('アイテム別限界値DB'!$F:$F = E23), 
        0
      )
    ), 
    ""
  )
)
</f>
        <v/>
      </c>
      <c r="H23" s="12"/>
      <c r="I23" s="238" t="s">
        <v>93</v>
      </c>
      <c r="J23" s="232"/>
      <c r="K23" s="231" t="str">
        <f t="array" ref="K23">IF(
  J23 = 0, 
  "", 
  IFERROR(
    INDEX(
      'アイテム別限界値DB'!$K:$K, 
      MATCH(
        1, 
        ('アイテム別限界値DB'!$B:$B = I$10) * 
        ('アイテム別限界値DB'!$F:$F = I23) * 
        ('アイテム別限界値DB'!$H:$H = J23), 
        0
      )
    ), 
    "再製作"
  )
)
</f>
        <v/>
      </c>
      <c r="L23" s="218" t="str">
        <f t="array" ref="L23">IF(
  J23 = 0, 
  "", 
  IFERROR(
    INDEX(
      'アイテム別限界値DB'!$L:$L, 
      MATCH(
        1, 
        ('アイテム別限界値DB'!$B:$B = I$10) * 
        ('アイテム別限界値DB'!$C:$C = I23) * 
        ('アイテム別限界値DB'!$F:$F = J23), 
        0
      )
    ), 
    ""
  )
)
</f>
        <v/>
      </c>
      <c r="M23" s="11"/>
      <c r="N23" s="224"/>
      <c r="O23" s="220"/>
      <c r="P23" s="220" t="str">
        <f t="array" ref="P23">IF(
  O23 = 0, 
  "", 
  IFERROR(
    INDEX(
      'アイテム別限界値DB'!$I:$I, 
      MATCH(
        1, 
        ('アイテム別限界値DB'!$B:$B = N$10) * 
        ('アイテム別限界値DB'!$C:$C = N23) * 
        ('アイテム別限界値DB'!$F:$F = O23), 
        0
      )
    ), 
    "再製作"
  )
)
</f>
        <v/>
      </c>
      <c r="Q23" s="121" t="str">
        <f t="array" ref="Q23">IF(
  O23 = 0, 
  "", 
  IFERROR(
    INDEX(
      'アイテム別限界値DB'!$L:$L, 
      MATCH(
        1, 
        ('アイテム別限界値DB'!$B:$B = N$10) * 
        ('アイテム別限界値DB'!$C:$C = N23) * 
        ('アイテム別限界値DB'!$F:$F = O23), 
        0
      )
    ), 
    ""
  )
)
</f>
        <v/>
      </c>
      <c r="R23" s="11"/>
      <c r="S23" s="238" t="s">
        <v>93</v>
      </c>
      <c r="T23" s="232"/>
      <c r="U23" s="231" t="str">
        <f t="array" ref="U23">IF(
  T23 = 0, 
  "", 
  IFERROR(
    INDEX(
      'アイテム別限界値DB'!$K:$K, 
      MATCH(
        1, 
        ('アイテム別限界値DB'!$B:$B = S$10) * 
        ('アイテム別限界値DB'!$F:$F = S23) * 
        ('アイテム別限界値DB'!$H:$H = T23), 
        0
      )
    ), 
    "再製作"
  )
)
</f>
        <v/>
      </c>
      <c r="V23" s="218" t="str">
        <f t="array" ref="V23">IF(
  T23 = 0, 
  "", 
  IFERROR(
    INDEX(
      'アイテム別限界値DB'!$L:$L, 
      MATCH(
        1, 
        ('アイテム別限界値DB'!$B:$B = S$10) * 
        ('アイテム別限界値DB'!$C:$C = S23) * 
        ('アイテム別限界値DB'!$F:$F = T23), 
        0
      )
    ), 
    ""
  )
)
</f>
        <v/>
      </c>
      <c r="W23" s="11"/>
      <c r="X23" s="238" t="s">
        <v>89</v>
      </c>
      <c r="Y23" s="232"/>
      <c r="Z23" s="231" t="str">
        <f t="array" ref="Z23">IF(
  Y23 = 0, 
  "", 
  IFERROR(
    INDEX(
      'アイテム別限界値DB'!$K:$K, 
      MATCH(
        1, 
        ('アイテム別限界値DB'!$B:$B = X$10) * 
        ('アイテム別限界値DB'!$F:$F = X23) * 
        ('アイテム別限界値DB'!$H:$H = Y23), 
        0
      )
    ), 
    "再製作"
  )
)
</f>
        <v/>
      </c>
      <c r="AA23" s="218" t="str">
        <f t="array" ref="AA23">IF(
  Y23 = 0, 
  "", 
  IFERROR(
    INDEX(
      'アイテム別限界値DB'!$L:$L, 
      MATCH(
        1, 
        ('アイテム別限界値DB'!$B:$B = X$10) * 
        ('アイテム別限界値DB'!$C:$C = X23) * 
        ('アイテム別限界値DB'!$F:$F = Y23), 
        0
      )
    ), 
    ""
  )
)
</f>
        <v/>
      </c>
      <c r="AB23" s="11"/>
      <c r="AC23" s="238" t="s">
        <v>90</v>
      </c>
      <c r="AD23" s="232"/>
      <c r="AE23" s="231" t="str">
        <f t="array" ref="AE23">IF(
  AD23 = 0, 
  "", 
  IFERROR(
    INDEX(
      'アイテム別限界値DB'!$K:$K, 
      MATCH(
        1, 
        ('アイテム別限界値DB'!$B:$B = AC$10) * 
        ('アイテム別限界値DB'!$F:$F = AC23) * 
        ('アイテム別限界値DB'!$H:$H = AD23), 
        0
      )
    ), 
    "再製作"
  )
)
</f>
        <v/>
      </c>
      <c r="AF23" s="218" t="str">
        <f t="array" ref="AF23">IF(
  AD23 = 0, 
  "", 
  IFERROR(
    INDEX(
      'アイテム別限界値DB'!$L:$L, 
      MATCH(
        1, 
        ('アイテム別限界値DB'!$B:$B = AC$10) * 
        ('アイテム別限界値DB'!$C:$C = AC23) * 
        ('アイテム別限界値DB'!$F:$F = AD23), 
        0
      )
    ), 
    ""
  )
)
</f>
        <v/>
      </c>
      <c r="AG23" s="11"/>
      <c r="AH23" s="224"/>
      <c r="AI23" s="225"/>
      <c r="AJ23" s="220" t="str">
        <f t="array" ref="AJ23">IF(
  AI23 = 0, 
  "", 
  IFERROR(
    INDEX(
      'アイテム別限界値DB'!$I:$I, 
      MATCH(
        1, 
        ('アイテム別限界値DB'!$B:$B = AH$10) * 
        ('アイテム別限界値DB'!$C:$C = AH23) * 
        ('アイテム別限界値DB'!$F:$F = AI23), 
        0
      )
    ), 
    "再製作"
  )
)
</f>
        <v/>
      </c>
      <c r="AK23" s="121" t="str">
        <f t="array" ref="AK23">IF(
  AI23 = 0, 
  "", 
  IFERROR(
    INDEX(
      'アイテム別限界値DB'!$L:$L, 
      MATCH(
        1, 
        ('アイテム別限界値DB'!$B:$B = AH$10) * 
        ('アイテム別限界値DB'!$C:$C = AH23) * 
        ('アイテム別限界値DB'!$F:$F = AI23), 
        0
      )
    ), 
    ""
  )
)
</f>
        <v/>
      </c>
      <c r="AL23" s="11"/>
      <c r="AM23" s="224"/>
      <c r="AN23" s="225"/>
      <c r="AO23" s="220" t="str">
        <f t="array" ref="AO23">IF(
  AN23 = 0, 
  "", 
  IFERROR(
    INDEX(
      'アイテム別限界値DB'!$I:$I, 
      MATCH(
        1, 
        ('アイテム別限界値DB'!$B:$B = AM$10) * 
        ('アイテム別限界値DB'!$C:$C = AM23) * 
        ('アイテム別限界値DB'!$F:$F = AN23), 
        0
      )
    ), 
    "再製作"
  )
)
</f>
        <v/>
      </c>
      <c r="AP23" s="121" t="str">
        <f t="array" ref="AP23">IF(
  AN23 = 0, 
  "", 
  IFERROR(
    INDEX(
      'アイテム別限界値DB'!$L:$L, 
      MATCH(
        1, 
        ('アイテム別限界値DB'!$B:$B = AM$10) * 
        ('アイテム別限界値DB'!$C:$C = AM23) * 
        ('アイテム別限界値DB'!$F:$F = AN23), 
        0
      )
    ), 
    ""
  )
)
</f>
        <v/>
      </c>
      <c r="AQ23" s="11"/>
      <c r="AR23" s="224"/>
      <c r="AS23" s="225"/>
      <c r="AT23" s="220" t="str">
        <f t="array" ref="AT23">IF(
  AS23 = 0, 
  "", 
  IFERROR(
    INDEX(
      'アイテム別限界値DB'!$I:$I, 
      MATCH(
        1, 
        ('アイテム別限界値DB'!$B:$B = AR$10) * 
        ('アイテム別限界値DB'!$C:$C = AR23) * 
        ('アイテム別限界値DB'!$F:$F = AS23), 
        0
      )
    ), 
    "再製作"
  )
)
</f>
        <v/>
      </c>
      <c r="AU23" s="121" t="str">
        <f t="array" ref="AU23">IF(
  AS23 = 0, 
  "", 
  IFERROR(
    INDEX(
      'アイテム別限界値DB'!$L:$L, 
      MATCH(
        1, 
        ('アイテム別限界値DB'!$B:$B = AR$10) * 
        ('アイテム別限界値DB'!$C:$C = AR23) * 
        ('アイテム別限界値DB'!$F:$F = AS23), 
        0
      )
    ), 
    ""
  )
)
</f>
        <v/>
      </c>
      <c r="AV23" s="121"/>
      <c r="AW23" s="224"/>
      <c r="AX23" s="225"/>
      <c r="AY23" s="220" t="str">
        <f t="array" ref="AY23">IF(
  AX23 = 0, 
  "", 
  IFERROR(
    INDEX(
      'アイテム別限界値DB'!$I:$I, 
      MATCH(
        1, 
        ('アイテム別限界値DB'!$B:$B = AW$10) * 
        ('アイテム別限界値DB'!$C:$C = AW23) * 
        ('アイテム別限界値DB'!$F:$F = AX23), 
        0
      )
    ), 
    "再製作"
  )
)
</f>
        <v/>
      </c>
      <c r="AZ23" s="121" t="str">
        <f t="array" ref="AZ23">IF(
  AX23 = 0, 
  "", 
  IFERROR(
    INDEX(
      'アイテム別限界値DB'!$L:$L, 
      MATCH(
        1, 
        ('アイテム別限界値DB'!$B:$B = AW$10) * 
        ('アイテム別限界値DB'!$C:$C = AW23) * 
        ('アイテム別限界値DB'!$F:$F = AX23), 
        0
      )
    ), 
    ""
  )
)
</f>
        <v/>
      </c>
      <c r="BA23" s="121"/>
      <c r="BB23" s="224"/>
      <c r="BC23" s="225"/>
      <c r="BD23" s="220" t="str">
        <f t="array" ref="BD23">IF(
  BC23 = 0, 
  "", 
  IFERROR(
    INDEX(
      'アイテム別限界値DB'!$I:$I, 
      MATCH(
        1, 
        ('アイテム別限界値DB'!$B:$B = BB$10) * 
        ('アイテム別限界値DB'!$C:$C = BB23) * 
        ('アイテム別限界値DB'!$F:$F = BC23), 
        0
      )
    ), 
    "再製作"
  )
)
</f>
        <v/>
      </c>
      <c r="BE23" s="121" t="str">
        <f t="array" ref="BE23">IF(
  BC23 = 0, 
  "", 
  IFERROR(
    INDEX(
      'アイテム別限界値DB'!$L:$L, 
      MATCH(
        1, 
        ('アイテム別限界値DB'!$B:$B = BB$10) * 
        ('アイテム別限界値DB'!$C:$C = BB23) * 
        ('アイテム別限界値DB'!$F:$F = BC23), 
        0
      )
    ), 
    ""
  )
)
</f>
        <v/>
      </c>
      <c r="BF23" s="121"/>
      <c r="BG23" s="224"/>
      <c r="BH23" s="225"/>
      <c r="BI23" s="220" t="str">
        <f t="array" ref="BI23">IF(
  BH23 = 0, 
  "", 
  IFERROR(
    INDEX(
      'アイテム別限界値DB'!$I:$I, 
      MATCH(
        1, 
        ('アイテム別限界値DB'!$B:$B = BG$10) * 
        ('アイテム別限界値DB'!$C:$C = BG23) * 
        ('アイテム別限界値DB'!$F:$F = BH23), 
        0
      )
    ), 
    "再製作"
  )
)
</f>
        <v/>
      </c>
      <c r="BJ23" s="121" t="str">
        <f t="array" ref="BJ23">IF(
  BH23 = 0, 
  "", 
  IFERROR(
    INDEX(
      'アイテム別限界値DB'!$L:$L, 
      MATCH(
        1, 
        ('アイテム別限界値DB'!$B:$B = BG$10) * 
        ('アイテム別限界値DB'!$C:$C = BG23) * 
        ('アイテム別限界値DB'!$F:$F = BH23), 
        0
      )
    ), 
    ""
  )
)
</f>
        <v/>
      </c>
      <c r="BK23" s="121"/>
      <c r="BL23" s="224" t="s">
        <v>62</v>
      </c>
      <c r="BM23" s="232"/>
      <c r="BN23" s="231" t="str">
        <f t="array" ref="BN23">IF(
  BM23 = 0, 
  "", 
  IFERROR(
    INDEX(
      'アイテム別限界値DB'!$K:$K, 
      MATCH(
        1, 
        ('アイテム別限界値DB'!$B:$B = BL$10) * 
        ('アイテム別限界値DB'!$F:$F = BL23) * 
        ('アイテム別限界値DB'!$H:$H = BM23), 
        0
      )
    ), 
    "再製作"
  )
)
</f>
        <v/>
      </c>
      <c r="BO23" s="218" t="str">
        <f t="array" ref="BO23">IF(
  BM23 = 0, 
  "", 
  IFERROR(
    INDEX(
      'アイテム別限界値DB'!$L:$L, 
      MATCH(
        1, 
        ('アイテム別限界値DB'!$B:$B = BL$10) * 
        ('アイテム別限界値DB'!$C:$C = BL23) * 
        ('アイテム別限界値DB'!$F:$F = BM23), 
        0
      )
    ), 
    ""
  )
)
</f>
        <v/>
      </c>
      <c r="BP23" s="195"/>
    </row>
    <row r="24" ht="18.75" customHeight="1">
      <c r="A24" s="228" t="str">
        <f>IF($N$11="再製作", "◼︎ ベスト（対応着地：再製作）" &amp; char(10) &amp; "《修正数値》", IF($N$11&lt;&gt;"", "◼︎ ベスト（対応着地：お直し）" &amp; char(10) &amp; "《修正数値》", ""))</f>
        <v/>
      </c>
      <c r="B24" s="229"/>
      <c r="C24" s="224"/>
      <c r="D24" s="239" t="s">
        <v>94</v>
      </c>
      <c r="E24" s="232"/>
      <c r="F24" s="231" t="str">
        <f t="array" ref="F24">IF(
  E24 = 0, 
  "", 
  IFERROR(
    INDEX(
      'アイテム別限界値DB'!$K:$K, 
      MATCH(
        1, 
        ('アイテム別限界値DB'!$B:$B = D$10) * 
        ('アイテム別限界値DB'!$F:$F = D24) * 
        ('アイテム別限界値DB'!$H:$H = E24), 
        0
      )
    ), 
    "再製作"
  )
)
</f>
        <v/>
      </c>
      <c r="G24" s="218" t="str">
        <f t="array" ref="G24">IF(
  E24 = 0, 
  "", 
  IFERROR(
    INDEX(
      'アイテム別限界値DB'!$L:$L, 
      MATCH(
        1, 
        ('アイテム別限界値DB'!$B:$B = D$10) * 
        ('アイテム別限界値DB'!$C:$C = D24) * 
        ('アイテム別限界値DB'!$F:$F = E24), 
        0
      )
    ), 
    ""
  )
)
</f>
        <v/>
      </c>
      <c r="H24" s="12"/>
      <c r="I24" s="239" t="s">
        <v>95</v>
      </c>
      <c r="J24" s="232"/>
      <c r="K24" s="231" t="str">
        <f t="array" ref="K24">IF(
  J24 = 0, 
  "", 
  IFERROR(
    INDEX(
      'アイテム別限界値DB'!$K:$K, 
      MATCH(
        1, 
        ('アイテム別限界値DB'!$B:$B = I$10) * 
        ('アイテム別限界値DB'!$F:$F = I24) * 
        ('アイテム別限界値DB'!$H:$H = J24), 
        0
      )
    ), 
    "再製作"
  )
)
</f>
        <v/>
      </c>
      <c r="L24" s="218" t="str">
        <f t="array" ref="L24">IF(
  J24 = 0, 
  "", 
  IFERROR(
    INDEX(
      'アイテム別限界値DB'!$L:$L, 
      MATCH(
        1, 
        ('アイテム別限界値DB'!$B:$B = I$10) * 
        ('アイテム別限界値DB'!$C:$C = I24) * 
        ('アイテム別限界値DB'!$F:$F = J24), 
        0
      )
    ), 
    ""
  )
)
</f>
        <v/>
      </c>
      <c r="M24" s="11"/>
      <c r="N24" s="224"/>
      <c r="O24" s="220"/>
      <c r="P24" s="220" t="str">
        <f t="array" ref="P24">IF(
  O24 = 0, 
  "", 
  IFERROR(
    INDEX(
      'アイテム別限界値DB'!$I:$I, 
      MATCH(
        1, 
        ('アイテム別限界値DB'!$B:$B = N$10) * 
        ('アイテム別限界値DB'!$C:$C = N24) * 
        ('アイテム別限界値DB'!$F:$F = O24), 
        0
      )
    ), 
    "再製作"
  )
)
</f>
        <v/>
      </c>
      <c r="Q24" s="121" t="str">
        <f t="array" ref="Q24">IF(
  O24 = 0, 
  "", 
  IFERROR(
    INDEX(
      'アイテム別限界値DB'!$L:$L, 
      MATCH(
        1, 
        ('アイテム別限界値DB'!$B:$B = N$10) * 
        ('アイテム別限界値DB'!$C:$C = N24) * 
        ('アイテム別限界値DB'!$F:$F = O24), 
        0
      )
    ), 
    ""
  )
)
</f>
        <v/>
      </c>
      <c r="R24" s="11"/>
      <c r="S24" s="239" t="s">
        <v>96</v>
      </c>
      <c r="T24" s="232"/>
      <c r="U24" s="231" t="str">
        <f t="array" ref="U24">IF(
  T24 = 0, 
  "", 
  IFERROR(
    INDEX(
      'アイテム別限界値DB'!$K:$K, 
      MATCH(
        1, 
        ('アイテム別限界値DB'!$B:$B = S$10) * 
        ('アイテム別限界値DB'!$F:$F = S24) * 
        ('アイテム別限界値DB'!$H:$H = T24), 
        0
      )
    ), 
    "再製作"
  )
)
</f>
        <v/>
      </c>
      <c r="V24" s="218" t="str">
        <f t="array" ref="V24">IF(
  T24 = 0, 
  "", 
  IFERROR(
    INDEX(
      'アイテム別限界値DB'!$L:$L, 
      MATCH(
        1, 
        ('アイテム別限界値DB'!$B:$B = S$10) * 
        ('アイテム別限界値DB'!$C:$C = S24) * 
        ('アイテム別限界値DB'!$F:$F = T24), 
        0
      )
    ), 
    ""
  )
)
</f>
        <v/>
      </c>
      <c r="W24" s="11"/>
      <c r="X24" s="239" t="s">
        <v>97</v>
      </c>
      <c r="Y24" s="232"/>
      <c r="Z24" s="231" t="str">
        <f t="array" ref="Z24">IF(
  Y24 = 0, 
  "", 
  IFERROR(
    INDEX(
      'アイテム別限界値DB'!$K:$K, 
      MATCH(
        1, 
        ('アイテム別限界値DB'!$B:$B = X$10) * 
        ('アイテム別限界値DB'!$F:$F = X24) * 
        ('アイテム別限界値DB'!$H:$H = Y24), 
        0
      )
    ), 
    "再製作"
  )
)
</f>
        <v/>
      </c>
      <c r="AA24" s="218" t="str">
        <f t="array" ref="AA24">IF(
  Y24 = 0, 
  "", 
  IFERROR(
    INDEX(
      'アイテム別限界値DB'!$L:$L, 
      MATCH(
        1, 
        ('アイテム別限界値DB'!$B:$B = X$10) * 
        ('アイテム別限界値DB'!$C:$C = X24) * 
        ('アイテム別限界値DB'!$F:$F = Y24), 
        0
      )
    ), 
    ""
  )
)
</f>
        <v/>
      </c>
      <c r="AB24" s="11"/>
      <c r="AC24" s="239" t="s">
        <v>62</v>
      </c>
      <c r="AD24" s="232"/>
      <c r="AE24" s="231" t="str">
        <f t="array" ref="AE24">IF(
  AD24 = 0, 
  "", 
  IFERROR(
    INDEX(
      'アイテム別限界値DB'!$K:$K, 
      MATCH(
        1, 
        ('アイテム別限界値DB'!$B:$B = AC$10) * 
        ('アイテム別限界値DB'!$F:$F = AC24) * 
        ('アイテム別限界値DB'!$H:$H = AD24), 
        0
      )
    ), 
    "再製作"
  )
)
</f>
        <v/>
      </c>
      <c r="AF24" s="218" t="str">
        <f t="array" ref="AF24">IF(
  AD24 = 0, 
  "", 
  IFERROR(
    INDEX(
      'アイテム別限界値DB'!$L:$L, 
      MATCH(
        1, 
        ('アイテム別限界値DB'!$B:$B = AC$10) * 
        ('アイテム別限界値DB'!$C:$C = AC24) * 
        ('アイテム別限界値DB'!$F:$F = AD24), 
        0
      )
    ), 
    ""
  )
)
</f>
        <v/>
      </c>
      <c r="AG24" s="11"/>
      <c r="AH24" s="224"/>
      <c r="AI24" s="225"/>
      <c r="AJ24" s="220" t="str">
        <f t="array" ref="AJ24">IF(
  AI24 = 0, 
  "", 
  IFERROR(
    INDEX(
      'アイテム別限界値DB'!$I:$I, 
      MATCH(
        1, 
        ('アイテム別限界値DB'!$B:$B = AH$10) * 
        ('アイテム別限界値DB'!$C:$C = AH24) * 
        ('アイテム別限界値DB'!$F:$F = AI24), 
        0
      )
    ), 
    "再製作"
  )
)
</f>
        <v/>
      </c>
      <c r="AK24" s="121" t="str">
        <f t="array" ref="AK24">IF(
  AI24 = 0, 
  "", 
  IFERROR(
    INDEX(
      'アイテム別限界値DB'!$L:$L, 
      MATCH(
        1, 
        ('アイテム別限界値DB'!$B:$B = AH$10) * 
        ('アイテム別限界値DB'!$C:$C = AH24) * 
        ('アイテム別限界値DB'!$F:$F = AI24), 
        0
      )
    ), 
    ""
  )
)
</f>
        <v/>
      </c>
      <c r="AL24" s="11"/>
      <c r="AM24" s="224"/>
      <c r="AN24" s="225"/>
      <c r="AO24" s="220" t="str">
        <f t="array" ref="AO24">IF(
  AN24 = 0, 
  "", 
  IFERROR(
    INDEX(
      'アイテム別限界値DB'!$I:$I, 
      MATCH(
        1, 
        ('アイテム別限界値DB'!$B:$B = AM$10) * 
        ('アイテム別限界値DB'!$C:$C = AM24) * 
        ('アイテム別限界値DB'!$F:$F = AN24), 
        0
      )
    ), 
    "再製作"
  )
)
</f>
        <v/>
      </c>
      <c r="AP24" s="121" t="str">
        <f t="array" ref="AP24">IF(
  AN24 = 0, 
  "", 
  IFERROR(
    INDEX(
      'アイテム別限界値DB'!$L:$L, 
      MATCH(
        1, 
        ('アイテム別限界値DB'!$B:$B = AM$10) * 
        ('アイテム別限界値DB'!$C:$C = AM24) * 
        ('アイテム別限界値DB'!$F:$F = AN24), 
        0
      )
    ), 
    ""
  )
)
</f>
        <v/>
      </c>
      <c r="AQ24" s="11"/>
      <c r="AR24" s="224"/>
      <c r="AS24" s="225"/>
      <c r="AT24" s="220" t="str">
        <f t="array" ref="AT24">IF(
  AS24 = 0, 
  "", 
  IFERROR(
    INDEX(
      'アイテム別限界値DB'!$I:$I, 
      MATCH(
        1, 
        ('アイテム別限界値DB'!$B:$B = AR$10) * 
        ('アイテム別限界値DB'!$C:$C = AR24) * 
        ('アイテム別限界値DB'!$F:$F = AS24), 
        0
      )
    ), 
    "再製作"
  )
)
</f>
        <v/>
      </c>
      <c r="AU24" s="121" t="str">
        <f t="array" ref="AU24">IF(
  AS24 = 0, 
  "", 
  IFERROR(
    INDEX(
      'アイテム別限界値DB'!$L:$L, 
      MATCH(
        1, 
        ('アイテム別限界値DB'!$B:$B = AR$10) * 
        ('アイテム別限界値DB'!$C:$C = AR24) * 
        ('アイテム別限界値DB'!$F:$F = AS24), 
        0
      )
    ), 
    ""
  )
)
</f>
        <v/>
      </c>
      <c r="AV24" s="121"/>
      <c r="AW24" s="224"/>
      <c r="AX24" s="225"/>
      <c r="AY24" s="220" t="str">
        <f t="array" ref="AY24">IF(
  AX24 = 0, 
  "", 
  IFERROR(
    INDEX(
      'アイテム別限界値DB'!$I:$I, 
      MATCH(
        1, 
        ('アイテム別限界値DB'!$B:$B = AW$10) * 
        ('アイテム別限界値DB'!$C:$C = AW24) * 
        ('アイテム別限界値DB'!$F:$F = AX24), 
        0
      )
    ), 
    "再製作"
  )
)
</f>
        <v/>
      </c>
      <c r="AZ24" s="121" t="str">
        <f t="array" ref="AZ24">IF(
  AX24 = 0, 
  "", 
  IFERROR(
    INDEX(
      'アイテム別限界値DB'!$L:$L, 
      MATCH(
        1, 
        ('アイテム別限界値DB'!$B:$B = AW$10) * 
        ('アイテム別限界値DB'!$C:$C = AW24) * 
        ('アイテム別限界値DB'!$F:$F = AX24), 
        0
      )
    ), 
    ""
  )
)
</f>
        <v/>
      </c>
      <c r="BA24" s="121"/>
      <c r="BB24" s="224"/>
      <c r="BC24" s="225"/>
      <c r="BD24" s="220" t="str">
        <f t="array" ref="BD24">IF(
  BC24 = 0, 
  "", 
  IFERROR(
    INDEX(
      'アイテム別限界値DB'!$I:$I, 
      MATCH(
        1, 
        ('アイテム別限界値DB'!$B:$B = BB$10) * 
        ('アイテム別限界値DB'!$C:$C = BB24) * 
        ('アイテム別限界値DB'!$F:$F = BC24), 
        0
      )
    ), 
    "再製作"
  )
)
</f>
        <v/>
      </c>
      <c r="BE24" s="121" t="str">
        <f t="array" ref="BE24">IF(
  BC24 = 0, 
  "", 
  IFERROR(
    INDEX(
      'アイテム別限界値DB'!$L:$L, 
      MATCH(
        1, 
        ('アイテム別限界値DB'!$B:$B = BB$10) * 
        ('アイテム別限界値DB'!$C:$C = BB24) * 
        ('アイテム別限界値DB'!$F:$F = BC24), 
        0
      )
    ), 
    ""
  )
)
</f>
        <v/>
      </c>
      <c r="BF24" s="121"/>
      <c r="BG24" s="224"/>
      <c r="BH24" s="225"/>
      <c r="BI24" s="220" t="str">
        <f t="array" ref="BI24">IF(
  BH24 = 0, 
  "", 
  IFERROR(
    INDEX(
      'アイテム別限界値DB'!$I:$I, 
      MATCH(
        1, 
        ('アイテム別限界値DB'!$B:$B = BG$10) * 
        ('アイテム別限界値DB'!$C:$C = BG24) * 
        ('アイテム別限界値DB'!$F:$F = BH24), 
        0
      )
    ), 
    "再製作"
  )
)
</f>
        <v/>
      </c>
      <c r="BJ24" s="121" t="str">
        <f t="array" ref="BJ24">IF(
  BH24 = 0, 
  "", 
  IFERROR(
    INDEX(
      'アイテム別限界値DB'!$L:$L, 
      MATCH(
        1, 
        ('アイテム別限界値DB'!$B:$B = BG$10) * 
        ('アイテム別限界値DB'!$C:$C = BG24) * 
        ('アイテム別限界値DB'!$F:$F = BH24), 
        0
      )
    ), 
    ""
  )
)
</f>
        <v/>
      </c>
      <c r="BK24" s="121"/>
      <c r="BL24" s="224"/>
      <c r="BM24" s="225"/>
      <c r="BN24" s="220" t="str">
        <f t="array" ref="BN24">IF(
  BM24 = 0, 
  "", 
  IFERROR(
    INDEX(
      'アイテム別限界値DB'!$I:$I, 
      MATCH(
        1, 
        ('アイテム別限界値DB'!$B:$B = BL$10) * 
        ('アイテム別限界値DB'!$C:$C = BL24) * 
        ('アイテム別限界値DB'!$F:$F = BM24), 
        0
      )
    ), 
    "再製作"
  )
)
</f>
        <v/>
      </c>
      <c r="BO24" s="121" t="str">
        <f t="array" ref="BO24">IF(
  BM24 = 0, 
  "", 
  IFERROR(
    INDEX(
      'アイテム別限界値DB'!$L:$L, 
      MATCH(
        1, 
        ('アイテム別限界値DB'!$B:$B = BL$10) * 
        ('アイテム別限界値DB'!$C:$C = BL24) * 
        ('アイテム別限界値DB'!$F:$F = BM24), 
        0
      )
    ), 
    ""
  )
)
</f>
        <v/>
      </c>
      <c r="BP24" s="195"/>
    </row>
    <row r="25" ht="18.75" customHeight="1">
      <c r="A25" s="228" t="str">
        <f>IFERROR(__xludf.DUMMYFUNCTION("TEXTJOIN(CHAR(10),TRUE,FILTER(ARRAYFORMULA(IF(O$14:O72&lt;&gt;"""",N$14:N72 &amp;"" : ""&amp; O$14:O72 &amp;"" cm"","""")), N$14:N72 &lt;&gt;""""))"),"")</f>
        <v/>
      </c>
      <c r="B25" s="224"/>
      <c r="C25" s="224"/>
      <c r="D25" s="239" t="s">
        <v>98</v>
      </c>
      <c r="E25" s="232"/>
      <c r="F25" s="231" t="str">
        <f t="array" ref="F25">IF(
  E25 = 0, 
  "", 
  IFERROR(
    INDEX(
      'アイテム別限界値DB'!$K:$K, 
      MATCH(
        1, 
        ('アイテム別限界値DB'!$B:$B = D$10) * 
        ('アイテム別限界値DB'!$F:$F = D25) * 
        ('アイテム別限界値DB'!$H:$H = E25), 
        0
      )
    ), 
    "再製作"
  )
)
</f>
        <v/>
      </c>
      <c r="G25" s="218" t="str">
        <f t="array" ref="G25">IF(
  E25 = 0, 
  "", 
  IFERROR(
    INDEX(
      'アイテム別限界値DB'!$L:$L, 
      MATCH(
        1, 
        ('アイテム別限界値DB'!$B:$B = D$10) * 
        ('アイテム別限界値DB'!$C:$C = D25) * 
        ('アイテム別限界値DB'!$F:$F = E25), 
        0
      )
    ), 
    ""
  )
)
</f>
        <v/>
      </c>
      <c r="H25" s="12"/>
      <c r="I25" s="224" t="s">
        <v>99</v>
      </c>
      <c r="J25" s="232"/>
      <c r="K25" s="231" t="str">
        <f t="array" ref="K25">IF(
  J25 = 0, 
  "", 
  IFERROR(
    INDEX(
      'アイテム別限界値DB'!$K:$K, 
      MATCH(
        1, 
        ('アイテム別限界値DB'!$B:$B = I$10) * 
        ('アイテム別限界値DB'!$F:$F = I25) * 
        ('アイテム別限界値DB'!$H:$H = J25), 
        0
      )
    ), 
    "再製作"
  )
)
</f>
        <v/>
      </c>
      <c r="L25" s="195"/>
      <c r="M25" s="11"/>
      <c r="N25" s="11"/>
      <c r="O25" s="220"/>
      <c r="P25" s="184"/>
      <c r="Q25" s="11"/>
      <c r="R25" s="11"/>
      <c r="S25" s="186" t="s">
        <v>100</v>
      </c>
      <c r="T25" s="232"/>
      <c r="U25" s="231" t="str">
        <f t="array" ref="U25">IF(
  T25 = 0, 
  "", 
  IFERROR(
    INDEX(
      'アイテム別限界値DB'!$K:$K, 
      MATCH(
        1, 
        ('アイテム別限界値DB'!$B:$B = S$10) * 
        ('アイテム別限界値DB'!$F:$F = S25) * 
        ('アイテム別限界値DB'!$H:$H = T25), 
        0
      )
    ), 
    "再製作"
  )
)
</f>
        <v/>
      </c>
      <c r="V25" s="234"/>
      <c r="W25" s="11"/>
      <c r="X25" s="186" t="s">
        <v>101</v>
      </c>
      <c r="Y25" s="232"/>
      <c r="Z25" s="231" t="str">
        <f t="array" ref="Z25">IF(
  Y25 = 0, 
  "", 
  IFERROR(
    INDEX(
      'アイテム別限界値DB'!$K:$K, 
      MATCH(
        1, 
        ('アイテム別限界値DB'!$B:$B = X$10) * 
        ('アイテム別限界値DB'!$F:$F = X25) * 
        ('アイテム別限界値DB'!$H:$H = Y25), 
        0
      )
    ), 
    "再製作"
  )
)
</f>
        <v/>
      </c>
      <c r="AA25" s="218" t="str">
        <f t="array" ref="AA25">IF(
  Y25 = 0, 
  "", 
  IFERROR(
    INDEX(
      'アイテム別限界値DB'!$L:$L, 
      MATCH(
        1, 
        ('アイテム別限界値DB'!$B:$B = X$10) * 
        ('アイテム別限界値DB'!$C:$C = X25) * 
        ('アイテム別限界値DB'!$F:$F = Y25), 
        0
      )
    ), 
    ""
  )
)
</f>
        <v/>
      </c>
      <c r="AB25" s="11"/>
      <c r="AC25" s="186" t="s">
        <v>74</v>
      </c>
      <c r="AD25" s="232"/>
      <c r="AE25" s="231" t="str">
        <f t="array" ref="AE25">IF(
  AD25 = 0, 
  "", 
  IFERROR(
    INDEX(
      'アイテム別限界値DB'!$K:$K, 
      MATCH(
        1, 
        ('アイテム別限界値DB'!$B:$B = AC$10) * 
        ('アイテム別限界値DB'!$F:$F = AC25) * 
        ('アイテム別限界値DB'!$H:$H = AD25), 
        0
      )
    ), 
    "再製作"
  )
)
</f>
        <v/>
      </c>
      <c r="AF25" s="218" t="str">
        <f t="array" ref="AF25">IF(
  AD25 = 0, 
  "", 
  IFERROR(
    INDEX(
      'アイテム別限界値DB'!$L:$L, 
      MATCH(
        1, 
        ('アイテム別限界値DB'!$B:$B = AC$10) * 
        ('アイテム別限界値DB'!$C:$C = AC25) * 
        ('アイテム別限界値DB'!$F:$F = AD25), 
        0
      )
    ), 
    ""
  )
)
</f>
        <v/>
      </c>
      <c r="AG25" s="11"/>
      <c r="AH25" s="12"/>
      <c r="AI25" s="220"/>
      <c r="AJ25" s="220" t="str">
        <f t="array" ref="AJ25">IF(
  AI25 = 0, 
  "", 
  IFERROR(
    INDEX(
      'アイテム別限界値DB'!$I:$I, 
      MATCH(
        1, 
        ('アイテム別限界値DB'!$B:$B = AH$10) * 
        ('アイテム別限界値DB'!$C:$C = AH25) * 
        ('アイテム別限界値DB'!$F:$F = AI25), 
        0
      )
    ), 
    "再製作"
  )
)
</f>
        <v/>
      </c>
      <c r="AK25" s="195"/>
      <c r="AL25" s="11"/>
      <c r="AM25" s="12"/>
      <c r="AN25" s="220"/>
      <c r="AO25" s="220" t="str">
        <f t="array" ref="AO25">IF(
  AN25 = 0, 
  "", 
  IFERROR(
    INDEX(
      'アイテム別限界値DB'!$I:$I, 
      MATCH(
        1, 
        ('アイテム別限界値DB'!$B:$B = AM$10) * 
        ('アイテム別限界値DB'!$C:$C = AM25) * 
        ('アイテム別限界値DB'!$F:$F = AN25), 
        0
      )
    ), 
    "再製作"
  )
)
</f>
        <v/>
      </c>
      <c r="AP25" s="195"/>
      <c r="AQ25" s="11"/>
      <c r="AR25" s="12"/>
      <c r="AS25" s="220"/>
      <c r="AT25" s="220" t="str">
        <f t="array" ref="AT25">IF(
  AS25 = 0, 
  "", 
  IFERROR(
    INDEX(
      'アイテム別限界値DB'!$I:$I, 
      MATCH(
        1, 
        ('アイテム別限界値DB'!$B:$B = AR$10) * 
        ('アイテム別限界値DB'!$C:$C = AR25) * 
        ('アイテム別限界値DB'!$F:$F = AS25), 
        0
      )
    ), 
    "再製作"
  )
)
</f>
        <v/>
      </c>
      <c r="AU25" s="195"/>
      <c r="AV25" s="195"/>
      <c r="AW25" s="12"/>
      <c r="AX25" s="220"/>
      <c r="AY25" s="220" t="str">
        <f t="array" ref="AY25">IF(
  AX25 = 0, 
  "", 
  IFERROR(
    INDEX(
      'アイテム別限界値DB'!$I:$I, 
      MATCH(
        1, 
        ('アイテム別限界値DB'!$B:$B = AW$10) * 
        ('アイテム別限界値DB'!$C:$C = AW25) * 
        ('アイテム別限界値DB'!$F:$F = AX25), 
        0
      )
    ), 
    "再製作"
  )
)
</f>
        <v/>
      </c>
      <c r="AZ25" s="195"/>
      <c r="BA25" s="195"/>
      <c r="BB25" s="12"/>
      <c r="BC25" s="220"/>
      <c r="BD25" s="220" t="str">
        <f t="array" ref="BD25">IF(
  BC25 = 0, 
  "", 
  IFERROR(
    INDEX(
      'アイテム別限界値DB'!$I:$I, 
      MATCH(
        1, 
        ('アイテム別限界値DB'!$B:$B = BB$10) * 
        ('アイテム別限界値DB'!$C:$C = BB25) * 
        ('アイテム別限界値DB'!$F:$F = BC25), 
        0
      )
    ), 
    "再製作"
  )
)
</f>
        <v/>
      </c>
      <c r="BE25" s="195"/>
      <c r="BF25" s="195"/>
      <c r="BG25" s="12"/>
      <c r="BH25" s="220"/>
      <c r="BI25" s="220" t="str">
        <f t="array" ref="BI25">IF(
  BH25 = 0, 
  "", 
  IFERROR(
    INDEX(
      'アイテム別限界値DB'!$I:$I, 
      MATCH(
        1, 
        ('アイテム別限界値DB'!$B:$B = BG$10) * 
        ('アイテム別限界値DB'!$C:$C = BG25) * 
        ('アイテム別限界値DB'!$F:$F = BH25), 
        0
      )
    ), 
    "再製作"
  )
)
</f>
        <v/>
      </c>
      <c r="BJ25" s="195"/>
      <c r="BK25" s="195"/>
      <c r="BL25" s="195"/>
      <c r="BM25" s="220"/>
      <c r="BN25" s="220" t="str">
        <f t="array" ref="BN25">IF(
  BM25 = 0, 
  "", 
  IFERROR(
    INDEX(
      'アイテム別限界値DB'!$I:$I, 
      MATCH(
        1, 
        ('アイテム別限界値DB'!$B:$B = BL$10) * 
        ('アイテム別限界値DB'!$C:$C = BL25) * 
        ('アイテム別限界値DB'!$F:$F = BM25), 
        0
      )
    ), 
    "再製作"
  )
)
</f>
        <v/>
      </c>
      <c r="BO25" s="195"/>
      <c r="BP25" s="195"/>
    </row>
    <row r="26" ht="18.75" customHeight="1">
      <c r="A26" s="236" t="str">
        <f>if($A$24&lt;&gt;"", "《仕上がり数値》","")</f>
        <v/>
      </c>
      <c r="B26" s="229"/>
      <c r="C26" s="224"/>
      <c r="D26" s="239" t="s">
        <v>74</v>
      </c>
      <c r="E26" s="232"/>
      <c r="F26" s="231" t="str">
        <f t="array" ref="F26">IF(
  E26 = 0, 
  "", 
  IFERROR(
    INDEX(
      'アイテム別限界値DB'!$K:$K, 
      MATCH(
        1, 
        ('アイテム別限界値DB'!$B:$B = D$10) * 
        ('アイテム別限界値DB'!$F:$F = D26) * 
        ('アイテム別限界値DB'!$H:$H = E26), 
        0
      )
    ), 
    "再製作"
  )
)
</f>
        <v/>
      </c>
      <c r="G26" s="218" t="str">
        <f t="array" ref="G26">IF(
  E26 = 0, 
  "", 
  IFERROR(
    INDEX(
      'アイテム別限界値DB'!$L:$L, 
      MATCH(
        1, 
        ('アイテム別限界値DB'!$B:$B = D$10) * 
        ('アイテム別限界値DB'!$C:$C = D26) * 
        ('アイテム別限界値DB'!$F:$F = E26), 
        0
      )
    ), 
    ""
  )
)
</f>
        <v/>
      </c>
      <c r="H26" s="12"/>
      <c r="I26" s="11" t="s">
        <v>100</v>
      </c>
      <c r="J26" s="232"/>
      <c r="K26" s="231" t="str">
        <f t="array" ref="K26">IF(
  J26 = 0, 
  "", 
  IFERROR(
    INDEX(
      'アイテム別限界値DB'!$K:$K, 
      MATCH(
        1, 
        ('アイテム別限界値DB'!$B:$B = I$10) * 
        ('アイテム別限界値DB'!$F:$F = I26) * 
        ('アイテム別限界値DB'!$H:$H = J26), 
        0
      )
    ), 
    "再製作"
  )
)
</f>
        <v/>
      </c>
      <c r="L26" s="195"/>
      <c r="M26" s="11"/>
      <c r="N26" s="11"/>
      <c r="O26" s="220"/>
      <c r="P26" s="184"/>
      <c r="Q26" s="11"/>
      <c r="R26" s="11"/>
      <c r="S26" s="12" t="s">
        <v>95</v>
      </c>
      <c r="T26" s="232"/>
      <c r="U26" s="231" t="str">
        <f t="array" ref="U26">IF(
  T26 = 0, 
  "", 
  IFERROR(
    INDEX(
      'アイテム別限界値DB'!$K:$K, 
      MATCH(
        1, 
        ('アイテム別限界値DB'!$B:$B = S$10) * 
        ('アイテム別限界値DB'!$F:$F = S26) * 
        ('アイテム別限界値DB'!$H:$H = T26), 
        0
      )
    ), 
    "再製作"
  )
)
</f>
        <v/>
      </c>
      <c r="V26" s="195"/>
      <c r="W26" s="11"/>
      <c r="X26" s="186" t="s">
        <v>62</v>
      </c>
      <c r="Y26" s="232"/>
      <c r="Z26" s="231" t="str">
        <f t="array" ref="Z26">IF(
  Y26 = 0, 
  "", 
  IFERROR(
    INDEX(
      'アイテム別限界値DB'!$K:$K, 
      MATCH(
        1, 
        ('アイテム別限界値DB'!$B:$B = X$10) * 
        ('アイテム別限界値DB'!$F:$F = X26) * 
        ('アイテム別限界値DB'!$H:$H = Y26), 
        0
      )
    ), 
    "再製作"
  )
)
</f>
        <v/>
      </c>
      <c r="AA26" s="218" t="str">
        <f t="array" ref="AA26">IF(
  Y26 = 0, 
  "", 
  IFERROR(
    INDEX(
      'アイテム別限界値DB'!$L:$L, 
      MATCH(
        1, 
        ('アイテム別限界値DB'!$B:$B = X$10) * 
        ('アイテム別限界値DB'!$C:$C = X26) * 
        ('アイテム別限界値DB'!$F:$F = Y26), 
        0
      )
    ), 
    ""
  )
)
</f>
        <v/>
      </c>
      <c r="AB26" s="11"/>
      <c r="AC26" s="186" t="s">
        <v>67</v>
      </c>
      <c r="AD26" s="232"/>
      <c r="AE26" s="231" t="str">
        <f t="array" ref="AE26">IF(
  AD26 = 0, 
  "", 
  IFERROR(
    INDEX(
      'アイテム別限界値DB'!$K:$K, 
      MATCH(
        1, 
        ('アイテム別限界値DB'!$B:$B = AC$10) * 
        ('アイテム別限界値DB'!$F:$F = AC26) * 
        ('アイテム別限界値DB'!$H:$H = AD26), 
        0
      )
    ), 
    "再製作"
  )
)
</f>
        <v/>
      </c>
      <c r="AF26" s="218" t="str">
        <f t="array" ref="AF26">IF(
  AD26 = 0, 
  "", 
  IFERROR(
    INDEX(
      'アイテム別限界値DB'!$L:$L, 
      MATCH(
        1, 
        ('アイテム別限界値DB'!$B:$B = AC$10) * 
        ('アイテム別限界値DB'!$C:$C = AC26) * 
        ('アイテム別限界値DB'!$F:$F = AD26), 
        0
      )
    ), 
    ""
  )
)
</f>
        <v/>
      </c>
      <c r="AG26" s="11"/>
      <c r="AH26" s="12"/>
      <c r="AI26" s="220"/>
      <c r="AJ26" s="220" t="str">
        <f t="array" ref="AJ26">IF(
  AI26 = 0, 
  "", 
  IFERROR(
    INDEX(
      'アイテム別限界値DB'!$I:$I, 
      MATCH(
        1, 
        ('アイテム別限界値DB'!$B:$B = AH$10) * 
        ('アイテム別限界値DB'!$C:$C = AH26) * 
        ('アイテム別限界値DB'!$F:$F = AI26), 
        0
      )
    ), 
    "再製作"
  )
)
</f>
        <v/>
      </c>
      <c r="AK26" s="195"/>
      <c r="AL26" s="11"/>
      <c r="AM26" s="12"/>
      <c r="AN26" s="220"/>
      <c r="AO26" s="220" t="str">
        <f t="array" ref="AO26">IF(
  AN26 = 0, 
  "", 
  IFERROR(
    INDEX(
      'アイテム別限界値DB'!$I:$I, 
      MATCH(
        1, 
        ('アイテム別限界値DB'!$B:$B = AM$10) * 
        ('アイテム別限界値DB'!$C:$C = AM26) * 
        ('アイテム別限界値DB'!$F:$F = AN26), 
        0
      )
    ), 
    "再製作"
  )
)
</f>
        <v/>
      </c>
      <c r="AP26" s="195"/>
      <c r="AQ26" s="11"/>
      <c r="AR26" s="12"/>
      <c r="AS26" s="220"/>
      <c r="AT26" s="220" t="str">
        <f t="array" ref="AT26">IF(
  AS26 = 0, 
  "", 
  IFERROR(
    INDEX(
      'アイテム別限界値DB'!$I:$I, 
      MATCH(
        1, 
        ('アイテム別限界値DB'!$B:$B = AR$10) * 
        ('アイテム別限界値DB'!$C:$C = AR26) * 
        ('アイテム別限界値DB'!$F:$F = AS26), 
        0
      )
    ), 
    "再製作"
  )
)
</f>
        <v/>
      </c>
      <c r="AU26" s="195"/>
      <c r="AV26" s="195"/>
      <c r="AW26" s="12"/>
      <c r="AX26" s="220"/>
      <c r="AY26" s="220" t="str">
        <f t="array" ref="AY26">IF(
  AX26 = 0, 
  "", 
  IFERROR(
    INDEX(
      'アイテム別限界値DB'!$I:$I, 
      MATCH(
        1, 
        ('アイテム別限界値DB'!$B:$B = AW$10) * 
        ('アイテム別限界値DB'!$C:$C = AW26) * 
        ('アイテム別限界値DB'!$F:$F = AX26), 
        0
      )
    ), 
    "再製作"
  )
)
</f>
        <v/>
      </c>
      <c r="AZ26" s="195"/>
      <c r="BA26" s="195"/>
      <c r="BB26" s="12"/>
      <c r="BC26" s="220"/>
      <c r="BD26" s="220" t="str">
        <f t="array" ref="BD26">IF(
  BC26 = 0, 
  "", 
  IFERROR(
    INDEX(
      'アイテム別限界値DB'!$I:$I, 
      MATCH(
        1, 
        ('アイテム別限界値DB'!$B:$B = BB$10) * 
        ('アイテム別限界値DB'!$C:$C = BB26) * 
        ('アイテム別限界値DB'!$F:$F = BC26), 
        0
      )
    ), 
    "再製作"
  )
)
</f>
        <v/>
      </c>
      <c r="BE26" s="195"/>
      <c r="BF26" s="195"/>
      <c r="BG26" s="12"/>
      <c r="BH26" s="220"/>
      <c r="BI26" s="220" t="str">
        <f t="array" ref="BI26">IF(
  BH26 = 0, 
  "", 
  IFERROR(
    INDEX(
      'アイテム別限界値DB'!$I:$I, 
      MATCH(
        1, 
        ('アイテム別限界値DB'!$B:$B = BG$10) * 
        ('アイテム別限界値DB'!$C:$C = BG26) * 
        ('アイテム別限界値DB'!$F:$F = BH26), 
        0
      )
    ), 
    "再製作"
  )
)
</f>
        <v/>
      </c>
      <c r="BJ26" s="195"/>
      <c r="BK26" s="195"/>
      <c r="BL26" s="195"/>
      <c r="BM26" s="220"/>
      <c r="BN26" s="220" t="str">
        <f t="array" ref="BN26">IF(
  BM26 = 0, 
  "", 
  IFERROR(
    INDEX(
      'アイテム別限界値DB'!$I:$I, 
      MATCH(
        1, 
        ('アイテム別限界値DB'!$B:$B = BL$10) * 
        ('アイテム別限界値DB'!$C:$C = BL26) * 
        ('アイテム別限界値DB'!$F:$F = BM26), 
        0
      )
    ), 
    "再製作"
  )
)
</f>
        <v/>
      </c>
      <c r="BO26" s="195"/>
      <c r="BP26" s="195"/>
    </row>
    <row r="27" ht="18.75" customHeight="1">
      <c r="A27" s="228" t="str">
        <f>IFERROR(__xludf.DUMMYFUNCTION("TEXTJOIN(CHAR(10),TRUE,FILTER(ARRAYFORMULA(IF(O$14:O72&lt;&gt;"""",N$14:N72 &amp;"" :  cm"","""")), N$14:N72 &lt;&gt;""""))"),"")</f>
        <v/>
      </c>
      <c r="B27" s="229"/>
      <c r="C27" s="224"/>
      <c r="D27" s="239" t="s">
        <v>67</v>
      </c>
      <c r="E27" s="232"/>
      <c r="F27" s="231" t="str">
        <f t="array" ref="F27">IF(
  E27 = 0, 
  "", 
  IFERROR(
    INDEX(
      'アイテム別限界値DB'!$K:$K, 
      MATCH(
        1, 
        ('アイテム別限界値DB'!$B:$B = D$10) * 
        ('アイテム別限界値DB'!$F:$F = D27) * 
        ('アイテム別限界値DB'!$H:$H = E27), 
        0
      )
    ), 
    "再製作"
  )
)
</f>
        <v/>
      </c>
      <c r="G27" s="218" t="str">
        <f t="array" ref="G27">IF(
  E27 = 0, 
  "", 
  IFERROR(
    INDEX(
      'アイテム別限界値DB'!$L:$L, 
      MATCH(
        1, 
        ('アイテム別限界値DB'!$B:$B = D$10) * 
        ('アイテム別限界値DB'!$C:$C = D27) * 
        ('アイテム別限界値DB'!$F:$F = E27), 
        0
      )
    ), 
    ""
  )
)
</f>
        <v/>
      </c>
      <c r="H27" s="12"/>
      <c r="I27" s="11" t="s">
        <v>103</v>
      </c>
      <c r="J27" s="232"/>
      <c r="K27" s="231" t="str">
        <f t="array" ref="K27">IF(
  J27 = 0, 
  "", 
  IFERROR(
    INDEX(
      'アイテム別限界値DB'!$K:$K, 
      MATCH(
        1, 
        ('アイテム別限界値DB'!$B:$B = I$10) * 
        ('アイテム別限界値DB'!$F:$F = I27) * 
        ('アイテム別限界値DB'!$H:$H = J27), 
        0
      )
    ), 
    "再製作"
  )
)
</f>
        <v/>
      </c>
      <c r="L27" s="11"/>
      <c r="M27" s="11"/>
      <c r="N27" s="11"/>
      <c r="O27" s="220"/>
      <c r="P27" s="184"/>
      <c r="Q27" s="11"/>
      <c r="R27" s="11"/>
      <c r="S27" s="12" t="s">
        <v>99</v>
      </c>
      <c r="T27" s="232"/>
      <c r="U27" s="231" t="str">
        <f t="array" ref="U27">IF(
  T27 = 0, 
  "", 
  IFERROR(
    INDEX(
      'アイテム別限界値DB'!$K:$K, 
      MATCH(
        1, 
        ('アイテム別限界値DB'!$B:$B = S$10) * 
        ('アイテム別限界値DB'!$F:$F = S27) * 
        ('アイテム別限界値DB'!$H:$H = T27), 
        0
      )
    ), 
    "再製作"
  )
)
</f>
        <v/>
      </c>
      <c r="V27" s="12"/>
      <c r="W27" s="11"/>
      <c r="X27" s="240" t="s">
        <v>74</v>
      </c>
      <c r="Y27" s="232"/>
      <c r="Z27" s="231" t="str">
        <f t="array" ref="Z27">IF(
  Y27 = 0, 
  "", 
  IFERROR(
    INDEX(
      'アイテム別限界値DB'!$K:$K, 
      MATCH(
        1, 
        ('アイテム別限界値DB'!$B:$B = X$10) * 
        ('アイテム別限界値DB'!$F:$F = X27) * 
        ('アイテム別限界値DB'!$H:$H = Y27), 
        0
      )
    ), 
    "再製作"
  )
)
</f>
        <v/>
      </c>
      <c r="AA27" s="218" t="str">
        <f t="array" ref="AA27">IF(
  Y27 = 0, 
  "", 
  IFERROR(
    INDEX(
      'アイテム別限界値DB'!$L:$L, 
      MATCH(
        1, 
        ('アイテム別限界値DB'!$B:$B = X$10) * 
        ('アイテム別限界値DB'!$C:$C = X27) * 
        ('アイテム別限界値DB'!$F:$F = Y27), 
        0
      )
    ), 
    ""
  )
)
</f>
        <v/>
      </c>
      <c r="AB27" s="11"/>
      <c r="AC27" s="240" t="s">
        <v>79</v>
      </c>
      <c r="AD27" s="232"/>
      <c r="AE27" s="231" t="str">
        <f t="array" ref="AE27">IF(
  AD27 = 0, 
  "", 
  IFERROR(
    INDEX(
      'アイテム別限界値DB'!$K:$K, 
      MATCH(
        1, 
        ('アイテム別限界値DB'!$B:$B = AC$10) * 
        ('アイテム別限界値DB'!$F:$F = AC27) * 
        ('アイテム別限界値DB'!$H:$H = AD27), 
        0
      )
    ), 
    "再製作"
  )
)
</f>
        <v/>
      </c>
      <c r="AF27" s="218" t="str">
        <f t="array" ref="AF27">IF(
  AD27 = 0, 
  "", 
  IFERROR(
    INDEX(
      'アイテム別限界値DB'!$L:$L, 
      MATCH(
        1, 
        ('アイテム別限界値DB'!$B:$B = AC$10) * 
        ('アイテム別限界値DB'!$C:$C = AC27) * 
        ('アイテム別限界値DB'!$F:$F = AD27), 
        0
      )
    ), 
    ""
  )
)
</f>
        <v/>
      </c>
      <c r="AG27" s="11"/>
      <c r="AH27" s="11"/>
      <c r="AI27" s="220"/>
      <c r="AJ27" s="184"/>
      <c r="AK27" s="11"/>
      <c r="AL27" s="11"/>
      <c r="AM27" s="11"/>
      <c r="AN27" s="220"/>
      <c r="AO27" s="184"/>
      <c r="AP27" s="11"/>
      <c r="AQ27" s="11"/>
      <c r="AR27" s="11"/>
      <c r="AS27" s="220"/>
      <c r="AT27" s="184"/>
      <c r="AU27" s="11"/>
      <c r="AV27" s="11"/>
      <c r="AW27" s="11"/>
      <c r="AX27" s="220"/>
      <c r="AY27" s="184"/>
      <c r="AZ27" s="11"/>
      <c r="BA27" s="11"/>
      <c r="BB27" s="11"/>
      <c r="BC27" s="220"/>
      <c r="BD27" s="184"/>
      <c r="BE27" s="11"/>
      <c r="BF27" s="11"/>
      <c r="BG27" s="11"/>
      <c r="BH27" s="220"/>
      <c r="BI27" s="184"/>
      <c r="BJ27" s="11"/>
      <c r="BK27" s="11"/>
      <c r="BL27" s="11"/>
      <c r="BM27" s="220"/>
      <c r="BN27" s="184"/>
      <c r="BO27" s="11"/>
      <c r="BP27" s="11"/>
    </row>
    <row r="28" ht="15.75" customHeight="1">
      <c r="A28" s="237" t="s">
        <v>104</v>
      </c>
      <c r="B28" s="11"/>
      <c r="C28" s="11"/>
      <c r="D28" s="11" t="s">
        <v>79</v>
      </c>
      <c r="E28" s="232"/>
      <c r="F28" s="231" t="str">
        <f t="array" ref="F28">IF(
  E28 = 0, 
  "", 
  IFERROR(
    INDEX(
      'アイテム別限界値DB'!$K:$K, 
      MATCH(
        1, 
        ('アイテム別限界値DB'!$B:$B = D$10) * 
        ('アイテム別限界値DB'!$F:$F = D28) * 
        ('アイテム別限界値DB'!$H:$H = E28), 
        0
      )
    ), 
    "再製作"
  )
)
</f>
        <v/>
      </c>
      <c r="G28" s="218" t="str">
        <f t="array" ref="G28">IF(
  E28 = 0, 
  "", 
  IFERROR(
    INDEX(
      'アイテム別限界値DB'!$L:$L, 
      MATCH(
        1, 
        ('アイテム別限界値DB'!$B:$B = D$10) * 
        ('アイテム別限界値DB'!$C:$C = D28) * 
        ('アイテム別限界値DB'!$F:$F = E28), 
        0
      )
    ), 
    ""
  )
)
</f>
        <v/>
      </c>
      <c r="H28" s="11"/>
      <c r="I28" s="11"/>
      <c r="J28" s="220"/>
      <c r="K28" s="184"/>
      <c r="L28" s="11"/>
      <c r="M28" s="11"/>
      <c r="N28" s="11"/>
      <c r="O28" s="220"/>
      <c r="P28" s="184"/>
      <c r="Q28" s="11"/>
      <c r="R28" s="12"/>
      <c r="S28" s="11" t="s">
        <v>103</v>
      </c>
      <c r="T28" s="232"/>
      <c r="U28" s="231" t="str">
        <f t="array" ref="U28">IF(
  T28 = 0, 
  "", 
  IFERROR(
    INDEX(
      'アイテム別限界値DB'!$K:$K, 
      MATCH(
        1, 
        ('アイテム別限界値DB'!$B:$B = S$10) * 
        ('アイテム別限界値DB'!$F:$F = S28) * 
        ('アイテム別限界値DB'!$H:$H = T28), 
        0
      )
    ), 
    "再製作"
  )
)
</f>
        <v/>
      </c>
      <c r="V28" s="11"/>
      <c r="W28" s="11"/>
      <c r="X28" s="11" t="s">
        <v>67</v>
      </c>
      <c r="Y28" s="241"/>
      <c r="Z28" s="231" t="str">
        <f t="array" ref="Z28">IF(
  Y28 = 0, 
  "", 
  IFERROR(
    INDEX(
      'アイテム別限界値DB'!$K:$K, 
      MATCH(
        1, 
        ('アイテム別限界値DB'!$B:$B = X$10) * 
        ('アイテム別限界値DB'!$F:$F = X28) * 
        ('アイテム別限界値DB'!$H:$H = Y28), 
        0
      )
    ), 
    "再製作"
  )
)
</f>
        <v/>
      </c>
      <c r="AA28" s="218" t="str">
        <f t="array" ref="AA28">IF(
  Y28 = 0, 
  "", 
  IFERROR(
    INDEX(
      'アイテム別限界値DB'!$L:$L, 
      MATCH(
        1, 
        ('アイテム別限界値DB'!$B:$B = X$10) * 
        ('アイテム別限界値DB'!$C:$C = X28) * 
        ('アイテム別限界値DB'!$F:$F = Y28), 
        0
      )
    ), 
    ""
  )
)
</f>
        <v/>
      </c>
      <c r="AB28" s="11"/>
      <c r="AC28" s="11" t="s">
        <v>83</v>
      </c>
      <c r="AD28" s="232"/>
      <c r="AE28" s="231" t="str">
        <f t="array" ref="AE28">IF(
  AD28 = 0, 
  "", 
  IFERROR(
    INDEX(
      'アイテム別限界値DB'!$K:$K, 
      MATCH(
        1, 
        ('アイテム別限界値DB'!$B:$B = AC$10) * 
        ('アイテム別限界値DB'!$F:$F = AC28) * 
        ('アイテム別限界値DB'!$H:$H = AD28), 
        0
      )
    ), 
    "再製作"
  )
)
</f>
        <v/>
      </c>
      <c r="AF28" s="218" t="str">
        <f t="array" ref="AF28">IF(
  AD28 = 0, 
  "", 
  IFERROR(
    INDEX(
      'アイテム別限界値DB'!$L:$L, 
      MATCH(
        1, 
        ('アイテム別限界値DB'!$B:$B = AC$10) * 
        ('アイテム別限界値DB'!$C:$C = AC28) * 
        ('アイテム別限界値DB'!$F:$F = AD28), 
        0
      )
    ), 
    ""
  )
)
</f>
        <v/>
      </c>
      <c r="AG28" s="11"/>
      <c r="AH28" s="11"/>
      <c r="AI28" s="220"/>
      <c r="AJ28" s="184"/>
      <c r="AK28" s="11"/>
      <c r="AL28" s="11"/>
      <c r="AM28" s="11"/>
      <c r="AN28" s="220"/>
      <c r="AO28" s="184"/>
      <c r="AP28" s="11"/>
      <c r="AQ28" s="11"/>
      <c r="AR28" s="11"/>
      <c r="AS28" s="220"/>
      <c r="AT28" s="184"/>
      <c r="AU28" s="11"/>
      <c r="AV28" s="11"/>
      <c r="AW28" s="11"/>
      <c r="AX28" s="220"/>
      <c r="AY28" s="184"/>
      <c r="AZ28" s="11"/>
      <c r="BA28" s="11"/>
      <c r="BB28" s="11"/>
      <c r="BC28" s="220"/>
      <c r="BD28" s="184"/>
      <c r="BE28" s="11"/>
      <c r="BF28" s="11"/>
      <c r="BG28" s="11"/>
      <c r="BH28" s="220"/>
      <c r="BI28" s="184"/>
      <c r="BJ28" s="11"/>
      <c r="BK28" s="11"/>
      <c r="BL28" s="11"/>
      <c r="BM28" s="220"/>
      <c r="BN28" s="184"/>
      <c r="BO28" s="11"/>
      <c r="BP28" s="11"/>
    </row>
    <row r="29" ht="15.75" customHeight="1">
      <c r="A29" s="228" t="str">
        <f>IF($S$11="再製作", "◼︎ チノ（対応着地：再製作）" &amp; char(10) &amp; "《修正数値》", IF($S$11&lt;&gt;"", "◼︎ チノ（対応着地：お直し）" &amp; char(10) &amp; "《修正数値》", ""))</f>
        <v/>
      </c>
      <c r="B29" s="160"/>
      <c r="C29" s="11"/>
      <c r="D29" s="11" t="s">
        <v>83</v>
      </c>
      <c r="E29" s="232"/>
      <c r="F29" s="231" t="str">
        <f t="array" ref="F29">IF(
  E29 = 0, 
  "", 
  IFERROR(
    INDEX(
      'アイテム別限界値DB'!$K:$K, 
      MATCH(
        1, 
        ('アイテム別限界値DB'!$B:$B = D$10) * 
        ('アイテム別限界値DB'!$F:$F = D29) * 
        ('アイテム別限界値DB'!$H:$H = E29), 
        0
      )
    ), 
    "再製作"
  )
)
</f>
        <v/>
      </c>
      <c r="G29" s="218" t="str">
        <f t="array" ref="G29">IF(
  E29 = 0, 
  "", 
  IFERROR(
    INDEX(
      'アイテム別限界値DB'!$L:$L, 
      MATCH(
        1, 
        ('アイテム別限界値DB'!$B:$B = D$10) * 
        ('アイテム別限界値DB'!$C:$C = D29) * 
        ('アイテム別限界値DB'!$F:$F = E29), 
        0
      )
    ), 
    ""
  )
)
</f>
        <v/>
      </c>
      <c r="H29" s="11"/>
      <c r="I29" s="11"/>
      <c r="J29" s="220"/>
      <c r="K29" s="184"/>
      <c r="L29" s="11"/>
      <c r="M29" s="11"/>
      <c r="N29" s="11"/>
      <c r="O29" s="220"/>
      <c r="P29" s="184"/>
      <c r="Q29" s="11"/>
      <c r="R29" s="12"/>
      <c r="S29" s="11"/>
      <c r="T29" s="220"/>
      <c r="U29" s="184"/>
      <c r="V29" s="11"/>
      <c r="W29" s="11"/>
      <c r="X29" s="11" t="s">
        <v>79</v>
      </c>
      <c r="Y29" s="232"/>
      <c r="Z29" s="231" t="str">
        <f t="array" ref="Z29">IF(
  Y29 = 0, 
  "", 
  IFERROR(
    INDEX(
      'アイテム別限界値DB'!$K:$K, 
      MATCH(
        1, 
        ('アイテム別限界値DB'!$B:$B = X$10) * 
        ('アイテム別限界値DB'!$F:$F = X29) * 
        ('アイテム別限界値DB'!$H:$H = Y29), 
        0
      )
    ), 
    "再製作"
  )
)
</f>
        <v/>
      </c>
      <c r="AA29" s="11"/>
      <c r="AB29" s="11"/>
      <c r="AC29" s="11" t="s">
        <v>105</v>
      </c>
      <c r="AD29" s="232"/>
      <c r="AE29" s="231" t="str">
        <f t="array" ref="AE29">IF(
  AD29 = 0, 
  "", 
  IFERROR(
    INDEX(
      'アイテム別限界値DB'!$K:$K, 
      MATCH(
        1, 
        ('アイテム別限界値DB'!$B:$B = AC$10) * 
        ('アイテム別限界値DB'!$F:$F = AC29) * 
        ('アイテム別限界値DB'!$H:$H = AD29), 
        0
      )
    ), 
    "再製作"
  )
)
</f>
        <v/>
      </c>
      <c r="AF29" s="11"/>
      <c r="AG29" s="11"/>
      <c r="AH29" s="11"/>
      <c r="AI29" s="220"/>
      <c r="AJ29" s="184"/>
      <c r="AK29" s="11"/>
      <c r="AL29" s="11"/>
      <c r="AM29" s="11"/>
      <c r="AN29" s="220"/>
      <c r="AO29" s="184"/>
      <c r="AP29" s="11"/>
      <c r="AQ29" s="11"/>
      <c r="AR29" s="11"/>
      <c r="AS29" s="220"/>
      <c r="AT29" s="184"/>
      <c r="AU29" s="11"/>
      <c r="AV29" s="11"/>
      <c r="AW29" s="11"/>
      <c r="AX29" s="220"/>
      <c r="AY29" s="184"/>
      <c r="AZ29" s="11"/>
      <c r="BA29" s="11"/>
      <c r="BB29" s="11"/>
      <c r="BC29" s="220"/>
      <c r="BD29" s="184"/>
      <c r="BE29" s="11"/>
      <c r="BF29" s="11"/>
      <c r="BG29" s="11"/>
      <c r="BH29" s="220"/>
      <c r="BI29" s="184"/>
      <c r="BJ29" s="11"/>
      <c r="BK29" s="11"/>
      <c r="BL29" s="11"/>
      <c r="BM29" s="220"/>
      <c r="BN29" s="184"/>
      <c r="BO29" s="11"/>
      <c r="BP29" s="11"/>
    </row>
    <row r="30" ht="15.75" customHeight="1">
      <c r="A30" s="228" t="str">
        <f>IFERROR(__xludf.DUMMYFUNCTION("TEXTJOIN(CHAR(10),TRUE,FILTER(ARRAYFORMULA(IF(T$14:T72&lt;&gt;"""", S$14:S72 &amp;"" : ""&amp; T$14:T72 &amp;"" cm"","""")), S$14:S72 &lt;&gt;""""))"),"")</f>
        <v/>
      </c>
      <c r="B30" s="229"/>
      <c r="C30" s="11"/>
      <c r="D30" s="11" t="s">
        <v>106</v>
      </c>
      <c r="E30" s="232"/>
      <c r="F30" s="231" t="str">
        <f t="array" ref="F30">IF(
  E30 = 0, 
  "", 
  IFERROR(
    INDEX(
      'アイテム別限界値DB'!$K:$K, 
      MATCH(
        1, 
        ('アイテム別限界値DB'!$B:$B = D$10) * 
        ('アイテム別限界値DB'!$F:$F = D30) * 
        ('アイテム別限界値DB'!$H:$H = E30), 
        0
      )
    ), 
    "再製作"
  )
)
</f>
        <v/>
      </c>
      <c r="G30" s="218" t="str">
        <f t="array" ref="G30">IF(
  E30 = 0, 
  "", 
  IFERROR(
    INDEX(
      'アイテム別限界値DB'!$L:$L, 
      MATCH(
        1, 
        ('アイテム別限界値DB'!$B:$B = D$10) * 
        ('アイテム別限界値DB'!$C:$C = D30) * 
        ('アイテム別限界値DB'!$F:$F = E30), 
        0
      )
    ), 
    ""
  )
)
</f>
        <v/>
      </c>
      <c r="H30" s="11"/>
      <c r="I30" s="11"/>
      <c r="J30" s="220"/>
      <c r="K30" s="184"/>
      <c r="L30" s="11"/>
      <c r="M30" s="11"/>
      <c r="N30" s="11"/>
      <c r="O30" s="220"/>
      <c r="P30" s="184"/>
      <c r="Q30" s="11"/>
      <c r="R30" s="12"/>
      <c r="S30" s="11"/>
      <c r="T30" s="220"/>
      <c r="U30" s="184"/>
      <c r="V30" s="11"/>
      <c r="W30" s="11"/>
      <c r="X30" s="11" t="s">
        <v>83</v>
      </c>
      <c r="Y30" s="232"/>
      <c r="Z30" s="231" t="str">
        <f t="array" ref="Z30">IF(
  Y30 = 0, 
  "", 
  IFERROR(
    INDEX(
      'アイテム別限界値DB'!$K:$K, 
      MATCH(
        1, 
        ('アイテム別限界値DB'!$B:$B = X$10) * 
        ('アイテム別限界値DB'!$F:$F = X30) * 
        ('アイテム別限界値DB'!$H:$H = Y30), 
        0
      )
    ), 
    "再製作"
  )
)
</f>
        <v/>
      </c>
      <c r="AA30" s="11"/>
      <c r="AB30" s="11"/>
      <c r="AC30" s="11"/>
      <c r="AD30" s="220"/>
      <c r="AE30" s="184"/>
      <c r="AF30" s="11"/>
      <c r="AG30" s="11"/>
      <c r="AH30" s="11"/>
      <c r="AI30" s="220"/>
      <c r="AJ30" s="184"/>
      <c r="AK30" s="11"/>
      <c r="AL30" s="11"/>
      <c r="AM30" s="11"/>
      <c r="AN30" s="220"/>
      <c r="AO30" s="184"/>
      <c r="AP30" s="11"/>
      <c r="AQ30" s="11"/>
      <c r="AR30" s="11"/>
      <c r="AS30" s="220"/>
      <c r="AT30" s="184"/>
      <c r="AU30" s="11"/>
      <c r="AV30" s="11"/>
      <c r="AW30" s="11"/>
      <c r="AX30" s="220"/>
      <c r="AY30" s="184"/>
      <c r="AZ30" s="11"/>
      <c r="BA30" s="11"/>
      <c r="BB30" s="11"/>
      <c r="BC30" s="220"/>
      <c r="BD30" s="184"/>
      <c r="BE30" s="11"/>
      <c r="BF30" s="11"/>
      <c r="BG30" s="11"/>
      <c r="BH30" s="220"/>
      <c r="BI30" s="184"/>
      <c r="BJ30" s="11"/>
      <c r="BK30" s="11"/>
      <c r="BL30" s="11"/>
      <c r="BM30" s="220"/>
      <c r="BN30" s="184"/>
      <c r="BO30" s="11"/>
      <c r="BP30" s="11"/>
    </row>
    <row r="31" ht="15.75" customHeight="1">
      <c r="A31" s="242" t="str">
        <f>if($A$29&lt;&gt;"", "《仕上がり数値》","")</f>
        <v/>
      </c>
      <c r="B31" s="12"/>
      <c r="C31" s="11"/>
      <c r="D31" s="11" t="s">
        <v>107</v>
      </c>
      <c r="E31" s="232"/>
      <c r="F31" s="231" t="str">
        <f t="array" ref="F31">IF(
  E31 = 0, 
  "", 
  IFERROR(
    INDEX(
      'アイテム別限界値DB'!$K:$K, 
      MATCH(
        1, 
        ('アイテム別限界値DB'!$B:$B = D$10) * 
        ('アイテム別限界値DB'!$F:$F = D31) * 
        ('アイテム別限界値DB'!$H:$H = E31), 
        0
      )
    ), 
    "再製作"
  )
)
</f>
        <v/>
      </c>
      <c r="G31" s="218" t="str">
        <f t="array" ref="G31">IF(
  E31 = 0, 
  "", 
  IFERROR(
    INDEX(
      'アイテム別限界値DB'!$L:$L, 
      MATCH(
        1, 
        ('アイテム別限界値DB'!$B:$B = D$10) * 
        ('アイテム別限界値DB'!$C:$C = D31) * 
        ('アイテム別限界値DB'!$F:$F = E31), 
        0
      )
    ), 
    ""
  )
)
</f>
        <v/>
      </c>
      <c r="H31" s="11"/>
      <c r="I31" s="11"/>
      <c r="J31" s="220"/>
      <c r="K31" s="184"/>
      <c r="L31" s="11"/>
      <c r="M31" s="11"/>
      <c r="N31" s="11"/>
      <c r="O31" s="220"/>
      <c r="P31" s="184"/>
      <c r="Q31" s="11"/>
      <c r="R31" s="12"/>
      <c r="S31" s="11"/>
      <c r="T31" s="220"/>
      <c r="U31" s="184"/>
      <c r="V31" s="11"/>
      <c r="W31" s="11"/>
      <c r="X31" s="11" t="s">
        <v>105</v>
      </c>
      <c r="Y31" s="232"/>
      <c r="Z31" s="231" t="str">
        <f t="array" ref="Z31">IF(
  Y31 = 0, 
  "", 
  IFERROR(
    INDEX(
      'アイテム別限界値DB'!$K:$K, 
      MATCH(
        1, 
        ('アイテム別限界値DB'!$B:$B = X$10) * 
        ('アイテム別限界値DB'!$F:$F = X31) * 
        ('アイテム別限界値DB'!$H:$H = Y31), 
        0
      )
    ), 
    "再製作"
  )
)
</f>
        <v/>
      </c>
      <c r="AA31" s="11"/>
      <c r="AB31" s="11"/>
      <c r="AC31" s="11"/>
      <c r="AD31" s="220"/>
      <c r="AE31" s="184"/>
      <c r="AF31" s="11"/>
      <c r="AG31" s="11"/>
      <c r="AH31" s="11"/>
      <c r="AI31" s="220"/>
      <c r="AJ31" s="184"/>
      <c r="AK31" s="11"/>
      <c r="AL31" s="11"/>
      <c r="AM31" s="11"/>
      <c r="AN31" s="220"/>
      <c r="AO31" s="184"/>
      <c r="AP31" s="11"/>
      <c r="AQ31" s="11"/>
      <c r="AR31" s="11"/>
      <c r="AS31" s="220"/>
      <c r="AT31" s="184"/>
      <c r="AU31" s="11"/>
      <c r="AV31" s="11"/>
      <c r="AW31" s="11"/>
      <c r="AX31" s="220"/>
      <c r="AY31" s="184"/>
      <c r="AZ31" s="11"/>
      <c r="BA31" s="11"/>
      <c r="BB31" s="11"/>
      <c r="BC31" s="220"/>
      <c r="BD31" s="184"/>
      <c r="BE31" s="11"/>
      <c r="BF31" s="11"/>
      <c r="BG31" s="11"/>
      <c r="BH31" s="220"/>
      <c r="BI31" s="184"/>
      <c r="BJ31" s="11"/>
      <c r="BK31" s="11"/>
      <c r="BL31" s="11"/>
      <c r="BM31" s="220"/>
      <c r="BN31" s="184"/>
      <c r="BO31" s="11"/>
      <c r="BP31" s="11"/>
    </row>
    <row r="32" ht="15.75" customHeight="1">
      <c r="A32" s="228" t="str">
        <f>IFERROR(__xludf.DUMMYFUNCTION("TEXTJOIN(CHAR(10),TRUE,FILTER(ARRAYFORMULA(IF(T$14:T72&lt;&gt;"""", S$14:S72 &amp;"" :  cm"","""")), S$14:S72 &lt;&gt;""""))"),"")</f>
        <v/>
      </c>
      <c r="B32" s="160"/>
      <c r="C32" s="11"/>
      <c r="D32" s="11" t="s">
        <v>108</v>
      </c>
      <c r="E32" s="230"/>
      <c r="F32" s="231" t="str">
        <f t="array" ref="F32">IF(
  E32 = 0, 
  "", 
  IFERROR(
    INDEX(
      'アイテム別限界値DB'!$K:$K, 
      MATCH(
        1, 
        ('アイテム別限界値DB'!$B:$B = D$10) * 
        ('アイテム別限界値DB'!$F:$F = D32) * 
        ('アイテム別限界値DB'!$H:$H = E32), 
        0
      )
    ), 
    "再製作"
  )
)
</f>
        <v/>
      </c>
      <c r="G32" s="218" t="str">
        <f t="array" ref="G32">IF(
  E32 = 0, 
  "", 
  IFERROR(
    INDEX(
      'アイテム別限界値DB'!$L:$L, 
      MATCH(
        1, 
        ('アイテム別限界値DB'!$B:$B = D$10) * 
        ('アイテム別限界値DB'!$C:$C = D32) * 
        ('アイテム別限界値DB'!$F:$F = E32), 
        0
      )
    ), 
    ""
  )
)
</f>
        <v/>
      </c>
      <c r="H32" s="11"/>
      <c r="I32" s="11"/>
      <c r="J32" s="220"/>
      <c r="K32" s="184"/>
      <c r="L32" s="11"/>
      <c r="M32" s="11"/>
      <c r="N32" s="11"/>
      <c r="O32" s="220"/>
      <c r="P32" s="184"/>
      <c r="Q32" s="11"/>
      <c r="R32" s="12"/>
      <c r="S32" s="11"/>
      <c r="T32" s="220"/>
      <c r="U32" s="184"/>
      <c r="V32" s="11"/>
      <c r="W32" s="11"/>
      <c r="X32" s="11"/>
      <c r="Y32" s="220"/>
      <c r="Z32" s="184"/>
      <c r="AA32" s="11"/>
      <c r="AB32" s="11"/>
      <c r="AC32" s="11"/>
      <c r="AD32" s="220"/>
      <c r="AE32" s="184"/>
      <c r="AF32" s="11"/>
      <c r="AG32" s="11"/>
      <c r="AH32" s="11"/>
      <c r="AI32" s="220"/>
      <c r="AJ32" s="184"/>
      <c r="AK32" s="11"/>
      <c r="AL32" s="11"/>
      <c r="AM32" s="11"/>
      <c r="AN32" s="220"/>
      <c r="AO32" s="184"/>
      <c r="AP32" s="11"/>
      <c r="AQ32" s="11"/>
      <c r="AR32" s="11"/>
      <c r="AS32" s="220"/>
      <c r="AT32" s="184"/>
      <c r="AU32" s="11"/>
      <c r="AV32" s="11"/>
      <c r="AW32" s="11"/>
      <c r="AX32" s="220"/>
      <c r="AY32" s="184"/>
      <c r="AZ32" s="11"/>
      <c r="BA32" s="11"/>
      <c r="BB32" s="11"/>
      <c r="BC32" s="220"/>
      <c r="BD32" s="184"/>
      <c r="BE32" s="11"/>
      <c r="BF32" s="11"/>
      <c r="BG32" s="11"/>
      <c r="BH32" s="220"/>
      <c r="BI32" s="184"/>
      <c r="BJ32" s="11"/>
      <c r="BK32" s="11"/>
      <c r="BL32" s="11"/>
      <c r="BM32" s="220"/>
      <c r="BN32" s="184"/>
      <c r="BO32" s="11"/>
      <c r="BP32" s="11"/>
    </row>
    <row r="33" ht="15.75" customHeight="1">
      <c r="A33" s="237" t="s">
        <v>109</v>
      </c>
      <c r="B33" s="229"/>
      <c r="C33" s="11"/>
      <c r="D33" s="11" t="s">
        <v>110</v>
      </c>
      <c r="E33" s="232"/>
      <c r="F33" s="231" t="str">
        <f t="array" ref="F33">IF(
  E33 = 0, 
  "", 
  IFERROR(
    INDEX(
      'アイテム別限界値DB'!$K:$K, 
      MATCH(
        1, 
        ('アイテム別限界値DB'!$B:$B = D$10) * 
        ('アイテム別限界値DB'!$F:$F = D33) * 
        ('アイテム別限界値DB'!$H:$H = E33), 
        0
      )
    ), 
    "再製作"
  )
)
</f>
        <v/>
      </c>
      <c r="G33" s="218" t="str">
        <f t="array" ref="G33">IF(
  E33 = 0, 
  "", 
  IFERROR(
    INDEX(
      'アイテム別限界値DB'!$L:$L, 
      MATCH(
        1, 
        ('アイテム別限界値DB'!$B:$B = D$10) * 
        ('アイテム別限界値DB'!$C:$C = D33) * 
        ('アイテム別限界値DB'!$F:$F = E33), 
        0
      )
    ), 
    ""
  )
)
</f>
        <v/>
      </c>
      <c r="H33" s="11"/>
      <c r="I33" s="11"/>
      <c r="J33" s="220"/>
      <c r="K33" s="184"/>
      <c r="L33" s="11"/>
      <c r="M33" s="11"/>
      <c r="N33" s="11"/>
      <c r="O33" s="220"/>
      <c r="P33" s="184"/>
      <c r="Q33" s="11"/>
      <c r="R33" s="12"/>
      <c r="S33" s="11"/>
      <c r="T33" s="220"/>
      <c r="U33" s="184"/>
      <c r="V33" s="11"/>
      <c r="W33" s="11"/>
      <c r="X33" s="11"/>
      <c r="Y33" s="220"/>
      <c r="Z33" s="184"/>
      <c r="AA33" s="11"/>
      <c r="AB33" s="11"/>
      <c r="AC33" s="11"/>
      <c r="AD33" s="220"/>
      <c r="AE33" s="184"/>
      <c r="AF33" s="11"/>
      <c r="AG33" s="11"/>
      <c r="AH33" s="11"/>
      <c r="AI33" s="220"/>
      <c r="AJ33" s="184"/>
      <c r="AK33" s="11"/>
      <c r="AL33" s="11"/>
      <c r="AM33" s="11"/>
      <c r="AN33" s="220"/>
      <c r="AO33" s="184"/>
      <c r="AP33" s="11"/>
      <c r="AQ33" s="11"/>
      <c r="AR33" s="11"/>
      <c r="AS33" s="220"/>
      <c r="AT33" s="184"/>
      <c r="AU33" s="11"/>
      <c r="AV33" s="11"/>
      <c r="AW33" s="11"/>
      <c r="AX33" s="220"/>
      <c r="AY33" s="184"/>
      <c r="AZ33" s="11"/>
      <c r="BA33" s="11"/>
      <c r="BB33" s="11"/>
      <c r="BC33" s="220"/>
      <c r="BD33" s="184"/>
      <c r="BE33" s="11"/>
      <c r="BF33" s="11"/>
      <c r="BG33" s="11"/>
      <c r="BH33" s="220"/>
      <c r="BI33" s="184"/>
      <c r="BJ33" s="11"/>
      <c r="BK33" s="11"/>
      <c r="BL33" s="11"/>
      <c r="BM33" s="220"/>
      <c r="BN33" s="184"/>
      <c r="BO33" s="11"/>
      <c r="BP33" s="11"/>
    </row>
    <row r="34" ht="15.75" customHeight="1">
      <c r="A34" s="228" t="str">
        <f>IF($X$11="再製作", "◼︎ シャツ（対応着地：再製作）" &amp; char(10) &amp; "《修正数値》" , IF($X$11&lt;&gt;"", "◼︎ シャツ（対応着地：お直し）" &amp; char(10) &amp; "《修正数値》", ""))</f>
        <v>◼︎ シャツ（対応着地：お直し）
《修正数値》</v>
      </c>
      <c r="B34" s="12"/>
      <c r="C34" s="11"/>
      <c r="D34" s="11" t="s">
        <v>111</v>
      </c>
      <c r="E34" s="232"/>
      <c r="F34" s="231" t="str">
        <f t="array" ref="F34">IF(
  E34 = 0, 
  "", 
  IFERROR(
    INDEX(
      'アイテム別限界値DB'!$K:$K, 
      MATCH(
        1, 
        ('アイテム別限界値DB'!$B:$B = D$10) * 
        ('アイテム別限界値DB'!$F:$F = D34) * 
        ('アイテム別限界値DB'!$H:$H = E34), 
        0
      )
    ), 
    "再製作"
  )
)
</f>
        <v/>
      </c>
      <c r="G34" s="218" t="str">
        <f t="array" ref="G34">IF(
  E34 = 0, 
  "", 
  IFERROR(
    INDEX(
      'アイテム別限界値DB'!$L:$L, 
      MATCH(
        1, 
        ('アイテム別限界値DB'!$B:$B = D$10) * 
        ('アイテム別限界値DB'!$C:$C = D34) * 
        ('アイテム別限界値DB'!$F:$F = E34), 
        0
      )
    ), 
    ""
  )
)
</f>
        <v/>
      </c>
      <c r="H34" s="11"/>
      <c r="I34" s="11"/>
      <c r="J34" s="220"/>
      <c r="K34" s="184"/>
      <c r="L34" s="11"/>
      <c r="M34" s="11"/>
      <c r="N34" s="11"/>
      <c r="O34" s="220"/>
      <c r="P34" s="184"/>
      <c r="Q34" s="11"/>
      <c r="R34" s="12"/>
      <c r="S34" s="11"/>
      <c r="T34" s="220"/>
      <c r="U34" s="184"/>
      <c r="V34" s="11"/>
      <c r="W34" s="11"/>
      <c r="X34" s="11"/>
      <c r="Y34" s="220"/>
      <c r="Z34" s="184"/>
      <c r="AA34" s="11"/>
      <c r="AB34" s="11"/>
      <c r="AC34" s="11"/>
      <c r="AD34" s="220"/>
      <c r="AE34" s="184"/>
      <c r="AF34" s="11"/>
      <c r="AG34" s="11"/>
      <c r="AH34" s="11"/>
      <c r="AI34" s="220"/>
      <c r="AJ34" s="184"/>
      <c r="AK34" s="11"/>
      <c r="AL34" s="11"/>
      <c r="AM34" s="11"/>
      <c r="AN34" s="220"/>
      <c r="AO34" s="184"/>
      <c r="AP34" s="11"/>
      <c r="AQ34" s="11"/>
      <c r="AR34" s="11"/>
      <c r="AS34" s="220"/>
      <c r="AT34" s="184"/>
      <c r="AU34" s="11"/>
      <c r="AV34" s="11"/>
      <c r="AW34" s="11"/>
      <c r="AX34" s="220"/>
      <c r="AY34" s="184"/>
      <c r="AZ34" s="11"/>
      <c r="BA34" s="11"/>
      <c r="BB34" s="11"/>
      <c r="BC34" s="220"/>
      <c r="BD34" s="184"/>
      <c r="BE34" s="11"/>
      <c r="BF34" s="11"/>
      <c r="BG34" s="11"/>
      <c r="BH34" s="220"/>
      <c r="BI34" s="184"/>
      <c r="BJ34" s="11"/>
      <c r="BK34" s="11"/>
      <c r="BL34" s="11"/>
      <c r="BM34" s="220"/>
      <c r="BN34" s="184"/>
      <c r="BO34" s="11"/>
      <c r="BP34" s="11"/>
    </row>
    <row r="35" ht="15.75" customHeight="1">
      <c r="A35" s="228" t="str">
        <f>IFERROR(__xludf.DUMMYFUNCTION("TEXTJOIN(CHAR(10),TRUE,FILTER(ARRAYFORMULA(IF(Y$14:Y72&lt;&gt;"""", X$14:X72 &amp;"" : ""&amp; Y$14:Y72 &amp;"" cm"","""")), X$14:X72 &lt;&gt;""""))"),"裄丈 (長袖) : -2 cm")</f>
        <v>裄丈 (長袖) : -2 cm</v>
      </c>
      <c r="B35" s="160"/>
      <c r="C35" s="11"/>
      <c r="D35" s="11" t="s">
        <v>112</v>
      </c>
      <c r="E35" s="232"/>
      <c r="F35" s="231" t="str">
        <f t="array" ref="F35">IF(
  E35 = 0, 
  "", 
  IFERROR(
    INDEX(
      'アイテム別限界値DB'!$K:$K, 
      MATCH(
        1, 
        ('アイテム別限界値DB'!$B:$B = D$10) * 
        ('アイテム別限界値DB'!$F:$F = D35) * 
        ('アイテム別限界値DB'!$H:$H = E35), 
        0
      )
    ), 
    "再製作"
  )
)
</f>
        <v/>
      </c>
      <c r="G35" s="218" t="str">
        <f t="array" ref="G35">IF(
  E35 = 0, 
  "", 
  IFERROR(
    INDEX(
      'アイテム別限界値DB'!$L:$L, 
      MATCH(
        1, 
        ('アイテム別限界値DB'!$B:$B = D$10) * 
        ('アイテム別限界値DB'!$C:$C = D35) * 
        ('アイテム別限界値DB'!$F:$F = E35), 
        0
      )
    ), 
    ""
  )
)
</f>
        <v/>
      </c>
      <c r="H35" s="11"/>
      <c r="I35" s="11"/>
      <c r="J35" s="220"/>
      <c r="K35" s="184"/>
      <c r="L35" s="11"/>
      <c r="M35" s="11"/>
      <c r="N35" s="11"/>
      <c r="O35" s="220"/>
      <c r="P35" s="184"/>
      <c r="Q35" s="11"/>
      <c r="R35" s="12"/>
      <c r="S35" s="11"/>
      <c r="T35" s="220"/>
      <c r="U35" s="184"/>
      <c r="V35" s="11"/>
      <c r="W35" s="11"/>
      <c r="X35" s="11"/>
      <c r="Y35" s="220"/>
      <c r="Z35" s="184"/>
      <c r="AA35" s="11"/>
      <c r="AB35" s="11"/>
      <c r="AC35" s="11"/>
      <c r="AD35" s="220"/>
      <c r="AE35" s="184"/>
      <c r="AF35" s="11"/>
      <c r="AG35" s="11"/>
      <c r="AH35" s="11"/>
      <c r="AI35" s="220"/>
      <c r="AJ35" s="184"/>
      <c r="AK35" s="11"/>
      <c r="AL35" s="11"/>
      <c r="AM35" s="11"/>
      <c r="AN35" s="220"/>
      <c r="AO35" s="184"/>
      <c r="AP35" s="11"/>
      <c r="AQ35" s="11"/>
      <c r="AR35" s="11"/>
      <c r="AS35" s="220"/>
      <c r="AT35" s="184"/>
      <c r="AU35" s="11"/>
      <c r="AV35" s="11"/>
      <c r="AW35" s="11"/>
      <c r="AX35" s="220"/>
      <c r="AY35" s="184"/>
      <c r="AZ35" s="11"/>
      <c r="BA35" s="11"/>
      <c r="BB35" s="11"/>
      <c r="BC35" s="220"/>
      <c r="BD35" s="184"/>
      <c r="BE35" s="11"/>
      <c r="BF35" s="11"/>
      <c r="BG35" s="11"/>
      <c r="BH35" s="220"/>
      <c r="BI35" s="184"/>
      <c r="BJ35" s="11"/>
      <c r="BK35" s="11"/>
      <c r="BL35" s="11"/>
      <c r="BM35" s="220"/>
      <c r="BN35" s="184"/>
      <c r="BO35" s="11"/>
      <c r="BP35" s="11"/>
    </row>
    <row r="36" ht="15.75" customHeight="1">
      <c r="A36" s="236" t="str">
        <f>if($A$34&lt;&gt;"", "《仕上がり数値》","")</f>
        <v>《仕上がり数値》</v>
      </c>
      <c r="B36" s="229"/>
      <c r="C36" s="11"/>
      <c r="D36" s="11" t="s">
        <v>113</v>
      </c>
      <c r="E36" s="232"/>
      <c r="F36" s="231" t="str">
        <f t="array" ref="F36">IF(
  E36 = 0, 
  "", 
  IFERROR(
    INDEX(
      'アイテム別限界値DB'!$K:$K, 
      MATCH(
        1, 
        ('アイテム別限界値DB'!$B:$B = D$10) * 
        ('アイテム別限界値DB'!$F:$F = D36) * 
        ('アイテム別限界値DB'!$H:$H = E36), 
        0
      )
    ), 
    "再製作"
  )
)
</f>
        <v/>
      </c>
      <c r="G36" s="218" t="str">
        <f t="array" ref="G36">IF(
  E36 = 0, 
  "", 
  IFERROR(
    INDEX(
      'アイテム別限界値DB'!$L:$L, 
      MATCH(
        1, 
        ('アイテム別限界値DB'!$B:$B = D$10) * 
        ('アイテム別限界値DB'!$C:$C = D36) * 
        ('アイテム別限界値DB'!$F:$F = E36), 
        0
      )
    ), 
    ""
  )
)
</f>
        <v/>
      </c>
      <c r="H36" s="11"/>
      <c r="I36" s="11"/>
      <c r="J36" s="220"/>
      <c r="K36" s="184"/>
      <c r="L36" s="11"/>
      <c r="M36" s="11"/>
      <c r="N36" s="11"/>
      <c r="O36" s="220"/>
      <c r="P36" s="184"/>
      <c r="Q36" s="11"/>
      <c r="R36" s="12"/>
      <c r="S36" s="11"/>
      <c r="T36" s="220"/>
      <c r="U36" s="184"/>
      <c r="V36" s="11"/>
      <c r="W36" s="11"/>
      <c r="X36" s="11"/>
      <c r="Y36" s="220"/>
      <c r="Z36" s="184"/>
      <c r="AA36" s="11"/>
      <c r="AB36" s="11"/>
      <c r="AC36" s="11"/>
      <c r="AD36" s="220"/>
      <c r="AE36" s="184"/>
      <c r="AF36" s="11"/>
      <c r="AG36" s="11"/>
      <c r="AH36" s="11"/>
      <c r="AI36" s="220"/>
      <c r="AJ36" s="184"/>
      <c r="AK36" s="11"/>
      <c r="AL36" s="11"/>
      <c r="AM36" s="11"/>
      <c r="AN36" s="220"/>
      <c r="AO36" s="184"/>
      <c r="AP36" s="11"/>
      <c r="AQ36" s="11"/>
      <c r="AR36" s="11"/>
      <c r="AS36" s="220"/>
      <c r="AT36" s="184"/>
      <c r="AU36" s="11"/>
      <c r="AV36" s="11"/>
      <c r="AW36" s="11"/>
      <c r="AX36" s="220"/>
      <c r="AY36" s="184"/>
      <c r="AZ36" s="11"/>
      <c r="BA36" s="11"/>
      <c r="BB36" s="11"/>
      <c r="BC36" s="220"/>
      <c r="BD36" s="184"/>
      <c r="BE36" s="11"/>
      <c r="BF36" s="11"/>
      <c r="BG36" s="11"/>
      <c r="BH36" s="220"/>
      <c r="BI36" s="184"/>
      <c r="BJ36" s="11"/>
      <c r="BK36" s="11"/>
      <c r="BL36" s="11"/>
      <c r="BM36" s="220"/>
      <c r="BN36" s="184"/>
      <c r="BO36" s="11"/>
      <c r="BP36" s="11"/>
    </row>
    <row r="37">
      <c r="A37" s="228" t="str">
        <f>IFERROR(__xludf.DUMMYFUNCTION("TEXTJOIN(CHAR(10),TRUE,FILTER(ARRAYFORMULA(IF(Y$14:Y72&lt;&gt;"""", X$14:X72 &amp;"" :  cm"","""")), X$14:X72 &lt;&gt;""""))"),"裄丈 (長袖) :  cm")</f>
        <v>裄丈 (長袖) :  cm</v>
      </c>
      <c r="B37" s="12"/>
      <c r="C37" s="11"/>
      <c r="D37" s="11" t="s">
        <v>114</v>
      </c>
      <c r="E37" s="232"/>
      <c r="F37" s="231" t="str">
        <f t="array" ref="F37">IF(
  E37 = 0, 
  "", 
  IFERROR(
    INDEX(
      'アイテム別限界値DB'!$K:$K, 
      MATCH(
        1, 
        ('アイテム別限界値DB'!$B:$B = D$10) * 
        ('アイテム別限界値DB'!$F:$F = D37) * 
        ('アイテム別限界値DB'!$H:$H = E37), 
        0
      )
    ), 
    "再製作"
  )
)
</f>
        <v/>
      </c>
      <c r="G37" s="218" t="str">
        <f t="array" ref="G37">IF(
  E37 = 0, 
  "", 
  IFERROR(
    INDEX(
      'アイテム別限界値DB'!$L:$L, 
      MATCH(
        1, 
        ('アイテム別限界値DB'!$B:$B = D$10) * 
        ('アイテム別限界値DB'!$C:$C = D37) * 
        ('アイテム別限界値DB'!$F:$F = E37), 
        0
      )
    ), 
    ""
  )
)
</f>
        <v/>
      </c>
      <c r="H37" s="11"/>
      <c r="I37" s="11"/>
      <c r="J37" s="220"/>
      <c r="K37" s="184"/>
      <c r="L37" s="11"/>
      <c r="M37" s="11"/>
      <c r="N37" s="11"/>
      <c r="O37" s="220"/>
      <c r="P37" s="184"/>
      <c r="Q37" s="11"/>
      <c r="R37" s="12"/>
      <c r="S37" s="11"/>
      <c r="T37" s="220"/>
      <c r="U37" s="184"/>
      <c r="V37" s="11"/>
      <c r="W37" s="11"/>
      <c r="X37" s="11"/>
      <c r="Y37" s="220"/>
      <c r="Z37" s="184"/>
      <c r="AA37" s="11"/>
      <c r="AB37" s="11"/>
      <c r="AC37" s="11"/>
      <c r="AD37" s="220"/>
      <c r="AE37" s="184"/>
      <c r="AF37" s="11"/>
      <c r="AG37" s="11"/>
      <c r="AH37" s="11"/>
      <c r="AI37" s="220"/>
      <c r="AJ37" s="184"/>
      <c r="AK37" s="11"/>
      <c r="AL37" s="11"/>
      <c r="AM37" s="11"/>
      <c r="AN37" s="220"/>
      <c r="AO37" s="184"/>
      <c r="AP37" s="11"/>
      <c r="AQ37" s="11"/>
      <c r="AR37" s="11"/>
      <c r="AS37" s="220"/>
      <c r="AT37" s="184"/>
      <c r="AU37" s="11"/>
      <c r="AV37" s="11"/>
      <c r="AW37" s="11"/>
      <c r="AX37" s="220"/>
      <c r="AY37" s="184"/>
      <c r="AZ37" s="11"/>
      <c r="BA37" s="11"/>
      <c r="BB37" s="11"/>
      <c r="BC37" s="220"/>
      <c r="BD37" s="184"/>
      <c r="BE37" s="11"/>
      <c r="BF37" s="11"/>
      <c r="BG37" s="11"/>
      <c r="BH37" s="220"/>
      <c r="BI37" s="184"/>
      <c r="BJ37" s="11"/>
      <c r="BK37" s="11"/>
      <c r="BL37" s="11"/>
      <c r="BM37" s="220"/>
      <c r="BN37" s="184"/>
      <c r="BO37" s="11"/>
      <c r="BP37" s="11"/>
    </row>
    <row r="38">
      <c r="A38" s="243" t="s">
        <v>115</v>
      </c>
      <c r="B38" s="160"/>
      <c r="C38" s="11"/>
      <c r="D38" s="11" t="s">
        <v>116</v>
      </c>
      <c r="E38" s="232"/>
      <c r="F38" s="231" t="str">
        <f t="array" ref="F38">IF(
  E38 = 0, 
  "", 
  IFERROR(
    INDEX(
      'アイテム別限界値DB'!$K:$K, 
      MATCH(
        1, 
        ('アイテム別限界値DB'!$B:$B = D$10) * 
        ('アイテム別限界値DB'!$F:$F = D38) * 
        ('アイテム別限界値DB'!$H:$H = E38), 
        0
      )
    ), 
    "再製作"
  )
)
</f>
        <v/>
      </c>
      <c r="G38" s="218" t="str">
        <f t="array" ref="G38">IF(
  E38 = 0, 
  "", 
  IFERROR(
    INDEX(
      'アイテム別限界値DB'!$L:$L, 
      MATCH(
        1, 
        ('アイテム別限界値DB'!$B:$B = D$10) * 
        ('アイテム別限界値DB'!$C:$C = D38) * 
        ('アイテム別限界値DB'!$F:$F = E38), 
        0
      )
    ), 
    ""
  )
)
</f>
        <v/>
      </c>
      <c r="H38" s="11"/>
      <c r="I38" s="11"/>
      <c r="J38" s="220"/>
      <c r="K38" s="184"/>
      <c r="L38" s="11"/>
      <c r="M38" s="11"/>
      <c r="N38" s="11"/>
      <c r="O38" s="220"/>
      <c r="P38" s="184"/>
      <c r="Q38" s="11"/>
      <c r="R38" s="12"/>
      <c r="S38" s="11"/>
      <c r="T38" s="220"/>
      <c r="U38" s="184"/>
      <c r="V38" s="11"/>
      <c r="W38" s="11"/>
      <c r="X38" s="11"/>
      <c r="Y38" s="220"/>
      <c r="Z38" s="184"/>
      <c r="AA38" s="11"/>
      <c r="AB38" s="11"/>
      <c r="AC38" s="11"/>
      <c r="AD38" s="220"/>
      <c r="AE38" s="184"/>
      <c r="AF38" s="11"/>
      <c r="AG38" s="11"/>
      <c r="AH38" s="11"/>
      <c r="AI38" s="220"/>
      <c r="AJ38" s="184"/>
      <c r="AK38" s="11"/>
      <c r="AL38" s="11"/>
      <c r="AM38" s="11"/>
      <c r="AN38" s="220"/>
      <c r="AO38" s="184"/>
      <c r="AP38" s="11"/>
      <c r="AQ38" s="11"/>
      <c r="AR38" s="11"/>
      <c r="AS38" s="220"/>
      <c r="AT38" s="184"/>
      <c r="AU38" s="11"/>
      <c r="AV38" s="11"/>
      <c r="AW38" s="11"/>
      <c r="AX38" s="220"/>
      <c r="AY38" s="184"/>
      <c r="AZ38" s="11"/>
      <c r="BA38" s="11"/>
      <c r="BB38" s="11"/>
      <c r="BC38" s="220"/>
      <c r="BD38" s="184"/>
      <c r="BE38" s="11"/>
      <c r="BF38" s="11"/>
      <c r="BG38" s="11"/>
      <c r="BH38" s="220"/>
      <c r="BI38" s="184"/>
      <c r="BJ38" s="11"/>
      <c r="BK38" s="11"/>
      <c r="BL38" s="11"/>
      <c r="BM38" s="220"/>
      <c r="BN38" s="184"/>
      <c r="BO38" s="11"/>
      <c r="BP38" s="11"/>
    </row>
    <row r="39">
      <c r="A39" s="228" t="str">
        <f>IF( $AC$11 = "再製作", "◼︎ ポロシャツ（対応着地：再製作）" &amp; char(10) &amp; "《修正数値》" , IF($AC$11 &lt;&gt; "", "◼︎ ポロシャツ（対応着地：お直し）" &amp; char(10) &amp; "《修正数値》" , ""))</f>
        <v/>
      </c>
      <c r="B39" s="229"/>
      <c r="C39" s="11"/>
      <c r="D39" s="11" t="s">
        <v>117</v>
      </c>
      <c r="E39" s="232"/>
      <c r="F39" s="231" t="str">
        <f t="array" ref="F39">IF(
  E39 = 0, 
  "", 
  IFERROR(
    INDEX(
      'アイテム別限界値DB'!$I:$I, 
      MATCH(
        1, 
        ('アイテム別限界値DB'!$B:$B = D$10) * 
        ('アイテム別限界値DB'!$C:$C = D39) * 
        ('アイテム別限界値DB'!$F:$F = E39), 
        0
      )
    ), 
    "再製作"
  )
)
</f>
        <v/>
      </c>
      <c r="G39" s="218" t="str">
        <f t="array" ref="G39">IF(
  E39 = 0, 
  "", 
  IFERROR(
    INDEX(
      'アイテム別限界値DB'!$L:$L, 
      MATCH(
        1, 
        ('アイテム別限界値DB'!$B:$B = D$10) * 
        ('アイテム別限界値DB'!$C:$C = D39) * 
        ('アイテム別限界値DB'!$F:$F = E39), 
        0
      )
    ), 
    ""
  )
)
</f>
        <v/>
      </c>
      <c r="H39" s="11"/>
      <c r="I39" s="11"/>
      <c r="J39" s="220"/>
      <c r="K39" s="184"/>
      <c r="L39" s="11"/>
      <c r="M39" s="11"/>
      <c r="N39" s="11"/>
      <c r="O39" s="220"/>
      <c r="P39" s="184"/>
      <c r="Q39" s="11"/>
      <c r="R39" s="12"/>
      <c r="S39" s="11"/>
      <c r="T39" s="220"/>
      <c r="U39" s="184"/>
      <c r="V39" s="11"/>
      <c r="W39" s="11"/>
      <c r="X39" s="11"/>
      <c r="Y39" s="220"/>
      <c r="Z39" s="184"/>
      <c r="AA39" s="11"/>
      <c r="AB39" s="11"/>
      <c r="AC39" s="11"/>
      <c r="AD39" s="220"/>
      <c r="AE39" s="184"/>
      <c r="AF39" s="11"/>
      <c r="AG39" s="11"/>
      <c r="AH39" s="11"/>
      <c r="AI39" s="220"/>
      <c r="AJ39" s="184"/>
      <c r="AK39" s="11"/>
      <c r="AL39" s="11"/>
      <c r="AM39" s="11"/>
      <c r="AN39" s="220"/>
      <c r="AO39" s="184"/>
      <c r="AP39" s="11"/>
      <c r="AQ39" s="11"/>
      <c r="AR39" s="11"/>
      <c r="AS39" s="220"/>
      <c r="AT39" s="184"/>
      <c r="AU39" s="11"/>
      <c r="AV39" s="11"/>
      <c r="AW39" s="11"/>
      <c r="AX39" s="220"/>
      <c r="AY39" s="184"/>
      <c r="AZ39" s="11"/>
      <c r="BA39" s="11"/>
      <c r="BB39" s="11"/>
      <c r="BC39" s="220"/>
      <c r="BD39" s="184"/>
      <c r="BE39" s="11"/>
      <c r="BF39" s="11"/>
      <c r="BG39" s="11"/>
      <c r="BH39" s="220"/>
      <c r="BI39" s="184"/>
      <c r="BJ39" s="11"/>
      <c r="BK39" s="11"/>
      <c r="BL39" s="11"/>
      <c r="BM39" s="220"/>
      <c r="BN39" s="184"/>
      <c r="BO39" s="11"/>
      <c r="BP39" s="11"/>
    </row>
    <row r="40">
      <c r="A40" s="228" t="str">
        <f>IFERROR(__xludf.DUMMYFUNCTION("TEXTJOIN(CHAR(10),TRUE,FILTER(ARRAYFORMULA(IF(AD$14:AD72&lt;&gt;"""",AC$14:AC72&amp;"" : ""&amp; AD$14:AD72 &amp;"" cm"","""")), AC$14:AC72 &lt;&gt;""""))"),"")</f>
        <v/>
      </c>
      <c r="B40" s="12"/>
      <c r="C40" s="11"/>
      <c r="D40" s="11" t="s">
        <v>118</v>
      </c>
      <c r="E40" s="232"/>
      <c r="F40" s="231" t="str">
        <f t="array" ref="F40">IF(
  E40 = 0, 
  "", 
  IFERROR(
    INDEX(
      'アイテム別限界値DB'!$I:$I, 
      MATCH(
        1, 
        ('アイテム別限界値DB'!$B:$B = D$10) * 
        ('アイテム別限界値DB'!$C:$C = D40) * 
        ('アイテム別限界値DB'!$F:$F = E40), 
        0
      )
    ), 
    "再製作"
  )
)
</f>
        <v/>
      </c>
      <c r="G40" s="121"/>
      <c r="H40" s="11"/>
      <c r="I40" s="11"/>
      <c r="J40" s="220"/>
      <c r="K40" s="184"/>
      <c r="L40" s="11"/>
      <c r="M40" s="11"/>
      <c r="N40" s="11"/>
      <c r="O40" s="220"/>
      <c r="P40" s="184"/>
      <c r="Q40" s="11"/>
      <c r="R40" s="12"/>
      <c r="S40" s="11"/>
      <c r="T40" s="220"/>
      <c r="U40" s="184"/>
      <c r="V40" s="11"/>
      <c r="W40" s="11"/>
      <c r="X40" s="11"/>
      <c r="Y40" s="220"/>
      <c r="Z40" s="184"/>
      <c r="AA40" s="11"/>
      <c r="AB40" s="11"/>
      <c r="AC40" s="11"/>
      <c r="AD40" s="220"/>
      <c r="AE40" s="184"/>
      <c r="AF40" s="11"/>
      <c r="AG40" s="11"/>
      <c r="AH40" s="11"/>
      <c r="AI40" s="220"/>
      <c r="AJ40" s="184"/>
      <c r="AK40" s="11"/>
      <c r="AL40" s="11"/>
      <c r="AM40" s="11"/>
      <c r="AN40" s="220"/>
      <c r="AO40" s="184"/>
      <c r="AP40" s="11"/>
      <c r="AQ40" s="11"/>
      <c r="AR40" s="11"/>
      <c r="AS40" s="220"/>
      <c r="AT40" s="184"/>
      <c r="AU40" s="11"/>
      <c r="AV40" s="11"/>
      <c r="AW40" s="11"/>
      <c r="AX40" s="220"/>
      <c r="AY40" s="184"/>
      <c r="AZ40" s="11"/>
      <c r="BA40" s="11"/>
      <c r="BB40" s="11"/>
      <c r="BC40" s="220"/>
      <c r="BD40" s="184"/>
      <c r="BE40" s="11"/>
      <c r="BF40" s="11"/>
      <c r="BG40" s="11"/>
      <c r="BH40" s="220"/>
      <c r="BI40" s="184"/>
      <c r="BJ40" s="11"/>
      <c r="BK40" s="11"/>
      <c r="BL40" s="11"/>
      <c r="BM40" s="220"/>
      <c r="BN40" s="184"/>
      <c r="BO40" s="11"/>
      <c r="BP40" s="11"/>
    </row>
    <row r="41">
      <c r="A41" s="244" t="str">
        <f>if($A$39&lt;&gt;"", "《仕上がり数値》","")</f>
        <v/>
      </c>
      <c r="B41" s="160"/>
      <c r="C41" s="11"/>
      <c r="D41" s="11" t="s">
        <v>119</v>
      </c>
      <c r="E41" s="230"/>
      <c r="F41" s="231" t="str">
        <f t="array" ref="F41">IF(
  E41 = 0, 
  "", 
  IFERROR(
    INDEX(
      'アイテム別限界値DB'!$I:$I, 
      MATCH(
        1, 
        ('アイテム別限界値DB'!$B:$B = D$10) * 
        ('アイテム別限界値DB'!$C:$C = D41) * 
        ('アイテム別限界値DB'!$F:$F = E41), 
        0
      )
    ), 
    "再製作"
  )
)
</f>
        <v/>
      </c>
      <c r="G41" s="195"/>
      <c r="H41" s="11"/>
      <c r="I41" s="11"/>
      <c r="J41" s="220"/>
      <c r="K41" s="184"/>
      <c r="L41" s="11"/>
      <c r="M41" s="11"/>
      <c r="N41" s="11"/>
      <c r="O41" s="220"/>
      <c r="P41" s="184"/>
      <c r="Q41" s="11"/>
      <c r="R41" s="12"/>
      <c r="S41" s="11"/>
      <c r="T41" s="220"/>
      <c r="U41" s="184"/>
      <c r="V41" s="11"/>
      <c r="W41" s="11"/>
      <c r="X41" s="11"/>
      <c r="Y41" s="220"/>
      <c r="Z41" s="184"/>
      <c r="AA41" s="11"/>
      <c r="AB41" s="11"/>
      <c r="AC41" s="11"/>
      <c r="AD41" s="220"/>
      <c r="AE41" s="184"/>
      <c r="AF41" s="11"/>
      <c r="AG41" s="11"/>
      <c r="AH41" s="11"/>
      <c r="AI41" s="220"/>
      <c r="AJ41" s="184"/>
      <c r="AK41" s="11"/>
      <c r="AL41" s="11"/>
      <c r="AM41" s="11"/>
      <c r="AN41" s="220"/>
      <c r="AO41" s="184"/>
      <c r="AP41" s="11"/>
      <c r="AQ41" s="11"/>
      <c r="AR41" s="11"/>
      <c r="AS41" s="220"/>
      <c r="AT41" s="184"/>
      <c r="AU41" s="11"/>
      <c r="AV41" s="11"/>
      <c r="AW41" s="11"/>
      <c r="AX41" s="220"/>
      <c r="AY41" s="184"/>
      <c r="AZ41" s="11"/>
      <c r="BA41" s="11"/>
      <c r="BB41" s="11"/>
      <c r="BC41" s="220"/>
      <c r="BD41" s="184"/>
      <c r="BE41" s="11"/>
      <c r="BF41" s="11"/>
      <c r="BG41" s="11"/>
      <c r="BH41" s="220"/>
      <c r="BI41" s="184"/>
      <c r="BJ41" s="11"/>
      <c r="BK41" s="11"/>
      <c r="BL41" s="11"/>
      <c r="BM41" s="220"/>
      <c r="BN41" s="184"/>
      <c r="BO41" s="11"/>
      <c r="BP41" s="11"/>
    </row>
    <row r="42">
      <c r="A42" s="228" t="str">
        <f>IFERROR(__xludf.DUMMYFUNCTION("TEXTJOIN(CHAR(10),TRUE,FILTER(ARRAYFORMULA(IF(AD$14:AD72&lt;&gt;"""",AC$14:AC72&amp;"" :  cm"","""")), AC$14:AC72 &lt;&gt;""""))"),"")</f>
        <v/>
      </c>
      <c r="B42" s="229"/>
      <c r="C42" s="11"/>
      <c r="D42" s="11" t="s">
        <v>120</v>
      </c>
      <c r="E42" s="232"/>
      <c r="F42" s="231" t="str">
        <f t="array" ref="F42">IF(
  E42 = 0, 
  "", 
  IFERROR(
    INDEX(
      'アイテム別限界値DB'!$I:$I, 
      MATCH(
        1, 
        ('アイテム別限界値DB'!$B:$B = D$10) * 
        ('アイテム別限界値DB'!$C:$C = D42) * 
        ('アイテム別限界値DB'!$F:$F = E42), 
        0
      )
    ), 
    "再製作"
  )
)
</f>
        <v/>
      </c>
      <c r="G42" s="195"/>
      <c r="H42" s="11"/>
      <c r="I42" s="11"/>
      <c r="J42" s="220"/>
      <c r="K42" s="184"/>
      <c r="L42" s="11"/>
      <c r="M42" s="11"/>
      <c r="N42" s="11"/>
      <c r="O42" s="220"/>
      <c r="P42" s="184"/>
      <c r="Q42" s="11"/>
      <c r="R42" s="12"/>
      <c r="S42" s="11"/>
      <c r="T42" s="220"/>
      <c r="U42" s="184"/>
      <c r="V42" s="11"/>
      <c r="W42" s="11"/>
      <c r="X42" s="11"/>
      <c r="Y42" s="220"/>
      <c r="Z42" s="184"/>
      <c r="AA42" s="11"/>
      <c r="AB42" s="11"/>
      <c r="AC42" s="11"/>
      <c r="AD42" s="220"/>
      <c r="AE42" s="184"/>
      <c r="AF42" s="11"/>
      <c r="AG42" s="11"/>
      <c r="AH42" s="11"/>
      <c r="AI42" s="220"/>
      <c r="AJ42" s="184"/>
      <c r="AK42" s="11"/>
      <c r="AL42" s="11"/>
      <c r="AM42" s="11"/>
      <c r="AN42" s="220"/>
      <c r="AO42" s="184"/>
      <c r="AP42" s="11"/>
      <c r="AQ42" s="11"/>
      <c r="AR42" s="11"/>
      <c r="AS42" s="220"/>
      <c r="AT42" s="184"/>
      <c r="AU42" s="11"/>
      <c r="AV42" s="11"/>
      <c r="AW42" s="11"/>
      <c r="AX42" s="220"/>
      <c r="AY42" s="184"/>
      <c r="AZ42" s="11"/>
      <c r="BA42" s="11"/>
      <c r="BB42" s="11"/>
      <c r="BC42" s="220"/>
      <c r="BD42" s="184"/>
      <c r="BE42" s="11"/>
      <c r="BF42" s="11"/>
      <c r="BG42" s="11"/>
      <c r="BH42" s="220"/>
      <c r="BI42" s="184"/>
      <c r="BJ42" s="11"/>
      <c r="BK42" s="11"/>
      <c r="BL42" s="11"/>
      <c r="BM42" s="220"/>
      <c r="BN42" s="184"/>
      <c r="BO42" s="11"/>
      <c r="BP42" s="11"/>
    </row>
    <row r="43">
      <c r="A43" s="222" t="s">
        <v>121</v>
      </c>
      <c r="B43" s="185"/>
      <c r="C43" s="11"/>
      <c r="D43" s="11"/>
      <c r="E43" s="220"/>
      <c r="F43" s="220"/>
      <c r="G43" s="220"/>
      <c r="H43" s="11"/>
      <c r="I43" s="11"/>
      <c r="J43" s="220"/>
      <c r="K43" s="184"/>
      <c r="L43" s="184"/>
      <c r="M43" s="11"/>
      <c r="N43" s="11"/>
      <c r="O43" s="195"/>
      <c r="P43" s="11"/>
      <c r="Q43" s="11"/>
      <c r="R43" s="12"/>
      <c r="S43" s="11"/>
      <c r="T43" s="220"/>
      <c r="U43" s="184"/>
      <c r="V43" s="184"/>
      <c r="W43" s="11"/>
      <c r="X43" s="11"/>
      <c r="Y43" s="220"/>
      <c r="Z43" s="184"/>
      <c r="AA43" s="184"/>
      <c r="AB43" s="11"/>
      <c r="AC43" s="11"/>
      <c r="AD43" s="220"/>
      <c r="AE43" s="184"/>
      <c r="AF43" s="184"/>
      <c r="AG43" s="11"/>
      <c r="AH43" s="11"/>
      <c r="AI43" s="220"/>
      <c r="AJ43" s="184"/>
      <c r="AK43" s="184"/>
      <c r="AL43" s="11"/>
      <c r="AM43" s="11"/>
      <c r="AN43" s="220"/>
      <c r="AO43" s="184"/>
      <c r="AP43" s="184"/>
      <c r="AQ43" s="11"/>
      <c r="AR43" s="11"/>
      <c r="AS43" s="220"/>
      <c r="AT43" s="184"/>
      <c r="AU43" s="184"/>
      <c r="AV43" s="11"/>
      <c r="AW43" s="11"/>
      <c r="AX43" s="220"/>
      <c r="AY43" s="184"/>
      <c r="AZ43" s="184"/>
      <c r="BA43" s="11"/>
      <c r="BB43" s="11"/>
      <c r="BC43" s="220"/>
      <c r="BD43" s="184"/>
      <c r="BE43" s="184"/>
      <c r="BF43" s="11"/>
      <c r="BG43" s="11"/>
      <c r="BH43" s="220"/>
      <c r="BI43" s="184"/>
      <c r="BJ43" s="184"/>
      <c r="BK43" s="184"/>
      <c r="BL43" s="184"/>
      <c r="BM43" s="184"/>
      <c r="BN43" s="184"/>
      <c r="BO43" s="184"/>
      <c r="BP43" s="184"/>
    </row>
    <row r="44">
      <c r="A44" s="245" t="str">
        <f>IF( $AH$11 = "再製作", "◼︎ アルスターコート（対応着地：再製作）" &amp; char(10) &amp; "《修正数値》", IF($AH$11 &lt;&gt; "", "◼︎ アルスターコート（対応着地：お直し）" &amp; char(10) &amp; "《修正数値》", ""))</f>
        <v/>
      </c>
      <c r="B44" s="187"/>
      <c r="C44" s="11"/>
      <c r="D44" s="11"/>
      <c r="E44" s="220"/>
      <c r="F44" s="220"/>
      <c r="G44" s="220"/>
      <c r="H44" s="11"/>
      <c r="I44" s="11"/>
      <c r="J44" s="220"/>
      <c r="K44" s="184"/>
      <c r="L44" s="184"/>
      <c r="M44" s="11"/>
      <c r="N44" s="11"/>
      <c r="O44" s="195"/>
      <c r="P44" s="11"/>
      <c r="Q44" s="11"/>
      <c r="R44" s="12"/>
      <c r="S44" s="11"/>
      <c r="T44" s="220"/>
      <c r="U44" s="184"/>
      <c r="V44" s="184"/>
      <c r="W44" s="11"/>
      <c r="X44" s="11"/>
      <c r="Y44" s="220"/>
      <c r="Z44" s="184"/>
      <c r="AA44" s="184"/>
      <c r="AB44" s="11"/>
      <c r="AC44" s="11"/>
      <c r="AD44" s="220"/>
      <c r="AE44" s="184"/>
      <c r="AF44" s="184"/>
      <c r="AG44" s="11"/>
      <c r="AH44" s="11"/>
      <c r="AI44" s="220"/>
      <c r="AJ44" s="184"/>
      <c r="AK44" s="184"/>
      <c r="AL44" s="11"/>
      <c r="AM44" s="11"/>
      <c r="AN44" s="220"/>
      <c r="AO44" s="184"/>
      <c r="AP44" s="184"/>
      <c r="AQ44" s="11"/>
      <c r="AR44" s="11"/>
      <c r="AS44" s="220"/>
      <c r="AT44" s="184"/>
      <c r="AU44" s="184"/>
      <c r="AV44" s="11"/>
      <c r="AW44" s="11"/>
      <c r="AX44" s="220"/>
      <c r="AY44" s="184"/>
      <c r="AZ44" s="184"/>
      <c r="BA44" s="11"/>
      <c r="BB44" s="11"/>
      <c r="BC44" s="220"/>
      <c r="BD44" s="184"/>
      <c r="BE44" s="184"/>
      <c r="BF44" s="11"/>
      <c r="BG44" s="11"/>
      <c r="BH44" s="220"/>
      <c r="BI44" s="184"/>
      <c r="BJ44" s="184"/>
      <c r="BK44" s="184"/>
      <c r="BL44" s="184"/>
      <c r="BM44" s="184"/>
      <c r="BN44" s="184"/>
      <c r="BO44" s="184"/>
      <c r="BP44" s="184"/>
    </row>
    <row r="45">
      <c r="A45" s="228" t="str">
        <f>IFERROR(__xludf.DUMMYFUNCTION("TEXTJOIN(CHAR(10),TRUE,FILTER(ARRAYFORMULA(IF($AI$14:$AI72&lt;&gt;"""",AH$14:AH72&amp;"" : ""&amp; AI$14:AI72 &amp;"" cm"","""")), AH$14:AH72 &lt;&gt;""""))"),"")</f>
        <v/>
      </c>
      <c r="B45" s="246"/>
      <c r="C45" s="11"/>
      <c r="D45" s="11"/>
      <c r="E45" s="220"/>
      <c r="F45" s="220"/>
      <c r="G45" s="220"/>
      <c r="H45" s="11"/>
      <c r="I45" s="11"/>
      <c r="J45" s="220"/>
      <c r="K45" s="184"/>
      <c r="L45" s="184"/>
      <c r="M45" s="11"/>
      <c r="N45" s="11"/>
      <c r="O45" s="195"/>
      <c r="P45" s="11"/>
      <c r="Q45" s="11"/>
      <c r="R45" s="12"/>
      <c r="S45" s="11"/>
      <c r="T45" s="220"/>
      <c r="U45" s="184"/>
      <c r="V45" s="184"/>
      <c r="W45" s="11"/>
      <c r="X45" s="11"/>
      <c r="Y45" s="220"/>
      <c r="Z45" s="184"/>
      <c r="AA45" s="184"/>
      <c r="AB45" s="11"/>
      <c r="AC45" s="11"/>
      <c r="AD45" s="220"/>
      <c r="AE45" s="184"/>
      <c r="AF45" s="184"/>
      <c r="AG45" s="11"/>
      <c r="AH45" s="11"/>
      <c r="AI45" s="220"/>
      <c r="AJ45" s="184"/>
      <c r="AK45" s="184"/>
      <c r="AL45" s="11"/>
      <c r="AM45" s="11"/>
      <c r="AN45" s="220"/>
      <c r="AO45" s="184"/>
      <c r="AP45" s="184"/>
      <c r="AQ45" s="11"/>
      <c r="AR45" s="11"/>
      <c r="AS45" s="220"/>
      <c r="AT45" s="184"/>
      <c r="AU45" s="184"/>
      <c r="AV45" s="11"/>
      <c r="AW45" s="11"/>
      <c r="AX45" s="220"/>
      <c r="AY45" s="184"/>
      <c r="AZ45" s="184"/>
      <c r="BA45" s="11"/>
      <c r="BB45" s="11"/>
      <c r="BC45" s="220"/>
      <c r="BD45" s="184"/>
      <c r="BE45" s="184"/>
      <c r="BF45" s="11"/>
      <c r="BG45" s="11"/>
      <c r="BH45" s="220"/>
      <c r="BI45" s="184"/>
      <c r="BJ45" s="184"/>
      <c r="BK45" s="184"/>
      <c r="BL45" s="184"/>
      <c r="BM45" s="184"/>
      <c r="BN45" s="184"/>
      <c r="BO45" s="184"/>
      <c r="BP45" s="184"/>
    </row>
    <row r="46">
      <c r="A46" s="242" t="str">
        <f>if($A$44&lt;&gt;"", "《仕上がり数値》","")</f>
        <v/>
      </c>
      <c r="B46" s="240"/>
      <c r="C46" s="11"/>
      <c r="D46" s="11"/>
      <c r="E46" s="220"/>
      <c r="F46" s="220"/>
      <c r="G46" s="220"/>
      <c r="H46" s="11"/>
      <c r="I46" s="11"/>
      <c r="J46" s="220"/>
      <c r="K46" s="184"/>
      <c r="L46" s="184"/>
      <c r="M46" s="11"/>
      <c r="N46" s="11"/>
      <c r="O46" s="195"/>
      <c r="P46" s="11"/>
      <c r="Q46" s="11"/>
      <c r="R46" s="12"/>
      <c r="S46" s="11"/>
      <c r="T46" s="220"/>
      <c r="U46" s="184"/>
      <c r="V46" s="184"/>
      <c r="W46" s="11"/>
      <c r="X46" s="11"/>
      <c r="Y46" s="220"/>
      <c r="Z46" s="184"/>
      <c r="AA46" s="184"/>
      <c r="AB46" s="11"/>
      <c r="AC46" s="11"/>
      <c r="AD46" s="220"/>
      <c r="AE46" s="184"/>
      <c r="AF46" s="184"/>
      <c r="AG46" s="11"/>
      <c r="AH46" s="11"/>
      <c r="AI46" s="220"/>
      <c r="AJ46" s="184"/>
      <c r="AK46" s="184"/>
      <c r="AL46" s="11"/>
      <c r="AM46" s="11"/>
      <c r="AN46" s="220"/>
      <c r="AO46" s="184"/>
      <c r="AP46" s="184"/>
      <c r="AQ46" s="11"/>
      <c r="AR46" s="11"/>
      <c r="AS46" s="220"/>
      <c r="AT46" s="184"/>
      <c r="AU46" s="184"/>
      <c r="AV46" s="11"/>
      <c r="AW46" s="11"/>
      <c r="AX46" s="220"/>
      <c r="AY46" s="184"/>
      <c r="AZ46" s="184"/>
      <c r="BA46" s="11"/>
      <c r="BB46" s="11"/>
      <c r="BC46" s="220"/>
      <c r="BD46" s="184"/>
      <c r="BE46" s="184"/>
      <c r="BF46" s="11"/>
      <c r="BG46" s="11"/>
      <c r="BH46" s="220"/>
      <c r="BI46" s="184"/>
      <c r="BJ46" s="184"/>
      <c r="BK46" s="184"/>
      <c r="BL46" s="184"/>
      <c r="BM46" s="184"/>
      <c r="BN46" s="184"/>
      <c r="BO46" s="184"/>
      <c r="BP46" s="184"/>
    </row>
    <row r="47">
      <c r="A47" s="228" t="str">
        <f>IFERROR(__xludf.DUMMYFUNCTION("TEXTJOIN(CHAR(10),TRUE,FILTER(ARRAYFORMULA(IF($AI$14:$AI72&lt;&gt;"""",AH$14:AH72&amp;"" :  cm"","""")), AH$14:AH72 &lt;&gt;""""))"),"")</f>
        <v/>
      </c>
      <c r="B47" s="240"/>
      <c r="C47" s="11"/>
      <c r="D47" s="11"/>
      <c r="E47" s="220"/>
      <c r="F47" s="220"/>
      <c r="G47" s="220"/>
      <c r="H47" s="11"/>
      <c r="I47" s="11"/>
      <c r="J47" s="220"/>
      <c r="K47" s="184"/>
      <c r="L47" s="184"/>
      <c r="M47" s="11"/>
      <c r="N47" s="11"/>
      <c r="O47" s="195"/>
      <c r="P47" s="11"/>
      <c r="Q47" s="11"/>
      <c r="R47" s="12"/>
      <c r="S47" s="11"/>
      <c r="T47" s="220"/>
      <c r="U47" s="184"/>
      <c r="V47" s="184"/>
      <c r="W47" s="11"/>
      <c r="X47" s="11"/>
      <c r="Y47" s="220"/>
      <c r="Z47" s="184"/>
      <c r="AA47" s="184"/>
      <c r="AB47" s="11"/>
      <c r="AC47" s="11"/>
      <c r="AD47" s="220"/>
      <c r="AE47" s="184"/>
      <c r="AF47" s="184"/>
      <c r="AG47" s="11"/>
      <c r="AH47" s="11"/>
      <c r="AI47" s="220"/>
      <c r="AJ47" s="184"/>
      <c r="AK47" s="184"/>
      <c r="AL47" s="11"/>
      <c r="AM47" s="11"/>
      <c r="AN47" s="220"/>
      <c r="AO47" s="184"/>
      <c r="AP47" s="184"/>
      <c r="AQ47" s="11"/>
      <c r="AR47" s="11"/>
      <c r="AS47" s="220"/>
      <c r="AT47" s="184"/>
      <c r="AU47" s="184"/>
      <c r="AV47" s="11"/>
      <c r="AW47" s="11"/>
      <c r="AX47" s="220"/>
      <c r="AY47" s="184"/>
      <c r="AZ47" s="184"/>
      <c r="BA47" s="11"/>
      <c r="BB47" s="11"/>
      <c r="BC47" s="220"/>
      <c r="BD47" s="184"/>
      <c r="BE47" s="184"/>
      <c r="BF47" s="11"/>
      <c r="BG47" s="11"/>
      <c r="BH47" s="220"/>
      <c r="BI47" s="184"/>
      <c r="BJ47" s="184"/>
      <c r="BK47" s="184"/>
      <c r="BL47" s="184"/>
      <c r="BM47" s="184"/>
      <c r="BN47" s="184"/>
      <c r="BO47" s="184"/>
      <c r="BP47" s="184"/>
    </row>
    <row r="48">
      <c r="A48" s="237" t="s">
        <v>122</v>
      </c>
      <c r="B48" s="240"/>
      <c r="C48" s="11"/>
      <c r="D48" s="11"/>
      <c r="E48" s="220"/>
      <c r="F48" s="220"/>
      <c r="G48" s="220"/>
      <c r="H48" s="11"/>
      <c r="I48" s="11"/>
      <c r="J48" s="220"/>
      <c r="K48" s="184"/>
      <c r="L48" s="184"/>
      <c r="M48" s="11"/>
      <c r="N48" s="11"/>
      <c r="O48" s="195"/>
      <c r="P48" s="11"/>
      <c r="Q48" s="11"/>
      <c r="R48" s="12"/>
      <c r="S48" s="11"/>
      <c r="T48" s="220"/>
      <c r="U48" s="184"/>
      <c r="V48" s="184"/>
      <c r="W48" s="11"/>
      <c r="X48" s="11"/>
      <c r="Y48" s="220"/>
      <c r="Z48" s="184"/>
      <c r="AA48" s="184"/>
      <c r="AB48" s="11"/>
      <c r="AC48" s="11"/>
      <c r="AD48" s="220"/>
      <c r="AE48" s="184"/>
      <c r="AF48" s="184"/>
      <c r="AG48" s="11"/>
      <c r="AH48" s="11"/>
      <c r="AI48" s="220"/>
      <c r="AJ48" s="184"/>
      <c r="AK48" s="184"/>
      <c r="AL48" s="11"/>
      <c r="AM48" s="11"/>
      <c r="AN48" s="220"/>
      <c r="AO48" s="184"/>
      <c r="AP48" s="184"/>
      <c r="AQ48" s="11"/>
      <c r="AR48" s="11"/>
      <c r="AS48" s="220"/>
      <c r="AT48" s="184"/>
      <c r="AU48" s="184"/>
      <c r="AV48" s="11"/>
      <c r="AW48" s="11"/>
      <c r="AX48" s="220"/>
      <c r="AY48" s="184"/>
      <c r="AZ48" s="184"/>
      <c r="BA48" s="11"/>
      <c r="BB48" s="11"/>
      <c r="BC48" s="220"/>
      <c r="BD48" s="184"/>
      <c r="BE48" s="184"/>
      <c r="BF48" s="11"/>
      <c r="BG48" s="11"/>
      <c r="BH48" s="220"/>
      <c r="BI48" s="184"/>
      <c r="BJ48" s="184"/>
      <c r="BK48" s="184"/>
      <c r="BL48" s="184"/>
      <c r="BM48" s="184"/>
      <c r="BN48" s="184"/>
      <c r="BO48" s="184"/>
      <c r="BP48" s="184"/>
    </row>
    <row r="49">
      <c r="A49" s="245" t="str">
        <f>IF( $AM$11 = "再製作", "◼︎ ショートステンカラーコート（対応着地：再製作）" &amp; char(10) &amp; "《修正数値》", IF($AM$11 &lt;&gt; "", "◼︎ ショートステンカラーコート（対応着地：お直し）"  &amp; char(10) &amp; "《修正数値》", ""))</f>
        <v/>
      </c>
      <c r="B49" s="240"/>
      <c r="C49" s="11"/>
      <c r="D49" s="11"/>
      <c r="E49" s="220"/>
      <c r="F49" s="220"/>
      <c r="G49" s="220"/>
      <c r="H49" s="11"/>
      <c r="I49" s="11"/>
      <c r="J49" s="220"/>
      <c r="K49" s="184"/>
      <c r="L49" s="184"/>
      <c r="M49" s="11"/>
      <c r="N49" s="11"/>
      <c r="O49" s="195"/>
      <c r="P49" s="11"/>
      <c r="Q49" s="11"/>
      <c r="R49" s="12"/>
      <c r="S49" s="11"/>
      <c r="T49" s="220"/>
      <c r="U49" s="184"/>
      <c r="V49" s="184"/>
      <c r="W49" s="11"/>
      <c r="X49" s="11"/>
      <c r="Y49" s="220"/>
      <c r="Z49" s="184"/>
      <c r="AA49" s="184"/>
      <c r="AB49" s="11"/>
      <c r="AC49" s="11"/>
      <c r="AD49" s="220"/>
      <c r="AE49" s="184"/>
      <c r="AF49" s="184"/>
      <c r="AG49" s="11"/>
      <c r="AH49" s="11"/>
      <c r="AI49" s="220"/>
      <c r="AJ49" s="184"/>
      <c r="AK49" s="184"/>
      <c r="AL49" s="11"/>
      <c r="AM49" s="11"/>
      <c r="AN49" s="220"/>
      <c r="AO49" s="184"/>
      <c r="AP49" s="184"/>
      <c r="AQ49" s="11"/>
      <c r="AR49" s="11"/>
      <c r="AS49" s="220"/>
      <c r="AT49" s="184"/>
      <c r="AU49" s="184"/>
      <c r="AV49" s="11"/>
      <c r="AW49" s="11"/>
      <c r="AX49" s="220"/>
      <c r="AY49" s="184"/>
      <c r="AZ49" s="184"/>
      <c r="BA49" s="11"/>
      <c r="BB49" s="11"/>
      <c r="BC49" s="220"/>
      <c r="BD49" s="184"/>
      <c r="BE49" s="184"/>
      <c r="BF49" s="11"/>
      <c r="BG49" s="11"/>
      <c r="BH49" s="220"/>
      <c r="BI49" s="184"/>
      <c r="BJ49" s="184"/>
      <c r="BK49" s="184"/>
      <c r="BL49" s="184"/>
      <c r="BM49" s="184"/>
      <c r="BN49" s="184"/>
      <c r="BO49" s="184"/>
      <c r="BP49" s="184"/>
    </row>
    <row r="50">
      <c r="A50" s="228" t="str">
        <f>IFERROR(__xludf.DUMMYFUNCTION("TEXTJOIN(CHAR(10),TRUE,FILTER(ARRAYFORMULA(IF(AN$14:AN72&lt;&gt;"""",AM$14:AM72&amp;"" : ""&amp; AN$14:AN72 &amp;"" cm"" &amp; ""（仕上がり寸：cm）"","""")), AM$14:AM72 &lt;&gt;""""))"),"")</f>
        <v/>
      </c>
      <c r="B50" s="240"/>
      <c r="C50" s="11"/>
      <c r="D50" s="11"/>
      <c r="E50" s="220"/>
      <c r="F50" s="220"/>
      <c r="G50" s="220"/>
      <c r="H50" s="11"/>
      <c r="I50" s="11"/>
      <c r="J50" s="220"/>
      <c r="K50" s="184"/>
      <c r="L50" s="184"/>
      <c r="M50" s="11"/>
      <c r="N50" s="11"/>
      <c r="O50" s="195"/>
      <c r="P50" s="11"/>
      <c r="Q50" s="11"/>
      <c r="R50" s="12"/>
      <c r="S50" s="11"/>
      <c r="T50" s="220"/>
      <c r="U50" s="184"/>
      <c r="V50" s="184"/>
      <c r="W50" s="11"/>
      <c r="X50" s="11"/>
      <c r="Y50" s="220"/>
      <c r="Z50" s="184"/>
      <c r="AA50" s="184"/>
      <c r="AB50" s="11"/>
      <c r="AC50" s="11"/>
      <c r="AD50" s="220"/>
      <c r="AE50" s="184"/>
      <c r="AF50" s="184"/>
      <c r="AG50" s="11"/>
      <c r="AH50" s="11"/>
      <c r="AI50" s="220"/>
      <c r="AJ50" s="184"/>
      <c r="AK50" s="184"/>
      <c r="AL50" s="11"/>
      <c r="AM50" s="11"/>
      <c r="AN50" s="220"/>
      <c r="AO50" s="184"/>
      <c r="AP50" s="184"/>
      <c r="AQ50" s="11"/>
      <c r="AR50" s="11"/>
      <c r="AS50" s="220"/>
      <c r="AT50" s="184"/>
      <c r="AU50" s="184"/>
      <c r="AV50" s="11"/>
      <c r="AW50" s="11"/>
      <c r="AX50" s="220"/>
      <c r="AY50" s="184"/>
      <c r="AZ50" s="184"/>
      <c r="BA50" s="11"/>
      <c r="BB50" s="11"/>
      <c r="BC50" s="220"/>
      <c r="BD50" s="184"/>
      <c r="BE50" s="184"/>
      <c r="BF50" s="11"/>
      <c r="BG50" s="11"/>
      <c r="BH50" s="220"/>
      <c r="BI50" s="184"/>
      <c r="BJ50" s="184"/>
      <c r="BK50" s="184"/>
      <c r="BL50" s="184"/>
      <c r="BM50" s="184"/>
      <c r="BN50" s="184"/>
      <c r="BO50" s="184"/>
      <c r="BP50" s="184"/>
    </row>
    <row r="51">
      <c r="A51" s="244" t="str">
        <f>if($A$49&lt;&gt;"", "《仕上がり数値》","")</f>
        <v/>
      </c>
      <c r="B51" s="240"/>
      <c r="C51" s="11"/>
      <c r="D51" s="11"/>
      <c r="E51" s="220"/>
      <c r="F51" s="220"/>
      <c r="G51" s="220"/>
      <c r="H51" s="11"/>
      <c r="I51" s="11"/>
      <c r="J51" s="220"/>
      <c r="K51" s="184"/>
      <c r="L51" s="184"/>
      <c r="M51" s="11"/>
      <c r="N51" s="11"/>
      <c r="O51" s="195"/>
      <c r="P51" s="11"/>
      <c r="Q51" s="11"/>
      <c r="R51" s="12"/>
      <c r="S51" s="11"/>
      <c r="T51" s="220"/>
      <c r="U51" s="184"/>
      <c r="V51" s="184"/>
      <c r="W51" s="11"/>
      <c r="X51" s="11"/>
      <c r="Y51" s="220"/>
      <c r="Z51" s="184"/>
      <c r="AA51" s="184"/>
      <c r="AB51" s="11"/>
      <c r="AC51" s="11"/>
      <c r="AD51" s="220"/>
      <c r="AE51" s="184"/>
      <c r="AF51" s="184"/>
      <c r="AG51" s="11"/>
      <c r="AH51" s="11"/>
      <c r="AI51" s="220"/>
      <c r="AJ51" s="184"/>
      <c r="AK51" s="184"/>
      <c r="AL51" s="11"/>
      <c r="AM51" s="11"/>
      <c r="AN51" s="220"/>
      <c r="AO51" s="184"/>
      <c r="AP51" s="184"/>
      <c r="AQ51" s="11"/>
      <c r="AR51" s="11"/>
      <c r="AS51" s="220"/>
      <c r="AT51" s="184"/>
      <c r="AU51" s="184"/>
      <c r="AV51" s="11"/>
      <c r="AW51" s="11"/>
      <c r="AX51" s="220"/>
      <c r="AY51" s="184"/>
      <c r="AZ51" s="184"/>
      <c r="BA51" s="11"/>
      <c r="BB51" s="11"/>
      <c r="BC51" s="220"/>
      <c r="BD51" s="184"/>
      <c r="BE51" s="184"/>
      <c r="BF51" s="11"/>
      <c r="BG51" s="11"/>
      <c r="BH51" s="220"/>
      <c r="BI51" s="184"/>
      <c r="BJ51" s="184"/>
      <c r="BK51" s="184"/>
      <c r="BL51" s="184"/>
      <c r="BM51" s="184"/>
      <c r="BN51" s="184"/>
      <c r="BO51" s="184"/>
      <c r="BP51" s="184"/>
    </row>
    <row r="52">
      <c r="A52" s="228" t="str">
        <f>IFERROR(__xludf.DUMMYFUNCTION("TEXTJOIN(CHAR(10),TRUE,FILTER(ARRAYFORMULA(IF(AN$14:AN72&lt;&gt;"""",AM$14:AM72&amp;"" : ""&amp; AN$14:AN72 &amp;"" cm"" &amp; ""（仕上がり寸：cm）"","""")), AM$14:AM72 &lt;&gt;""""))"),"")</f>
        <v/>
      </c>
      <c r="B52" s="240"/>
      <c r="C52" s="11"/>
      <c r="D52" s="11"/>
      <c r="E52" s="220"/>
      <c r="F52" s="220"/>
      <c r="G52" s="220"/>
      <c r="H52" s="11"/>
      <c r="I52" s="11"/>
      <c r="J52" s="220"/>
      <c r="K52" s="184"/>
      <c r="L52" s="184"/>
      <c r="M52" s="11"/>
      <c r="N52" s="11"/>
      <c r="O52" s="195"/>
      <c r="P52" s="11"/>
      <c r="Q52" s="11"/>
      <c r="R52" s="12"/>
      <c r="S52" s="11"/>
      <c r="T52" s="220"/>
      <c r="U52" s="184"/>
      <c r="V52" s="184"/>
      <c r="W52" s="11"/>
      <c r="X52" s="11"/>
      <c r="Y52" s="220"/>
      <c r="Z52" s="184"/>
      <c r="AA52" s="184"/>
      <c r="AB52" s="11"/>
      <c r="AC52" s="11"/>
      <c r="AD52" s="220"/>
      <c r="AE52" s="184"/>
      <c r="AF52" s="184"/>
      <c r="AG52" s="11"/>
      <c r="AH52" s="11"/>
      <c r="AI52" s="220"/>
      <c r="AJ52" s="184"/>
      <c r="AK52" s="184"/>
      <c r="AL52" s="11"/>
      <c r="AM52" s="11"/>
      <c r="AN52" s="220"/>
      <c r="AO52" s="184"/>
      <c r="AP52" s="184"/>
      <c r="AQ52" s="11"/>
      <c r="AR52" s="11"/>
      <c r="AS52" s="220"/>
      <c r="AT52" s="184"/>
      <c r="AU52" s="184"/>
      <c r="AV52" s="11"/>
      <c r="AW52" s="11"/>
      <c r="AX52" s="220"/>
      <c r="AY52" s="184"/>
      <c r="AZ52" s="184"/>
      <c r="BA52" s="11"/>
      <c r="BB52" s="11"/>
      <c r="BC52" s="220"/>
      <c r="BD52" s="184"/>
      <c r="BE52" s="184"/>
      <c r="BF52" s="11"/>
      <c r="BG52" s="11"/>
      <c r="BH52" s="220"/>
      <c r="BI52" s="184"/>
      <c r="BJ52" s="184"/>
      <c r="BK52" s="184"/>
      <c r="BL52" s="184"/>
      <c r="BM52" s="184"/>
      <c r="BN52" s="184"/>
      <c r="BO52" s="184"/>
      <c r="BP52" s="184"/>
    </row>
    <row r="53">
      <c r="A53" s="243" t="s">
        <v>123</v>
      </c>
      <c r="B53" s="240"/>
      <c r="C53" s="11"/>
      <c r="D53" s="11"/>
      <c r="E53" s="220"/>
      <c r="F53" s="220"/>
      <c r="G53" s="220"/>
      <c r="H53" s="11"/>
      <c r="I53" s="11"/>
      <c r="J53" s="220"/>
      <c r="K53" s="184"/>
      <c r="L53" s="184"/>
      <c r="M53" s="11"/>
      <c r="N53" s="11"/>
      <c r="O53" s="195"/>
      <c r="P53" s="11"/>
      <c r="Q53" s="11"/>
      <c r="R53" s="12"/>
      <c r="S53" s="11"/>
      <c r="T53" s="220"/>
      <c r="U53" s="184"/>
      <c r="V53" s="184"/>
      <c r="W53" s="11"/>
      <c r="X53" s="11"/>
      <c r="Y53" s="220"/>
      <c r="Z53" s="184"/>
      <c r="AA53" s="184"/>
      <c r="AB53" s="11"/>
      <c r="AC53" s="11"/>
      <c r="AD53" s="220"/>
      <c r="AE53" s="184"/>
      <c r="AF53" s="184"/>
      <c r="AG53" s="11"/>
      <c r="AH53" s="11"/>
      <c r="AI53" s="220"/>
      <c r="AJ53" s="184"/>
      <c r="AK53" s="184"/>
      <c r="AL53" s="11"/>
      <c r="AM53" s="11"/>
      <c r="AN53" s="220"/>
      <c r="AO53" s="184"/>
      <c r="AP53" s="184"/>
      <c r="AQ53" s="11"/>
      <c r="AR53" s="11"/>
      <c r="AS53" s="220"/>
      <c r="AT53" s="184"/>
      <c r="AU53" s="184"/>
      <c r="AV53" s="11"/>
      <c r="AW53" s="11"/>
      <c r="AX53" s="220"/>
      <c r="AY53" s="184"/>
      <c r="AZ53" s="184"/>
      <c r="BA53" s="11"/>
      <c r="BB53" s="11"/>
      <c r="BC53" s="220"/>
      <c r="BD53" s="184"/>
      <c r="BE53" s="184"/>
      <c r="BF53" s="11"/>
      <c r="BG53" s="11"/>
      <c r="BH53" s="220"/>
      <c r="BI53" s="184"/>
      <c r="BJ53" s="184"/>
      <c r="BK53" s="184"/>
      <c r="BL53" s="184"/>
      <c r="BM53" s="184"/>
      <c r="BN53" s="184"/>
      <c r="BO53" s="184"/>
      <c r="BP53" s="184"/>
    </row>
    <row r="54">
      <c r="A54" s="245" t="str">
        <f>IF( $AR$11 = "再製作", "◼︎ ステンカラーコート（対応着地：再製作）" &amp;char(10)&amp; "《修正数値》", IF($AR$11 &lt;&gt; "", "◼︎ ステンカラーコート（対応着地：お直し）" &amp;char(10)&amp; "《修正数値》", ""))</f>
        <v/>
      </c>
      <c r="B54" s="240"/>
      <c r="C54" s="11"/>
      <c r="D54" s="11"/>
      <c r="E54" s="220"/>
      <c r="F54" s="220"/>
      <c r="G54" s="220"/>
      <c r="H54" s="11"/>
      <c r="I54" s="11"/>
      <c r="J54" s="220"/>
      <c r="K54" s="184"/>
      <c r="L54" s="184"/>
      <c r="M54" s="11"/>
      <c r="N54" s="11"/>
      <c r="O54" s="195"/>
      <c r="P54" s="11"/>
      <c r="Q54" s="11"/>
      <c r="R54" s="12"/>
      <c r="S54" s="11"/>
      <c r="T54" s="220"/>
      <c r="U54" s="184"/>
      <c r="V54" s="184"/>
      <c r="W54" s="11"/>
      <c r="X54" s="11"/>
      <c r="Y54" s="220"/>
      <c r="Z54" s="184"/>
      <c r="AA54" s="184"/>
      <c r="AB54" s="11"/>
      <c r="AC54" s="11"/>
      <c r="AD54" s="220"/>
      <c r="AE54" s="184"/>
      <c r="AF54" s="184"/>
      <c r="AG54" s="11"/>
      <c r="AH54" s="11"/>
      <c r="AI54" s="220"/>
      <c r="AJ54" s="184"/>
      <c r="AK54" s="184"/>
      <c r="AL54" s="11"/>
      <c r="AM54" s="11"/>
      <c r="AN54" s="220"/>
      <c r="AO54" s="184"/>
      <c r="AP54" s="184"/>
      <c r="AQ54" s="11"/>
      <c r="AR54" s="11"/>
      <c r="AS54" s="220"/>
      <c r="AT54" s="184"/>
      <c r="AU54" s="184"/>
      <c r="AV54" s="11"/>
      <c r="AW54" s="11"/>
      <c r="AX54" s="220"/>
      <c r="AY54" s="184"/>
      <c r="AZ54" s="184"/>
      <c r="BA54" s="11"/>
      <c r="BB54" s="11"/>
      <c r="BC54" s="220"/>
      <c r="BD54" s="184"/>
      <c r="BE54" s="184"/>
      <c r="BF54" s="11"/>
      <c r="BG54" s="11"/>
      <c r="BH54" s="220"/>
      <c r="BI54" s="184"/>
      <c r="BJ54" s="184"/>
      <c r="BK54" s="184"/>
      <c r="BL54" s="184"/>
      <c r="BM54" s="184"/>
      <c r="BN54" s="184"/>
      <c r="BO54" s="184"/>
      <c r="BP54" s="184"/>
    </row>
    <row r="55">
      <c r="A55" s="228" t="str">
        <f>IFERROR(__xludf.DUMMYFUNCTION("TEXTJOIN(CHAR(10),TRUE,FILTER(ARRAYFORMULA(IF(AS$14:AS72&lt;&gt;"""",AR$14:AR72&amp;"" : ""&amp; AS$14:AS72 &amp;"" cm"","""")), AR$14:AR72 &lt;&gt;""""))"),"")</f>
        <v/>
      </c>
      <c r="B55" s="240"/>
      <c r="C55" s="11"/>
      <c r="D55" s="11"/>
      <c r="E55" s="220"/>
      <c r="F55" s="220"/>
      <c r="G55" s="220"/>
      <c r="H55" s="11"/>
      <c r="I55" s="11"/>
      <c r="J55" s="220"/>
      <c r="K55" s="184"/>
      <c r="L55" s="184"/>
      <c r="M55" s="11"/>
      <c r="N55" s="11"/>
      <c r="O55" s="195"/>
      <c r="P55" s="11"/>
      <c r="Q55" s="11"/>
      <c r="R55" s="12"/>
      <c r="S55" s="11"/>
      <c r="T55" s="220"/>
      <c r="U55" s="184"/>
      <c r="V55" s="184"/>
      <c r="W55" s="11"/>
      <c r="X55" s="11"/>
      <c r="Y55" s="220"/>
      <c r="Z55" s="184"/>
      <c r="AA55" s="184"/>
      <c r="AB55" s="11"/>
      <c r="AC55" s="11"/>
      <c r="AD55" s="220"/>
      <c r="AE55" s="184"/>
      <c r="AF55" s="184"/>
      <c r="AG55" s="11"/>
      <c r="AH55" s="11"/>
      <c r="AI55" s="220"/>
      <c r="AJ55" s="184"/>
      <c r="AK55" s="184"/>
      <c r="AL55" s="11"/>
      <c r="AM55" s="11"/>
      <c r="AN55" s="220"/>
      <c r="AO55" s="184"/>
      <c r="AP55" s="184"/>
      <c r="AQ55" s="11"/>
      <c r="AR55" s="11"/>
      <c r="AS55" s="220"/>
      <c r="AT55" s="184"/>
      <c r="AU55" s="184"/>
      <c r="AV55" s="11"/>
      <c r="AW55" s="11"/>
      <c r="AX55" s="220"/>
      <c r="AY55" s="184"/>
      <c r="AZ55" s="184"/>
      <c r="BA55" s="11"/>
      <c r="BB55" s="11"/>
      <c r="BC55" s="220"/>
      <c r="BD55" s="184"/>
      <c r="BE55" s="184"/>
      <c r="BF55" s="11"/>
      <c r="BG55" s="11"/>
      <c r="BH55" s="220"/>
      <c r="BI55" s="184"/>
      <c r="BJ55" s="184"/>
      <c r="BK55" s="184"/>
      <c r="BL55" s="184"/>
      <c r="BM55" s="184"/>
      <c r="BN55" s="184"/>
      <c r="BO55" s="184"/>
      <c r="BP55" s="184"/>
    </row>
    <row r="56">
      <c r="A56" s="244" t="str">
        <f>if($A$54&lt;&gt;"", "《仕上がり数値》","")</f>
        <v/>
      </c>
      <c r="B56" s="240"/>
      <c r="C56" s="11"/>
      <c r="D56" s="11"/>
      <c r="E56" s="220"/>
      <c r="F56" s="220"/>
      <c r="G56" s="220"/>
      <c r="H56" s="11"/>
      <c r="I56" s="11"/>
      <c r="J56" s="220"/>
      <c r="K56" s="184"/>
      <c r="L56" s="184"/>
      <c r="M56" s="11"/>
      <c r="N56" s="11"/>
      <c r="O56" s="195"/>
      <c r="P56" s="11"/>
      <c r="Q56" s="11"/>
      <c r="R56" s="12"/>
      <c r="S56" s="11"/>
      <c r="T56" s="220"/>
      <c r="U56" s="184"/>
      <c r="V56" s="184"/>
      <c r="W56" s="11"/>
      <c r="X56" s="11"/>
      <c r="Y56" s="220"/>
      <c r="Z56" s="184"/>
      <c r="AA56" s="184"/>
      <c r="AB56" s="11"/>
      <c r="AC56" s="11"/>
      <c r="AD56" s="220"/>
      <c r="AE56" s="184"/>
      <c r="AF56" s="184"/>
      <c r="AG56" s="11"/>
      <c r="AH56" s="11"/>
      <c r="AI56" s="220"/>
      <c r="AJ56" s="184"/>
      <c r="AK56" s="184"/>
      <c r="AL56" s="11"/>
      <c r="AM56" s="11"/>
      <c r="AN56" s="220"/>
      <c r="AO56" s="184"/>
      <c r="AP56" s="184"/>
      <c r="AQ56" s="11"/>
      <c r="AR56" s="11"/>
      <c r="AS56" s="220"/>
      <c r="AT56" s="184"/>
      <c r="AU56" s="184"/>
      <c r="AV56" s="11"/>
      <c r="AW56" s="11"/>
      <c r="AX56" s="220"/>
      <c r="AY56" s="184"/>
      <c r="AZ56" s="184"/>
      <c r="BA56" s="11"/>
      <c r="BB56" s="11"/>
      <c r="BC56" s="220"/>
      <c r="BD56" s="184"/>
      <c r="BE56" s="184"/>
      <c r="BF56" s="11"/>
      <c r="BG56" s="11"/>
      <c r="BH56" s="220"/>
      <c r="BI56" s="184"/>
      <c r="BJ56" s="184"/>
      <c r="BK56" s="184"/>
      <c r="BL56" s="184"/>
      <c r="BM56" s="184"/>
      <c r="BN56" s="184"/>
      <c r="BO56" s="184"/>
      <c r="BP56" s="184"/>
    </row>
    <row r="57">
      <c r="A57" s="228" t="str">
        <f>IFERROR(__xludf.DUMMYFUNCTION("TEXTJOIN(CHAR(10),TRUE,FILTER(ARRAYFORMULA(IF(AS$14:AS72&lt;&gt;"""",AR$14:AR72&amp;"" :  cm"","""")), AR$14:AR72 &lt;&gt;""""))"),"")</f>
        <v/>
      </c>
      <c r="B57" s="240"/>
      <c r="C57" s="11"/>
      <c r="D57" s="11"/>
      <c r="E57" s="220"/>
      <c r="F57" s="220"/>
      <c r="G57" s="220"/>
      <c r="H57" s="11"/>
      <c r="I57" s="11"/>
      <c r="J57" s="220"/>
      <c r="K57" s="184"/>
      <c r="L57" s="184"/>
      <c r="M57" s="11"/>
      <c r="N57" s="11"/>
      <c r="O57" s="195"/>
      <c r="P57" s="11"/>
      <c r="Q57" s="11"/>
      <c r="R57" s="12"/>
      <c r="S57" s="11"/>
      <c r="T57" s="220"/>
      <c r="U57" s="184"/>
      <c r="V57" s="184"/>
      <c r="W57" s="11"/>
      <c r="X57" s="11"/>
      <c r="Y57" s="220"/>
      <c r="Z57" s="184"/>
      <c r="AA57" s="184"/>
      <c r="AB57" s="11"/>
      <c r="AC57" s="11"/>
      <c r="AD57" s="220"/>
      <c r="AE57" s="184"/>
      <c r="AF57" s="184"/>
      <c r="AG57" s="11"/>
      <c r="AH57" s="11"/>
      <c r="AI57" s="220"/>
      <c r="AJ57" s="184"/>
      <c r="AK57" s="184"/>
      <c r="AL57" s="11"/>
      <c r="AM57" s="11"/>
      <c r="AN57" s="220"/>
      <c r="AO57" s="184"/>
      <c r="AP57" s="184"/>
      <c r="AQ57" s="11"/>
      <c r="AR57" s="11"/>
      <c r="AS57" s="220"/>
      <c r="AT57" s="184"/>
      <c r="AU57" s="184"/>
      <c r="AV57" s="11"/>
      <c r="AW57" s="11"/>
      <c r="AX57" s="220"/>
      <c r="AY57" s="184"/>
      <c r="AZ57" s="184"/>
      <c r="BA57" s="11"/>
      <c r="BB57" s="11"/>
      <c r="BC57" s="220"/>
      <c r="BD57" s="184"/>
      <c r="BE57" s="184"/>
      <c r="BF57" s="11"/>
      <c r="BG57" s="11"/>
      <c r="BH57" s="220"/>
      <c r="BI57" s="184"/>
      <c r="BJ57" s="184"/>
      <c r="BK57" s="184"/>
      <c r="BL57" s="184"/>
      <c r="BM57" s="184"/>
      <c r="BN57" s="184"/>
      <c r="BO57" s="184"/>
      <c r="BP57" s="184"/>
    </row>
    <row r="58">
      <c r="A58" s="243" t="s">
        <v>124</v>
      </c>
      <c r="B58" s="240"/>
      <c r="C58" s="11"/>
      <c r="D58" s="11"/>
      <c r="E58" s="220"/>
      <c r="F58" s="220"/>
      <c r="G58" s="220"/>
      <c r="H58" s="11"/>
      <c r="I58" s="11"/>
      <c r="J58" s="220"/>
      <c r="K58" s="184"/>
      <c r="L58" s="184"/>
      <c r="M58" s="11"/>
      <c r="N58" s="11"/>
      <c r="O58" s="195"/>
      <c r="P58" s="11"/>
      <c r="Q58" s="11"/>
      <c r="R58" s="12"/>
      <c r="S58" s="11"/>
      <c r="T58" s="220"/>
      <c r="U58" s="184"/>
      <c r="V58" s="184"/>
      <c r="W58" s="11"/>
      <c r="X58" s="11"/>
      <c r="Y58" s="220"/>
      <c r="Z58" s="184"/>
      <c r="AA58" s="184"/>
      <c r="AB58" s="11"/>
      <c r="AC58" s="11"/>
      <c r="AD58" s="220"/>
      <c r="AE58" s="184"/>
      <c r="AF58" s="184"/>
      <c r="AG58" s="11"/>
      <c r="AH58" s="11"/>
      <c r="AI58" s="220"/>
      <c r="AJ58" s="184"/>
      <c r="AK58" s="184"/>
      <c r="AL58" s="11"/>
      <c r="AM58" s="11"/>
      <c r="AN58" s="220"/>
      <c r="AO58" s="184"/>
      <c r="AP58" s="184"/>
      <c r="AQ58" s="11"/>
      <c r="AR58" s="11"/>
      <c r="AS58" s="220"/>
      <c r="AT58" s="184"/>
      <c r="AU58" s="184"/>
      <c r="AV58" s="11"/>
      <c r="AW58" s="11"/>
      <c r="AX58" s="220"/>
      <c r="AY58" s="184"/>
      <c r="AZ58" s="184"/>
      <c r="BA58" s="11"/>
      <c r="BB58" s="11"/>
      <c r="BC58" s="220"/>
      <c r="BD58" s="184"/>
      <c r="BE58" s="184"/>
      <c r="BF58" s="11"/>
      <c r="BG58" s="11"/>
      <c r="BH58" s="220"/>
      <c r="BI58" s="184"/>
      <c r="BJ58" s="184"/>
      <c r="BK58" s="184"/>
      <c r="BL58" s="184"/>
      <c r="BM58" s="184"/>
      <c r="BN58" s="184"/>
      <c r="BO58" s="184"/>
      <c r="BP58" s="184"/>
    </row>
    <row r="59">
      <c r="A59" s="245" t="str">
        <f>IF( $AW$11 = "再製作", "◼︎ チェスターコート（対応着地：再製作）" &amp;char(10)&amp;"《修正数値》", IF($AW$11 &lt;&gt; "", "◼︎ チェスターコート（対応着地：お直し）" &amp;char(10)&amp;"《修正数値》", ""))</f>
        <v/>
      </c>
      <c r="B59" s="240"/>
      <c r="C59" s="11"/>
      <c r="D59" s="11"/>
      <c r="E59" s="220"/>
      <c r="F59" s="220"/>
      <c r="G59" s="220"/>
      <c r="H59" s="11"/>
      <c r="I59" s="11"/>
      <c r="J59" s="220"/>
      <c r="K59" s="184"/>
      <c r="L59" s="184"/>
      <c r="M59" s="11"/>
      <c r="N59" s="11"/>
      <c r="O59" s="195"/>
      <c r="P59" s="11"/>
      <c r="Q59" s="11"/>
      <c r="R59" s="12"/>
      <c r="S59" s="11"/>
      <c r="T59" s="220"/>
      <c r="U59" s="184"/>
      <c r="V59" s="184"/>
      <c r="W59" s="11"/>
      <c r="X59" s="11"/>
      <c r="Y59" s="220"/>
      <c r="Z59" s="184"/>
      <c r="AA59" s="184"/>
      <c r="AB59" s="11"/>
      <c r="AC59" s="11"/>
      <c r="AD59" s="220"/>
      <c r="AE59" s="184"/>
      <c r="AF59" s="184"/>
      <c r="AG59" s="11"/>
      <c r="AH59" s="11"/>
      <c r="AI59" s="220"/>
      <c r="AJ59" s="184"/>
      <c r="AK59" s="184"/>
      <c r="AL59" s="11"/>
      <c r="AM59" s="11"/>
      <c r="AN59" s="220"/>
      <c r="AO59" s="184"/>
      <c r="AP59" s="184"/>
      <c r="AQ59" s="11"/>
      <c r="AR59" s="11"/>
      <c r="AS59" s="220"/>
      <c r="AT59" s="184"/>
      <c r="AU59" s="184"/>
      <c r="AV59" s="11"/>
      <c r="AW59" s="11"/>
      <c r="AX59" s="220"/>
      <c r="AY59" s="184"/>
      <c r="AZ59" s="184"/>
      <c r="BA59" s="11"/>
      <c r="BB59" s="11"/>
      <c r="BC59" s="220"/>
      <c r="BD59" s="184"/>
      <c r="BE59" s="184"/>
      <c r="BF59" s="11"/>
      <c r="BG59" s="11"/>
      <c r="BH59" s="220"/>
      <c r="BI59" s="184"/>
      <c r="BJ59" s="184"/>
      <c r="BK59" s="184"/>
      <c r="BL59" s="184"/>
      <c r="BM59" s="184"/>
      <c r="BN59" s="184"/>
      <c r="BO59" s="184"/>
      <c r="BP59" s="184"/>
    </row>
    <row r="60">
      <c r="A60" s="228" t="str">
        <f>IFERROR(__xludf.DUMMYFUNCTION("TEXTJOIN(CHAR(10),TRUE,FILTER(ARRAYFORMULA(IF(AX$14:AX72&lt;&gt;"""",AW$14:AW72&amp;"" : ""&amp; AX$14:AX72 &amp;"" cm"","""")), AC$14:AC72 &lt;&gt;""""))"),"")</f>
        <v/>
      </c>
      <c r="B60" s="240"/>
      <c r="C60" s="11"/>
      <c r="D60" s="11"/>
      <c r="E60" s="220"/>
      <c r="F60" s="220"/>
      <c r="G60" s="220"/>
      <c r="H60" s="11"/>
      <c r="I60" s="11"/>
      <c r="J60" s="220"/>
      <c r="K60" s="184"/>
      <c r="L60" s="184"/>
      <c r="M60" s="11"/>
      <c r="N60" s="11"/>
      <c r="O60" s="195"/>
      <c r="P60" s="11"/>
      <c r="Q60" s="11"/>
      <c r="R60" s="12"/>
      <c r="S60" s="11"/>
      <c r="T60" s="220"/>
      <c r="U60" s="184"/>
      <c r="V60" s="184"/>
      <c r="W60" s="11"/>
      <c r="X60" s="11"/>
      <c r="Y60" s="220"/>
      <c r="Z60" s="184"/>
      <c r="AA60" s="184"/>
      <c r="AB60" s="11"/>
      <c r="AC60" s="11"/>
      <c r="AD60" s="220"/>
      <c r="AE60" s="184"/>
      <c r="AF60" s="184"/>
      <c r="AG60" s="11"/>
      <c r="AH60" s="11"/>
      <c r="AI60" s="220"/>
      <c r="AJ60" s="184"/>
      <c r="AK60" s="184"/>
      <c r="AL60" s="11"/>
      <c r="AM60" s="11"/>
      <c r="AN60" s="220"/>
      <c r="AO60" s="184"/>
      <c r="AP60" s="184"/>
      <c r="AQ60" s="11"/>
      <c r="AR60" s="11"/>
      <c r="AS60" s="220"/>
      <c r="AT60" s="184"/>
      <c r="AU60" s="184"/>
      <c r="AV60" s="11"/>
      <c r="AW60" s="11"/>
      <c r="AX60" s="220"/>
      <c r="AY60" s="184"/>
      <c r="AZ60" s="184"/>
      <c r="BA60" s="11"/>
      <c r="BB60" s="11"/>
      <c r="BC60" s="220"/>
      <c r="BD60" s="184"/>
      <c r="BE60" s="184"/>
      <c r="BF60" s="11"/>
      <c r="BG60" s="11"/>
      <c r="BH60" s="220"/>
      <c r="BI60" s="184"/>
      <c r="BJ60" s="184"/>
      <c r="BK60" s="184"/>
      <c r="BL60" s="184"/>
      <c r="BM60" s="184"/>
      <c r="BN60" s="184"/>
      <c r="BO60" s="184"/>
      <c r="BP60" s="184"/>
    </row>
    <row r="61">
      <c r="A61" s="244" t="str">
        <f>if($A$59&lt;&gt;"", "《仕上がり数値》","")</f>
        <v/>
      </c>
      <c r="B61" s="240"/>
      <c r="C61" s="11"/>
      <c r="D61" s="11"/>
      <c r="E61" s="220"/>
      <c r="F61" s="220"/>
      <c r="G61" s="220"/>
      <c r="H61" s="11"/>
      <c r="I61" s="11"/>
      <c r="J61" s="220"/>
      <c r="K61" s="184"/>
      <c r="L61" s="184"/>
      <c r="M61" s="11"/>
      <c r="N61" s="11"/>
      <c r="O61" s="195"/>
      <c r="P61" s="11"/>
      <c r="Q61" s="11"/>
      <c r="R61" s="12"/>
      <c r="S61" s="11"/>
      <c r="T61" s="220"/>
      <c r="U61" s="184"/>
      <c r="V61" s="184"/>
      <c r="W61" s="11"/>
      <c r="X61" s="11"/>
      <c r="Y61" s="220"/>
      <c r="Z61" s="184"/>
      <c r="AA61" s="184"/>
      <c r="AB61" s="11"/>
      <c r="AC61" s="11"/>
      <c r="AD61" s="220"/>
      <c r="AE61" s="184"/>
      <c r="AF61" s="184"/>
      <c r="AG61" s="11"/>
      <c r="AH61" s="11"/>
      <c r="AI61" s="220"/>
      <c r="AJ61" s="184"/>
      <c r="AK61" s="184"/>
      <c r="AL61" s="11"/>
      <c r="AM61" s="11"/>
      <c r="AN61" s="220"/>
      <c r="AO61" s="184"/>
      <c r="AP61" s="184"/>
      <c r="AQ61" s="11"/>
      <c r="AR61" s="11"/>
      <c r="AS61" s="220"/>
      <c r="AT61" s="184"/>
      <c r="AU61" s="184"/>
      <c r="AV61" s="11"/>
      <c r="AW61" s="11"/>
      <c r="AX61" s="220"/>
      <c r="AY61" s="184"/>
      <c r="AZ61" s="184"/>
      <c r="BA61" s="11"/>
      <c r="BB61" s="11"/>
      <c r="BC61" s="220"/>
      <c r="BD61" s="184"/>
      <c r="BE61" s="184"/>
      <c r="BF61" s="11"/>
      <c r="BG61" s="11"/>
      <c r="BH61" s="220"/>
      <c r="BI61" s="184"/>
      <c r="BJ61" s="184"/>
      <c r="BK61" s="184"/>
      <c r="BL61" s="184"/>
      <c r="BM61" s="184"/>
      <c r="BN61" s="184"/>
      <c r="BO61" s="184"/>
      <c r="BP61" s="184"/>
    </row>
    <row r="62">
      <c r="A62" s="228" t="str">
        <f>IFERROR(__xludf.DUMMYFUNCTION("TEXTJOIN(CHAR(10),TRUE,FILTER(ARRAYFORMULA(IF(AX$14:AX72&lt;&gt;"""",AW$14:AW72&amp;"" :  cm"","""")), AC$14:AC72 &lt;&gt;""""))"),"")</f>
        <v/>
      </c>
      <c r="B62" s="240"/>
      <c r="C62" s="11"/>
      <c r="D62" s="11"/>
      <c r="E62" s="220"/>
      <c r="F62" s="220"/>
      <c r="G62" s="220"/>
      <c r="H62" s="11"/>
      <c r="I62" s="11"/>
      <c r="J62" s="220"/>
      <c r="K62" s="184"/>
      <c r="L62" s="184"/>
      <c r="M62" s="11"/>
      <c r="N62" s="11"/>
      <c r="O62" s="195"/>
      <c r="P62" s="11"/>
      <c r="Q62" s="11"/>
      <c r="R62" s="12"/>
      <c r="S62" s="11"/>
      <c r="T62" s="220"/>
      <c r="U62" s="184"/>
      <c r="V62" s="184"/>
      <c r="W62" s="11"/>
      <c r="X62" s="11"/>
      <c r="Y62" s="220"/>
      <c r="Z62" s="184"/>
      <c r="AA62" s="184"/>
      <c r="AB62" s="11"/>
      <c r="AC62" s="11"/>
      <c r="AD62" s="220"/>
      <c r="AE62" s="184"/>
      <c r="AF62" s="184"/>
      <c r="AG62" s="11"/>
      <c r="AH62" s="11"/>
      <c r="AI62" s="220"/>
      <c r="AJ62" s="184"/>
      <c r="AK62" s="184"/>
      <c r="AL62" s="11"/>
      <c r="AM62" s="11"/>
      <c r="AN62" s="220"/>
      <c r="AO62" s="184"/>
      <c r="AP62" s="184"/>
      <c r="AQ62" s="11"/>
      <c r="AR62" s="11"/>
      <c r="AS62" s="220"/>
      <c r="AT62" s="184"/>
      <c r="AU62" s="184"/>
      <c r="AV62" s="11"/>
      <c r="AW62" s="11"/>
      <c r="AX62" s="220"/>
      <c r="AY62" s="184"/>
      <c r="AZ62" s="184"/>
      <c r="BA62" s="11"/>
      <c r="BB62" s="11"/>
      <c r="BC62" s="220"/>
      <c r="BD62" s="184"/>
      <c r="BE62" s="184"/>
      <c r="BF62" s="11"/>
      <c r="BG62" s="11"/>
      <c r="BH62" s="220"/>
      <c r="BI62" s="184"/>
      <c r="BJ62" s="184"/>
      <c r="BK62" s="184"/>
      <c r="BL62" s="184"/>
      <c r="BM62" s="184"/>
      <c r="BN62" s="184"/>
      <c r="BO62" s="184"/>
      <c r="BP62" s="184"/>
    </row>
    <row r="63">
      <c r="A63" s="243" t="s">
        <v>125</v>
      </c>
      <c r="B63" s="240"/>
      <c r="C63" s="11"/>
      <c r="D63" s="11"/>
      <c r="E63" s="220"/>
      <c r="F63" s="220"/>
      <c r="G63" s="220"/>
      <c r="H63" s="11"/>
      <c r="I63" s="11"/>
      <c r="J63" s="220"/>
      <c r="K63" s="184"/>
      <c r="L63" s="184"/>
      <c r="M63" s="11"/>
      <c r="N63" s="11"/>
      <c r="O63" s="195"/>
      <c r="P63" s="11"/>
      <c r="Q63" s="11"/>
      <c r="R63" s="12"/>
      <c r="S63" s="11"/>
      <c r="T63" s="220"/>
      <c r="U63" s="184"/>
      <c r="V63" s="184"/>
      <c r="W63" s="11"/>
      <c r="X63" s="11"/>
      <c r="Y63" s="220"/>
      <c r="Z63" s="184"/>
      <c r="AA63" s="184"/>
      <c r="AB63" s="11"/>
      <c r="AC63" s="11"/>
      <c r="AD63" s="220"/>
      <c r="AE63" s="184"/>
      <c r="AF63" s="184"/>
      <c r="AG63" s="11"/>
      <c r="AH63" s="11"/>
      <c r="AI63" s="220"/>
      <c r="AJ63" s="184"/>
      <c r="AK63" s="184"/>
      <c r="AL63" s="11"/>
      <c r="AM63" s="11"/>
      <c r="AN63" s="220"/>
      <c r="AO63" s="184"/>
      <c r="AP63" s="184"/>
      <c r="AQ63" s="11"/>
      <c r="AR63" s="11"/>
      <c r="AS63" s="220"/>
      <c r="AT63" s="184"/>
      <c r="AU63" s="184"/>
      <c r="AV63" s="11"/>
      <c r="AW63" s="11"/>
      <c r="AX63" s="220"/>
      <c r="AY63" s="184"/>
      <c r="AZ63" s="184"/>
      <c r="BA63" s="11"/>
      <c r="BB63" s="11"/>
      <c r="BC63" s="220"/>
      <c r="BD63" s="184"/>
      <c r="BE63" s="184"/>
      <c r="BF63" s="11"/>
      <c r="BG63" s="11"/>
      <c r="BH63" s="220"/>
      <c r="BI63" s="184"/>
      <c r="BJ63" s="184"/>
      <c r="BK63" s="184"/>
      <c r="BL63" s="184"/>
      <c r="BM63" s="184"/>
      <c r="BN63" s="184"/>
      <c r="BO63" s="184"/>
      <c r="BP63" s="184"/>
    </row>
    <row r="64">
      <c r="A64" s="245" t="str">
        <f>IF( $BB$11 = "再製作", "◼︎ トレンチコート（対応着地：再製作）" &amp;char(10)&amp; "《修正数値》", IF($BB$11 &lt;&gt; "", "◼︎ トレンチコート（対応着地：お直し）" &amp;char(10)&amp; "《修正数値》", ""))</f>
        <v/>
      </c>
      <c r="B64" s="240"/>
      <c r="C64" s="11"/>
      <c r="D64" s="11"/>
      <c r="E64" s="220"/>
      <c r="F64" s="220"/>
      <c r="G64" s="220"/>
      <c r="H64" s="11"/>
      <c r="I64" s="11"/>
      <c r="J64" s="220"/>
      <c r="K64" s="184"/>
      <c r="L64" s="184"/>
      <c r="M64" s="11"/>
      <c r="N64" s="11"/>
      <c r="O64" s="195"/>
      <c r="P64" s="11"/>
      <c r="Q64" s="11"/>
      <c r="R64" s="12"/>
      <c r="S64" s="11"/>
      <c r="T64" s="220"/>
      <c r="U64" s="184"/>
      <c r="V64" s="184"/>
      <c r="W64" s="11"/>
      <c r="X64" s="11"/>
      <c r="Y64" s="220"/>
      <c r="Z64" s="184"/>
      <c r="AA64" s="184"/>
      <c r="AB64" s="11"/>
      <c r="AC64" s="11"/>
      <c r="AD64" s="220"/>
      <c r="AE64" s="184"/>
      <c r="AF64" s="184"/>
      <c r="AG64" s="11"/>
      <c r="AH64" s="11"/>
      <c r="AI64" s="220"/>
      <c r="AJ64" s="184"/>
      <c r="AK64" s="184"/>
      <c r="AL64" s="11"/>
      <c r="AM64" s="11"/>
      <c r="AN64" s="220"/>
      <c r="AO64" s="184"/>
      <c r="AP64" s="184"/>
      <c r="AQ64" s="11"/>
      <c r="AR64" s="11"/>
      <c r="AS64" s="220"/>
      <c r="AT64" s="184"/>
      <c r="AU64" s="184"/>
      <c r="AV64" s="11"/>
      <c r="AW64" s="11"/>
      <c r="AX64" s="220"/>
      <c r="AY64" s="184"/>
      <c r="AZ64" s="184"/>
      <c r="BA64" s="11"/>
      <c r="BB64" s="11"/>
      <c r="BC64" s="220"/>
      <c r="BD64" s="184"/>
      <c r="BE64" s="184"/>
      <c r="BF64" s="11"/>
      <c r="BG64" s="11"/>
      <c r="BH64" s="220"/>
      <c r="BI64" s="184"/>
      <c r="BJ64" s="184"/>
      <c r="BK64" s="184"/>
      <c r="BL64" s="184"/>
      <c r="BM64" s="184"/>
      <c r="BN64" s="184"/>
      <c r="BO64" s="184"/>
      <c r="BP64" s="184"/>
    </row>
    <row r="65">
      <c r="A65" s="228" t="str">
        <f>IFERROR(__xludf.DUMMYFUNCTION("TEXTJOIN(CHAR(10),TRUE,FILTER(ARRAYFORMULA(IF(BC$14:BC72&lt;&gt;"""",BB$14:BB72&amp;"" : ""&amp; BC$14:BC72 &amp;"" cm"","""")), BB$14:BB72 &lt;&gt;""""))"),"")</f>
        <v/>
      </c>
      <c r="B65" s="240"/>
      <c r="C65" s="11"/>
      <c r="D65" s="11"/>
      <c r="E65" s="220"/>
      <c r="F65" s="220"/>
      <c r="G65" s="220"/>
      <c r="H65" s="11"/>
      <c r="I65" s="11"/>
      <c r="J65" s="220"/>
      <c r="K65" s="184"/>
      <c r="L65" s="184"/>
      <c r="M65" s="11"/>
      <c r="N65" s="11"/>
      <c r="O65" s="195"/>
      <c r="P65" s="11"/>
      <c r="Q65" s="11"/>
      <c r="R65" s="12"/>
      <c r="S65" s="11"/>
      <c r="T65" s="220"/>
      <c r="U65" s="184"/>
      <c r="V65" s="184"/>
      <c r="W65" s="11"/>
      <c r="X65" s="11"/>
      <c r="Y65" s="220"/>
      <c r="Z65" s="184"/>
      <c r="AA65" s="184"/>
      <c r="AB65" s="11"/>
      <c r="AC65" s="11"/>
      <c r="AD65" s="220"/>
      <c r="AE65" s="184"/>
      <c r="AF65" s="184"/>
      <c r="AG65" s="11"/>
      <c r="AH65" s="11"/>
      <c r="AI65" s="220"/>
      <c r="AJ65" s="184"/>
      <c r="AK65" s="184"/>
      <c r="AL65" s="11"/>
      <c r="AM65" s="11"/>
      <c r="AN65" s="220"/>
      <c r="AO65" s="184"/>
      <c r="AP65" s="184"/>
      <c r="AQ65" s="11"/>
      <c r="AR65" s="11"/>
      <c r="AS65" s="220"/>
      <c r="AT65" s="184"/>
      <c r="AU65" s="184"/>
      <c r="AV65" s="11"/>
      <c r="AW65" s="11"/>
      <c r="AX65" s="220"/>
      <c r="AY65" s="184"/>
      <c r="AZ65" s="184"/>
      <c r="BA65" s="11"/>
      <c r="BB65" s="11"/>
      <c r="BC65" s="220"/>
      <c r="BD65" s="184"/>
      <c r="BE65" s="184"/>
      <c r="BF65" s="11"/>
      <c r="BG65" s="11"/>
      <c r="BH65" s="220"/>
      <c r="BI65" s="184"/>
      <c r="BJ65" s="184"/>
      <c r="BK65" s="184"/>
      <c r="BL65" s="184"/>
      <c r="BM65" s="184"/>
      <c r="BN65" s="184"/>
      <c r="BO65" s="184"/>
      <c r="BP65" s="184"/>
    </row>
    <row r="66">
      <c r="A66" s="244" t="str">
        <f>if($A$64&lt;&gt;"", "《仕上がり数値》","")</f>
        <v/>
      </c>
      <c r="B66" s="240"/>
      <c r="C66" s="11"/>
      <c r="D66" s="11"/>
      <c r="E66" s="220"/>
      <c r="F66" s="220"/>
      <c r="G66" s="220"/>
      <c r="H66" s="11"/>
      <c r="I66" s="11"/>
      <c r="J66" s="220"/>
      <c r="K66" s="184"/>
      <c r="L66" s="184"/>
      <c r="M66" s="11"/>
      <c r="N66" s="11"/>
      <c r="O66" s="195"/>
      <c r="P66" s="11"/>
      <c r="Q66" s="11"/>
      <c r="R66" s="12"/>
      <c r="S66" s="11"/>
      <c r="T66" s="220"/>
      <c r="U66" s="184"/>
      <c r="V66" s="184"/>
      <c r="W66" s="11"/>
      <c r="X66" s="11"/>
      <c r="Y66" s="220"/>
      <c r="Z66" s="184"/>
      <c r="AA66" s="184"/>
      <c r="AB66" s="11"/>
      <c r="AC66" s="11"/>
      <c r="AD66" s="220"/>
      <c r="AE66" s="184"/>
      <c r="AF66" s="184"/>
      <c r="AG66" s="11"/>
      <c r="AH66" s="11"/>
      <c r="AI66" s="220"/>
      <c r="AJ66" s="184"/>
      <c r="AK66" s="184"/>
      <c r="AL66" s="11"/>
      <c r="AM66" s="11"/>
      <c r="AN66" s="220"/>
      <c r="AO66" s="184"/>
      <c r="AP66" s="184"/>
      <c r="AQ66" s="11"/>
      <c r="AR66" s="11"/>
      <c r="AS66" s="220"/>
      <c r="AT66" s="184"/>
      <c r="AU66" s="184"/>
      <c r="AV66" s="11"/>
      <c r="AW66" s="11"/>
      <c r="AX66" s="220"/>
      <c r="AY66" s="184"/>
      <c r="AZ66" s="184"/>
      <c r="BA66" s="11"/>
      <c r="BB66" s="11"/>
      <c r="BC66" s="220"/>
      <c r="BD66" s="184"/>
      <c r="BE66" s="184"/>
      <c r="BF66" s="11"/>
      <c r="BG66" s="11"/>
      <c r="BH66" s="220"/>
      <c r="BI66" s="184"/>
      <c r="BJ66" s="184"/>
      <c r="BK66" s="184"/>
      <c r="BL66" s="184"/>
      <c r="BM66" s="184"/>
      <c r="BN66" s="184"/>
      <c r="BO66" s="184"/>
      <c r="BP66" s="184"/>
    </row>
    <row r="67">
      <c r="A67" s="228" t="str">
        <f>IFERROR(__xludf.DUMMYFUNCTION("TEXTJOIN(CHAR(10),TRUE,FILTER(ARRAYFORMULA(IF(BC$14:BC72&lt;&gt;"""",BB$14:BB72&amp;"" :  cm"","""")), BB$14:BB72 &lt;&gt;""""))"),"")</f>
        <v/>
      </c>
      <c r="B67" s="240"/>
      <c r="C67" s="11"/>
      <c r="D67" s="11"/>
      <c r="E67" s="220"/>
      <c r="F67" s="220"/>
      <c r="G67" s="220"/>
      <c r="H67" s="11"/>
      <c r="I67" s="11"/>
      <c r="J67" s="220"/>
      <c r="K67" s="184"/>
      <c r="L67" s="184"/>
      <c r="M67" s="11"/>
      <c r="N67" s="11"/>
      <c r="O67" s="195"/>
      <c r="P67" s="11"/>
      <c r="Q67" s="11"/>
      <c r="R67" s="12"/>
      <c r="S67" s="11"/>
      <c r="T67" s="220"/>
      <c r="U67" s="184"/>
      <c r="V67" s="184"/>
      <c r="W67" s="11"/>
      <c r="X67" s="11"/>
      <c r="Y67" s="220"/>
      <c r="Z67" s="184"/>
      <c r="AA67" s="184"/>
      <c r="AB67" s="11"/>
      <c r="AC67" s="11"/>
      <c r="AD67" s="220"/>
      <c r="AE67" s="184"/>
      <c r="AF67" s="184"/>
      <c r="AG67" s="11"/>
      <c r="AH67" s="11"/>
      <c r="AI67" s="220"/>
      <c r="AJ67" s="184"/>
      <c r="AK67" s="184"/>
      <c r="AL67" s="11"/>
      <c r="AM67" s="11"/>
      <c r="AN67" s="220"/>
      <c r="AO67" s="184"/>
      <c r="AP67" s="184"/>
      <c r="AQ67" s="11"/>
      <c r="AR67" s="11"/>
      <c r="AS67" s="220"/>
      <c r="AT67" s="184"/>
      <c r="AU67" s="184"/>
      <c r="AV67" s="11"/>
      <c r="AW67" s="11"/>
      <c r="AX67" s="220"/>
      <c r="AY67" s="184"/>
      <c r="AZ67" s="184"/>
      <c r="BA67" s="11"/>
      <c r="BB67" s="11"/>
      <c r="BC67" s="220"/>
      <c r="BD67" s="184"/>
      <c r="BE67" s="184"/>
      <c r="BF67" s="11"/>
      <c r="BG67" s="11"/>
      <c r="BH67" s="220"/>
      <c r="BI67" s="184"/>
      <c r="BJ67" s="184"/>
      <c r="BK67" s="184"/>
      <c r="BL67" s="184"/>
      <c r="BM67" s="184"/>
      <c r="BN67" s="184"/>
      <c r="BO67" s="184"/>
      <c r="BP67" s="184"/>
    </row>
    <row r="68">
      <c r="A68" s="243" t="s">
        <v>126</v>
      </c>
      <c r="B68" s="240"/>
      <c r="C68" s="11"/>
      <c r="D68" s="11"/>
      <c r="E68" s="220"/>
      <c r="F68" s="220"/>
      <c r="G68" s="220"/>
      <c r="H68" s="11"/>
      <c r="I68" s="11"/>
      <c r="J68" s="220"/>
      <c r="K68" s="184"/>
      <c r="L68" s="184"/>
      <c r="M68" s="11"/>
      <c r="N68" s="11"/>
      <c r="O68" s="195"/>
      <c r="P68" s="11"/>
      <c r="Q68" s="11"/>
      <c r="R68" s="12"/>
      <c r="S68" s="11"/>
      <c r="T68" s="220"/>
      <c r="U68" s="184"/>
      <c r="V68" s="184"/>
      <c r="W68" s="11"/>
      <c r="X68" s="11"/>
      <c r="Y68" s="220"/>
      <c r="Z68" s="184"/>
      <c r="AA68" s="184"/>
      <c r="AB68" s="11"/>
      <c r="AC68" s="11"/>
      <c r="AD68" s="220"/>
      <c r="AE68" s="184"/>
      <c r="AF68" s="184"/>
      <c r="AG68" s="11"/>
      <c r="AH68" s="11"/>
      <c r="AI68" s="220"/>
      <c r="AJ68" s="184"/>
      <c r="AK68" s="184"/>
      <c r="AL68" s="11"/>
      <c r="AM68" s="11"/>
      <c r="AN68" s="220"/>
      <c r="AO68" s="184"/>
      <c r="AP68" s="184"/>
      <c r="AQ68" s="11"/>
      <c r="AR68" s="11"/>
      <c r="AS68" s="220"/>
      <c r="AT68" s="184"/>
      <c r="AU68" s="184"/>
      <c r="AV68" s="11"/>
      <c r="AW68" s="11"/>
      <c r="AX68" s="220"/>
      <c r="AY68" s="184"/>
      <c r="AZ68" s="184"/>
      <c r="BA68" s="11"/>
      <c r="BB68" s="11"/>
      <c r="BC68" s="220"/>
      <c r="BD68" s="184"/>
      <c r="BE68" s="184"/>
      <c r="BF68" s="11"/>
      <c r="BG68" s="11"/>
      <c r="BH68" s="220"/>
      <c r="BI68" s="184"/>
      <c r="BJ68" s="184"/>
      <c r="BK68" s="184"/>
      <c r="BL68" s="184"/>
      <c r="BM68" s="184"/>
      <c r="BN68" s="184"/>
      <c r="BO68" s="184"/>
      <c r="BP68" s="184"/>
    </row>
    <row r="69">
      <c r="A69" s="245" t="str">
        <f>IF( $BG$11 = "再製作", "◼︎ フーデッドコート（対応着地：再製作）"&amp;char(10)&amp;"《修正数値》", IF($BG$11 &lt;&gt; "", "◼︎ フーデッドコート（対応着地：お直し）"&amp;char(10)&amp;"《修正数値》", ""))</f>
        <v/>
      </c>
      <c r="B69" s="240"/>
      <c r="C69" s="11"/>
      <c r="D69" s="11"/>
      <c r="E69" s="220"/>
      <c r="F69" s="220"/>
      <c r="G69" s="220"/>
      <c r="H69" s="11"/>
      <c r="I69" s="11"/>
      <c r="J69" s="220"/>
      <c r="K69" s="184"/>
      <c r="L69" s="184"/>
      <c r="M69" s="11"/>
      <c r="N69" s="11"/>
      <c r="O69" s="195"/>
      <c r="P69" s="11"/>
      <c r="Q69" s="11"/>
      <c r="R69" s="12"/>
      <c r="S69" s="11"/>
      <c r="T69" s="220"/>
      <c r="U69" s="184"/>
      <c r="V69" s="184"/>
      <c r="W69" s="11"/>
      <c r="X69" s="11"/>
      <c r="Y69" s="220"/>
      <c r="Z69" s="184"/>
      <c r="AA69" s="184"/>
      <c r="AB69" s="11"/>
      <c r="AC69" s="11"/>
      <c r="AD69" s="220"/>
      <c r="AE69" s="184"/>
      <c r="AF69" s="184"/>
      <c r="AG69" s="11"/>
      <c r="AH69" s="11"/>
      <c r="AI69" s="220"/>
      <c r="AJ69" s="184"/>
      <c r="AK69" s="184"/>
      <c r="AL69" s="11"/>
      <c r="AM69" s="11"/>
      <c r="AN69" s="220"/>
      <c r="AO69" s="184"/>
      <c r="AP69" s="184"/>
      <c r="AQ69" s="11"/>
      <c r="AR69" s="11"/>
      <c r="AS69" s="220"/>
      <c r="AT69" s="184"/>
      <c r="AU69" s="184"/>
      <c r="AV69" s="11"/>
      <c r="AW69" s="11"/>
      <c r="AX69" s="220"/>
      <c r="AY69" s="184"/>
      <c r="AZ69" s="184"/>
      <c r="BA69" s="11"/>
      <c r="BB69" s="11"/>
      <c r="BC69" s="220"/>
      <c r="BD69" s="184"/>
      <c r="BE69" s="184"/>
      <c r="BF69" s="11"/>
      <c r="BG69" s="11"/>
      <c r="BH69" s="220"/>
      <c r="BI69" s="184"/>
      <c r="BJ69" s="184"/>
      <c r="BK69" s="184"/>
      <c r="BL69" s="184"/>
      <c r="BM69" s="184"/>
      <c r="BN69" s="184"/>
      <c r="BO69" s="184"/>
      <c r="BP69" s="184"/>
    </row>
    <row r="70">
      <c r="A70" s="228" t="str">
        <f>IFERROR(__xludf.DUMMYFUNCTION("TEXTJOIN(CHAR(10),TRUE,FILTER(ARRAYFORMULA(IF(BH$14:BH72&lt;&gt;"""",BG$14:BG72&amp;"" : ""&amp; BH$14:BH72 &amp;"" cm"","""")), BG$14:BG72 &lt;&gt;""""))"),"")</f>
        <v/>
      </c>
      <c r="B70" s="240"/>
      <c r="C70" s="11"/>
      <c r="D70" s="11"/>
      <c r="E70" s="220"/>
      <c r="F70" s="220"/>
      <c r="G70" s="220"/>
      <c r="H70" s="11"/>
      <c r="I70" s="11"/>
      <c r="J70" s="220"/>
      <c r="K70" s="184"/>
      <c r="L70" s="184"/>
      <c r="M70" s="11"/>
      <c r="N70" s="11"/>
      <c r="O70" s="195"/>
      <c r="P70" s="11"/>
      <c r="Q70" s="11"/>
      <c r="R70" s="12"/>
      <c r="S70" s="11"/>
      <c r="T70" s="220"/>
      <c r="U70" s="184"/>
      <c r="V70" s="184"/>
      <c r="W70" s="11"/>
      <c r="X70" s="11"/>
      <c r="Y70" s="220"/>
      <c r="Z70" s="184"/>
      <c r="AA70" s="184"/>
      <c r="AB70" s="11"/>
      <c r="AC70" s="11"/>
      <c r="AD70" s="220"/>
      <c r="AE70" s="184"/>
      <c r="AF70" s="184"/>
      <c r="AG70" s="11"/>
      <c r="AH70" s="11"/>
      <c r="AI70" s="220"/>
      <c r="AJ70" s="184"/>
      <c r="AK70" s="184"/>
      <c r="AL70" s="11"/>
      <c r="AM70" s="11"/>
      <c r="AN70" s="220"/>
      <c r="AO70" s="184"/>
      <c r="AP70" s="184"/>
      <c r="AQ70" s="11"/>
      <c r="AR70" s="11"/>
      <c r="AS70" s="220"/>
      <c r="AT70" s="184"/>
      <c r="AU70" s="184"/>
      <c r="AV70" s="11"/>
      <c r="AW70" s="11"/>
      <c r="AX70" s="220"/>
      <c r="AY70" s="184"/>
      <c r="AZ70" s="184"/>
      <c r="BA70" s="11"/>
      <c r="BB70" s="11"/>
      <c r="BC70" s="220"/>
      <c r="BD70" s="184"/>
      <c r="BE70" s="184"/>
      <c r="BF70" s="11"/>
      <c r="BG70" s="11"/>
      <c r="BH70" s="220"/>
      <c r="BI70" s="184"/>
      <c r="BJ70" s="184"/>
      <c r="BK70" s="184"/>
      <c r="BL70" s="184"/>
      <c r="BM70" s="184"/>
      <c r="BN70" s="184"/>
      <c r="BO70" s="184"/>
      <c r="BP70" s="184"/>
    </row>
    <row r="71">
      <c r="A71" s="244" t="str">
        <f>if($A$69&lt;&gt;"", "《仕上がり数値》","")</f>
        <v/>
      </c>
      <c r="B71" s="240"/>
      <c r="C71" s="11"/>
      <c r="D71" s="11"/>
      <c r="E71" s="220"/>
      <c r="F71" s="220"/>
      <c r="G71" s="220"/>
      <c r="H71" s="11"/>
      <c r="I71" s="11"/>
      <c r="J71" s="220"/>
      <c r="K71" s="184"/>
      <c r="L71" s="184"/>
      <c r="M71" s="11"/>
      <c r="N71" s="11"/>
      <c r="O71" s="195"/>
      <c r="P71" s="11"/>
      <c r="Q71" s="11"/>
      <c r="R71" s="12"/>
      <c r="S71" s="11"/>
      <c r="T71" s="220"/>
      <c r="U71" s="184"/>
      <c r="V71" s="184"/>
      <c r="W71" s="11"/>
      <c r="X71" s="11"/>
      <c r="Y71" s="220"/>
      <c r="Z71" s="184"/>
      <c r="AA71" s="184"/>
      <c r="AB71" s="11"/>
      <c r="AC71" s="11"/>
      <c r="AD71" s="220"/>
      <c r="AE71" s="184"/>
      <c r="AF71" s="184"/>
      <c r="AG71" s="11"/>
      <c r="AH71" s="11"/>
      <c r="AI71" s="220"/>
      <c r="AJ71" s="184"/>
      <c r="AK71" s="184"/>
      <c r="AL71" s="11"/>
      <c r="AM71" s="11"/>
      <c r="AN71" s="220"/>
      <c r="AO71" s="184"/>
      <c r="AP71" s="184"/>
      <c r="AQ71" s="11"/>
      <c r="AR71" s="11"/>
      <c r="AS71" s="220"/>
      <c r="AT71" s="184"/>
      <c r="AU71" s="184"/>
      <c r="AV71" s="11"/>
      <c r="AW71" s="11"/>
      <c r="AX71" s="220"/>
      <c r="AY71" s="184"/>
      <c r="AZ71" s="184"/>
      <c r="BA71" s="11"/>
      <c r="BB71" s="11"/>
      <c r="BC71" s="220"/>
      <c r="BD71" s="184"/>
      <c r="BE71" s="184"/>
      <c r="BF71" s="11"/>
      <c r="BG71" s="11"/>
      <c r="BH71" s="220"/>
      <c r="BI71" s="184"/>
      <c r="BJ71" s="184"/>
      <c r="BK71" s="184"/>
      <c r="BL71" s="184"/>
      <c r="BM71" s="184"/>
      <c r="BN71" s="184"/>
      <c r="BO71" s="184"/>
      <c r="BP71" s="184"/>
    </row>
    <row r="72">
      <c r="A72" s="228" t="str">
        <f>IFERROR(__xludf.DUMMYFUNCTION("TEXTJOIN(CHAR(10),TRUE,FILTER(ARRAYFORMULA(IF(BH$14:BH72&lt;&gt;"""",BG$14:BG72&amp;"" :  cm"","""")), BG$14:BG72 &lt;&gt;""""))"),"")</f>
        <v/>
      </c>
      <c r="B72" s="240"/>
      <c r="C72" s="11"/>
      <c r="D72" s="11"/>
      <c r="E72" s="220"/>
      <c r="F72" s="220"/>
      <c r="G72" s="220"/>
      <c r="H72" s="11"/>
      <c r="I72" s="11"/>
      <c r="J72" s="220"/>
      <c r="K72" s="184"/>
      <c r="L72" s="184"/>
      <c r="M72" s="11"/>
      <c r="N72" s="11"/>
      <c r="O72" s="195"/>
      <c r="P72" s="11"/>
      <c r="Q72" s="11"/>
      <c r="R72" s="12"/>
      <c r="S72" s="11"/>
      <c r="T72" s="220"/>
      <c r="U72" s="184"/>
      <c r="V72" s="184"/>
      <c r="W72" s="11"/>
      <c r="X72" s="11"/>
      <c r="Y72" s="220"/>
      <c r="Z72" s="184"/>
      <c r="AA72" s="184"/>
      <c r="AB72" s="11"/>
      <c r="AC72" s="11"/>
      <c r="AD72" s="220"/>
      <c r="AE72" s="184"/>
      <c r="AF72" s="184"/>
      <c r="AG72" s="11"/>
      <c r="AH72" s="11"/>
      <c r="AI72" s="220"/>
      <c r="AJ72" s="184"/>
      <c r="AK72" s="184"/>
      <c r="AL72" s="11"/>
      <c r="AM72" s="11"/>
      <c r="AN72" s="220"/>
      <c r="AO72" s="184"/>
      <c r="AP72" s="184"/>
      <c r="AQ72" s="11"/>
      <c r="AR72" s="11"/>
      <c r="AS72" s="220"/>
      <c r="AT72" s="184"/>
      <c r="AU72" s="184"/>
      <c r="AV72" s="11"/>
      <c r="AW72" s="11"/>
      <c r="AX72" s="220"/>
      <c r="AY72" s="184"/>
      <c r="AZ72" s="184"/>
      <c r="BA72" s="11"/>
      <c r="BB72" s="11"/>
      <c r="BC72" s="220"/>
      <c r="BD72" s="184"/>
      <c r="BE72" s="184"/>
      <c r="BF72" s="11"/>
      <c r="BG72" s="11"/>
      <c r="BH72" s="220"/>
      <c r="BI72" s="184"/>
      <c r="BJ72" s="184"/>
      <c r="BK72" s="184"/>
      <c r="BL72" s="184"/>
      <c r="BM72" s="184"/>
      <c r="BN72" s="184"/>
      <c r="BO72" s="184"/>
      <c r="BP72" s="184"/>
    </row>
  </sheetData>
  <mergeCells count="1">
    <mergeCell ref="D5:G5"/>
  </mergeCells>
  <hyperlinks>
    <hyperlink r:id="rId1" location="gid=1551873484" ref="K5"/>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hidden="1" min="1" max="1" width="62.75"/>
    <col customWidth="1" hidden="1" min="2" max="2" width="20.88"/>
    <col customWidth="1" min="3" max="3" width="3.88"/>
    <col customWidth="1" min="4" max="4" width="25.13"/>
    <col customWidth="1" min="5" max="7" width="12.63"/>
    <col customWidth="1" min="8" max="8" width="6.38"/>
    <col customWidth="1" min="9" max="9" width="25.13"/>
    <col customWidth="1" min="10" max="11" width="12.63"/>
    <col customWidth="1" hidden="1" min="12" max="12" width="12.63"/>
    <col customWidth="1" min="13" max="13" width="6.38"/>
    <col customWidth="1" min="14" max="14" width="25.13"/>
    <col customWidth="1" min="15" max="16" width="12.63"/>
    <col customWidth="1" hidden="1" min="17" max="17" width="12.63"/>
    <col customWidth="1" min="18" max="18" width="6.25"/>
    <col customWidth="1" min="19" max="19" width="25.13"/>
    <col customWidth="1" min="20" max="21" width="12.63"/>
    <col customWidth="1" hidden="1" min="22" max="22" width="12.63"/>
    <col customWidth="1" min="23" max="23" width="6.38"/>
    <col customWidth="1" min="24" max="24" width="25.13"/>
    <col customWidth="1" min="25" max="26" width="12.63"/>
    <col customWidth="1" hidden="1" min="27" max="27" width="12.63"/>
    <col customWidth="1" min="28" max="28" width="6.38"/>
    <col customWidth="1" min="29" max="29" width="25.13"/>
    <col customWidth="1" min="30" max="31" width="12.63"/>
    <col customWidth="1" hidden="1" min="32" max="32" width="12.63"/>
    <col customWidth="1" min="33" max="33" width="7.13"/>
    <col customWidth="1" min="34" max="34" width="25.13"/>
    <col customWidth="1" min="35" max="36" width="12.63"/>
    <col customWidth="1" hidden="1" min="37" max="37" width="12.63"/>
    <col customWidth="1" min="38" max="38" width="7.13"/>
    <col customWidth="1" min="39" max="39" width="25.13"/>
    <col customWidth="1" min="40" max="41" width="12.63"/>
    <col customWidth="1" hidden="1" min="42" max="42" width="12.63"/>
    <col customWidth="1" min="43" max="43" width="7.13"/>
    <col customWidth="1" min="44" max="44" width="25.13"/>
    <col customWidth="1" min="45" max="46" width="12.63"/>
    <col customWidth="1" hidden="1" min="47" max="47" width="12.63"/>
    <col customWidth="1" min="48" max="48" width="12.63"/>
    <col customWidth="1" min="49" max="49" width="25.13"/>
    <col customWidth="1" min="50" max="51" width="12.63"/>
    <col customWidth="1" hidden="1" min="52" max="52" width="12.63"/>
    <col customWidth="1" min="53" max="53" width="12.63"/>
    <col customWidth="1" min="54" max="54" width="25.13"/>
    <col customWidth="1" min="55" max="56" width="12.63"/>
    <col customWidth="1" hidden="1" min="57" max="57" width="12.63"/>
    <col customWidth="1" min="58" max="58" width="12.63"/>
    <col customWidth="1" min="59" max="59" width="25.13"/>
    <col customWidth="1" min="60" max="61" width="12.63"/>
    <col customWidth="1" hidden="1" min="62" max="62" width="12.63"/>
    <col customWidth="1" min="63" max="63" width="12.63"/>
    <col customWidth="1" min="64" max="64" width="19.25"/>
    <col customWidth="1" min="65" max="66" width="12.63"/>
    <col customWidth="1" hidden="1" min="67" max="67" width="12.63"/>
    <col customWidth="1" min="68" max="68" width="12.63"/>
  </cols>
  <sheetData>
    <row r="1">
      <c r="A1" s="264">
        <f>today()</f>
        <v>45991</v>
      </c>
      <c r="B1" s="265"/>
      <c r="C1" s="266"/>
      <c r="D1" s="267" t="s">
        <v>19</v>
      </c>
      <c r="E1" s="268"/>
      <c r="F1" s="268"/>
      <c r="G1" s="268"/>
      <c r="H1" s="269"/>
      <c r="I1" s="269"/>
      <c r="J1" s="268"/>
      <c r="K1" s="268"/>
      <c r="L1" s="268"/>
      <c r="M1" s="269"/>
      <c r="N1" s="268"/>
      <c r="O1" s="268"/>
      <c r="P1" s="268"/>
      <c r="Q1" s="268"/>
      <c r="R1" s="269"/>
      <c r="S1" s="269"/>
      <c r="T1" s="270"/>
      <c r="U1" s="270"/>
      <c r="V1" s="270"/>
      <c r="W1" s="269"/>
      <c r="X1" s="268"/>
      <c r="Y1" s="270"/>
      <c r="Z1" s="270"/>
      <c r="AA1" s="270"/>
      <c r="AB1" s="269"/>
      <c r="AC1" s="268"/>
      <c r="AD1" s="270"/>
      <c r="AE1" s="270"/>
      <c r="AF1" s="270"/>
      <c r="AG1" s="269"/>
      <c r="AH1" s="268"/>
      <c r="AI1" s="270"/>
      <c r="AJ1" s="270"/>
      <c r="AK1" s="270"/>
      <c r="AL1" s="269"/>
      <c r="AM1" s="268"/>
      <c r="AN1" s="270"/>
      <c r="AO1" s="270"/>
      <c r="AP1" s="270"/>
      <c r="AQ1" s="269"/>
      <c r="AR1" s="268"/>
      <c r="AS1" s="270"/>
      <c r="AT1" s="270"/>
      <c r="AU1" s="270"/>
      <c r="AV1" s="269"/>
      <c r="AW1" s="268"/>
      <c r="AX1" s="270"/>
      <c r="AY1" s="270"/>
      <c r="AZ1" s="270"/>
      <c r="BA1" s="269"/>
      <c r="BB1" s="268"/>
      <c r="BC1" s="270"/>
      <c r="BD1" s="270"/>
      <c r="BE1" s="270"/>
      <c r="BF1" s="269"/>
      <c r="BG1" s="268"/>
      <c r="BH1" s="270"/>
      <c r="BI1" s="270"/>
      <c r="BJ1" s="270"/>
      <c r="BK1" s="270"/>
      <c r="BL1" s="270"/>
      <c r="BM1" s="270"/>
      <c r="BN1" s="270"/>
      <c r="BO1" s="270"/>
      <c r="BP1" s="270"/>
    </row>
    <row r="2">
      <c r="A2" s="11"/>
      <c r="B2" s="183"/>
      <c r="C2" s="12"/>
      <c r="D2" s="12"/>
      <c r="E2" s="12"/>
      <c r="F2" s="12"/>
      <c r="G2" s="12"/>
      <c r="H2" s="11"/>
      <c r="I2" s="11"/>
      <c r="J2" s="12"/>
      <c r="K2" s="12"/>
      <c r="L2" s="12"/>
      <c r="M2" s="11"/>
      <c r="N2" s="12"/>
      <c r="O2" s="12"/>
      <c r="P2" s="12"/>
      <c r="Q2" s="12"/>
      <c r="R2" s="11"/>
      <c r="S2" s="11"/>
      <c r="T2" s="184"/>
      <c r="U2" s="184"/>
      <c r="V2" s="184"/>
      <c r="W2" s="11"/>
      <c r="X2" s="12"/>
      <c r="Y2" s="184"/>
      <c r="Z2" s="184"/>
      <c r="AA2" s="184"/>
      <c r="AB2" s="11"/>
      <c r="AC2" s="12"/>
      <c r="AD2" s="184"/>
      <c r="AE2" s="184"/>
      <c r="AF2" s="184"/>
      <c r="AG2" s="11"/>
      <c r="AH2" s="12"/>
      <c r="AI2" s="184"/>
      <c r="AJ2" s="184"/>
      <c r="AK2" s="184"/>
      <c r="AL2" s="11"/>
      <c r="AM2" s="12"/>
      <c r="AN2" s="184"/>
      <c r="AO2" s="184"/>
      <c r="AP2" s="184"/>
      <c r="AQ2" s="11"/>
      <c r="AR2" s="12"/>
      <c r="AS2" s="184"/>
      <c r="AT2" s="184"/>
      <c r="AU2" s="184"/>
      <c r="AV2" s="11"/>
      <c r="AW2" s="12"/>
      <c r="AX2" s="184"/>
      <c r="AY2" s="184"/>
      <c r="AZ2" s="184"/>
      <c r="BA2" s="11"/>
      <c r="BB2" s="12"/>
      <c r="BC2" s="184"/>
      <c r="BD2" s="184"/>
      <c r="BE2" s="184"/>
      <c r="BF2" s="11"/>
      <c r="BG2" s="12"/>
      <c r="BH2" s="184"/>
      <c r="BI2" s="184"/>
      <c r="BJ2" s="184"/>
      <c r="BK2" s="184"/>
      <c r="BL2" s="184"/>
      <c r="BM2" s="184"/>
      <c r="BN2" s="184"/>
      <c r="BO2" s="184"/>
      <c r="BP2" s="184"/>
    </row>
    <row r="3">
      <c r="A3" s="12"/>
      <c r="B3" s="185"/>
      <c r="C3" s="12"/>
      <c r="D3" s="12" t="str">
        <f t="array" ref="D3:D5">index(A3:A5,0)</f>
        <v/>
      </c>
      <c r="E3" s="12"/>
      <c r="F3" s="12"/>
      <c r="G3" s="12"/>
      <c r="H3" s="11"/>
      <c r="I3" s="11"/>
      <c r="J3" s="12"/>
      <c r="K3" s="12"/>
      <c r="L3" s="12"/>
      <c r="M3" s="11"/>
      <c r="N3" s="12"/>
      <c r="O3" s="12"/>
      <c r="P3" s="12"/>
      <c r="Q3" s="12"/>
      <c r="R3" s="11"/>
      <c r="S3" s="11"/>
      <c r="T3" s="184"/>
      <c r="U3" s="184"/>
      <c r="V3" s="184"/>
      <c r="W3" s="11"/>
      <c r="X3" s="12"/>
      <c r="Y3" s="184"/>
      <c r="Z3" s="184"/>
      <c r="AA3" s="184"/>
      <c r="AB3" s="11"/>
      <c r="AC3" s="12"/>
      <c r="AD3" s="184"/>
      <c r="AE3" s="184"/>
      <c r="AF3" s="184"/>
      <c r="AG3" s="11"/>
      <c r="AH3" s="12"/>
      <c r="AI3" s="184"/>
      <c r="AJ3" s="184"/>
      <c r="AK3" s="184"/>
      <c r="AL3" s="11"/>
      <c r="AM3" s="12"/>
      <c r="AN3" s="184"/>
      <c r="AO3" s="184"/>
      <c r="AP3" s="184"/>
      <c r="AQ3" s="11"/>
      <c r="AR3" s="12"/>
      <c r="AS3" s="184"/>
      <c r="AT3" s="184"/>
      <c r="AU3" s="184"/>
      <c r="AV3" s="11"/>
      <c r="AW3" s="12"/>
      <c r="AX3" s="184"/>
      <c r="AY3" s="184"/>
      <c r="AZ3" s="184"/>
      <c r="BA3" s="11"/>
      <c r="BB3" s="12"/>
      <c r="BC3" s="184"/>
      <c r="BD3" s="184"/>
      <c r="BE3" s="184"/>
      <c r="BF3" s="11"/>
      <c r="BG3" s="12"/>
      <c r="BH3" s="184"/>
      <c r="BI3" s="184"/>
      <c r="BJ3" s="184"/>
      <c r="BK3" s="184"/>
      <c r="BL3" s="184"/>
      <c r="BM3" s="184"/>
      <c r="BN3" s="184"/>
      <c r="BO3" s="184"/>
      <c r="BP3" s="184"/>
    </row>
    <row r="4">
      <c r="A4" s="186" t="s">
        <v>28</v>
      </c>
      <c r="B4" s="185"/>
      <c r="C4" s="12"/>
      <c r="D4" s="12" t="s">
        <v>28</v>
      </c>
      <c r="E4" s="12"/>
      <c r="F4" s="12"/>
      <c r="G4" s="12"/>
      <c r="H4" s="11"/>
      <c r="I4" s="11"/>
      <c r="J4" s="12"/>
      <c r="K4" s="12"/>
      <c r="L4" s="12"/>
      <c r="M4" s="11"/>
      <c r="N4" s="12"/>
      <c r="O4" s="12"/>
      <c r="P4" s="12"/>
      <c r="Q4" s="12"/>
      <c r="R4" s="11"/>
      <c r="S4" s="11"/>
      <c r="T4" s="184"/>
      <c r="U4" s="184"/>
      <c r="V4" s="184"/>
      <c r="W4" s="11"/>
      <c r="X4" s="12"/>
      <c r="Y4" s="184"/>
      <c r="Z4" s="184"/>
      <c r="AA4" s="184"/>
      <c r="AB4" s="11"/>
      <c r="AC4" s="12"/>
      <c r="AD4" s="184"/>
      <c r="AE4" s="184"/>
      <c r="AF4" s="184"/>
      <c r="AG4" s="11"/>
      <c r="AH4" s="12"/>
      <c r="AI4" s="184"/>
      <c r="AJ4" s="184"/>
      <c r="AK4" s="184"/>
      <c r="AL4" s="11"/>
      <c r="AM4" s="12"/>
      <c r="AN4" s="184"/>
      <c r="AO4" s="184"/>
      <c r="AP4" s="184"/>
      <c r="AQ4" s="11"/>
      <c r="AR4" s="12"/>
      <c r="AS4" s="184"/>
      <c r="AT4" s="184"/>
      <c r="AU4" s="184"/>
      <c r="AV4" s="11"/>
      <c r="AW4" s="12"/>
      <c r="AX4" s="184"/>
      <c r="AY4" s="184"/>
      <c r="AZ4" s="184"/>
      <c r="BA4" s="11"/>
      <c r="BB4" s="12"/>
      <c r="BC4" s="184"/>
      <c r="BD4" s="184"/>
      <c r="BE4" s="184"/>
      <c r="BF4" s="11"/>
      <c r="BG4" s="12"/>
      <c r="BH4" s="184"/>
      <c r="BI4" s="184"/>
      <c r="BJ4" s="184"/>
      <c r="BK4" s="184"/>
      <c r="BL4" s="184"/>
      <c r="BM4" s="184"/>
      <c r="BN4" s="184"/>
      <c r="BO4" s="184"/>
      <c r="BP4" s="184"/>
    </row>
    <row r="5" ht="225.0" customHeight="1">
      <c r="A5" s="187" t="str">
        <f>$A$7 &amp; $A$8 &amp; CHAR(10) &amp; $A$10 &amp; CHAR(10) &amp; CHAR(10) &amp; $A$11</f>
        <v>FABRIC TOKYO 表参道 2025-11-30 お直し適用サイズ
◼︎ パンツ（対応着地：お直し）
《修正数値》
股下 / シングル : -3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v>
      </c>
      <c r="B5" s="188" t="str">
        <f>"【お直し来店済み】" &amp; CHAR(10) &amp; 
 "来店⽇時：" &amp; text($A$1," yyyy/mm/dd")&amp; CHAR(10) &amp;
 "来店店舗：" &amp; $D$1 &amp; CHAR(10) &amp; CHAR(10) &amp;
 "お直し着地：" &amp; CHAR(10) &amp; $A$10</f>
        <v>【お直し来店済み】
来店⽇時： 2025/11/30
来店店舗：表参道
お直し着地：
◼︎ パンツ（対応着地：お直し）
《修正数値》
股下 / シングル : -3 cm</v>
      </c>
      <c r="C5" s="12"/>
      <c r="D5" s="271" t="s">
        <v>144</v>
      </c>
      <c r="H5" s="11"/>
      <c r="I5" s="190" t="str">
        <f>"【お直し来店済み】" &amp; CHAR(10) &amp; 
 "来店⽇時：" &amp; text($A$1," yyyy/mm/dd")&amp; CHAR(10) &amp;
 "来店店舗：" &amp; $D$1 &amp; CHAR(10) &amp; CHAR(10) &amp;
 "お直し着地：" &amp; CHAR(10) &amp; $A$10</f>
        <v>【お直し来店済み】
来店⽇時： 2025/11/30
来店店舗：表参道
お直し着地：
◼︎ パンツ（対応着地：お直し）
《修正数値》
股下 / シングル : -3 cm</v>
      </c>
      <c r="J5" s="12"/>
      <c r="K5" s="272"/>
      <c r="L5" s="12"/>
      <c r="M5" s="197"/>
      <c r="N5" s="12"/>
      <c r="O5" s="12"/>
      <c r="P5" s="12"/>
      <c r="Q5" s="12"/>
      <c r="R5" s="11"/>
      <c r="S5" s="11"/>
      <c r="T5" s="184"/>
      <c r="U5" s="184"/>
      <c r="V5" s="184"/>
      <c r="W5" s="11"/>
      <c r="X5" s="12"/>
      <c r="Y5" s="184"/>
      <c r="Z5" s="184"/>
      <c r="AA5" s="184"/>
      <c r="AB5" s="11"/>
      <c r="AC5" s="12"/>
      <c r="AD5" s="184"/>
      <c r="AE5" s="184"/>
      <c r="AF5" s="184"/>
      <c r="AG5" s="11"/>
      <c r="AH5" s="12"/>
      <c r="AI5" s="184"/>
      <c r="AJ5" s="184"/>
      <c r="AK5" s="184"/>
      <c r="AL5" s="11"/>
      <c r="AM5" s="12"/>
      <c r="AN5" s="184"/>
      <c r="AO5" s="184"/>
      <c r="AP5" s="184"/>
      <c r="AQ5" s="11"/>
      <c r="AR5" s="12"/>
      <c r="AS5" s="184"/>
      <c r="AT5" s="184"/>
      <c r="AU5" s="184"/>
      <c r="AV5" s="11"/>
      <c r="AW5" s="12"/>
      <c r="AX5" s="184"/>
      <c r="AY5" s="184"/>
      <c r="AZ5" s="184"/>
      <c r="BA5" s="11"/>
      <c r="BB5" s="12"/>
      <c r="BC5" s="184"/>
      <c r="BD5" s="184"/>
      <c r="BE5" s="184"/>
      <c r="BF5" s="11"/>
      <c r="BG5" s="12"/>
      <c r="BH5" s="184"/>
      <c r="BI5" s="184"/>
      <c r="BJ5" s="184"/>
      <c r="BK5" s="184"/>
      <c r="BL5" s="184"/>
      <c r="BM5" s="184"/>
      <c r="BN5" s="184"/>
      <c r="BO5" s="184"/>
      <c r="BP5" s="184"/>
    </row>
    <row r="6">
      <c r="A6" s="12"/>
      <c r="B6" s="186"/>
      <c r="C6" s="12"/>
      <c r="D6" s="12"/>
      <c r="E6" s="12"/>
      <c r="F6" s="12"/>
      <c r="G6" s="12"/>
      <c r="H6" s="11"/>
      <c r="I6" s="11"/>
      <c r="J6" s="12"/>
      <c r="K6" s="12"/>
      <c r="L6" s="12"/>
      <c r="M6" s="11"/>
      <c r="N6" s="12"/>
      <c r="O6" s="12"/>
      <c r="P6" s="12"/>
      <c r="Q6" s="12"/>
      <c r="R6" s="11"/>
      <c r="S6" s="11"/>
      <c r="T6" s="184"/>
      <c r="U6" s="184"/>
      <c r="V6" s="184"/>
      <c r="W6" s="11"/>
      <c r="X6" s="12"/>
      <c r="Y6" s="184"/>
      <c r="Z6" s="184"/>
      <c r="AA6" s="184"/>
      <c r="AB6" s="11"/>
      <c r="AC6" s="12"/>
      <c r="AD6" s="184"/>
      <c r="AE6" s="184"/>
      <c r="AF6" s="184"/>
      <c r="AG6" s="11"/>
      <c r="AH6" s="12"/>
      <c r="AI6" s="184"/>
      <c r="AJ6" s="184"/>
      <c r="AK6" s="184"/>
      <c r="AL6" s="11"/>
      <c r="AM6" s="12"/>
      <c r="AN6" s="184"/>
      <c r="AO6" s="184"/>
      <c r="AP6" s="184"/>
      <c r="AQ6" s="11"/>
      <c r="AR6" s="12"/>
      <c r="AS6" s="184"/>
      <c r="AT6" s="184"/>
      <c r="AU6" s="184"/>
      <c r="AV6" s="11"/>
      <c r="AW6" s="12"/>
      <c r="AX6" s="184"/>
      <c r="AY6" s="184"/>
      <c r="AZ6" s="184"/>
      <c r="BA6" s="11"/>
      <c r="BB6" s="12"/>
      <c r="BC6" s="184"/>
      <c r="BD6" s="184"/>
      <c r="BE6" s="184"/>
      <c r="BF6" s="11"/>
      <c r="BG6" s="12"/>
      <c r="BH6" s="184"/>
      <c r="BI6" s="184"/>
      <c r="BJ6" s="184"/>
      <c r="BK6" s="184"/>
      <c r="BL6" s="184"/>
      <c r="BM6" s="184"/>
      <c r="BN6" s="184"/>
      <c r="BO6" s="184"/>
      <c r="BP6" s="184"/>
    </row>
    <row r="7" ht="28.5" customHeight="1">
      <c r="A7" s="192" t="str">
        <f>IF((SUM(LEN(I11), LEN(N11), LEN(S11), LEN(X11), LEN(AC11), LEN(AH11), LEN(AM11), LEN(AR11), LEN(AW11), LEN(BB11), LEN(BG11)))&gt;0, "FABRIC TOKYO "&amp; $D$1 &amp; " " &amp; TEXT($A$1, "yyyy-m-d") &amp; " お直し適用サイズ" &amp; CHAR(10), "")</f>
        <v>FABRIC TOKYO 表参道 2025-11-30 お直し適用サイズ
</v>
      </c>
      <c r="B7" s="193"/>
      <c r="C7" s="12"/>
      <c r="D7" s="194" t="s">
        <v>31</v>
      </c>
      <c r="E7" s="12"/>
      <c r="F7" s="12"/>
      <c r="G7" s="12"/>
      <c r="H7" s="11"/>
      <c r="I7" s="11"/>
      <c r="J7" s="12"/>
      <c r="K7" s="12"/>
      <c r="L7" s="12"/>
      <c r="M7" s="11"/>
      <c r="N7" s="12"/>
      <c r="O7" s="12"/>
      <c r="P7" s="12"/>
      <c r="Q7" s="12"/>
      <c r="R7" s="11"/>
      <c r="S7" s="11"/>
      <c r="T7" s="184"/>
      <c r="U7" s="184"/>
      <c r="V7" s="184"/>
      <c r="W7" s="11"/>
      <c r="X7" s="12"/>
      <c r="Y7" s="184"/>
      <c r="Z7" s="184"/>
      <c r="AA7" s="184"/>
      <c r="AB7" s="11"/>
      <c r="AC7" s="12"/>
      <c r="AD7" s="184"/>
      <c r="AE7" s="184"/>
      <c r="AF7" s="184"/>
      <c r="AG7" s="11"/>
      <c r="AH7" s="12"/>
      <c r="AI7" s="184"/>
      <c r="AJ7" s="184"/>
      <c r="AK7" s="184"/>
      <c r="AL7" s="11"/>
      <c r="AM7" s="12"/>
      <c r="AN7" s="184"/>
      <c r="AO7" s="184"/>
      <c r="AP7" s="184"/>
      <c r="AQ7" s="11"/>
      <c r="AR7" s="12"/>
      <c r="AS7" s="184"/>
      <c r="AT7" s="184"/>
      <c r="AU7" s="184"/>
      <c r="AV7" s="11"/>
      <c r="AW7" s="12"/>
      <c r="AX7" s="184"/>
      <c r="AY7" s="184"/>
      <c r="AZ7" s="184"/>
      <c r="BA7" s="11"/>
      <c r="BB7" s="12"/>
      <c r="BC7" s="184"/>
      <c r="BD7" s="184"/>
      <c r="BE7" s="184"/>
      <c r="BF7" s="11"/>
      <c r="BG7" s="12"/>
      <c r="BH7" s="184"/>
      <c r="BI7" s="184"/>
      <c r="BJ7" s="184"/>
      <c r="BK7" s="184"/>
      <c r="BL7" s="184"/>
      <c r="BM7" s="184"/>
      <c r="BN7" s="184"/>
      <c r="BO7" s="184"/>
      <c r="BP7" s="184"/>
    </row>
    <row r="8">
      <c r="A8" s="192" t="str">
        <f>ifs($D$11&lt;&gt;"", 
"FABRIC TOKYO "&amp; $D$1&amp; "" &amp; text($A$1," yyyy-m-d"&amp;" お直し適用サイズ ＊スーツサイズ")
&amp; CHAR(10) &amp;
"FABRIC TOKYO "&amp; $D$1&amp; "" &amp; text($A$1," yyyy-m-d"&amp;" お直し適用サイズ ＊ビジネスカジュアルサイズ" &amp; CHAR(10))
,
$D$11="", "")</f>
        <v/>
      </c>
      <c r="B8" s="193"/>
      <c r="C8" s="195"/>
      <c r="D8" s="196">
        <f>IF(OR($D$11="再製作", $I$11="再製作", $N$11="再製作"), "再製作", 
  IF(AND(COUNTIF($E$11:$O$11, "&gt;=" &amp;  TODAY()), COUNTIF($E$11:$O11, "&lt;&gt;")), MAX($D$11, $I$11, $N$11), ""))</f>
        <v>45996</v>
      </c>
      <c r="E8" s="197" t="s">
        <v>32</v>
      </c>
      <c r="F8" s="12"/>
      <c r="G8" s="12"/>
      <c r="H8" s="12"/>
      <c r="I8" s="12"/>
      <c r="J8" s="195"/>
      <c r="K8" s="195"/>
      <c r="L8" s="195"/>
      <c r="M8" s="11"/>
      <c r="N8" s="198" t="s">
        <v>33</v>
      </c>
      <c r="O8" s="12"/>
      <c r="P8" s="12"/>
      <c r="Q8" s="12"/>
      <c r="R8" s="11"/>
      <c r="S8" s="11"/>
      <c r="T8" s="184"/>
      <c r="U8" s="184"/>
      <c r="V8" s="184"/>
      <c r="W8" s="11"/>
      <c r="X8" s="12"/>
      <c r="Y8" s="184"/>
      <c r="Z8" s="184"/>
      <c r="AA8" s="184"/>
      <c r="AB8" s="11"/>
      <c r="AC8" s="12"/>
      <c r="AD8" s="184"/>
      <c r="AE8" s="184"/>
      <c r="AF8" s="184"/>
      <c r="AG8" s="11"/>
      <c r="AH8" s="12"/>
      <c r="AI8" s="184"/>
      <c r="AJ8" s="184"/>
      <c r="AK8" s="184"/>
      <c r="AL8" s="11"/>
      <c r="AM8" s="12"/>
      <c r="AN8" s="184"/>
      <c r="AO8" s="184"/>
      <c r="AP8" s="184"/>
      <c r="AQ8" s="11"/>
      <c r="AR8" s="12"/>
      <c r="AS8" s="184"/>
      <c r="AT8" s="184"/>
      <c r="AU8" s="184"/>
      <c r="AV8" s="11"/>
      <c r="AW8" s="12"/>
      <c r="AX8" s="184"/>
      <c r="AY8" s="184"/>
      <c r="AZ8" s="184"/>
      <c r="BA8" s="11"/>
      <c r="BB8" s="12"/>
      <c r="BC8" s="184"/>
      <c r="BD8" s="184"/>
      <c r="BE8" s="184"/>
      <c r="BF8" s="11"/>
      <c r="BG8" s="12"/>
      <c r="BH8" s="184"/>
      <c r="BI8" s="184"/>
      <c r="BJ8" s="184"/>
      <c r="BK8" s="184"/>
      <c r="BL8" s="184"/>
      <c r="BM8" s="184"/>
      <c r="BN8" s="184"/>
      <c r="BO8" s="184"/>
      <c r="BP8" s="184"/>
    </row>
    <row r="9">
      <c r="A9" s="12"/>
      <c r="B9" s="186"/>
      <c r="C9" s="12"/>
      <c r="D9" s="12"/>
      <c r="E9" s="11"/>
      <c r="F9" s="11"/>
      <c r="G9" s="11"/>
      <c r="H9" s="11"/>
      <c r="I9" s="11"/>
      <c r="J9" s="11"/>
      <c r="K9" s="11"/>
      <c r="L9" s="11"/>
      <c r="M9" s="11"/>
      <c r="N9" s="11"/>
      <c r="O9" s="11"/>
      <c r="P9" s="11"/>
      <c r="Q9" s="11"/>
      <c r="R9" s="11"/>
      <c r="S9" s="12"/>
      <c r="T9" s="184"/>
      <c r="U9" s="184"/>
      <c r="V9" s="184"/>
      <c r="W9" s="11"/>
      <c r="X9" s="12"/>
      <c r="Y9" s="184"/>
      <c r="Z9" s="184"/>
      <c r="AA9" s="184"/>
      <c r="AB9" s="11"/>
      <c r="AC9" s="12"/>
      <c r="AD9" s="184"/>
      <c r="AE9" s="184"/>
      <c r="AF9" s="184"/>
      <c r="AG9" s="11"/>
      <c r="AH9" s="12"/>
      <c r="AI9" s="184"/>
      <c r="AJ9" s="184"/>
      <c r="AK9" s="184"/>
      <c r="AL9" s="11"/>
      <c r="AM9" s="12"/>
      <c r="AN9" s="184"/>
      <c r="AO9" s="184"/>
      <c r="AP9" s="184"/>
      <c r="AQ9" s="11"/>
      <c r="AR9" s="12"/>
      <c r="AS9" s="184"/>
      <c r="AT9" s="184"/>
      <c r="AU9" s="184"/>
      <c r="AV9" s="11"/>
      <c r="AW9" s="12"/>
      <c r="AX9" s="184"/>
      <c r="AY9" s="184"/>
      <c r="AZ9" s="184"/>
      <c r="BA9" s="11"/>
      <c r="BB9" s="12"/>
      <c r="BC9" s="184"/>
      <c r="BD9" s="184"/>
      <c r="BE9" s="184"/>
      <c r="BF9" s="11"/>
      <c r="BG9" s="12"/>
      <c r="BH9" s="184"/>
      <c r="BI9" s="184"/>
      <c r="BJ9" s="184"/>
      <c r="BK9" s="184"/>
      <c r="BL9" s="184"/>
      <c r="BM9" s="184"/>
      <c r="BN9" s="184"/>
      <c r="BO9" s="184"/>
      <c r="BP9" s="184"/>
    </row>
    <row r="10" ht="15.75" customHeight="1">
      <c r="A10" s="199" t="str">
        <f t="array" ref="A10">TRIM(
 IF($A$14&lt;&gt;"",TEXTJOIN(CHAR(10),TRUE,IF($A$14:$A$17&lt;&gt;"",$A$14:$A$17,"")) &amp; CHAR(10) &amp; CHAR(10),"") &amp;
 IF($A$19&lt;&gt;"",TEXTJOIN(CHAR(10),TRUE,IF($A$19:$A$22&lt;&gt;"",$A$19:$A$22,"")) &amp; CHAR(10) &amp; CHAR(10),"") &amp;
 IF($A$24&lt;&gt;"",TEXTJOIN(CHAR(10),TRUE,IF($A$24:$A$27&lt;&gt;"",$A$24:$A$27,"")) &amp; CHAR(10) &amp; CHAR(10),"") &amp;
 IF($A$29&lt;&gt;"",TEXTJOIN(CHAR(10),TRUE,IF($A$29:$A$32&lt;&gt;"",$A$29:$A$32,"")) &amp; CHAR(10) &amp; CHAR(10),"") &amp;
 IF($A$34&lt;&gt;"",TEXTJOIN(CHAR(10),TRUE,IF($A$34:$A$37&lt;&gt;"",$A$34:$A$37,"")) &amp; CHAR(10) &amp; CHAR(10),"") &amp;
 IF($A$39&lt;&gt;"",TEXTJOIN(CHAR(10),TRUE,IF($A$39:$A$42&lt;&gt;"",$A$39:$A$42,"")) &amp; CHAR(10) &amp; CHAR(10),"") &amp;
 IF($A$44&lt;&gt;"",TEXTJOIN(CHAR(10),TRUE,IF($A$44:$A$47&lt;&gt;"",$A$44:$A$47,"")) &amp; CHAR(10) &amp; CHAR(10),"") &amp;
 IF($A$49&lt;&gt;"",TEXTJOIN(CHAR(10),TRUE,IF($A$49:$A$52&lt;&gt;"",$A$49:$A$52,"")) &amp; CHAR(10) &amp; CHAR(10),"") &amp;
 IF($A$54&lt;&gt;"",TEXTJOIN(CHAR(10),TRUE,IF($A$54:$A$57&lt;&gt;"",$A$54:$A$57,"")) &amp; CHAR(10) &amp; CHAR(10),"") &amp;
 IF($A$59&lt;&gt;"",TEXTJOIN(CHAR(10),TRUE,IF($A$59:$A$62&lt;&gt;"",$A$59:$A$62,"")) &amp; CHAR(10) &amp; CHAR(10),"") &amp;
 IF($A$64&lt;&gt;"",TEXTJOIN(CHAR(10),TRUE,IF($A$64:$A$67&lt;&gt;"",$A$64:$A$67,"")) &amp; CHAR(10) &amp; CHAR(10),"") &amp;
 IF($A$69&lt;&gt;"",TEXTJOIN(CHAR(10),TRUE,IF($A$69:$A$72&lt;&gt;"",$A$69:$A$72,"")) &amp; CHAR(10) &amp; CHAR(10),"") 
)
</f>
        <v>◼︎ パンツ（対応着地：お直し）
《修正数値》
股下 / シングル : -3 cm</v>
      </c>
      <c r="B10" s="12"/>
      <c r="C10" s="12"/>
      <c r="D10" s="200" t="s">
        <v>34</v>
      </c>
      <c r="E10" s="201"/>
      <c r="F10" s="201"/>
      <c r="G10" s="202" t="s">
        <v>35</v>
      </c>
      <c r="H10" s="11"/>
      <c r="I10" s="200" t="s">
        <v>36</v>
      </c>
      <c r="J10" s="203"/>
      <c r="K10" s="201"/>
      <c r="L10" s="202" t="s">
        <v>35</v>
      </c>
      <c r="M10" s="11"/>
      <c r="N10" s="204" t="s">
        <v>37</v>
      </c>
      <c r="O10" s="203"/>
      <c r="P10" s="201"/>
      <c r="Q10" s="202" t="s">
        <v>35</v>
      </c>
      <c r="R10" s="11"/>
      <c r="S10" s="200" t="s">
        <v>38</v>
      </c>
      <c r="T10" s="203"/>
      <c r="U10" s="201"/>
      <c r="V10" s="202" t="s">
        <v>35</v>
      </c>
      <c r="W10" s="11"/>
      <c r="X10" s="200" t="s">
        <v>39</v>
      </c>
      <c r="Y10" s="203"/>
      <c r="Z10" s="201"/>
      <c r="AA10" s="202" t="s">
        <v>35</v>
      </c>
      <c r="AB10" s="11"/>
      <c r="AC10" s="200" t="s">
        <v>40</v>
      </c>
      <c r="AD10" s="203"/>
      <c r="AE10" s="201"/>
      <c r="AF10" s="202" t="s">
        <v>35</v>
      </c>
      <c r="AG10" s="11"/>
      <c r="AH10" s="200" t="s">
        <v>41</v>
      </c>
      <c r="AI10" s="203"/>
      <c r="AJ10" s="201"/>
      <c r="AK10" s="202" t="s">
        <v>35</v>
      </c>
      <c r="AL10" s="11"/>
      <c r="AM10" s="200" t="s">
        <v>42</v>
      </c>
      <c r="AN10" s="203"/>
      <c r="AO10" s="201"/>
      <c r="AP10" s="202" t="s">
        <v>35</v>
      </c>
      <c r="AQ10" s="11"/>
      <c r="AR10" s="200" t="s">
        <v>43</v>
      </c>
      <c r="AS10" s="203"/>
      <c r="AT10" s="201"/>
      <c r="AU10" s="202" t="s">
        <v>35</v>
      </c>
      <c r="AV10" s="12"/>
      <c r="AW10" s="200" t="s">
        <v>44</v>
      </c>
      <c r="AX10" s="203"/>
      <c r="AY10" s="201"/>
      <c r="AZ10" s="202" t="s">
        <v>35</v>
      </c>
      <c r="BA10" s="12"/>
      <c r="BB10" s="200" t="s">
        <v>45</v>
      </c>
      <c r="BC10" s="203"/>
      <c r="BD10" s="201"/>
      <c r="BE10" s="202" t="s">
        <v>35</v>
      </c>
      <c r="BF10" s="12"/>
      <c r="BG10" s="200" t="s">
        <v>46</v>
      </c>
      <c r="BH10" s="203"/>
      <c r="BI10" s="201"/>
      <c r="BJ10" s="202" t="s">
        <v>35</v>
      </c>
      <c r="BK10" s="12"/>
      <c r="BL10" s="200" t="s">
        <v>47</v>
      </c>
      <c r="BM10" s="201"/>
      <c r="BN10" s="201"/>
      <c r="BO10" s="202" t="s">
        <v>35</v>
      </c>
      <c r="BP10" s="12"/>
    </row>
    <row r="11" ht="37.5" customHeight="1">
      <c r="A11" s="205" t="s">
        <v>48</v>
      </c>
      <c r="B11" s="206"/>
      <c r="C11" s="207"/>
      <c r="D11" s="196" t="str">
        <f t="array" ref="D11">IFS( COUNTA(F$13:F27) = 0, "", COUNTIF(F$13:F27, "再製作") &gt; 0, "再製作", COUNTIF(F$13:F27, "&gt;0") = 1, INDEX(F$13:F27, MATCH(TRUE, ISNUMBER(F$13:F27), 0)), COUNTIF(F$13:F27, "&gt;0") = 2, 'アイテム別限界値DB'!$S$4, COUNTIF(F$13:F27, "&gt;0") &gt;= 3, 'アイテム別限界値DB'!$S$6, TRUE, "" ) </f>
        <v/>
      </c>
      <c r="E11" s="208" t="s">
        <v>49</v>
      </c>
      <c r="F11" s="202" t="s">
        <v>50</v>
      </c>
      <c r="G11" s="209">
        <f>sum(G12:G72)</f>
        <v>0</v>
      </c>
      <c r="H11" s="206"/>
      <c r="I11" s="196">
        <f t="array" ref="I11">IFS( COUNTA(K$13:K27) = 0, "", COUNTIF(K$13:K27, "再製作") &gt; 0, "再製作", COUNTIF(K$13:K27, "&gt;0") = 1, INDEX(K$13:K27, MATCH(TRUE, ISNUMBER(K$13:K27), 0)), COUNTIF(K$13:K27, "&gt;0") = 2, 'アイテム別限界値DB'!$S$8, COUNTIF(K$13:K27, "&gt;0") &gt;= 3, 'アイテム別限界値DB'!$S$10, TRUE, "" ) </f>
        <v>45996</v>
      </c>
      <c r="J11" s="210" t="s">
        <v>49</v>
      </c>
      <c r="K11" s="202" t="s">
        <v>50</v>
      </c>
      <c r="L11" s="209">
        <f>sum(L12:L72)</f>
        <v>0</v>
      </c>
      <c r="M11" s="206"/>
      <c r="N11" s="196" t="str">
        <f t="array" ref="N11">IFS( COUNTA(P$13:P27) = 0, "", COUNTIF(P$13:P27, "再製作") &gt; 0, "再製作", COUNTIF(P$13:P27, "&gt;0") = 1, INDEX(P$13:P27, MATCH(TRUE, ISNUMBER(P$13:P27), 0)), COUNTIF(P$13:P27, "&gt;0") = 2, 'アイテム別限界値DB'!$S$4, COUNTIF(P$13:P27, "&gt;0") &gt;= 3, 'アイテム別限界値DB'!$S$6, TRUE, "" ) </f>
        <v/>
      </c>
      <c r="O11" s="210" t="s">
        <v>49</v>
      </c>
      <c r="P11" s="202" t="s">
        <v>50</v>
      </c>
      <c r="Q11" s="209">
        <f>sum(Q12:Q72)</f>
        <v>0</v>
      </c>
      <c r="R11" s="211"/>
      <c r="S11" s="196" t="str">
        <f t="array" ref="S11">IFS( COUNTA(U$13:U27) = 0, "", COUNTIF(U$13:U27, "再製作") &gt; 0, "再製作", COUNTIF(U$13:U27, "&gt;0") = 1, INDEX(U$13:U27, MATCH(TRUE, ISNUMBER(U$13:U27), 0)), COUNTIF(U$13:U27, "&gt;0") = 2, 'アイテム別限界値DB'!$S$8, COUNTIF(U$13:U27, "&gt;0") &gt;= 3, 'アイテム別限界値DB'!$S$10, TRUE, "" ) </f>
        <v/>
      </c>
      <c r="T11" s="210" t="s">
        <v>49</v>
      </c>
      <c r="U11" s="202" t="s">
        <v>50</v>
      </c>
      <c r="V11" s="209">
        <f>sum(V12:V72)</f>
        <v>0</v>
      </c>
      <c r="W11" s="212"/>
      <c r="X11" s="196" t="str">
        <f t="array" ref="X11">IFS( COUNTA(Z$13:Z27) = 0, "", COUNTIF(Z$13:Z27, "再製作") &gt; 0, "再製作", COUNTIF(Z$13:Z27, "&gt;0") = 1, INDEX(Z$13:Z27, MATCH(TRUE, ISNUMBER(Z$13:Z27), 0)), COUNTIF(Z$13:Z27, "&gt;0") = 2, 'アイテム別限界値DB'!$S$4, COUNTIF(Z$13:Z27, "&gt;0") &gt;= 3, 'アイテム別限界値DB'!$S$6, TRUE, "" ) </f>
        <v/>
      </c>
      <c r="Y11" s="210" t="s">
        <v>49</v>
      </c>
      <c r="Z11" s="202" t="s">
        <v>50</v>
      </c>
      <c r="AA11" s="209">
        <f>sum(AA12:AA72)</f>
        <v>0</v>
      </c>
      <c r="AB11" s="211"/>
      <c r="AC11" s="196" t="str">
        <f t="array" ref="AC11">IFS( COUNTA(AE$13:AE27) = 0, "", COUNTIF(AE$13:AE27, "再製作") &gt; 0, "再製作", COUNTIF(AE$13:AE27, "&gt;0") = 1, INDEX(AE$13:AE27, MATCH(TRUE, ISNUMBER(AE$13:AE27), 0)), COUNTIF(AE$13:AE27, "&gt;0") = 2, 'アイテム別限界値DB'!$S$4, COUNTIF(AE$13:AE27, "&gt;0") &gt;= 3, 'アイテム別限界値DB'!$S$6, TRUE, "" ) </f>
        <v/>
      </c>
      <c r="AD11" s="210" t="s">
        <v>49</v>
      </c>
      <c r="AE11" s="202" t="s">
        <v>50</v>
      </c>
      <c r="AF11" s="209">
        <f>sum(AF12:AF72)</f>
        <v>0</v>
      </c>
      <c r="AG11" s="211"/>
      <c r="AH11" s="196" t="str">
        <f t="array" ref="AH11">IFS( COUNTA(AJ$13:AJ27) = 0, "", COUNTIF(AJ$13:AJ27, "再製作") &gt; 0, "再製作", COUNTIF(AJ$13:AJ27, "&gt;0") = 1, INDEX(AJ$13:AJ27, MATCH(TRUE, ISNUMBER(AJ$13:AJ27), 0)), COUNTIF(AJ$13:AJ27, "&gt;0") = 2, 'アイテム別限界値DB'!$S$4, COUNTIF(AJ$13:AJ27, "&gt;0") &gt;= 3, 'アイテム別限界値DB'!$S$6, TRUE, "" ) </f>
        <v/>
      </c>
      <c r="AI11" s="210" t="s">
        <v>49</v>
      </c>
      <c r="AJ11" s="202" t="s">
        <v>50</v>
      </c>
      <c r="AK11" s="209">
        <f>sum(AK12:AK72)</f>
        <v>0</v>
      </c>
      <c r="AL11" s="211"/>
      <c r="AM11" s="196" t="str">
        <f t="array" ref="AM11">IFS( COUNTA(AO$13:AO27) = 0, "", COUNTIF(AO$13:AO27, "再製作") &gt; 0, "再製作", COUNTIF(AO$13:AO27, "&gt;0") = 1, INDEX(AO$13:AO27, MATCH(TRUE, ISNUMBER(AO$13:AO27), 0)), COUNTIF(AO$13:AO27, "&gt;0") = 2, 'アイテム別限界値DB'!$S$4, COUNTIF(AO$13:AO27, "&gt;0") &gt;= 3, 'アイテム別限界値DB'!$S$6, TRUE, "" ) </f>
        <v/>
      </c>
      <c r="AN11" s="210" t="s">
        <v>49</v>
      </c>
      <c r="AO11" s="202" t="s">
        <v>50</v>
      </c>
      <c r="AP11" s="209">
        <f>sum(AP12:AP72)</f>
        <v>0</v>
      </c>
      <c r="AQ11" s="211"/>
      <c r="AR11" s="196" t="str">
        <f t="array" ref="AR11">IFS( COUNTA(AT$13:AT27) = 0, "", COUNTIF(AT$13:AT27, "再製作") &gt; 0, "再製作", COUNTIF(AT$13:AT27, "&gt;0") = 1, INDEX(AT$13:AT27, MATCH(TRUE, ISNUMBER(AT$13:AT27), 0)), COUNTIF(AT$13:AT27, "&gt;0") = 2, 'アイテム別限界値DB'!$S$4, COUNTIF(AT$13:AT27, "&gt;0") &gt;= 3, 'アイテム別限界値DB'!$S$6, TRUE, "" ) </f>
        <v/>
      </c>
      <c r="AS11" s="210" t="s">
        <v>49</v>
      </c>
      <c r="AT11" s="202" t="s">
        <v>50</v>
      </c>
      <c r="AU11" s="209">
        <f>sum(AU12:AU72)</f>
        <v>0</v>
      </c>
      <c r="AV11" s="213"/>
      <c r="AW11" s="196" t="str">
        <f t="array" ref="AW11">IFS( COUNTA(AY$13:AY27) = 0, "", COUNTIF(AY$13:AY27, "再製作") &gt; 0, "再製作", COUNTIF(AY$13:AY27, "&gt;0") = 1, INDEX(AY$13:AY27, MATCH(TRUE, ISNUMBER(AY$13:AY27), 0)), COUNTIF(AY$13:AY27, "&gt;0") = 2, 'アイテム別限界値DB'!$S$4, COUNTIF(AY$13:AY27, "&gt;0") &gt;= 3, 'アイテム別限界値DB'!$S$6, TRUE, "" ) </f>
        <v/>
      </c>
      <c r="AX11" s="210" t="s">
        <v>49</v>
      </c>
      <c r="AY11" s="202" t="s">
        <v>50</v>
      </c>
      <c r="AZ11" s="209">
        <f>sum(AZ12:AZ72)</f>
        <v>0</v>
      </c>
      <c r="BA11" s="213"/>
      <c r="BB11" s="196" t="str">
        <f t="array" ref="BB11">IFS( COUNTA(BD$13:BD27) = 0, "", COUNTIF(BD$13:BD27, "再製作") &gt; 0, "再製作", COUNTIF(BD$13:BD27, "&gt;0") = 1, INDEX(BD$13:BD27, MATCH(TRUE, ISNUMBER(BD$13:BD27), 0)), COUNTIF(BD$13:BD27, "&gt;0") = 2, 'アイテム別限界値DB'!$S$4, COUNTIF(BD$13:BD27, "&gt;0") &gt;= 3, 'アイテム別限界値DB'!$S$6, TRUE, "" ) </f>
        <v/>
      </c>
      <c r="BC11" s="210" t="s">
        <v>49</v>
      </c>
      <c r="BD11" s="202" t="s">
        <v>50</v>
      </c>
      <c r="BE11" s="209">
        <f>sum(BE12:BE72)</f>
        <v>0</v>
      </c>
      <c r="BF11" s="213"/>
      <c r="BG11" s="196" t="str">
        <f t="array" ref="BG11">IFS( COUNTA(BI$13:BI27) = 0, "", COUNTIF(BI$13:BI27, "再製作") &gt; 0, "再製作", COUNTIF(BI$13:BI27, "&gt;0") = 1, INDEX(BI$13:BI27, MATCH(TRUE, ISNUMBER(BI$13:BI27), 0)), COUNTIF(BI$13:BI27, "&gt;0") = 2, 'アイテム別限界値DB'!$S$4, COUNTIF(BI$13:BI27, "&gt;0") &gt;= 3, 'アイテム別限界値DB'!$S$6, TRUE, "" ) </f>
        <v/>
      </c>
      <c r="BH11" s="210" t="s">
        <v>49</v>
      </c>
      <c r="BI11" s="202" t="s">
        <v>50</v>
      </c>
      <c r="BJ11" s="209">
        <f>sum(BJ12:BJ72)</f>
        <v>0</v>
      </c>
      <c r="BK11" s="213"/>
      <c r="BL11" s="196" t="str">
        <f t="array" ref="BL11">IFS( COUNTA(BN$13:BN27) = 0, "", COUNTIF(BN$13:BN27, "再製作") &gt; 0, "再製作", COUNTIF(BN$13:BN27, "&gt;0") = 1, INDEX(BN$13:BN27, MATCH(TRUE, ISNUMBER(BN$13:BN27), 0)), COUNTIF(BN$13:BN27, "&gt;0") = 2, 'アイテム別限界値DB'!$S$4, COUNTIF(BN$13:BN27, "&gt;0") &gt;= 3, 'アイテム別限界値DB'!$S$6, TRUE, "" ) </f>
        <v/>
      </c>
      <c r="BM11" s="214" t="s">
        <v>49</v>
      </c>
      <c r="BN11" s="215" t="s">
        <v>50</v>
      </c>
      <c r="BO11" s="209">
        <f>sum(BO12:BO72)</f>
        <v>0</v>
      </c>
      <c r="BP11" s="213"/>
    </row>
    <row r="12" ht="15.75" hidden="1" customHeight="1">
      <c r="A12" s="11"/>
      <c r="B12" s="11"/>
      <c r="C12" s="11"/>
      <c r="D12" s="216" t="s">
        <v>51</v>
      </c>
      <c r="E12" s="217" t="str">
        <f>IF(D11="再製作", "再製作", IF(D11&lt;&gt;"", "お直し", ""))
</f>
        <v/>
      </c>
      <c r="F12" s="195"/>
      <c r="G12" s="218" t="str">
        <f t="array" ref="G12">IF(
  E12 = "再製作", 
  "", 
 if(E12="", "",
  IFERROR(
    INDEX(
      'アイテム別限界値DB'!$L:$L, 
      MATCH(
        1, 
        ('アイテム別限界値DB'!$B:$B = D$10) * 
        ('アイテム別限界値DB'!$C:$C = D12), 
        0
      )
    ), 
    "再製作"
  )
))
</f>
        <v/>
      </c>
      <c r="H12" s="12"/>
      <c r="I12" s="216" t="s">
        <v>51</v>
      </c>
      <c r="J12" s="217" t="str">
        <f>IF(I11="再製作", "再製作", IF(I11&lt;&gt;"", "お直し", ""))
</f>
        <v>お直し</v>
      </c>
      <c r="K12" s="195"/>
      <c r="L12" s="218" t="str">
        <f t="array" ref="L12">IF(
  J12 = "再製作", 
  "", 
 if(J12="", "",
  IFERROR(
    INDEX(
      'アイテム別限界値DB'!$L:$L, 
      MATCH(
        1, 
        ('アイテム別限界値DB'!$B:$B = I$10) * 
        ('アイテム別限界値DB'!$C:$C = I12), 
        0
      )
    ), 
    "再製作"
  )
))
</f>
        <v/>
      </c>
      <c r="M12" s="121"/>
      <c r="N12" s="216" t="s">
        <v>51</v>
      </c>
      <c r="O12" s="217" t="str">
        <f>IF(N11="再製作", "再製作", IF(N11&lt;&gt;"", "お直し", ""))
</f>
        <v/>
      </c>
      <c r="P12" s="195"/>
      <c r="Q12" s="218" t="str">
        <f t="array" ref="Q12">IF(
  O12 = "再製作", 
  "", 
 if(O12="", "",
  IFERROR(
    INDEX(
      'アイテム別限界値DB'!$L:$L, 
      MATCH(
        1, 
        ('アイテム別限界値DB'!$B:$B = N$10) * 
        ('アイテム別限界値DB'!$C:$C = N12), 
        0
      )
    ), 
    "再製作"
  )
))
</f>
        <v/>
      </c>
      <c r="R12" s="11"/>
      <c r="S12" s="216" t="s">
        <v>51</v>
      </c>
      <c r="T12" s="219" t="str">
        <f>IF(S11="再製作", "再製作", IF(S11&lt;&gt;"", "お直し", ""))
</f>
        <v/>
      </c>
      <c r="U12" s="220"/>
      <c r="V12" s="218" t="str">
        <f t="array" ref="V12">IF(
  T12 = "再製作", 
  "", 
 if(T12="", "",
  IFERROR(
    INDEX(
      'アイテム別限界値DB'!$L:$L, 
      MATCH(
        1, 
        ('アイテム別限界値DB'!$B:$B = S$10) * 
        ('アイテム別限界値DB'!$C:$C = S12), 
        0
      )
    ), 
    "再製作"
  )
))
</f>
        <v/>
      </c>
      <c r="W12" s="12"/>
      <c r="X12" s="216" t="s">
        <v>51</v>
      </c>
      <c r="Y12" s="219" t="str">
        <f>IF(X11="再製作", "再製作", IF(X11&lt;&gt;"", "お直し", ""))
</f>
        <v/>
      </c>
      <c r="Z12" s="220"/>
      <c r="AA12" s="218" t="str">
        <f t="array" ref="AA12">IF(
  Y12 = "再製作", 
  "", 
 if(Y12="", "",
  IFERROR(
    INDEX(
      'アイテム別限界値DB'!$L:$L, 
      MATCH(
        1, 
        ('アイテム別限界値DB'!$B:$B = X$10) * 
        ('アイテム別限界値DB'!$C:$C = X12), 
        0
      )
    ), 
    "再製作"
  )
))
</f>
        <v/>
      </c>
      <c r="AB12" s="11"/>
      <c r="AC12" s="216" t="s">
        <v>51</v>
      </c>
      <c r="AD12" s="219" t="str">
        <f>IF(AC11="再製作", "再製作", IF(AC11&lt;&gt;"", "お直し", ""))
</f>
        <v/>
      </c>
      <c r="AE12" s="220"/>
      <c r="AF12" s="218" t="str">
        <f t="array" ref="AF12">IF(
  AD12 = "再製作", 
  "", 
 if(AD12="", "",
  IFERROR(
    INDEX(
      'アイテム別限界値DB'!$L:$L, 
      MATCH(
        1, 
        ('アイテム別限界値DB'!$B:$B = AC$10) * 
        ('アイテム別限界値DB'!$C:$C = AC12), 
        0
      )
    ), 
    "再製作"
  )
))
</f>
        <v/>
      </c>
      <c r="AG12" s="11"/>
      <c r="AH12" s="216" t="s">
        <v>51</v>
      </c>
      <c r="AI12" s="219" t="str">
        <f>IF(AH11="再製作", "再製作", IF(AH11&lt;&gt;"", "お直し", ""))
</f>
        <v/>
      </c>
      <c r="AJ12" s="220"/>
      <c r="AK12" s="218" t="str">
        <f t="array" ref="AK12">IF(
  AI12 = "再製作", 
  "", 
 if(AI12="", "",
  IFERROR(
    INDEX(
      'アイテム別限界値DB'!$L:$L, 
      MATCH(
        1, 
        ('アイテム別限界値DB'!$B:$B = AH$10) * 
        ('アイテム別限界値DB'!$C:$C = AH12), 
        0
      )
    ), 
    "再製作"
  )
))
</f>
        <v/>
      </c>
      <c r="AL12" s="11"/>
      <c r="AM12" s="216" t="s">
        <v>51</v>
      </c>
      <c r="AN12" s="219" t="str">
        <f>IF(AM11="再製作", "再製作", IF(AM11&lt;&gt;"", "お直し", ""))
</f>
        <v/>
      </c>
      <c r="AO12" s="220"/>
      <c r="AP12" s="218" t="str">
        <f t="array" ref="AP12">IF(
  AN12 = "再製作", 
  "", 
 if(AN12="", "",
  IFERROR(
    INDEX(
      'アイテム別限界値DB'!$L:$L, 
      MATCH(
        1, 
        ('アイテム別限界値DB'!$B:$B = AM$10) * 
        ('アイテム別限界値DB'!$C:$C = AM12), 
        0
      )
    ), 
    "再製作"
  )
))
</f>
        <v/>
      </c>
      <c r="AQ12" s="11"/>
      <c r="AR12" s="216" t="s">
        <v>51</v>
      </c>
      <c r="AS12" s="219" t="str">
        <f>IF(AR11="再製作", "再製作", IF(AR11&lt;&gt;"", "お直し", ""))
</f>
        <v/>
      </c>
      <c r="AT12" s="220"/>
      <c r="AU12" s="218" t="str">
        <f t="array" ref="AU12">IF(
  AS12 = "再製作", 
  "", 
 if(AS12="", "",
  IFERROR(
    INDEX(
      'アイテム別限界値DB'!$L:$L, 
      MATCH(
        1, 
        ('アイテム別限界値DB'!$B:$B = AR$10) * 
        ('アイテム別限界値DB'!$C:$C = AR12), 
        0
      )
    ), 
    "再製作"
  )
))
</f>
        <v/>
      </c>
      <c r="AV12" s="121"/>
      <c r="AW12" s="216" t="s">
        <v>51</v>
      </c>
      <c r="AX12" s="219" t="str">
        <f>IF(AW11="再製作", "再製作", IF(AW11&lt;&gt;"", "お直し", ""))
</f>
        <v/>
      </c>
      <c r="AY12" s="220"/>
      <c r="AZ12" s="218" t="str">
        <f t="array" ref="AZ12">IF(
  AX12 = "再製作", 
  "", 
 if(AX12="", "",
  IFERROR(
    INDEX(
      'アイテム別限界値DB'!$L:$L, 
      MATCH(
        1, 
        ('アイテム別限界値DB'!$B:$B = AW$10) * 
        ('アイテム別限界値DB'!$C:$C = AW12), 
        0
      )
    ), 
    "再製作"
  )
))
</f>
        <v/>
      </c>
      <c r="BA12" s="121"/>
      <c r="BB12" s="216" t="s">
        <v>51</v>
      </c>
      <c r="BC12" s="217" t="str">
        <f>IF(BB11="再製作", "再製作", IF(BB11&lt;&gt;"", "お直し", ""))
</f>
        <v/>
      </c>
      <c r="BD12" s="195"/>
      <c r="BE12" s="218" t="str">
        <f t="array" ref="BE12">IF(
  BC12 = "再製作", 
  "", 
 if(BC12="", "",
  IFERROR(
    INDEX(
      'アイテム別限界値DB'!$L:$L, 
      MATCH(
        1, 
        ('アイテム別限界値DB'!$B:$B = BB$10) * 
        ('アイテム別限界値DB'!$C:$C = BB12), 
        0
      )
    ), 
    "再製作"
  )
))
</f>
        <v/>
      </c>
      <c r="BF12" s="121"/>
      <c r="BG12" s="216" t="s">
        <v>51</v>
      </c>
      <c r="BH12" s="217" t="str">
        <f>IF(BG11="再製作", "再製作", IF(BG11&lt;&gt;"", "お直し", ""))
</f>
        <v/>
      </c>
      <c r="BI12" s="195"/>
      <c r="BJ12" s="218" t="str">
        <f t="array" ref="BJ12">IF(
  BH12 = "再製作", 
  "", 
 if(BH12="", "",
  IFERROR(
    INDEX(
      'アイテム別限界値DB'!$L:$L, 
      MATCH(
        1, 
        ('アイテム別限界値DB'!$B:$B = BG$10) * 
        ('アイテム別限界値DB'!$C:$C = BG12), 
        0
      )
    ), 
    "再製作"
  )
))
</f>
        <v/>
      </c>
      <c r="BK12" s="121"/>
      <c r="BL12" s="221" t="s">
        <v>51</v>
      </c>
      <c r="BM12" s="219" t="str">
        <f>IF(BL11="再製作", "再製作", IF(BL11&lt;&gt;"", "お直し", ""))
</f>
        <v/>
      </c>
      <c r="BN12" s="195"/>
      <c r="BO12" s="218" t="str">
        <f t="array" ref="BO12">IF(
  BM12 = "再製作", 
  "", 
 if(BM12="", "",
  IFERROR(
    INDEX(
      'アイテム別限界値DB'!$L:$L, 
      MATCH(
        1, 
        ('アイテム別限界値DB'!$B:$B = BL$10) * 
        ('アイテム別限界値DB'!$C:$C = BL12), 
        0
      )
    ), 
    "再製作"
  )
))
</f>
        <v/>
      </c>
      <c r="BP12" s="195"/>
    </row>
    <row r="13" ht="18.75" hidden="1" customHeight="1">
      <c r="A13" s="222" t="s">
        <v>52</v>
      </c>
      <c r="B13" s="12"/>
      <c r="C13" s="12"/>
      <c r="D13" s="223" t="b">
        <f t="array" ref="D13:D42">UNIQUE(IF( ('アイテム別限界値DB'!$B:$B = D$10) * ('アイテム別限界値DB'!$A:$A = "サイズ"),  IF('アイテム別限界値DB'!$B:$B = D$10, 'アイテム別限界値DB'!$F:$F, "") ))</f>
        <v>0</v>
      </c>
      <c r="E13" s="224"/>
      <c r="F13" s="12"/>
      <c r="G13" s="121"/>
      <c r="H13" s="12"/>
      <c r="I13" s="223" t="b">
        <f t="array" ref="I13:I27">UNIQUE(IF( ('アイテム別限界値DB'!$B:$B = I$10) * ('アイテム別限界値DB'!$A:$A = "サイズ"),  IF('アイテム別限界値DB'!$B:$B = I$10, 'アイテム別限界値DB'!$F:$F, "") ))</f>
        <v>0</v>
      </c>
      <c r="J13" s="224"/>
      <c r="K13" s="12"/>
      <c r="L13" s="121"/>
      <c r="M13" s="12"/>
      <c r="N13" s="223" t="b">
        <f t="array" ref="N13:N21">UNIQUE(IF( ('アイテム別限界値DB'!$B:$B = N$10) * ('アイテム別限界値DB'!$A:$A = "サイズ"),  IF('アイテム別限界値DB'!$B:$B = N$10, 'アイテム別限界値DB'!$C:$C, "") ))</f>
        <v>0</v>
      </c>
      <c r="O13" s="224"/>
      <c r="P13" s="12"/>
      <c r="Q13" s="121"/>
      <c r="R13" s="11"/>
      <c r="S13" s="223" t="b">
        <f t="array" ref="S13:S28">UNIQUE(IF( ('アイテム別限界値DB'!$B:$B = S$10) * ('アイテム別限界値DB'!$A:$A = "サイズ"),  IF('アイテム別限界値DB'!$B:$B = S$10, 'アイテム別限界値DB'!$F:$F, "") ))</f>
        <v>0</v>
      </c>
      <c r="T13" s="225"/>
      <c r="U13" s="226"/>
      <c r="V13" s="121"/>
      <c r="W13" s="12"/>
      <c r="X13" s="223" t="b">
        <f t="array" ref="X13:X31">UNIQUE(IF( ('アイテム別限界値DB'!$B:$B = X$10) * ('アイテム別限界値DB'!$A:$A = "サイズ"),  IF('アイテム別限界値DB'!$B:$B = X$10, 'アイテム別限界値DB'!$C:$C, "") ))</f>
        <v>0</v>
      </c>
      <c r="Y13" s="225"/>
      <c r="Z13" s="226"/>
      <c r="AA13" s="121"/>
      <c r="AB13" s="11"/>
      <c r="AC13" s="223" t="b">
        <f t="array" ref="AC13:AC29">UNIQUE(IF( ('アイテム別限界値DB'!$B:$B = AC$10) * ('アイテム別限界値DB'!$A:$A = "サイズ"),  IF('アイテム別限界値DB'!$B:$B = AC$10, 'アイテム別限界値DB'!$F:$F, "") ))</f>
        <v>0</v>
      </c>
      <c r="AD13" s="225"/>
      <c r="AE13" s="226"/>
      <c r="AF13" s="121"/>
      <c r="AG13" s="11"/>
      <c r="AH13" s="223" t="b">
        <f t="array" ref="AH13:AH20">UNIQUE(IF( ('アイテム別限界値DB'!$B:$B = AH$10) * ('アイテム別限界値DB'!$A:$A = "サイズ"),  IF('アイテム別限界値DB'!$B:$B = AH$10, 'アイテム別限界値DB'!$F:$F, "") ))</f>
        <v>0</v>
      </c>
      <c r="AI13" s="225"/>
      <c r="AJ13" s="226"/>
      <c r="AK13" s="121"/>
      <c r="AL13" s="11"/>
      <c r="AM13" s="223" t="b">
        <f t="array" ref="AM13:AM20">UNIQUE(IF( ('アイテム別限界値DB'!$B:$B = AM$10) * ('アイテム別限界値DB'!$A:$A = "サイズ"),  IF('アイテム別限界値DB'!$B:$B = AM$10, 'アイテム別限界値DB'!$F:$F, "") ))</f>
        <v>0</v>
      </c>
      <c r="AN13" s="225"/>
      <c r="AO13" s="226"/>
      <c r="AP13" s="121"/>
      <c r="AQ13" s="11"/>
      <c r="AR13" s="223" t="b">
        <f t="array" ref="AR13:AR20">UNIQUE(IF( ('アイテム別限界値DB'!$B:$B = AR$10) * ('アイテム別限界値DB'!$A:$A = "サイズ"),  IF('アイテム別限界値DB'!$B:$B = AR$10, 'アイテム別限界値DB'!$F:$F, "") ))</f>
        <v>0</v>
      </c>
      <c r="AS13" s="225"/>
      <c r="AT13" s="226"/>
      <c r="AU13" s="121"/>
      <c r="AV13" s="121"/>
      <c r="AW13" s="223" t="b">
        <f t="array" ref="AW13:AW20">UNIQUE(IF( ('アイテム別限界値DB'!$B:$B = AW$10) * ('アイテム別限界値DB'!$A:$A = "サイズ"),  IF('アイテム別限界値DB'!$B:$B = AW$10, 'アイテム別限界値DB'!$F:$F, "") ))</f>
        <v>0</v>
      </c>
      <c r="AX13" s="225"/>
      <c r="AY13" s="226"/>
      <c r="AZ13" s="121"/>
      <c r="BA13" s="121"/>
      <c r="BB13" s="223" t="b">
        <f t="array" ref="BB13:BB20">UNIQUE(IF( ('アイテム別限界値DB'!$B:$B = BB$10) * ('アイテム別限界値DB'!$A:$A = "サイズ"),  IF('アイテム別限界値DB'!$B:$B = BB$10, 'アイテム別限界値DB'!$F:$F, "") ))</f>
        <v>0</v>
      </c>
      <c r="BC13" s="224"/>
      <c r="BD13" s="12"/>
      <c r="BE13" s="121"/>
      <c r="BF13" s="121"/>
      <c r="BG13" s="223" t="b">
        <f t="array" ref="BG13:BG20">UNIQUE(IF( ('アイテム別限界値DB'!$B:$B = BG$10) * ('アイテム別限界値DB'!$A:$A = "サイズ"),  IF('アイテム別限界値DB'!$B:$B = BG$10, 'アイテム別限界値DB'!$F:$F, "") ))</f>
        <v>0</v>
      </c>
      <c r="BH13" s="224"/>
      <c r="BI13" s="12"/>
      <c r="BJ13" s="121"/>
      <c r="BK13" s="121"/>
      <c r="BL13" s="227" t="b">
        <f t="array" ref="BL13:BL23">UNIQUE(IF( ('アイテム別限界値DB'!$B:$B = BL$10) * ('アイテム別限界値DB'!$A:$A = "サイズ"),  IF('アイテム別限界値DB'!$B:$B = BL$10, 'アイテム別限界値DB'!$F:$F, "") ))</f>
        <v>0</v>
      </c>
      <c r="BM13" s="224"/>
      <c r="BN13" s="121"/>
      <c r="BO13" s="121"/>
      <c r="BP13" s="121"/>
    </row>
    <row r="14" ht="18.75" hidden="1" customHeight="1">
      <c r="A14" s="228" t="str">
        <f>IF($D$11 = "再製作", "◼︎ ジャケット（対応着地：再製作）" &amp; char(10) &amp; "《修正数値》", IF( $D$11 &lt;&gt;"", "◼︎ ジャケット（対応着地：お直し）" &amp; char(10) &amp; "《修正数値》", ""))</f>
        <v/>
      </c>
      <c r="B14" s="229"/>
      <c r="C14" s="224"/>
      <c r="D14" s="224" t="s">
        <v>51</v>
      </c>
      <c r="E14" s="232"/>
      <c r="F14" s="231" t="str">
        <f t="array" ref="F14">IF(
  E14 = 0, 
  "", 
  IFERROR(
    INDEX(
      'アイテム別限界値DB'!$K:$K, 
      MATCH(
        1, 
        ('アイテム別限界値DB'!$B:$B = D$10) * 
        ('アイテム別限界値DB'!$F:$F = D14) * 
        ('アイテム別限界値DB'!$H:$H = E14), 
        0
      )
    ), 
    "再製作"
  )
)
</f>
        <v/>
      </c>
      <c r="G14" s="218" t="str">
        <f t="array" ref="G14">IF(
  E14 = 0, 
  "", 
  IFERROR(
    INDEX(
      'アイテム別限界値DB'!$L:$L, 
      MATCH(
        1, 
        ('アイテム別限界値DB'!$B:$B = D$10) * 
        ('アイテム別限界値DB'!$C:$C = D14) * 
        ('アイテム別限界値DB'!$F:$F = E14), 
        0
      )
    ), 
    ""
  )
)
</f>
        <v/>
      </c>
      <c r="H14" s="195"/>
      <c r="I14" s="224" t="s">
        <v>51</v>
      </c>
      <c r="J14" s="232"/>
      <c r="K14" s="231" t="str">
        <f t="array" ref="K14">IF(
  J14 = 0, 
  "", 
  IFERROR(
    INDEX(
      'アイテム別限界値DB'!$K:$K, 
      MATCH(
        1, 
        ('アイテム別限界値DB'!$B:$B = I$10) * 
        ('アイテム別限界値DB'!$F:$F = I14) * 
        ('アイテム別限界値DB'!$H:$H = J14), 
        0
      )
    ), 
    "再製作"
  )
)
</f>
        <v/>
      </c>
      <c r="L14" s="218" t="str">
        <f t="array" ref="L14">IF(
  J14 = 0, 
  "", 
  IFERROR(
    INDEX(
      'アイテム別限界値DB'!$L:$L, 
      MATCH(
        1, 
        ('アイテム別限界値DB'!$B:$B = I$10) * 
        ('アイテム別限界値DB'!$C:$C = I14) * 
        ('アイテム別限界値DB'!$F:$F = J14), 
        0
      )
    ), 
    ""
  )
)
</f>
        <v/>
      </c>
      <c r="M14" s="12"/>
      <c r="N14" s="224" t="s">
        <v>51</v>
      </c>
      <c r="O14" s="232"/>
      <c r="P14" s="231" t="str">
        <f t="array" ref="P14">IF(
  O14 = 0, 
  "", 
  IFERROR(
    INDEX(
      'アイテム別限界値DB'!$K:$K, 
      MATCH(
        1, 
        ('アイテム別限界値DB'!$B:$B = N$10) * 
        ('アイテム別限界値DB'!$F:$F = N14) * 
        ('アイテム別限界値DB'!$H:$H = O14), 
        0
      )
    ), 
    "再製作"
  )
)
</f>
        <v/>
      </c>
      <c r="Q14" s="218" t="str">
        <f t="array" ref="Q14">IF(
  O14 = 0, 
  "", 
  IFERROR(
    INDEX(
      'アイテム別限界値DB'!$L:$L, 
      MATCH(
        1, 
        ('アイテム別限界値DB'!$B:$B = N$10) * 
        ('アイテム別限界値DB'!$C:$C = N14) * 
        ('アイテム別限界値DB'!$F:$F = O14), 
        0
      )
    ), 
    ""
  )
)
</f>
        <v/>
      </c>
      <c r="R14" s="12"/>
      <c r="S14" s="224" t="s">
        <v>51</v>
      </c>
      <c r="T14" s="232"/>
      <c r="U14" s="231" t="str">
        <f t="array" ref="U14">IF(
  T14 = 0, 
  "", 
  IFERROR(
    INDEX(
      'アイテム別限界値DB'!$K:$K, 
      MATCH(
        1, 
        ('アイテム別限界値DB'!$B:$B = S$10) * 
        ('アイテム別限界値DB'!$F:$F = S14) * 
        ('アイテム別限界値DB'!$H:$H = T14), 
        0
      )
    ), 
    "再製作"
  )
)
</f>
        <v/>
      </c>
      <c r="V14" s="218" t="str">
        <f t="array" ref="V14">IF(
  T14 = 0, 
  "", 
  IFERROR(
    INDEX(
      'アイテム別限界値DB'!$L:$L, 
      MATCH(
        1, 
        ('アイテム別限界値DB'!$B:$B = S$10) * 
        ('アイテム別限界値DB'!$C:$C = S14) * 
        ('アイテム別限界値DB'!$F:$F = T14), 
        0
      )
    ), 
    ""
  )
)
</f>
        <v/>
      </c>
      <c r="W14" s="12"/>
      <c r="X14" s="224" t="s">
        <v>51</v>
      </c>
      <c r="Y14" s="232"/>
      <c r="Z14" s="231" t="str">
        <f t="array" ref="Z14">IF(
  Y14 = 0, 
  "", 
  IFERROR(
    INDEX(
      'アイテム別限界値DB'!$K:$K, 
      MATCH(
        1, 
        ('アイテム別限界値DB'!$B:$B = X$10) * 
        ('アイテム別限界値DB'!$F:$F = X14) * 
        ('アイテム別限界値DB'!$H:$H = Y14), 
        0
      )
    ), 
    "再製作"
  )
)
</f>
        <v/>
      </c>
      <c r="AA14" s="218" t="str">
        <f t="array" ref="AA14">IF(
  Y14 = 0, 
  "", 
  IFERROR(
    INDEX(
      'アイテム別限界値DB'!$L:$L, 
      MATCH(
        1, 
        ('アイテム別限界値DB'!$B:$B = X$10) * 
        ('アイテム別限界値DB'!$C:$C = X14) * 
        ('アイテム別限界値DB'!$F:$F = Y14), 
        0
      )
    ), 
    ""
  )
)
</f>
        <v/>
      </c>
      <c r="AB14" s="11"/>
      <c r="AC14" s="224" t="s">
        <v>51</v>
      </c>
      <c r="AD14" s="232"/>
      <c r="AE14" s="231" t="str">
        <f t="array" ref="AE14">IF(
  AD14 = 0, 
  "", 
  IFERROR(
    INDEX(
      'アイテム別限界値DB'!$K:$K, 
      MATCH(
        1, 
        ('アイテム別限界値DB'!$B:$B = AC$10) * 
        ('アイテム別限界値DB'!$F:$F = AC14) * 
        ('アイテム別限界値DB'!$H:$H = AD14), 
        0
      )
    ), 
    "再製作"
  )
)
</f>
        <v/>
      </c>
      <c r="AF14" s="218" t="str">
        <f t="array" ref="AF14">IF(
  AD14 = 0, 
  "", 
  IFERROR(
    INDEX(
      'アイテム別限界値DB'!$L:$L, 
      MATCH(
        1, 
        ('アイテム別限界値DB'!$B:$B = AC$10) * 
        ('アイテム別限界値DB'!$C:$C = AC14) * 
        ('アイテム別限界値DB'!$F:$F = AD14), 
        0
      )
    ), 
    ""
  )
)
</f>
        <v/>
      </c>
      <c r="AG14" s="11"/>
      <c r="AH14" s="224" t="s">
        <v>51</v>
      </c>
      <c r="AI14" s="232"/>
      <c r="AJ14" s="231" t="str">
        <f t="array" ref="AJ14">IF(
  AI14 = 0, 
  "", 
  IFERROR(
    INDEX(
      'アイテム別限界値DB'!$K:$K, 
      MATCH(
        1, 
        ('アイテム別限界値DB'!$B:$B = AH$10) * 
        ('アイテム別限界値DB'!$F:$F = AH14) * 
        ('アイテム別限界値DB'!$H:$H = AI14), 
        0
      )
    ), 
    "再製作"
  )
)
</f>
        <v/>
      </c>
      <c r="AK14" s="218" t="str">
        <f t="array" ref="AK14">IF(
  AI14 = 0, 
  "", 
  IFERROR(
    INDEX(
      'アイテム別限界値DB'!$L:$L, 
      MATCH(
        1, 
        ('アイテム別限界値DB'!$B:$B = AH$10) * 
        ('アイテム別限界値DB'!$C:$C = AH14) * 
        ('アイテム別限界値DB'!$F:$F = AI14), 
        0
      )
    ), 
    ""
  )
)
</f>
        <v/>
      </c>
      <c r="AL14" s="11"/>
      <c r="AM14" s="224" t="s">
        <v>51</v>
      </c>
      <c r="AN14" s="232"/>
      <c r="AO14" s="231" t="str">
        <f t="array" ref="AO14">IF(
  AN14 = 0, 
  "", 
  IFERROR(
    INDEX(
      'アイテム別限界値DB'!$K:$K, 
      MATCH(
        1, 
        ('アイテム別限界値DB'!$B:$B = AM$10) * 
        ('アイテム別限界値DB'!$F:$F = AM14) * 
        ('アイテム別限界値DB'!$H:$H = AN14), 
        0
      )
    ), 
    "再製作"
  )
)
</f>
        <v/>
      </c>
      <c r="AP14" s="218" t="str">
        <f t="array" ref="AP14">IF(
  AN14 = 0, 
  "", 
  IFERROR(
    INDEX(
      'アイテム別限界値DB'!$L:$L, 
      MATCH(
        1, 
        ('アイテム別限界値DB'!$B:$B = AM$10) * 
        ('アイテム別限界値DB'!$C:$C = AM14) * 
        ('アイテム別限界値DB'!$F:$F = AN14), 
        0
      )
    ), 
    ""
  )
)
</f>
        <v/>
      </c>
      <c r="AQ14" s="11"/>
      <c r="AR14" s="224" t="s">
        <v>51</v>
      </c>
      <c r="AS14" s="232"/>
      <c r="AT14" s="231" t="str">
        <f t="array" ref="AT14">IF(
  AS14 = 0, 
  "", 
  IFERROR(
    INDEX(
      'アイテム別限界値DB'!$K:$K, 
      MATCH(
        1, 
        ('アイテム別限界値DB'!$B:$B = AR$10) * 
        ('アイテム別限界値DB'!$F:$F = AR14) * 
        ('アイテム別限界値DB'!$H:$H = AS14), 
        0
      )
    ), 
    "再製作"
  )
)
</f>
        <v/>
      </c>
      <c r="AU14" s="218" t="str">
        <f t="array" ref="AU14">IF(
  AS14 = 0, 
  "", 
  IFERROR(
    INDEX(
      'アイテム別限界値DB'!$L:$L, 
      MATCH(
        1, 
        ('アイテム別限界値DB'!$B:$B = AR$10) * 
        ('アイテム別限界値DB'!$C:$C = AR14) * 
        ('アイテム別限界値DB'!$F:$F = AS14), 
        0
      )
    ), 
    ""
  )
)
</f>
        <v/>
      </c>
      <c r="AV14" s="121"/>
      <c r="AW14" s="224" t="s">
        <v>51</v>
      </c>
      <c r="AX14" s="232"/>
      <c r="AY14" s="231" t="str">
        <f t="array" ref="AY14">IF(
  AX14 = 0, 
  "", 
  IFERROR(
    INDEX(
      'アイテム別限界値DB'!$K:$K, 
      MATCH(
        1, 
        ('アイテム別限界値DB'!$B:$B = AW$10) * 
        ('アイテム別限界値DB'!$F:$F = AW14) * 
        ('アイテム別限界値DB'!$H:$H = AX14), 
        0
      )
    ), 
    "再製作"
  )
)
</f>
        <v/>
      </c>
      <c r="AZ14" s="218" t="str">
        <f t="array" ref="AZ14">IF(
  AX14 = 0, 
  "", 
  IFERROR(
    INDEX(
      'アイテム別限界値DB'!$L:$L, 
      MATCH(
        1, 
        ('アイテム別限界値DB'!$B:$B = AW$10) * 
        ('アイテム別限界値DB'!$C:$C = AW14) * 
        ('アイテム別限界値DB'!$F:$F = AX14), 
        0
      )
    ), 
    ""
  )
)
</f>
        <v/>
      </c>
      <c r="BA14" s="121"/>
      <c r="BB14" s="224" t="s">
        <v>51</v>
      </c>
      <c r="BC14" s="232"/>
      <c r="BD14" s="231" t="str">
        <f t="array" ref="BD14">IF(
  BC14 = 0, 
  "", 
  IFERROR(
    INDEX(
      'アイテム別限界値DB'!$K:$K, 
      MATCH(
        1, 
        ('アイテム別限界値DB'!$B:$B = BB$10) * 
        ('アイテム別限界値DB'!$F:$F = BB14) * 
        ('アイテム別限界値DB'!$H:$H = BC14), 
        0
      )
    ), 
    "再製作"
  )
)
</f>
        <v/>
      </c>
      <c r="BE14" s="218" t="str">
        <f t="array" ref="BE14">IF(
  BC14 = 0, 
  "", 
  IFERROR(
    INDEX(
      'アイテム別限界値DB'!$L:$L, 
      MATCH(
        1, 
        ('アイテム別限界値DB'!$B:$B = BB$10) * 
        ('アイテム別限界値DB'!$C:$C = BB14) * 
        ('アイテム別限界値DB'!$F:$F = BC14), 
        0
      )
    ), 
    ""
  )
)
</f>
        <v/>
      </c>
      <c r="BF14" s="121"/>
      <c r="BG14" s="224" t="s">
        <v>51</v>
      </c>
      <c r="BH14" s="233"/>
      <c r="BI14" s="234" t="str">
        <f t="array" ref="BI14">IF(
  BH14 = 0, 
  "", 
  IFERROR(
    INDEX(
      'アイテム別限界値DB'!$K:$K, 
      MATCH(
        1, 
        ('アイテム別限界値DB'!$B:$B = BG$10) * 
        ('アイテム別限界値DB'!$F:$F = BG14) * 
        ('アイテム別限界値DB'!$H:$H = BH14), 
        0
      )
    ), 
    "再製作"
  )
)
</f>
        <v/>
      </c>
      <c r="BJ14" s="218" t="str">
        <f t="array" ref="BJ14">IF(
  BH14 = 0, 
  "", 
  IFERROR(
    INDEX(
      'アイテム別限界値DB'!$L:$L, 
      MATCH(
        1, 
        ('アイテム別限界値DB'!$B:$B = BG$10) * 
        ('アイテム別限界値DB'!$C:$C = BG14) * 
        ('アイテム別限界値DB'!$F:$F = BH14), 
        0
      )
    ), 
    ""
  )
)
</f>
        <v/>
      </c>
      <c r="BK14" s="121"/>
      <c r="BL14" s="224" t="s">
        <v>51</v>
      </c>
      <c r="BM14" s="232"/>
      <c r="BN14" s="231" t="str">
        <f t="array" ref="BN14">IF(
  BM14 = 0, 
  "", 
  IFERROR(
    INDEX(
      'アイテム別限界値DB'!$K:$K, 
      MATCH(
        1, 
        ('アイテム別限界値DB'!$B:$B = BL$10) * 
        ('アイテム別限界値DB'!$F:$F = BL14) * 
        ('アイテム別限界値DB'!$H:$H = BM14), 
        0
      )
    ), 
    "再製作"
  )
)
</f>
        <v/>
      </c>
      <c r="BO14" s="218" t="str">
        <f t="array" ref="BO14">IF(
  BM14 = 0, 
  "", 
  IFERROR(
    INDEX(
      'アイテム別限界値DB'!$L:$L, 
      MATCH(
        1, 
        ('アイテム別限界値DB'!$B:$B = BL$10) * 
        ('アイテム別限界値DB'!$C:$C = BL14) * 
        ('アイテム別限界値DB'!$F:$F = BM14), 
        0
      )
    ), 
    ""
  )
)
</f>
        <v/>
      </c>
      <c r="BP14" s="195"/>
    </row>
    <row r="15" ht="18.75" customHeight="1">
      <c r="A15" s="228" t="str">
        <f>IFERROR(__xludf.DUMMYFUNCTION("TEXTJOIN(CHAR(10),TRUE,FILTER(ARRAYFORMULA(IF(E$14:E72&lt;&gt;"""",D$14:D72&amp;"" : ""&amp; E$14:E72 &amp;"" cm"","""")), D$14:D72 &lt;&gt;""""))"),"")</f>
        <v/>
      </c>
      <c r="B15" s="235"/>
      <c r="C15" s="224"/>
      <c r="D15" s="224" t="s">
        <v>53</v>
      </c>
      <c r="E15" s="230"/>
      <c r="F15" s="231" t="str">
        <f t="array" ref="F15">IF(
  E15 = 0, 
  "", 
  IFERROR(
    INDEX(
      'アイテム別限界値DB'!$K:$K, 
      MATCH(
        1, 
        ('アイテム別限界値DB'!$B:$B = D$10) * 
        ('アイテム別限界値DB'!$F:$F = D15) * 
        ('アイテム別限界値DB'!$H:$H = E15), 
        0
      )
    ), 
    "再製作"
  )
)
</f>
        <v/>
      </c>
      <c r="G15" s="218" t="str">
        <f t="array" ref="G15">IF(
  E15 = 0, 
  "", 
  IFERROR(
    INDEX(
      'アイテム別限界値DB'!$L:$L, 
      MATCH(
        1, 
        ('アイテム別限界値DB'!$B:$B = D$10) * 
        ('アイテム別限界値DB'!$C:$C = D15) * 
        ('アイテム別限界値DB'!$F:$F = E15), 
        0
      )
    ), 
    ""
  )
)
</f>
        <v/>
      </c>
      <c r="H15" s="12"/>
      <c r="I15" s="224" t="s">
        <v>54</v>
      </c>
      <c r="J15" s="230"/>
      <c r="K15" s="231" t="str">
        <f t="array" ref="K15">IF(
  J15 = 0, 
  "", 
  IFERROR(
    INDEX(
      'アイテム別限界値DB'!$K:$K, 
      MATCH(
        1, 
        ('アイテム別限界値DB'!$B:$B = I$10) * 
        ('アイテム別限界値DB'!$F:$F = I15) * 
        ('アイテム別限界値DB'!$H:$H = J15), 
        0
      )
    ), 
    "再製作"
  )
)
</f>
        <v/>
      </c>
      <c r="L15" s="218" t="str">
        <f t="array" ref="L15">IF(
  J15 = 0, 
  "", 
  IFERROR(
    INDEX(
      'アイテム別限界値DB'!$L:$L, 
      MATCH(
        1, 
        ('アイテム別限界値DB'!$B:$B = I$10) * 
        ('アイテム別限界値DB'!$C:$C = I15) * 
        ('アイテム別限界値DB'!$F:$F = J15), 
        0
      )
    ), 
    ""
  )
)
</f>
        <v/>
      </c>
      <c r="M15" s="12"/>
      <c r="N15" s="224" t="s">
        <v>55</v>
      </c>
      <c r="O15" s="230"/>
      <c r="P15" s="231" t="str">
        <f t="array" ref="P15">IF(
  O15 = 0, 
  "", 
  IFERROR(
    INDEX(
      'アイテム別限界値DB'!$K:$K, 
      MATCH(
        1, 
        ('アイテム別限界値DB'!$B:$B = N$10) * 
        ('アイテム別限界値DB'!$F:$F = N15) * 
        ('アイテム別限界値DB'!$H:$H = O15), 
        0
      )
    ), 
    "再製作"
  )
)
</f>
        <v/>
      </c>
      <c r="Q15" s="218" t="str">
        <f t="array" ref="Q15">IF(
  O15 = 0, 
  "", 
  IFERROR(
    INDEX(
      'アイテム別限界値DB'!$L:$L, 
      MATCH(
        1, 
        ('アイテム別限界値DB'!$B:$B = N$10) * 
        ('アイテム別限界値DB'!$C:$C = N15) * 
        ('アイテム別限界値DB'!$F:$F = O15), 
        0
      )
    ), 
    ""
  )
)
</f>
        <v/>
      </c>
      <c r="R15" s="12"/>
      <c r="S15" s="224" t="s">
        <v>54</v>
      </c>
      <c r="T15" s="230"/>
      <c r="U15" s="231" t="str">
        <f t="array" ref="U15">IF(
  T15 = 0, 
  "", 
  IFERROR(
    INDEX(
      'アイテム別限界値DB'!$K:$K, 
      MATCH(
        1, 
        ('アイテム別限界値DB'!$B:$B = S$10) * 
        ('アイテム別限界値DB'!$F:$F = S15) * 
        ('アイテム別限界値DB'!$H:$H = T15), 
        0
      )
    ), 
    "再製作"
  )
)
</f>
        <v/>
      </c>
      <c r="V15" s="218" t="str">
        <f t="array" ref="V15">IF(
  T15 = 0, 
  "", 
  IFERROR(
    INDEX(
      'アイテム別限界値DB'!$L:$L, 
      MATCH(
        1, 
        ('アイテム別限界値DB'!$B:$B = S$10) * 
        ('アイテム別限界値DB'!$C:$C = S15) * 
        ('アイテム別限界値DB'!$F:$F = T15), 
        0
      )
    ), 
    ""
  )
)
</f>
        <v/>
      </c>
      <c r="W15" s="12"/>
      <c r="X15" s="224" t="s">
        <v>53</v>
      </c>
      <c r="Y15" s="230"/>
      <c r="Z15" s="231" t="str">
        <f t="array" ref="Z15">IF(
  Y15 = 0, 
  "", 
  IFERROR(
    INDEX(
      'アイテム別限界値DB'!$K:$K, 
      MATCH(
        1, 
        ('アイテム別限界値DB'!$B:$B = X$10) * 
        ('アイテム別限界値DB'!$F:$F = X15) * 
        ('アイテム別限界値DB'!$H:$H = Y15), 
        0
      )
    ), 
    "再製作"
  )
)
</f>
        <v/>
      </c>
      <c r="AA15" s="218" t="str">
        <f t="array" ref="AA15">IF(
  Y15 = 0, 
  "", 
  IFERROR(
    INDEX(
      'アイテム別限界値DB'!$L:$L, 
      MATCH(
        1, 
        ('アイテム別限界値DB'!$B:$B = X$10) * 
        ('アイテム別限界値DB'!$C:$C = X15) * 
        ('アイテム別限界値DB'!$F:$F = Y15), 
        0
      )
    ), 
    ""
  )
)
</f>
        <v/>
      </c>
      <c r="AB15" s="11"/>
      <c r="AC15" s="224" t="s">
        <v>53</v>
      </c>
      <c r="AD15" s="230"/>
      <c r="AE15" s="231" t="str">
        <f t="array" ref="AE15">IF(
  AD15 = 0, 
  "", 
  IFERROR(
    INDEX(
      'アイテム別限界値DB'!$K:$K, 
      MATCH(
        1, 
        ('アイテム別限界値DB'!$B:$B = AC$10) * 
        ('アイテム別限界値DB'!$F:$F = AC15) * 
        ('アイテム別限界値DB'!$H:$H = AD15), 
        0
      )
    ), 
    "再製作"
  )
)
</f>
        <v/>
      </c>
      <c r="AF15" s="218" t="str">
        <f t="array" ref="AF15">IF(
  AD15 = 0, 
  "", 
  IFERROR(
    INDEX(
      'アイテム別限界値DB'!$L:$L, 
      MATCH(
        1, 
        ('アイテム別限界値DB'!$B:$B = AC$10) * 
        ('アイテム別限界値DB'!$C:$C = AC15) * 
        ('アイテム別限界値DB'!$F:$F = AD15), 
        0
      )
    ), 
    ""
  )
)
</f>
        <v/>
      </c>
      <c r="AG15" s="11"/>
      <c r="AH15" s="224" t="s">
        <v>53</v>
      </c>
      <c r="AI15" s="230"/>
      <c r="AJ15" s="231" t="str">
        <f t="array" ref="AJ15">IF(
  AI15 = 0, 
  "", 
  IFERROR(
    INDEX(
      'アイテム別限界値DB'!$K:$K, 
      MATCH(
        1, 
        ('アイテム別限界値DB'!$B:$B = AH$10) * 
        ('アイテム別限界値DB'!$F:$F = AH15) * 
        ('アイテム別限界値DB'!$H:$H = AI15), 
        0
      )
    ), 
    "再製作"
  )
)
</f>
        <v/>
      </c>
      <c r="AK15" s="218" t="str">
        <f t="array" ref="AK15">IF(
  AI15 = 0, 
  "", 
  IFERROR(
    INDEX(
      'アイテム別限界値DB'!$L:$L, 
      MATCH(
        1, 
        ('アイテム別限界値DB'!$B:$B = AH$10) * 
        ('アイテム別限界値DB'!$C:$C = AH15) * 
        ('アイテム別限界値DB'!$F:$F = AI15), 
        0
      )
    ), 
    ""
  )
)
</f>
        <v/>
      </c>
      <c r="AL15" s="11"/>
      <c r="AM15" s="224" t="s">
        <v>53</v>
      </c>
      <c r="AN15" s="230"/>
      <c r="AO15" s="231" t="str">
        <f t="array" ref="AO15">IF(
  AN15 = 0, 
  "", 
  IFERROR(
    INDEX(
      'アイテム別限界値DB'!$K:$K, 
      MATCH(
        1, 
        ('アイテム別限界値DB'!$B:$B = AM$10) * 
        ('アイテム別限界値DB'!$F:$F = AM15) * 
        ('アイテム別限界値DB'!$H:$H = AN15), 
        0
      )
    ), 
    "再製作"
  )
)
</f>
        <v/>
      </c>
      <c r="AP15" s="218" t="str">
        <f t="array" ref="AP15">IF(
  AN15 = 0, 
  "", 
  IFERROR(
    INDEX(
      'アイテム別限界値DB'!$L:$L, 
      MATCH(
        1, 
        ('アイテム別限界値DB'!$B:$B = AM$10) * 
        ('アイテム別限界値DB'!$C:$C = AM15) * 
        ('アイテム別限界値DB'!$F:$F = AN15), 
        0
      )
    ), 
    ""
  )
)
</f>
        <v/>
      </c>
      <c r="AQ15" s="11"/>
      <c r="AR15" s="224" t="s">
        <v>53</v>
      </c>
      <c r="AS15" s="230"/>
      <c r="AT15" s="231" t="str">
        <f t="array" ref="AT15">IF(
  AS15 = 0, 
  "", 
  IFERROR(
    INDEX(
      'アイテム別限界値DB'!$K:$K, 
      MATCH(
        1, 
        ('アイテム別限界値DB'!$B:$B = AR$10) * 
        ('アイテム別限界値DB'!$F:$F = AR15) * 
        ('アイテム別限界値DB'!$H:$H = AS15), 
        0
      )
    ), 
    "再製作"
  )
)
</f>
        <v/>
      </c>
      <c r="AU15" s="218" t="str">
        <f t="array" ref="AU15">IF(
  AS15 = 0, 
  "", 
  IFERROR(
    INDEX(
      'アイテム別限界値DB'!$L:$L, 
      MATCH(
        1, 
        ('アイテム別限界値DB'!$B:$B = AR$10) * 
        ('アイテム別限界値DB'!$C:$C = AR15) * 
        ('アイテム別限界値DB'!$F:$F = AS15), 
        0
      )
    ), 
    ""
  )
)
</f>
        <v/>
      </c>
      <c r="AV15" s="121"/>
      <c r="AW15" s="224" t="s">
        <v>53</v>
      </c>
      <c r="AX15" s="230"/>
      <c r="AY15" s="231" t="str">
        <f t="array" ref="AY15">IF(
  AX15 = 0, 
  "", 
  IFERROR(
    INDEX(
      'アイテム別限界値DB'!$K:$K, 
      MATCH(
        1, 
        ('アイテム別限界値DB'!$B:$B = AW$10) * 
        ('アイテム別限界値DB'!$F:$F = AW15) * 
        ('アイテム別限界値DB'!$H:$H = AX15), 
        0
      )
    ), 
    "再製作"
  )
)
</f>
        <v/>
      </c>
      <c r="AZ15" s="218" t="str">
        <f t="array" ref="AZ15">IF(
  AX15 = 0, 
  "", 
  IFERROR(
    INDEX(
      'アイテム別限界値DB'!$L:$L, 
      MATCH(
        1, 
        ('アイテム別限界値DB'!$B:$B = AW$10) * 
        ('アイテム別限界値DB'!$C:$C = AW15) * 
        ('アイテム別限界値DB'!$F:$F = AX15), 
        0
      )
    ), 
    ""
  )
)
</f>
        <v/>
      </c>
      <c r="BA15" s="121"/>
      <c r="BB15" s="224" t="s">
        <v>53</v>
      </c>
      <c r="BC15" s="230"/>
      <c r="BD15" s="231" t="str">
        <f t="array" ref="BD15">IF(
  BC15 = 0, 
  "", 
  IFERROR(
    INDEX(
      'アイテム別限界値DB'!$K:$K, 
      MATCH(
        1, 
        ('アイテム別限界値DB'!$B:$B = BB$10) * 
        ('アイテム別限界値DB'!$F:$F = BB15) * 
        ('アイテム別限界値DB'!$H:$H = BC15), 
        0
      )
    ), 
    "再製作"
  )
)
</f>
        <v/>
      </c>
      <c r="BE15" s="218" t="str">
        <f t="array" ref="BE15">IF(
  BC15 = 0, 
  "", 
  IFERROR(
    INDEX(
      'アイテム別限界値DB'!$L:$L, 
      MATCH(
        1, 
        ('アイテム別限界値DB'!$B:$B = BB$10) * 
        ('アイテム別限界値DB'!$C:$C = BB15) * 
        ('アイテム別限界値DB'!$F:$F = BC15), 
        0
      )
    ), 
    ""
  )
)
</f>
        <v/>
      </c>
      <c r="BF15" s="121"/>
      <c r="BG15" s="224" t="s">
        <v>53</v>
      </c>
      <c r="BH15" s="230"/>
      <c r="BI15" s="231" t="str">
        <f t="array" ref="BI15">IF(
  BH15 = 0, 
  "", 
  IFERROR(
    INDEX(
      'アイテム別限界値DB'!$K:$K, 
      MATCH(
        1, 
        ('アイテム別限界値DB'!$B:$B = BG$10) * 
        ('アイテム別限界値DB'!$F:$F = BG15) * 
        ('アイテム別限界値DB'!$H:$H = BH15), 
        0
      )
    ), 
    "再製作"
  )
)
</f>
        <v/>
      </c>
      <c r="BJ15" s="218" t="str">
        <f t="array" ref="BJ15">IF(
  BH15 = 0, 
  "", 
  IFERROR(
    INDEX(
      'アイテム別限界値DB'!$L:$L, 
      MATCH(
        1, 
        ('アイテム別限界値DB'!$B:$B = BG$10) * 
        ('アイテム別限界値DB'!$C:$C = BG15) * 
        ('アイテム別限界値DB'!$F:$F = BH15), 
        0
      )
    ), 
    ""
  )
)
</f>
        <v/>
      </c>
      <c r="BK15" s="121"/>
      <c r="BL15" s="224" t="s">
        <v>53</v>
      </c>
      <c r="BM15" s="232"/>
      <c r="BN15" s="231" t="str">
        <f t="array" ref="BN15">IF(
  BM15 = 0, 
  "", 
  IFERROR(
    INDEX(
      'アイテム別限界値DB'!$K:$K, 
      MATCH(
        1, 
        ('アイテム別限界値DB'!$B:$B = BL$10) * 
        ('アイテム別限界値DB'!$F:$F = BL15) * 
        ('アイテム別限界値DB'!$H:$H = BM15), 
        0
      )
    ), 
    "再製作"
  )
)
</f>
        <v/>
      </c>
      <c r="BO15" s="218" t="str">
        <f t="array" ref="BO15">IF(
  BM15 = 0, 
  "", 
  IFERROR(
    INDEX(
      'アイテム別限界値DB'!$L:$L, 
      MATCH(
        1, 
        ('アイテム別限界値DB'!$B:$B = BL$10) * 
        ('アイテム別限界値DB'!$C:$C = BL15) * 
        ('アイテム別限界値DB'!$F:$F = BM15), 
        0
      )
    ), 
    ""
  )
)
</f>
        <v/>
      </c>
      <c r="BP15" s="195"/>
    </row>
    <row r="16" ht="18.75" customHeight="1">
      <c r="A16" s="236"/>
      <c r="B16" s="224"/>
      <c r="C16" s="224"/>
      <c r="D16" s="224" t="s">
        <v>55</v>
      </c>
      <c r="E16" s="230"/>
      <c r="F16" s="231" t="str">
        <f t="array" ref="F16">IF(
  E16 = 0, 
  "", 
  IFERROR(
    INDEX(
      'アイテム別限界値DB'!$K:$K, 
      MATCH(
        1, 
        ('アイテム別限界値DB'!$B:$B = D$10) * 
        ('アイテム別限界値DB'!$F:$F = D16) * 
        ('アイテム別限界値DB'!$H:$H = E16), 
        0
      )
    ), 
    "再製作"
  )
)
</f>
        <v/>
      </c>
      <c r="G16" s="218" t="str">
        <f t="array" ref="G16">IF(
  E16 = 0, 
  "", 
  IFERROR(
    INDEX(
      'アイテム別限界値DB'!$L:$L, 
      MATCH(
        1, 
        ('アイテム別限界値DB'!$B:$B = D$10) * 
        ('アイテム別限界値DB'!$C:$C = D16) * 
        ('アイテム別限界値DB'!$F:$F = E16), 
        0
      )
    ), 
    ""
  )
)
</f>
        <v/>
      </c>
      <c r="H16" s="12"/>
      <c r="I16" s="224" t="s">
        <v>56</v>
      </c>
      <c r="J16" s="232"/>
      <c r="K16" s="231" t="str">
        <f t="array" ref="K16">IF(
  J16 = 0, 
  "", 
  IFERROR(
    INDEX(
      'アイテム別限界値DB'!$K:$K, 
      MATCH(
        1, 
        ('アイテム別限界値DB'!$B:$B = I$10) * 
        ('アイテム別限界値DB'!$F:$F = I16) * 
        ('アイテム別限界値DB'!$H:$H = J16), 
        0
      )
    ), 
    "再製作"
  )
)
</f>
        <v/>
      </c>
      <c r="L16" s="218" t="str">
        <f t="array" ref="L16">IF(
  J16 = 0, 
  "", 
  IFERROR(
    INDEX(
      'アイテム別限界値DB'!$L:$L, 
      MATCH(
        1, 
        ('アイテム別限界値DB'!$B:$B = I$10) * 
        ('アイテム別限界値DB'!$C:$C = I16) * 
        ('アイテム別限界値DB'!$F:$F = J16), 
        0
      )
    ), 
    ""
  )
)
</f>
        <v/>
      </c>
      <c r="M16" s="12"/>
      <c r="N16" s="224" t="s">
        <v>57</v>
      </c>
      <c r="O16" s="232"/>
      <c r="P16" s="231" t="str">
        <f t="array" ref="P16">IF(
  O16 = 0, 
  "", 
  IFERROR(
    INDEX(
      'アイテム別限界値DB'!$K:$K, 
      MATCH(
        1, 
        ('アイテム別限界値DB'!$B:$B = N$10) * 
        ('アイテム別限界値DB'!$F:$F = N16) * 
        ('アイテム別限界値DB'!$H:$H = O16), 
        0
      )
    ), 
    "再製作"
  )
)
</f>
        <v/>
      </c>
      <c r="Q16" s="218" t="str">
        <f t="array" ref="Q16">IF(
  O16 = 0, 
  "", 
  IFERROR(
    INDEX(
      'アイテム別限界値DB'!$L:$L, 
      MATCH(
        1, 
        ('アイテム別限界値DB'!$B:$B = N$10) * 
        ('アイテム別限界値DB'!$C:$C = N16) * 
        ('アイテム別限界値DB'!$F:$F = O16), 
        0
      )
    ), 
    ""
  )
)
</f>
        <v/>
      </c>
      <c r="R16" s="12"/>
      <c r="S16" s="224" t="s">
        <v>56</v>
      </c>
      <c r="T16" s="230"/>
      <c r="U16" s="231" t="str">
        <f t="array" ref="U16">IF(
  T16 = 0, 
  "", 
  IFERROR(
    INDEX(
      'アイテム別限界値DB'!$K:$K, 
      MATCH(
        1, 
        ('アイテム別限界値DB'!$B:$B = S$10) * 
        ('アイテム別限界値DB'!$F:$F = S16) * 
        ('アイテム別限界値DB'!$H:$H = T16), 
        0
      )
    ), 
    "再製作"
  )
)
</f>
        <v/>
      </c>
      <c r="V16" s="218" t="str">
        <f t="array" ref="V16">IF(
  T16 = 0, 
  "", 
  IFERROR(
    INDEX(
      'アイテム別限界値DB'!$L:$L, 
      MATCH(
        1, 
        ('アイテム別限界値DB'!$B:$B = S$10) * 
        ('アイテム別限界値DB'!$C:$C = S16) * 
        ('アイテム別限界値DB'!$F:$F = T16), 
        0
      )
    ), 
    ""
  )
)
</f>
        <v/>
      </c>
      <c r="W16" s="12"/>
      <c r="X16" s="224" t="s">
        <v>58</v>
      </c>
      <c r="Y16" s="230"/>
      <c r="Z16" s="231" t="str">
        <f t="array" ref="Z16">IF(
  Y16 = 0, 
  "", 
  IFERROR(
    INDEX(
      'アイテム別限界値DB'!$K:$K, 
      MATCH(
        1, 
        ('アイテム別限界値DB'!$B:$B = X$10) * 
        ('アイテム別限界値DB'!$F:$F = X16) * 
        ('アイテム別限界値DB'!$H:$H = Y16), 
        0
      )
    ), 
    "再製作"
  )
)
</f>
        <v/>
      </c>
      <c r="AA16" s="218" t="str">
        <f t="array" ref="AA16">IF(
  Y16 = 0, 
  "", 
  IFERROR(
    INDEX(
      'アイテム別限界値DB'!$L:$L, 
      MATCH(
        1, 
        ('アイテム別限界値DB'!$B:$B = X$10) * 
        ('アイテム別限界値DB'!$C:$C = X16) * 
        ('アイテム別限界値DB'!$F:$F = Y16), 
        0
      )
    ), 
    ""
  )
)
</f>
        <v/>
      </c>
      <c r="AB16" s="11"/>
      <c r="AC16" s="224" t="s">
        <v>55</v>
      </c>
      <c r="AD16" s="232"/>
      <c r="AE16" s="231" t="str">
        <f t="array" ref="AE16">IF(
  AD16 = 0, 
  "", 
  IFERROR(
    INDEX(
      'アイテム別限界値DB'!$K:$K, 
      MATCH(
        1, 
        ('アイテム別限界値DB'!$B:$B = AC$10) * 
        ('アイテム別限界値DB'!$F:$F = AC16) * 
        ('アイテム別限界値DB'!$H:$H = AD16), 
        0
      )
    ), 
    "再製作"
  )
)
</f>
        <v/>
      </c>
      <c r="AF16" s="218" t="str">
        <f t="array" ref="AF16">IF(
  AD16 = 0, 
  "", 
  IFERROR(
    INDEX(
      'アイテム別限界値DB'!$L:$L, 
      MATCH(
        1, 
        ('アイテム別限界値DB'!$B:$B = AC$10) * 
        ('アイテム別限界値DB'!$C:$C = AC16) * 
        ('アイテム別限界値DB'!$F:$F = AD16), 
        0
      )
    ), 
    ""
  )
)
</f>
        <v/>
      </c>
      <c r="AG16" s="11"/>
      <c r="AH16" s="224" t="s">
        <v>55</v>
      </c>
      <c r="AI16" s="232"/>
      <c r="AJ16" s="231" t="str">
        <f t="array" ref="AJ16">IF(
  AI16 = 0, 
  "", 
  IFERROR(
    INDEX(
      'アイテム別限界値DB'!$K:$K, 
      MATCH(
        1, 
        ('アイテム別限界値DB'!$B:$B = AH$10) * 
        ('アイテム別限界値DB'!$F:$F = AH16) * 
        ('アイテム別限界値DB'!$H:$H = AI16), 
        0
      )
    ), 
    "再製作"
  )
)
</f>
        <v/>
      </c>
      <c r="AK16" s="218" t="str">
        <f t="array" ref="AK16">IF(
  AI16 = 0, 
  "", 
  IFERROR(
    INDEX(
      'アイテム別限界値DB'!$L:$L, 
      MATCH(
        1, 
        ('アイテム別限界値DB'!$B:$B = AH$10) * 
        ('アイテム別限界値DB'!$C:$C = AH16) * 
        ('アイテム別限界値DB'!$F:$F = AI16), 
        0
      )
    ), 
    ""
  )
)
</f>
        <v/>
      </c>
      <c r="AL16" s="11"/>
      <c r="AM16" s="224" t="s">
        <v>55</v>
      </c>
      <c r="AN16" s="232"/>
      <c r="AO16" s="231" t="str">
        <f t="array" ref="AO16">IF(
  AN16 = 0, 
  "", 
  IFERROR(
    INDEX(
      'アイテム別限界値DB'!$K:$K, 
      MATCH(
        1, 
        ('アイテム別限界値DB'!$B:$B = AM$10) * 
        ('アイテム別限界値DB'!$F:$F = AM16) * 
        ('アイテム別限界値DB'!$H:$H = AN16), 
        0
      )
    ), 
    "再製作"
  )
)
</f>
        <v/>
      </c>
      <c r="AP16" s="218" t="str">
        <f t="array" ref="AP16">IF(
  AN16 = 0, 
  "", 
  IFERROR(
    INDEX(
      'アイテム別限界値DB'!$L:$L, 
      MATCH(
        1, 
        ('アイテム別限界値DB'!$B:$B = AM$10) * 
        ('アイテム別限界値DB'!$C:$C = AM16) * 
        ('アイテム別限界値DB'!$F:$F = AN16), 
        0
      )
    ), 
    ""
  )
)
</f>
        <v/>
      </c>
      <c r="AQ16" s="11"/>
      <c r="AR16" s="224" t="s">
        <v>55</v>
      </c>
      <c r="AS16" s="232"/>
      <c r="AT16" s="231" t="str">
        <f t="array" ref="AT16">IF(
  AS16 = 0, 
  "", 
  IFERROR(
    INDEX(
      'アイテム別限界値DB'!$K:$K, 
      MATCH(
        1, 
        ('アイテム別限界値DB'!$B:$B = AR$10) * 
        ('アイテム別限界値DB'!$F:$F = AR16) * 
        ('アイテム別限界値DB'!$H:$H = AS16), 
        0
      )
    ), 
    "再製作"
  )
)
</f>
        <v/>
      </c>
      <c r="AU16" s="218" t="str">
        <f t="array" ref="AU16">IF(
  AS16 = 0, 
  "", 
  IFERROR(
    INDEX(
      'アイテム別限界値DB'!$L:$L, 
      MATCH(
        1, 
        ('アイテム別限界値DB'!$B:$B = AR$10) * 
        ('アイテム別限界値DB'!$C:$C = AR16) * 
        ('アイテム別限界値DB'!$F:$F = AS16), 
        0
      )
    ), 
    ""
  )
)
</f>
        <v/>
      </c>
      <c r="AV16" s="121"/>
      <c r="AW16" s="224" t="s">
        <v>55</v>
      </c>
      <c r="AX16" s="232"/>
      <c r="AY16" s="231" t="str">
        <f t="array" ref="AY16">IF(
  AX16 = 0, 
  "", 
  IFERROR(
    INDEX(
      'アイテム別限界値DB'!$K:$K, 
      MATCH(
        1, 
        ('アイテム別限界値DB'!$B:$B = AW$10) * 
        ('アイテム別限界値DB'!$F:$F = AW16) * 
        ('アイテム別限界値DB'!$H:$H = AX16), 
        0
      )
    ), 
    "再製作"
  )
)
</f>
        <v/>
      </c>
      <c r="AZ16" s="218" t="str">
        <f t="array" ref="AZ16">IF(
  AX16 = 0, 
  "", 
  IFERROR(
    INDEX(
      'アイテム別限界値DB'!$L:$L, 
      MATCH(
        1, 
        ('アイテム別限界値DB'!$B:$B = AW$10) * 
        ('アイテム別限界値DB'!$C:$C = AW16) * 
        ('アイテム別限界値DB'!$F:$F = AX16), 
        0
      )
    ), 
    ""
  )
)
</f>
        <v/>
      </c>
      <c r="BA16" s="121"/>
      <c r="BB16" s="224" t="s">
        <v>55</v>
      </c>
      <c r="BC16" s="232"/>
      <c r="BD16" s="231" t="str">
        <f t="array" ref="BD16">IF(
  BC16 = 0, 
  "", 
  IFERROR(
    INDEX(
      'アイテム別限界値DB'!$K:$K, 
      MATCH(
        1, 
        ('アイテム別限界値DB'!$B:$B = BB$10) * 
        ('アイテム別限界値DB'!$F:$F = BB16) * 
        ('アイテム別限界値DB'!$H:$H = BC16), 
        0
      )
    ), 
    "再製作"
  )
)
</f>
        <v/>
      </c>
      <c r="BE16" s="218" t="str">
        <f t="array" ref="BE16">IF(
  BC16 = 0, 
  "", 
  IFERROR(
    INDEX(
      'アイテム別限界値DB'!$L:$L, 
      MATCH(
        1, 
        ('アイテム別限界値DB'!$B:$B = BB$10) * 
        ('アイテム別限界値DB'!$C:$C = BB16) * 
        ('アイテム別限界値DB'!$F:$F = BC16), 
        0
      )
    ), 
    ""
  )
)
</f>
        <v/>
      </c>
      <c r="BF16" s="121"/>
      <c r="BG16" s="224" t="s">
        <v>55</v>
      </c>
      <c r="BH16" s="232"/>
      <c r="BI16" s="231" t="str">
        <f t="array" ref="BI16">IF(
  BH16 = 0, 
  "", 
  IFERROR(
    INDEX(
      'アイテム別限界値DB'!$K:$K, 
      MATCH(
        1, 
        ('アイテム別限界値DB'!$B:$B = BG$10) * 
        ('アイテム別限界値DB'!$F:$F = BG16) * 
        ('アイテム別限界値DB'!$H:$H = BH16), 
        0
      )
    ), 
    "再製作"
  )
)
</f>
        <v/>
      </c>
      <c r="BJ16" s="218" t="str">
        <f t="array" ref="BJ16">IF(
  BH16 = 0, 
  "", 
  IFERROR(
    INDEX(
      'アイテム別限界値DB'!$L:$L, 
      MATCH(
        1, 
        ('アイテム別限界値DB'!$B:$B = BG$10) * 
        ('アイテム別限界値DB'!$C:$C = BG16) * 
        ('アイテム別限界値DB'!$F:$F = BH16), 
        0
      )
    ), 
    ""
  )
)
</f>
        <v/>
      </c>
      <c r="BK16" s="121"/>
      <c r="BL16" s="224" t="s">
        <v>55</v>
      </c>
      <c r="BM16" s="232"/>
      <c r="BN16" s="231" t="str">
        <f t="array" ref="BN16">IF(
  BM16 = 0, 
  "", 
  IFERROR(
    INDEX(
      'アイテム別限界値DB'!$K:$K, 
      MATCH(
        1, 
        ('アイテム別限界値DB'!$B:$B = BL$10) * 
        ('アイテム別限界値DB'!$F:$F = BL16) * 
        ('アイテム別限界値DB'!$H:$H = BM16), 
        0
      )
    ), 
    "再製作"
  )
)
</f>
        <v/>
      </c>
      <c r="BO16" s="218" t="str">
        <f t="array" ref="BO16">IF(
  BM16 = 0, 
  "", 
  IFERROR(
    INDEX(
      'アイテム別限界値DB'!$L:$L, 
      MATCH(
        1, 
        ('アイテム別限界値DB'!$B:$B = BL$10) * 
        ('アイテム別限界値DB'!$C:$C = BL16) * 
        ('アイテム別限界値DB'!$F:$F = BM16), 
        0
      )
    ), 
    ""
  )
)
</f>
        <v/>
      </c>
      <c r="BP16" s="195"/>
    </row>
    <row r="17" ht="18.75" customHeight="1">
      <c r="A17" s="228"/>
      <c r="B17" s="229"/>
      <c r="C17" s="224"/>
      <c r="D17" s="224" t="s">
        <v>60</v>
      </c>
      <c r="E17" s="230"/>
      <c r="F17" s="231" t="str">
        <f t="array" ref="F17">IF(
  E17 = 0, 
  "", 
  IFERROR(
    INDEX(
      'アイテム別限界値DB'!$K:$K, 
      MATCH(
        1, 
        ('アイテム別限界値DB'!$B:$B = D$10) * 
        ('アイテム別限界値DB'!$F:$F = D17) * 
        ('アイテム別限界値DB'!$H:$H = E17), 
        0
      )
    ), 
    "再製作"
  )
)
</f>
        <v/>
      </c>
      <c r="G17" s="218" t="str">
        <f t="array" ref="G17">IF(
  E17 = 0, 
  "", 
  IFERROR(
    INDEX(
      'アイテム別限界値DB'!$L:$L, 
      MATCH(
        1, 
        ('アイテム別限界値DB'!$B:$B = D$10) * 
        ('アイテム別限界値DB'!$C:$C = D17) * 
        ('アイテム別限界値DB'!$F:$F = E17), 
        0
      )
    ), 
    ""
  )
)
</f>
        <v/>
      </c>
      <c r="H17" s="12"/>
      <c r="I17" s="224" t="s">
        <v>61</v>
      </c>
      <c r="J17" s="230" t="s">
        <v>130</v>
      </c>
      <c r="K17" s="231">
        <f t="array" ref="K17">IF(
  J17 = 0, 
  "", 
  IFERROR(
    INDEX(
      'アイテム別限界値DB'!$K:$K, 
      MATCH(
        1, 
        ('アイテム別限界値DB'!$B:$B = I$10) * 
        ('アイテム別限界値DB'!$F:$F = I17) * 
        ('アイテム別限界値DB'!$H:$H = J17), 
        0
      )
    ), 
    "再製作"
  )
)
</f>
        <v>45996</v>
      </c>
      <c r="L17" s="218" t="str">
        <f t="array" ref="L17">IF(
  J17 = 0, 
  "", 
  IFERROR(
    INDEX(
      'アイテム別限界値DB'!$L:$L, 
      MATCH(
        1, 
        ('アイテム別限界値DB'!$B:$B = I$10) * 
        ('アイテム別限界値DB'!$C:$C = I17) * 
        ('アイテム別限界値DB'!$F:$F = J17), 
        0
      )
    ), 
    ""
  )
)
</f>
        <v/>
      </c>
      <c r="M17" s="12"/>
      <c r="N17" s="224" t="s">
        <v>62</v>
      </c>
      <c r="O17" s="232"/>
      <c r="P17" s="231" t="str">
        <f t="array" ref="P17">IF(
  O17 = 0, 
  "", 
  IFERROR(
    INDEX(
      'アイテム別限界値DB'!$K:$K, 
      MATCH(
        1, 
        ('アイテム別限界値DB'!$B:$B = N$10) * 
        ('アイテム別限界値DB'!$F:$F = N17) * 
        ('アイテム別限界値DB'!$H:$H = O17), 
        0
      )
    ), 
    "再製作"
  )
)
</f>
        <v/>
      </c>
      <c r="Q17" s="218" t="str">
        <f t="array" ref="Q17">IF(
  O17 = 0, 
  "", 
  IFERROR(
    INDEX(
      'アイテム別限界値DB'!$L:$L, 
      MATCH(
        1, 
        ('アイテム別限界値DB'!$B:$B = N$10) * 
        ('アイテム別限界値DB'!$C:$C = N17) * 
        ('アイテム別限界値DB'!$F:$F = O17), 
        0
      )
    ), 
    ""
  )
)
</f>
        <v/>
      </c>
      <c r="R17" s="11"/>
      <c r="S17" s="224" t="s">
        <v>61</v>
      </c>
      <c r="T17" s="232"/>
      <c r="U17" s="231" t="str">
        <f t="array" ref="U17">IF(
  T17 = 0, 
  "", 
  IFERROR(
    INDEX(
      'アイテム別限界値DB'!$K:$K, 
      MATCH(
        1, 
        ('アイテム別限界値DB'!$B:$B = S$10) * 
        ('アイテム別限界値DB'!$F:$F = S17) * 
        ('アイテム別限界値DB'!$H:$H = T17), 
        0
      )
    ), 
    "再製作"
  )
)
</f>
        <v/>
      </c>
      <c r="V17" s="218" t="str">
        <f t="array" ref="V17">IF(
  T17 = 0, 
  "", 
  IFERROR(
    INDEX(
      'アイテム別限界値DB'!$L:$L, 
      MATCH(
        1, 
        ('アイテム別限界値DB'!$B:$B = S$10) * 
        ('アイテム別限界値DB'!$C:$C = S17) * 
        ('アイテム別限界値DB'!$F:$F = T17), 
        0
      )
    ), 
    ""
  )
)
</f>
        <v/>
      </c>
      <c r="W17" s="12"/>
      <c r="X17" s="224" t="s">
        <v>63</v>
      </c>
      <c r="Y17" s="232"/>
      <c r="Z17" s="231" t="str">
        <f t="array" ref="Z17">IF(
  Y17 = 0, 
  "", 
  IFERROR(
    INDEX(
      'アイテム別限界値DB'!$K:$K, 
      MATCH(
        1, 
        ('アイテム別限界値DB'!$B:$B = X$10) * 
        ('アイテム別限界値DB'!$F:$F = X17) * 
        ('アイテム別限界値DB'!$H:$H = Y17), 
        0
      )
    ), 
    "再製作"
  )
)
</f>
        <v/>
      </c>
      <c r="AA17" s="218" t="str">
        <f t="array" ref="AA17">IF(
  Y17 = 0, 
  "", 
  IFERROR(
    INDEX(
      'アイテム別限界値DB'!$L:$L, 
      MATCH(
        1, 
        ('アイテム別限界値DB'!$B:$B = X$10) * 
        ('アイテム別限界値DB'!$C:$C = X17) * 
        ('アイテム別限界値DB'!$F:$F = Y17), 
        0
      )
    ), 
    ""
  )
)
</f>
        <v/>
      </c>
      <c r="AB17" s="11"/>
      <c r="AC17" s="224" t="s">
        <v>57</v>
      </c>
      <c r="AD17" s="232"/>
      <c r="AE17" s="231" t="str">
        <f t="array" ref="AE17">IF(
  AD17 = 0, 
  "", 
  IFERROR(
    INDEX(
      'アイテム別限界値DB'!$K:$K, 
      MATCH(
        1, 
        ('アイテム別限界値DB'!$B:$B = AC$10) * 
        ('アイテム別限界値DB'!$F:$F = AC17) * 
        ('アイテム別限界値DB'!$H:$H = AD17), 
        0
      )
    ), 
    "再製作"
  )
)
</f>
        <v/>
      </c>
      <c r="AF17" s="218" t="str">
        <f t="array" ref="AF17">IF(
  AD17 = 0, 
  "", 
  IFERROR(
    INDEX(
      'アイテム別限界値DB'!$L:$L, 
      MATCH(
        1, 
        ('アイテム別限界値DB'!$B:$B = AC$10) * 
        ('アイテム別限界値DB'!$C:$C = AC17) * 
        ('アイテム別限界値DB'!$F:$F = AD17), 
        0
      )
    ), 
    ""
  )
)
</f>
        <v/>
      </c>
      <c r="AG17" s="11"/>
      <c r="AH17" s="224" t="s">
        <v>57</v>
      </c>
      <c r="AI17" s="232"/>
      <c r="AJ17" s="231" t="str">
        <f t="array" ref="AJ17">IF(
  AI17 = 0, 
  "", 
  IFERROR(
    INDEX(
      'アイテム別限界値DB'!$K:$K, 
      MATCH(
        1, 
        ('アイテム別限界値DB'!$B:$B = AH$10) * 
        ('アイテム別限界値DB'!$F:$F = AH17) * 
        ('アイテム別限界値DB'!$H:$H = AI17), 
        0
      )
    ), 
    "再製作"
  )
)
</f>
        <v/>
      </c>
      <c r="AK17" s="218" t="str">
        <f t="array" ref="AK17">IF(
  AI17 = 0, 
  "", 
  IFERROR(
    INDEX(
      'アイテム別限界値DB'!$L:$L, 
      MATCH(
        1, 
        ('アイテム別限界値DB'!$B:$B = AH$10) * 
        ('アイテム別限界値DB'!$C:$C = AH17) * 
        ('アイテム別限界値DB'!$F:$F = AI17), 
        0
      )
    ), 
    ""
  )
)
</f>
        <v/>
      </c>
      <c r="AL17" s="11"/>
      <c r="AM17" s="224" t="s">
        <v>57</v>
      </c>
      <c r="AN17" s="232"/>
      <c r="AO17" s="231" t="str">
        <f t="array" ref="AO17">IF(
  AN17 = 0, 
  "", 
  IFERROR(
    INDEX(
      'アイテム別限界値DB'!$K:$K, 
      MATCH(
        1, 
        ('アイテム別限界値DB'!$B:$B = AM$10) * 
        ('アイテム別限界値DB'!$F:$F = AM17) * 
        ('アイテム別限界値DB'!$H:$H = AN17), 
        0
      )
    ), 
    "再製作"
  )
)
</f>
        <v/>
      </c>
      <c r="AP17" s="218" t="str">
        <f t="array" ref="AP17">IF(
  AN17 = 0, 
  "", 
  IFERROR(
    INDEX(
      'アイテム別限界値DB'!$L:$L, 
      MATCH(
        1, 
        ('アイテム別限界値DB'!$B:$B = AM$10) * 
        ('アイテム別限界値DB'!$C:$C = AM17) * 
        ('アイテム別限界値DB'!$F:$F = AN17), 
        0
      )
    ), 
    ""
  )
)
</f>
        <v/>
      </c>
      <c r="AQ17" s="11"/>
      <c r="AR17" s="224" t="s">
        <v>57</v>
      </c>
      <c r="AS17" s="232"/>
      <c r="AT17" s="231" t="str">
        <f t="array" ref="AT17">IF(
  AS17 = 0, 
  "", 
  IFERROR(
    INDEX(
      'アイテム別限界値DB'!$K:$K, 
      MATCH(
        1, 
        ('アイテム別限界値DB'!$B:$B = AR$10) * 
        ('アイテム別限界値DB'!$F:$F = AR17) * 
        ('アイテム別限界値DB'!$H:$H = AS17), 
        0
      )
    ), 
    "再製作"
  )
)
</f>
        <v/>
      </c>
      <c r="AU17" s="218" t="str">
        <f t="array" ref="AU17">IF(
  AS17 = 0, 
  "", 
  IFERROR(
    INDEX(
      'アイテム別限界値DB'!$L:$L, 
      MATCH(
        1, 
        ('アイテム別限界値DB'!$B:$B = AR$10) * 
        ('アイテム別限界値DB'!$C:$C = AR17) * 
        ('アイテム別限界値DB'!$F:$F = AS17), 
        0
      )
    ), 
    ""
  )
)
</f>
        <v/>
      </c>
      <c r="AV17" s="121"/>
      <c r="AW17" s="224" t="s">
        <v>57</v>
      </c>
      <c r="AX17" s="232"/>
      <c r="AY17" s="231" t="str">
        <f t="array" ref="AY17">IF(
  AX17 = 0, 
  "", 
  IFERROR(
    INDEX(
      'アイテム別限界値DB'!$K:$K, 
      MATCH(
        1, 
        ('アイテム別限界値DB'!$B:$B = AW$10) * 
        ('アイテム別限界値DB'!$F:$F = AW17) * 
        ('アイテム別限界値DB'!$H:$H = AX17), 
        0
      )
    ), 
    "再製作"
  )
)
</f>
        <v/>
      </c>
      <c r="AZ17" s="218" t="str">
        <f t="array" ref="AZ17">IF(
  AX17 = 0, 
  "", 
  IFERROR(
    INDEX(
      'アイテム別限界値DB'!$L:$L, 
      MATCH(
        1, 
        ('アイテム別限界値DB'!$B:$B = AW$10) * 
        ('アイテム別限界値DB'!$C:$C = AW17) * 
        ('アイテム別限界値DB'!$F:$F = AX17), 
        0
      )
    ), 
    ""
  )
)
</f>
        <v/>
      </c>
      <c r="BA17" s="121"/>
      <c r="BB17" s="224" t="s">
        <v>57</v>
      </c>
      <c r="BC17" s="232"/>
      <c r="BD17" s="231" t="str">
        <f t="array" ref="BD17">IF(
  BC17 = 0, 
  "", 
  IFERROR(
    INDEX(
      'アイテム別限界値DB'!$K:$K, 
      MATCH(
        1, 
        ('アイテム別限界値DB'!$B:$B = BB$10) * 
        ('アイテム別限界値DB'!$F:$F = BB17) * 
        ('アイテム別限界値DB'!$H:$H = BC17), 
        0
      )
    ), 
    "再製作"
  )
)
</f>
        <v/>
      </c>
      <c r="BE17" s="218" t="str">
        <f t="array" ref="BE17">IF(
  BC17 = 0, 
  "", 
  IFERROR(
    INDEX(
      'アイテム別限界値DB'!$L:$L, 
      MATCH(
        1, 
        ('アイテム別限界値DB'!$B:$B = BB$10) * 
        ('アイテム別限界値DB'!$C:$C = BB17) * 
        ('アイテム別限界値DB'!$F:$F = BC17), 
        0
      )
    ), 
    ""
  )
)
</f>
        <v/>
      </c>
      <c r="BF17" s="121"/>
      <c r="BG17" s="224" t="s">
        <v>57</v>
      </c>
      <c r="BH17" s="232"/>
      <c r="BI17" s="231" t="str">
        <f t="array" ref="BI17">IF(
  BH17 = 0, 
  "", 
  IFERROR(
    INDEX(
      'アイテム別限界値DB'!$K:$K, 
      MATCH(
        1, 
        ('アイテム別限界値DB'!$B:$B = BG$10) * 
        ('アイテム別限界値DB'!$F:$F = BG17) * 
        ('アイテム別限界値DB'!$H:$H = BH17), 
        0
      )
    ), 
    "再製作"
  )
)
</f>
        <v/>
      </c>
      <c r="BJ17" s="218" t="str">
        <f t="array" ref="BJ17">IF(
  BH17 = 0, 
  "", 
  IFERROR(
    INDEX(
      'アイテム別限界値DB'!$L:$L, 
      MATCH(
        1, 
        ('アイテム別限界値DB'!$B:$B = BG$10) * 
        ('アイテム別限界値DB'!$C:$C = BG17) * 
        ('アイテム別限界値DB'!$F:$F = BH17), 
        0
      )
    ), 
    ""
  )
)
</f>
        <v/>
      </c>
      <c r="BK17" s="121"/>
      <c r="BL17" s="224" t="s">
        <v>57</v>
      </c>
      <c r="BM17" s="232"/>
      <c r="BN17" s="231" t="str">
        <f t="array" ref="BN17">IF(
  BM17 = 0, 
  "", 
  IFERROR(
    INDEX(
      'アイテム別限界値DB'!$K:$K, 
      MATCH(
        1, 
        ('アイテム別限界値DB'!$B:$B = BL$10) * 
        ('アイテム別限界値DB'!$F:$F = BL17) * 
        ('アイテム別限界値DB'!$H:$H = BM17), 
        0
      )
    ), 
    "再製作"
  )
)
</f>
        <v/>
      </c>
      <c r="BO17" s="218" t="str">
        <f t="array" ref="BO17">IF(
  BM17 = 0, 
  "", 
  IFERROR(
    INDEX(
      'アイテム別限界値DB'!$L:$L, 
      MATCH(
        1, 
        ('アイテム別限界値DB'!$B:$B = BL$10) * 
        ('アイテム別限界値DB'!$C:$C = BL17) * 
        ('アイテム別限界値DB'!$F:$F = BM17), 
        0
      )
    ), 
    ""
  )
)
</f>
        <v/>
      </c>
      <c r="BP17" s="195"/>
    </row>
    <row r="18" ht="18.75" customHeight="1">
      <c r="A18" s="237" t="s">
        <v>64</v>
      </c>
      <c r="B18" s="235"/>
      <c r="C18" s="224"/>
      <c r="D18" s="224" t="s">
        <v>65</v>
      </c>
      <c r="E18" s="230"/>
      <c r="F18" s="231" t="str">
        <f t="array" ref="F18">IF(
  E18 = 0, 
  "", 
  IFERROR(
    INDEX(
      'アイテム別限界値DB'!$K:$K, 
      MATCH(
        1, 
        ('アイテム別限界値DB'!$B:$B = D$10) * 
        ('アイテム別限界値DB'!$F:$F = D18) * 
        ('アイテム別限界値DB'!$H:$H = E18), 
        0
      )
    ), 
    "再製作"
  )
)
</f>
        <v/>
      </c>
      <c r="G18" s="218" t="str">
        <f t="array" ref="G18">IF(
  E18 = 0, 
  "", 
  IFERROR(
    INDEX(
      'アイテム別限界値DB'!$L:$L, 
      MATCH(
        1, 
        ('アイテム別限界値DB'!$B:$B = D$10) * 
        ('アイテム別限界値DB'!$C:$C = D18) * 
        ('アイテム別限界値DB'!$F:$F = E18), 
        0
      )
    ), 
    ""
  )
)
</f>
        <v/>
      </c>
      <c r="H18" s="12"/>
      <c r="I18" s="224" t="s">
        <v>66</v>
      </c>
      <c r="J18" s="230"/>
      <c r="K18" s="231" t="str">
        <f t="array" ref="K18">IF(
  J18 = 0, 
  "", 
  IFERROR(
    INDEX(
      'アイテム別限界値DB'!$K:$K, 
      MATCH(
        1, 
        ('アイテム別限界値DB'!$B:$B = I$10) * 
        ('アイテム別限界値DB'!$F:$F = I18) * 
        ('アイテム別限界値DB'!$H:$H = J18), 
        0
      )
    ), 
    "再製作"
  )
)
</f>
        <v/>
      </c>
      <c r="L18" s="218" t="str">
        <f t="array" ref="L18">IF(
  J18 = 0, 
  "", 
  IFERROR(
    INDEX(
      'アイテム別限界値DB'!$L:$L, 
      MATCH(
        1, 
        ('アイテム別限界値DB'!$B:$B = I$10) * 
        ('アイテム別限界値DB'!$C:$C = I18) * 
        ('アイテム別限界値DB'!$F:$F = J18), 
        0
      )
    ), 
    ""
  )
)
</f>
        <v/>
      </c>
      <c r="M18" s="12"/>
      <c r="N18" s="224" t="s">
        <v>67</v>
      </c>
      <c r="O18" s="232"/>
      <c r="P18" s="231" t="str">
        <f t="array" ref="P18">IF(
  O18 = 0, 
  "", 
  IFERROR(
    INDEX(
      'アイテム別限界値DB'!$K:$K, 
      MATCH(
        1, 
        ('アイテム別限界値DB'!$B:$B = N$10) * 
        ('アイテム別限界値DB'!$F:$F = N18) * 
        ('アイテム別限界値DB'!$H:$H = O18), 
        0
      )
    ), 
    "再製作"
  )
)
</f>
        <v/>
      </c>
      <c r="Q18" s="218" t="str">
        <f t="array" ref="Q18">IF(
  O18 = 0, 
  "", 
  IFERROR(
    INDEX(
      'アイテム別限界値DB'!$L:$L, 
      MATCH(
        1, 
        ('アイテム別限界値DB'!$B:$B = N$10) * 
        ('アイテム別限界値DB'!$C:$C = N18) * 
        ('アイテム別限界値DB'!$F:$F = O18), 
        0
      )
    ), 
    ""
  )
)
</f>
        <v/>
      </c>
      <c r="R18" s="11"/>
      <c r="S18" s="224" t="s">
        <v>68</v>
      </c>
      <c r="T18" s="230"/>
      <c r="U18" s="231" t="str">
        <f t="array" ref="U18">IF(
  T18 = 0, 
  "", 
  IFERROR(
    INDEX(
      'アイテム別限界値DB'!$K:$K, 
      MATCH(
        1, 
        ('アイテム別限界値DB'!$B:$B = S$10) * 
        ('アイテム別限界値DB'!$F:$F = S18) * 
        ('アイテム別限界値DB'!$H:$H = T18), 
        0
      )
    ), 
    "再製作"
  )
)
</f>
        <v/>
      </c>
      <c r="V18" s="218" t="str">
        <f t="array" ref="V18">IF(
  T18 = 0, 
  "", 
  IFERROR(
    INDEX(
      'アイテム別限界値DB'!$L:$L, 
      MATCH(
        1, 
        ('アイテム別限界値DB'!$B:$B = S$10) * 
        ('アイテム別限界値DB'!$C:$C = S18) * 
        ('アイテム別限界値DB'!$F:$F = T18), 
        0
      )
    ), 
    ""
  )
)
</f>
        <v/>
      </c>
      <c r="W18" s="11"/>
      <c r="X18" s="224" t="s">
        <v>57</v>
      </c>
      <c r="Y18" s="230"/>
      <c r="Z18" s="231" t="str">
        <f t="array" ref="Z18">IF(
  Y18 = 0, 
  "", 
  IFERROR(
    INDEX(
      'アイテム別限界値DB'!$K:$K, 
      MATCH(
        1, 
        ('アイテム別限界値DB'!$B:$B = X$10) * 
        ('アイテム別限界値DB'!$F:$F = X18) * 
        ('アイテム別限界値DB'!$H:$H = Y18), 
        0
      )
    ), 
    "再製作"
  )
)
</f>
        <v/>
      </c>
      <c r="AA18" s="218" t="str">
        <f t="array" ref="AA18">IF(
  Y18 = 0, 
  "", 
  IFERROR(
    INDEX(
      'アイテム別限界値DB'!$L:$L, 
      MATCH(
        1, 
        ('アイテム別限界値DB'!$B:$B = X$10) * 
        ('アイテム別限界値DB'!$C:$C = X18) * 
        ('アイテム別限界値DB'!$F:$F = Y18), 
        0
      )
    ), 
    ""
  )
)
</f>
        <v/>
      </c>
      <c r="AB18" s="11"/>
      <c r="AC18" s="224" t="s">
        <v>69</v>
      </c>
      <c r="AD18" s="232"/>
      <c r="AE18" s="231" t="str">
        <f t="array" ref="AE18">IF(
  AD18 = 0, 
  "", 
  IFERROR(
    INDEX(
      'アイテム別限界値DB'!$K:$K, 
      MATCH(
        1, 
        ('アイテム別限界値DB'!$B:$B = AC$10) * 
        ('アイテム別限界値DB'!$F:$F = AC18) * 
        ('アイテム別限界値DB'!$H:$H = AD18), 
        0
      )
    ), 
    "再製作"
  )
)
</f>
        <v/>
      </c>
      <c r="AF18" s="218" t="str">
        <f t="array" ref="AF18">IF(
  AD18 = 0, 
  "", 
  IFERROR(
    INDEX(
      'アイテム別限界値DB'!$L:$L, 
      MATCH(
        1, 
        ('アイテム別限界値DB'!$B:$B = AC$10) * 
        ('アイテム別限界値DB'!$C:$C = AC18) * 
        ('アイテム別限界値DB'!$F:$F = AD18), 
        0
      )
    ), 
    ""
  )
)
</f>
        <v/>
      </c>
      <c r="AG18" s="11"/>
      <c r="AH18" s="224" t="s">
        <v>70</v>
      </c>
      <c r="AI18" s="232"/>
      <c r="AJ18" s="231" t="str">
        <f t="array" ref="AJ18">IF(
  AI18 = 0, 
  "", 
  IFERROR(
    INDEX(
      'アイテム別限界値DB'!$K:$K, 
      MATCH(
        1, 
        ('アイテム別限界値DB'!$B:$B = AH$10) * 
        ('アイテム別限界値DB'!$F:$F = AH18) * 
        ('アイテム別限界値DB'!$H:$H = AI18), 
        0
      )
    ), 
    "再製作"
  )
)
</f>
        <v/>
      </c>
      <c r="AK18" s="218" t="str">
        <f t="array" ref="AK18">IF(
  AI18 = 0, 
  "", 
  IFERROR(
    INDEX(
      'アイテム別限界値DB'!$L:$L, 
      MATCH(
        1, 
        ('アイテム別限界値DB'!$B:$B = AH$10) * 
        ('アイテム別限界値DB'!$C:$C = AH18) * 
        ('アイテム別限界値DB'!$F:$F = AI18), 
        0
      )
    ), 
    ""
  )
)
</f>
        <v/>
      </c>
      <c r="AL18" s="11"/>
      <c r="AM18" s="224" t="s">
        <v>71</v>
      </c>
      <c r="AN18" s="232"/>
      <c r="AO18" s="231" t="str">
        <f t="array" ref="AO18">IF(
  AN18 = 0, 
  "", 
  IFERROR(
    INDEX(
      'アイテム別限界値DB'!$K:$K, 
      MATCH(
        1, 
        ('アイテム別限界値DB'!$B:$B = AM$10) * 
        ('アイテム別限界値DB'!$F:$F = AM18) * 
        ('アイテム別限界値DB'!$H:$H = AN18), 
        0
      )
    ), 
    "再製作"
  )
)
</f>
        <v/>
      </c>
      <c r="AP18" s="218" t="str">
        <f t="array" ref="AP18">IF(
  AN18 = 0, 
  "", 
  IFERROR(
    INDEX(
      'アイテム別限界値DB'!$L:$L, 
      MATCH(
        1, 
        ('アイテム別限界値DB'!$B:$B = AM$10) * 
        ('アイテム別限界値DB'!$C:$C = AM18) * 
        ('アイテム別限界値DB'!$F:$F = AN18), 
        0
      )
    ), 
    ""
  )
)
</f>
        <v/>
      </c>
      <c r="AQ18" s="11"/>
      <c r="AR18" s="224" t="s">
        <v>71</v>
      </c>
      <c r="AS18" s="232"/>
      <c r="AT18" s="231" t="str">
        <f t="array" ref="AT18">IF(
  AS18 = 0, 
  "", 
  IFERROR(
    INDEX(
      'アイテム別限界値DB'!$K:$K, 
      MATCH(
        1, 
        ('アイテム別限界値DB'!$B:$B = AR$10) * 
        ('アイテム別限界値DB'!$F:$F = AR18) * 
        ('アイテム別限界値DB'!$H:$H = AS18), 
        0
      )
    ), 
    "再製作"
  )
)
</f>
        <v/>
      </c>
      <c r="AU18" s="218" t="str">
        <f t="array" ref="AU18">IF(
  AS18 = 0, 
  "", 
  IFERROR(
    INDEX(
      'アイテム別限界値DB'!$L:$L, 
      MATCH(
        1, 
        ('アイテム別限界値DB'!$B:$B = AR$10) * 
        ('アイテム別限界値DB'!$C:$C = AR18) * 
        ('アイテム別限界値DB'!$F:$F = AS18), 
        0
      )
    ), 
    ""
  )
)
</f>
        <v/>
      </c>
      <c r="AV18" s="121"/>
      <c r="AW18" s="224" t="s">
        <v>71</v>
      </c>
      <c r="AX18" s="232"/>
      <c r="AY18" s="231" t="str">
        <f t="array" ref="AY18">IF(
  AX18 = 0, 
  "", 
  IFERROR(
    INDEX(
      'アイテム別限界値DB'!$K:$K, 
      MATCH(
        1, 
        ('アイテム別限界値DB'!$B:$B = AW$10) * 
        ('アイテム別限界値DB'!$F:$F = AW18) * 
        ('アイテム別限界値DB'!$H:$H = AX18), 
        0
      )
    ), 
    "再製作"
  )
)
</f>
        <v/>
      </c>
      <c r="AZ18" s="218" t="str">
        <f t="array" ref="AZ18">IF(
  AX18 = 0, 
  "", 
  IFERROR(
    INDEX(
      'アイテム別限界値DB'!$L:$L, 
      MATCH(
        1, 
        ('アイテム別限界値DB'!$B:$B = AW$10) * 
        ('アイテム別限界値DB'!$C:$C = AW18) * 
        ('アイテム別限界値DB'!$F:$F = AX18), 
        0
      )
    ), 
    ""
  )
)
</f>
        <v/>
      </c>
      <c r="BA18" s="121"/>
      <c r="BB18" s="224" t="s">
        <v>71</v>
      </c>
      <c r="BC18" s="232"/>
      <c r="BD18" s="231" t="str">
        <f t="array" ref="BD18">IF(
  BC18 = 0, 
  "", 
  IFERROR(
    INDEX(
      'アイテム別限界値DB'!$K:$K, 
      MATCH(
        1, 
        ('アイテム別限界値DB'!$B:$B = BB$10) * 
        ('アイテム別限界値DB'!$F:$F = BB18) * 
        ('アイテム別限界値DB'!$H:$H = BC18), 
        0
      )
    ), 
    "再製作"
  )
)
</f>
        <v/>
      </c>
      <c r="BE18" s="218" t="str">
        <f t="array" ref="BE18">IF(
  BC18 = 0, 
  "", 
  IFERROR(
    INDEX(
      'アイテム別限界値DB'!$L:$L, 
      MATCH(
        1, 
        ('アイテム別限界値DB'!$B:$B = BB$10) * 
        ('アイテム別限界値DB'!$C:$C = BB18) * 
        ('アイテム別限界値DB'!$F:$F = BC18), 
        0
      )
    ), 
    ""
  )
)
</f>
        <v/>
      </c>
      <c r="BF18" s="121"/>
      <c r="BG18" s="224" t="s">
        <v>71</v>
      </c>
      <c r="BH18" s="232"/>
      <c r="BI18" s="231" t="str">
        <f t="array" ref="BI18">IF(
  BH18 = 0, 
  "", 
  IFERROR(
    INDEX(
      'アイテム別限界値DB'!$K:$K, 
      MATCH(
        1, 
        ('アイテム別限界値DB'!$B:$B = BG$10) * 
        ('アイテム別限界値DB'!$F:$F = BG18) * 
        ('アイテム別限界値DB'!$H:$H = BH18), 
        0
      )
    ), 
    "再製作"
  )
)
</f>
        <v/>
      </c>
      <c r="BJ18" s="218" t="str">
        <f t="array" ref="BJ18">IF(
  BH18 = 0, 
  "", 
  IFERROR(
    INDEX(
      'アイテム別限界値DB'!$L:$L, 
      MATCH(
        1, 
        ('アイテム別限界値DB'!$B:$B = BG$10) * 
        ('アイテム別限界値DB'!$C:$C = BG18) * 
        ('アイテム別限界値DB'!$F:$F = BH18), 
        0
      )
    ), 
    ""
  )
)
</f>
        <v/>
      </c>
      <c r="BK18" s="121"/>
      <c r="BL18" s="224" t="s">
        <v>69</v>
      </c>
      <c r="BM18" s="232"/>
      <c r="BN18" s="231" t="str">
        <f t="array" ref="BN18">IF(
  BM18 = 0, 
  "", 
  IFERROR(
    INDEX(
      'アイテム別限界値DB'!$K:$K, 
      MATCH(
        1, 
        ('アイテム別限界値DB'!$B:$B = BL$10) * 
        ('アイテム別限界値DB'!$F:$F = BL18) * 
        ('アイテム別限界値DB'!$H:$H = BM18), 
        0
      )
    ), 
    "再製作"
  )
)
</f>
        <v/>
      </c>
      <c r="BO18" s="218" t="str">
        <f t="array" ref="BO18">IF(
  BM18 = 0, 
  "", 
  IFERROR(
    INDEX(
      'アイテム別限界値DB'!$L:$L, 
      MATCH(
        1, 
        ('アイテム別限界値DB'!$B:$B = BL$10) * 
        ('アイテム別限界値DB'!$C:$C = BL18) * 
        ('アイテム別限界値DB'!$F:$F = BM18), 
        0
      )
    ), 
    ""
  )
)
</f>
        <v/>
      </c>
      <c r="BP18" s="195"/>
    </row>
    <row r="19" ht="18.75" customHeight="1">
      <c r="A19" s="228" t="str">
        <f>IF($I$11 ="再製作", "◼︎ パンツ（対応着地：再製作）"　&amp; char(10) &amp; "《修正数値》", IF($I$11 &lt;&gt; "", "◼︎ パンツ（対応着地：お直し）"　&amp; char(10) &amp; "《修正数値》", ""))</f>
        <v>◼︎ パンツ（対応着地：お直し）
《修正数値》</v>
      </c>
      <c r="B19" s="224"/>
      <c r="C19" s="224"/>
      <c r="D19" s="238" t="s">
        <v>72</v>
      </c>
      <c r="E19" s="230"/>
      <c r="F19" s="231" t="str">
        <f t="array" ref="F19">IF(
  E19 = 0, 
  "", 
  IFERROR(
    INDEX(
      'アイテム別限界値DB'!$K:$K, 
      MATCH(
        1, 
        ('アイテム別限界値DB'!$B:$B = D$10) * 
        ('アイテム別限界値DB'!$F:$F = D19) * 
        ('アイテム別限界値DB'!$H:$H = E19), 
        0
      )
    ), 
    "再製作"
  )
)
</f>
        <v/>
      </c>
      <c r="G19" s="218" t="str">
        <f t="array" ref="G19">IF(
  E19 = 0, 
  "", 
  IFERROR(
    INDEX(
      'アイテム別限界値DB'!$L:$L, 
      MATCH(
        1, 
        ('アイテム別限界値DB'!$B:$B = D$10) * 
        ('アイテム別限界値DB'!$C:$C = D19) * 
        ('アイテム別限界値DB'!$F:$F = E19), 
        0
      )
    ), 
    ""
  )
)
</f>
        <v/>
      </c>
      <c r="H19" s="12"/>
      <c r="I19" s="238" t="s">
        <v>73</v>
      </c>
      <c r="J19" s="232"/>
      <c r="K19" s="231" t="str">
        <f t="array" ref="K19">IF(
  J19 = 0, 
  "", 
  IFERROR(
    INDEX(
      'アイテム別限界値DB'!$K:$K, 
      MATCH(
        1, 
        ('アイテム別限界値DB'!$B:$B = I$10) * 
        ('アイテム別限界値DB'!$F:$F = I19) * 
        ('アイテム別限界値DB'!$H:$H = J19), 
        0
      )
    ), 
    "再製作"
  )
)
</f>
        <v/>
      </c>
      <c r="L19" s="218" t="str">
        <f t="array" ref="L19">IF(
  J19 = 0, 
  "", 
  IFERROR(
    INDEX(
      'アイテム別限界値DB'!$L:$L, 
      MATCH(
        1, 
        ('アイテム別限界値DB'!$B:$B = I$10) * 
        ('アイテム別限界値DB'!$C:$C = I19) * 
        ('アイテム別限界値DB'!$F:$F = J19), 
        0
      )
    ), 
    ""
  )
)
</f>
        <v/>
      </c>
      <c r="M19" s="12"/>
      <c r="N19" s="238" t="s">
        <v>74</v>
      </c>
      <c r="O19" s="232"/>
      <c r="P19" s="231" t="str">
        <f t="array" ref="P19">IF(
  O19 = 0, 
  "", 
  IFERROR(
    INDEX(
      'アイテム別限界値DB'!$K:$K, 
      MATCH(
        1, 
        ('アイテム別限界値DB'!$B:$B = N$10) * 
        ('アイテム別限界値DB'!$F:$F = N19) * 
        ('アイテム別限界値DB'!$H:$H = O19), 
        0
      )
    ), 
    "再製作"
  )
)
</f>
        <v/>
      </c>
      <c r="Q19" s="218" t="str">
        <f t="array" ref="Q19">IF(
  O19 = 0, 
  "", 
  IFERROR(
    INDEX(
      'アイテム別限界値DB'!$L:$L, 
      MATCH(
        1, 
        ('アイテム別限界値DB'!$B:$B = N$10) * 
        ('アイテム別限界値DB'!$C:$C = N19) * 
        ('アイテム別限界値DB'!$F:$F = O19), 
        0
      )
    ), 
    ""
  )
)
</f>
        <v/>
      </c>
      <c r="R19" s="11"/>
      <c r="S19" s="238" t="s">
        <v>75</v>
      </c>
      <c r="T19" s="232"/>
      <c r="U19" s="231" t="str">
        <f t="array" ref="U19">IF(
  T19 = 0, 
  "", 
  IFERROR(
    INDEX(
      'アイテム別限界値DB'!$K:$K, 
      MATCH(
        1, 
        ('アイテム別限界値DB'!$B:$B = S$10) * 
        ('アイテム別限界値DB'!$F:$F = S19) * 
        ('アイテム別限界値DB'!$H:$H = T19), 
        0
      )
    ), 
    "再製作"
  )
)
</f>
        <v/>
      </c>
      <c r="V19" s="218" t="str">
        <f t="array" ref="V19">IF(
  T19 = 0, 
  "", 
  IFERROR(
    INDEX(
      'アイテム別限界値DB'!$L:$L, 
      MATCH(
        1, 
        ('アイテム別限界値DB'!$B:$B = S$10) * 
        ('アイテム別限界値DB'!$C:$C = S19) * 
        ('アイテム別限界値DB'!$F:$F = T19), 
        0
      )
    ), 
    ""
  )
)
</f>
        <v/>
      </c>
      <c r="W19" s="11"/>
      <c r="X19" s="238" t="s">
        <v>69</v>
      </c>
      <c r="Y19" s="230"/>
      <c r="Z19" s="231" t="str">
        <f t="array" ref="Z19">IF(
  Y19 = 0, 
  "", 
  IFERROR(
    INDEX(
      'アイテム別限界値DB'!$K:$K, 
      MATCH(
        1, 
        ('アイテム別限界値DB'!$B:$B = X$10) * 
        ('アイテム別限界値DB'!$F:$F = X19) * 
        ('アイテム別限界値DB'!$H:$H = Y19), 
        0
      )
    ), 
    "再製作"
  )
)
</f>
        <v/>
      </c>
      <c r="AA19" s="218" t="str">
        <f t="array" ref="AA19">IF(
  Y19 = 0, 
  "", 
  IFERROR(
    INDEX(
      'アイテム別限界値DB'!$L:$L, 
      MATCH(
        1, 
        ('アイテム別限界値DB'!$B:$B = X$10) * 
        ('アイテム別限界値DB'!$C:$C = X19) * 
        ('アイテム別限界値DB'!$F:$F = Y19), 
        0
      )
    ), 
    ""
  )
)
</f>
        <v/>
      </c>
      <c r="AB19" s="11"/>
      <c r="AC19" s="238" t="s">
        <v>76</v>
      </c>
      <c r="AD19" s="232"/>
      <c r="AE19" s="231" t="str">
        <f t="array" ref="AE19">IF(
  AD19 = 0, 
  "", 
  IFERROR(
    INDEX(
      'アイテム別限界値DB'!$K:$K, 
      MATCH(
        1, 
        ('アイテム別限界値DB'!$B:$B = AC$10) * 
        ('アイテム別限界値DB'!$F:$F = AC19) * 
        ('アイテム別限界値DB'!$H:$H = AD19), 
        0
      )
    ), 
    "再製作"
  )
)
</f>
        <v/>
      </c>
      <c r="AF19" s="218" t="str">
        <f t="array" ref="AF19">IF(
  AD19 = 0, 
  "", 
  IFERROR(
    INDEX(
      'アイテム別限界値DB'!$L:$L, 
      MATCH(
        1, 
        ('アイテム別限界値DB'!$B:$B = AC$10) * 
        ('アイテム別限界値DB'!$C:$C = AC19) * 
        ('アイテム別限界値DB'!$F:$F = AD19), 
        0
      )
    ), 
    ""
  )
)
</f>
        <v/>
      </c>
      <c r="AG19" s="11"/>
      <c r="AH19" s="238" t="s">
        <v>71</v>
      </c>
      <c r="AI19" s="232"/>
      <c r="AJ19" s="231" t="str">
        <f t="array" ref="AJ19">IF(
  AI19 = 0, 
  "", 
  IFERROR(
    INDEX(
      'アイテム別限界値DB'!$K:$K, 
      MATCH(
        1, 
        ('アイテム別限界値DB'!$B:$B = AH$10) * 
        ('アイテム別限界値DB'!$F:$F = AH19) * 
        ('アイテム別限界値DB'!$H:$H = AI19), 
        0
      )
    ), 
    "再製作"
  )
)
</f>
        <v/>
      </c>
      <c r="AK19" s="218" t="str">
        <f t="array" ref="AK19">IF(
  AI19 = 0, 
  "", 
  IFERROR(
    INDEX(
      'アイテム別限界値DB'!$L:$L, 
      MATCH(
        1, 
        ('アイテム別限界値DB'!$B:$B = AH$10) * 
        ('アイテム別限界値DB'!$C:$C = AH19) * 
        ('アイテム別限界値DB'!$F:$F = AI19), 
        0
      )
    ), 
    ""
  )
)
</f>
        <v/>
      </c>
      <c r="AL19" s="11"/>
      <c r="AM19" s="238" t="s">
        <v>62</v>
      </c>
      <c r="AN19" s="232"/>
      <c r="AO19" s="231" t="str">
        <f t="array" ref="AO19">IF(
  AN19 = 0, 
  "", 
  IFERROR(
    INDEX(
      'アイテム別限界値DB'!$K:$K, 
      MATCH(
        1, 
        ('アイテム別限界値DB'!$B:$B = AM$10) * 
        ('アイテム別限界値DB'!$F:$F = AM19) * 
        ('アイテム別限界値DB'!$H:$H = AN19), 
        0
      )
    ), 
    "再製作"
  )
)
</f>
        <v/>
      </c>
      <c r="AP19" s="218" t="str">
        <f t="array" ref="AP19">IF(
  AN19 = 0, 
  "", 
  IFERROR(
    INDEX(
      'アイテム別限界値DB'!$L:$L, 
      MATCH(
        1, 
        ('アイテム別限界値DB'!$B:$B = AM$10) * 
        ('アイテム別限界値DB'!$C:$C = AM19) * 
        ('アイテム別限界値DB'!$F:$F = AN19), 
        0
      )
    ), 
    ""
  )
)
</f>
        <v/>
      </c>
      <c r="AQ19" s="11"/>
      <c r="AR19" s="238" t="s">
        <v>62</v>
      </c>
      <c r="AS19" s="232"/>
      <c r="AT19" s="231" t="str">
        <f t="array" ref="AT19">IF(
  AS19 = 0, 
  "", 
  IFERROR(
    INDEX(
      'アイテム別限界値DB'!$K:$K, 
      MATCH(
        1, 
        ('アイテム別限界値DB'!$B:$B = AR$10) * 
        ('アイテム別限界値DB'!$F:$F = AR19) * 
        ('アイテム別限界値DB'!$H:$H = AS19), 
        0
      )
    ), 
    "再製作"
  )
)
</f>
        <v/>
      </c>
      <c r="AU19" s="218" t="str">
        <f t="array" ref="AU19">IF(
  AS19 = 0, 
  "", 
  IFERROR(
    INDEX(
      'アイテム別限界値DB'!$L:$L, 
      MATCH(
        1, 
        ('アイテム別限界値DB'!$B:$B = AR$10) * 
        ('アイテム別限界値DB'!$C:$C = AR19) * 
        ('アイテム別限界値DB'!$F:$F = AS19), 
        0
      )
    ), 
    ""
  )
)
</f>
        <v/>
      </c>
      <c r="AV19" s="121"/>
      <c r="AW19" s="224" t="s">
        <v>62</v>
      </c>
      <c r="AX19" s="232"/>
      <c r="AY19" s="231" t="str">
        <f t="array" ref="AY19">IF(
  AX19 = 0, 
  "", 
  IFERROR(
    INDEX(
      'アイテム別限界値DB'!$K:$K, 
      MATCH(
        1, 
        ('アイテム別限界値DB'!$B:$B = AW$10) * 
        ('アイテム別限界値DB'!$F:$F = AW19) * 
        ('アイテム別限界値DB'!$H:$H = AX19), 
        0
      )
    ), 
    "再製作"
  )
)
</f>
        <v/>
      </c>
      <c r="AZ19" s="218" t="str">
        <f t="array" ref="AZ19">IF(
  AX19 = 0, 
  "", 
  IFERROR(
    INDEX(
      'アイテム別限界値DB'!$L:$L, 
      MATCH(
        1, 
        ('アイテム別限界値DB'!$B:$B = AW$10) * 
        ('アイテム別限界値DB'!$C:$C = AW19) * 
        ('アイテム別限界値DB'!$F:$F = AX19), 
        0
      )
    ), 
    ""
  )
)
</f>
        <v/>
      </c>
      <c r="BA19" s="121"/>
      <c r="BB19" s="224" t="s">
        <v>62</v>
      </c>
      <c r="BC19" s="232"/>
      <c r="BD19" s="231" t="str">
        <f t="array" ref="BD19">IF(
  BC19 = 0, 
  "", 
  IFERROR(
    INDEX(
      'アイテム別限界値DB'!$K:$K, 
      MATCH(
        1, 
        ('アイテム別限界値DB'!$B:$B = BB$10) * 
        ('アイテム別限界値DB'!$F:$F = BB19) * 
        ('アイテム別限界値DB'!$H:$H = BC19), 
        0
      )
    ), 
    "再製作"
  )
)
</f>
        <v/>
      </c>
      <c r="BE19" s="218" t="str">
        <f t="array" ref="BE19">IF(
  BC19 = 0, 
  "", 
  IFERROR(
    INDEX(
      'アイテム別限界値DB'!$L:$L, 
      MATCH(
        1, 
        ('アイテム別限界値DB'!$B:$B = BB$10) * 
        ('アイテム別限界値DB'!$C:$C = BB19) * 
        ('アイテム別限界値DB'!$F:$F = BC19), 
        0
      )
    ), 
    ""
  )
)
</f>
        <v/>
      </c>
      <c r="BF19" s="121"/>
      <c r="BG19" s="224" t="s">
        <v>62</v>
      </c>
      <c r="BH19" s="232"/>
      <c r="BI19" s="231" t="str">
        <f t="array" ref="BI19">IF(
  BH19 = 0, 
  "", 
  IFERROR(
    INDEX(
      'アイテム別限界値DB'!$K:$K, 
      MATCH(
        1, 
        ('アイテム別限界値DB'!$B:$B = BG$10) * 
        ('アイテム別限界値DB'!$F:$F = BG19) * 
        ('アイテム別限界値DB'!$H:$H = BH19), 
        0
      )
    ), 
    "再製作"
  )
)
</f>
        <v/>
      </c>
      <c r="BJ19" s="218" t="str">
        <f t="array" ref="BJ19">IF(
  BH19 = 0, 
  "", 
  IFERROR(
    INDEX(
      'アイテム別限界値DB'!$L:$L, 
      MATCH(
        1, 
        ('アイテム別限界値DB'!$B:$B = BG$10) * 
        ('アイテム別限界値DB'!$C:$C = BG19) * 
        ('アイテム別限界値DB'!$F:$F = BH19), 
        0
      )
    ), 
    ""
  )
)
</f>
        <v/>
      </c>
      <c r="BK19" s="121"/>
      <c r="BL19" s="224" t="s">
        <v>76</v>
      </c>
      <c r="BM19" s="232"/>
      <c r="BN19" s="231" t="str">
        <f t="array" ref="BN19">IF(
  BM19 = 0, 
  "", 
  IFERROR(
    INDEX(
      'アイテム別限界値DB'!$K:$K, 
      MATCH(
        1, 
        ('アイテム別限界値DB'!$B:$B = BL$10) * 
        ('アイテム別限界値DB'!$F:$F = BL19) * 
        ('アイテム別限界値DB'!$H:$H = BM19), 
        0
      )
    ), 
    "再製作"
  )
)
</f>
        <v/>
      </c>
      <c r="BO19" s="218" t="str">
        <f t="array" ref="BO19">IF(
  BM19 = 0, 
  "", 
  IFERROR(
    INDEX(
      'アイテム別限界値DB'!$L:$L, 
      MATCH(
        1, 
        ('アイテム別限界値DB'!$B:$B = BL$10) * 
        ('アイテム別限界値DB'!$C:$C = BL19) * 
        ('アイテム別限界値DB'!$F:$F = BM19), 
        0
      )
    ), 
    ""
  )
)
</f>
        <v/>
      </c>
      <c r="BP19" s="195"/>
    </row>
    <row r="20" ht="18.75" customHeight="1">
      <c r="A20" s="228" t="str">
        <f>IFERROR(__xludf.DUMMYFUNCTION("TEXTJOIN(CHAR(10),TRUE,FILTER(ARRAYFORMULA(IF(J$14:J72&lt;&gt;"""", I$14:I72 &amp;"" : ""&amp; J$14:J72 &amp;"" cm"","""")), I$14:I72 &lt;&gt;""""))"),"股下 / シングル : -3 cm")</f>
        <v>股下 / シングル : -3 cm</v>
      </c>
      <c r="B20" s="229"/>
      <c r="C20" s="224"/>
      <c r="D20" s="238" t="s">
        <v>77</v>
      </c>
      <c r="E20" s="230"/>
      <c r="F20" s="231" t="str">
        <f t="array" ref="F20">IF(
  E20 = 0, 
  "", 
  IFERROR(
    INDEX(
      'アイテム別限界値DB'!$K:$K, 
      MATCH(
        1, 
        ('アイテム別限界値DB'!$B:$B = D$10) * 
        ('アイテム別限界値DB'!$F:$F = D20) * 
        ('アイテム別限界値DB'!$H:$H = E20), 
        0
      )
    ), 
    "再製作"
  )
)
</f>
        <v/>
      </c>
      <c r="G20" s="218" t="str">
        <f t="array" ref="G20">IF(
  E20 = 0, 
  "", 
  IFERROR(
    INDEX(
      'アイテム別限界値DB'!$L:$L, 
      MATCH(
        1, 
        ('アイテム別限界値DB'!$B:$B = D$10) * 
        ('アイテム別限界値DB'!$C:$C = D20) * 
        ('アイテム別限界値DB'!$F:$F = E20), 
        0
      )
    ), 
    ""
  )
)
</f>
        <v/>
      </c>
      <c r="H20" s="12"/>
      <c r="I20" s="238" t="s">
        <v>78</v>
      </c>
      <c r="J20" s="230"/>
      <c r="K20" s="231" t="str">
        <f t="array" ref="K20">IF(
  J20 = 0, 
  "", 
  IFERROR(
    INDEX(
      'アイテム別限界値DB'!$K:$K, 
      MATCH(
        1, 
        ('アイテム別限界値DB'!$B:$B = I$10) * 
        ('アイテム別限界値DB'!$F:$F = I20) * 
        ('アイテム別限界値DB'!$H:$H = J20), 
        0
      )
    ), 
    "再製作"
  )
)
</f>
        <v/>
      </c>
      <c r="L20" s="218" t="str">
        <f t="array" ref="L20">IF(
  J20 = 0, 
  "", 
  IFERROR(
    INDEX(
      'アイテム別限界値DB'!$L:$L, 
      MATCH(
        1, 
        ('アイテム別限界値DB'!$B:$B = I$10) * 
        ('アイテム別限界値DB'!$C:$C = I20) * 
        ('アイテム別限界値DB'!$F:$F = J20), 
        0
      )
    ), 
    ""
  )
)
</f>
        <v/>
      </c>
      <c r="M20" s="12"/>
      <c r="N20" s="238" t="s">
        <v>79</v>
      </c>
      <c r="O20" s="232"/>
      <c r="P20" s="231" t="str">
        <f t="array" ref="P20">IF(
  O20 = 0, 
  "", 
  IFERROR(
    INDEX(
      'アイテム別限界値DB'!$K:$K, 
      MATCH(
        1, 
        ('アイテム別限界値DB'!$B:$B = N$10) * 
        ('アイテム別限界値DB'!$F:$F = N20) * 
        ('アイテム別限界値DB'!$H:$H = O20), 
        0
      )
    ), 
    "再製作"
  )
)
</f>
        <v/>
      </c>
      <c r="Q20" s="218" t="str">
        <f t="array" ref="Q20">IF(
  O20 = 0, 
  "", 
  IFERROR(
    INDEX(
      'アイテム別限界値DB'!$L:$L, 
      MATCH(
        1, 
        ('アイテム別限界値DB'!$B:$B = N$10) * 
        ('アイテム別限界値DB'!$C:$C = N20) * 
        ('アイテム別限界値DB'!$F:$F = O20), 
        0
      )
    ), 
    ""
  )
)
</f>
        <v/>
      </c>
      <c r="R20" s="11"/>
      <c r="S20" s="238" t="s">
        <v>78</v>
      </c>
      <c r="T20" s="232"/>
      <c r="U20" s="231" t="str">
        <f t="array" ref="U20">IF(
  T20 = 0, 
  "", 
  IFERROR(
    INDEX(
      'アイテム別限界値DB'!$K:$K, 
      MATCH(
        1, 
        ('アイテム別限界値DB'!$B:$B = S$10) * 
        ('アイテム別限界値DB'!$F:$F = S20) * 
        ('アイテム別限界値DB'!$H:$H = T20), 
        0
      )
    ), 
    "再製作"
  )
)
</f>
        <v/>
      </c>
      <c r="V20" s="218" t="str">
        <f t="array" ref="V20">IF(
  T20 = 0, 
  "", 
  IFERROR(
    INDEX(
      'アイテム別限界値DB'!$L:$L, 
      MATCH(
        1, 
        ('アイテム別限界値DB'!$B:$B = S$10) * 
        ('アイテム別限界値DB'!$C:$C = S20) * 
        ('アイテム別限界値DB'!$F:$F = T20), 
        0
      )
    ), 
    ""
  )
)
</f>
        <v/>
      </c>
      <c r="W20" s="11"/>
      <c r="X20" s="238" t="s">
        <v>76</v>
      </c>
      <c r="Y20" s="230"/>
      <c r="Z20" s="231" t="str">
        <f t="array" ref="Z20">IF(
  Y20 = 0, 
  "", 
  IFERROR(
    INDEX(
      'アイテム別限界値DB'!$K:$K, 
      MATCH(
        1, 
        ('アイテム別限界値DB'!$B:$B = X$10) * 
        ('アイテム別限界値DB'!$F:$F = X20) * 
        ('アイテム別限界値DB'!$H:$H = Y20), 
        0
      )
    ), 
    "再製作"
  )
)
</f>
        <v/>
      </c>
      <c r="AA20" s="218" t="str">
        <f t="array" ref="AA20">IF(
  Y20 = 0, 
  "", 
  IFERROR(
    INDEX(
      'アイテム別限界値DB'!$L:$L, 
      MATCH(
        1, 
        ('アイテム別限界値DB'!$B:$B = X$10) * 
        ('アイテム別限界値DB'!$C:$C = X20) * 
        ('アイテム別限界値DB'!$F:$F = Y20), 
        0
      )
    ), 
    ""
  )
)
</f>
        <v/>
      </c>
      <c r="AB20" s="11"/>
      <c r="AC20" s="238" t="s">
        <v>80</v>
      </c>
      <c r="AD20" s="232"/>
      <c r="AE20" s="231" t="str">
        <f t="array" ref="AE20">IF(
  AD20 = 0, 
  "", 
  IFERROR(
    INDEX(
      'アイテム別限界値DB'!$K:$K, 
      MATCH(
        1, 
        ('アイテム別限界値DB'!$B:$B = AC$10) * 
        ('アイテム別限界値DB'!$F:$F = AC20) * 
        ('アイテム別限界値DB'!$H:$H = AD20), 
        0
      )
    ), 
    "再製作"
  )
)
</f>
        <v/>
      </c>
      <c r="AF20" s="218" t="str">
        <f t="array" ref="AF20">IF(
  AD20 = 0, 
  "", 
  IFERROR(
    INDEX(
      'アイテム別限界値DB'!$L:$L, 
      MATCH(
        1, 
        ('アイテム別限界値DB'!$B:$B = AC$10) * 
        ('アイテム別限界値DB'!$C:$C = AC20) * 
        ('アイテム別限界値DB'!$F:$F = AD20), 
        0
      )
    ), 
    ""
  )
)
</f>
        <v/>
      </c>
      <c r="AG20" s="11"/>
      <c r="AH20" s="224" t="s">
        <v>62</v>
      </c>
      <c r="AI20" s="232"/>
      <c r="AJ20" s="231" t="str">
        <f t="array" ref="AJ20">IF(
  AI20 = 0, 
  "", 
  IFERROR(
    INDEX(
      'アイテム別限界値DB'!$K:$K, 
      MATCH(
        1, 
        ('アイテム別限界値DB'!$B:$B = AH$10) * 
        ('アイテム別限界値DB'!$F:$F = AH20) * 
        ('アイテム別限界値DB'!$H:$H = AI20), 
        0
      )
    ), 
    "再製作"
  )
)
</f>
        <v/>
      </c>
      <c r="AK20" s="218" t="str">
        <f t="array" ref="AK20">IF(
  AI20 = 0, 
  "", 
  IFERROR(
    INDEX(
      'アイテム別限界値DB'!$L:$L, 
      MATCH(
        1, 
        ('アイテム別限界値DB'!$B:$B = AH$10) * 
        ('アイテム別限界値DB'!$C:$C = AH20) * 
        ('アイテム別限界値DB'!$F:$F = AI20), 
        0
      )
    ), 
    ""
  )
)
</f>
        <v/>
      </c>
      <c r="AL20" s="11"/>
      <c r="AM20" s="224" t="s">
        <v>70</v>
      </c>
      <c r="AN20" s="232"/>
      <c r="AO20" s="231" t="str">
        <f t="array" ref="AO20">IF(
  AN20 = 0, 
  "", 
  IFERROR(
    INDEX(
      'アイテム別限界値DB'!$K:$K, 
      MATCH(
        1, 
        ('アイテム別限界値DB'!$B:$B = AM$10) * 
        ('アイテム別限界値DB'!$F:$F = AM20) * 
        ('アイテム別限界値DB'!$H:$H = AN20), 
        0
      )
    ), 
    "再製作"
  )
)
</f>
        <v/>
      </c>
      <c r="AP20" s="218" t="str">
        <f t="array" ref="AP20">IF(
  AN20 = 0, 
  "", 
  IFERROR(
    INDEX(
      'アイテム別限界値DB'!$L:$L, 
      MATCH(
        1, 
        ('アイテム別限界値DB'!$B:$B = AM$10) * 
        ('アイテム別限界値DB'!$C:$C = AM20) * 
        ('アイテム別限界値DB'!$F:$F = AN20), 
        0
      )
    ), 
    ""
  )
)
</f>
        <v/>
      </c>
      <c r="AQ20" s="11"/>
      <c r="AR20" s="224" t="s">
        <v>70</v>
      </c>
      <c r="AS20" s="232"/>
      <c r="AT20" s="231" t="str">
        <f t="array" ref="AT20">IF(
  AS20 = 0, 
  "", 
  IFERROR(
    INDEX(
      'アイテム別限界値DB'!$K:$K, 
      MATCH(
        1, 
        ('アイテム別限界値DB'!$B:$B = AR$10) * 
        ('アイテム別限界値DB'!$F:$F = AR20) * 
        ('アイテム別限界値DB'!$H:$H = AS20), 
        0
      )
    ), 
    "再製作"
  )
)
</f>
        <v/>
      </c>
      <c r="AU20" s="218" t="str">
        <f t="array" ref="AU20">IF(
  AS20 = 0, 
  "", 
  IFERROR(
    INDEX(
      'アイテム別限界値DB'!$L:$L, 
      MATCH(
        1, 
        ('アイテム別限界値DB'!$B:$B = AR$10) * 
        ('アイテム別限界値DB'!$C:$C = AR20) * 
        ('アイテム別限界値DB'!$F:$F = AS20), 
        0
      )
    ), 
    ""
  )
)
</f>
        <v/>
      </c>
      <c r="AV20" s="121"/>
      <c r="AW20" s="224" t="s">
        <v>70</v>
      </c>
      <c r="AX20" s="232"/>
      <c r="AY20" s="231" t="str">
        <f t="array" ref="AY20">IF(
  AX20 = 0, 
  "", 
  IFERROR(
    INDEX(
      'アイテム別限界値DB'!$K:$K, 
      MATCH(
        1, 
        ('アイテム別限界値DB'!$B:$B = AW$10) * 
        ('アイテム別限界値DB'!$F:$F = AW20) * 
        ('アイテム別限界値DB'!$H:$H = AX20), 
        0
      )
    ), 
    "再製作"
  )
)
</f>
        <v/>
      </c>
      <c r="AZ20" s="218" t="str">
        <f t="array" ref="AZ20">IF(
  AX20 = 0, 
  "", 
  IFERROR(
    INDEX(
      'アイテム別限界値DB'!$L:$L, 
      MATCH(
        1, 
        ('アイテム別限界値DB'!$B:$B = AW$10) * 
        ('アイテム別限界値DB'!$C:$C = AW20) * 
        ('アイテム別限界値DB'!$F:$F = AX20), 
        0
      )
    ), 
    ""
  )
)
</f>
        <v/>
      </c>
      <c r="BA20" s="121"/>
      <c r="BB20" s="224" t="s">
        <v>70</v>
      </c>
      <c r="BC20" s="232"/>
      <c r="BD20" s="231" t="str">
        <f t="array" ref="BD20">IF(
  BC20 = 0, 
  "", 
  IFERROR(
    INDEX(
      'アイテム別限界値DB'!$K:$K, 
      MATCH(
        1, 
        ('アイテム別限界値DB'!$B:$B = BB$10) * 
        ('アイテム別限界値DB'!$F:$F = BB20) * 
        ('アイテム別限界値DB'!$H:$H = BC20), 
        0
      )
    ), 
    "再製作"
  )
)
</f>
        <v/>
      </c>
      <c r="BE20" s="218" t="str">
        <f t="array" ref="BE20">IF(
  BC20 = 0, 
  "", 
  IFERROR(
    INDEX(
      'アイテム別限界値DB'!$L:$L, 
      MATCH(
        1, 
        ('アイテム別限界値DB'!$B:$B = BB$10) * 
        ('アイテム別限界値DB'!$C:$C = BB20) * 
        ('アイテム別限界値DB'!$F:$F = BC20), 
        0
      )
    ), 
    ""
  )
)
</f>
        <v/>
      </c>
      <c r="BF20" s="121"/>
      <c r="BG20" s="224" t="s">
        <v>70</v>
      </c>
      <c r="BH20" s="232"/>
      <c r="BI20" s="231" t="str">
        <f t="array" ref="BI20">IF(
  BH20 = 0, 
  "", 
  IFERROR(
    INDEX(
      'アイテム別限界値DB'!$K:$K, 
      MATCH(
        1, 
        ('アイテム別限界値DB'!$B:$B = BG$10) * 
        ('アイテム別限界値DB'!$F:$F = BG20) * 
        ('アイテム別限界値DB'!$H:$H = BH20), 
        0
      )
    ), 
    "再製作"
  )
)
</f>
        <v/>
      </c>
      <c r="BJ20" s="218" t="str">
        <f t="array" ref="BJ20">IF(
  BH20 = 0, 
  "", 
  IFERROR(
    INDEX(
      'アイテム別限界値DB'!$L:$L, 
      MATCH(
        1, 
        ('アイテム別限界値DB'!$B:$B = BG$10) * 
        ('アイテム別限界値DB'!$C:$C = BG20) * 
        ('アイテム別限界値DB'!$F:$F = BH20), 
        0
      )
    ), 
    ""
  )
)
</f>
        <v/>
      </c>
      <c r="BK20" s="121"/>
      <c r="BL20" s="224" t="s">
        <v>80</v>
      </c>
      <c r="BM20" s="232"/>
      <c r="BN20" s="231" t="str">
        <f t="array" ref="BN20">IF(
  BM20 = 0, 
  "", 
  IFERROR(
    INDEX(
      'アイテム別限界値DB'!$K:$K, 
      MATCH(
        1, 
        ('アイテム別限界値DB'!$B:$B = BL$10) * 
        ('アイテム別限界値DB'!$F:$F = BL20) * 
        ('アイテム別限界値DB'!$H:$H = BM20), 
        0
      )
    ), 
    "再製作"
  )
)
</f>
        <v/>
      </c>
      <c r="BO20" s="218" t="str">
        <f t="array" ref="BO20">IF(
  BM20 = 0, 
  "", 
  IFERROR(
    INDEX(
      'アイテム別限界値DB'!$L:$L, 
      MATCH(
        1, 
        ('アイテム別限界値DB'!$B:$B = BL$10) * 
        ('アイテム別限界値DB'!$C:$C = BL20) * 
        ('アイテム別限界値DB'!$F:$F = BM20), 
        0
      )
    ), 
    ""
  )
)
</f>
        <v/>
      </c>
      <c r="BP20" s="195"/>
    </row>
    <row r="21" ht="18.75" customHeight="1">
      <c r="A21" s="236"/>
      <c r="B21" s="229"/>
      <c r="C21" s="224"/>
      <c r="D21" s="238" t="s">
        <v>81</v>
      </c>
      <c r="E21" s="230"/>
      <c r="F21" s="231" t="str">
        <f t="array" ref="F21">IF(
  E21 = 0, 
  "", 
  IFERROR(
    INDEX(
      'アイテム別限界値DB'!$K:$K, 
      MATCH(
        1, 
        ('アイテム別限界値DB'!$B:$B = D$10) * 
        ('アイテム別限界値DB'!$F:$F = D21) * 
        ('アイテム別限界値DB'!$H:$H = E21), 
        0
      )
    ), 
    "再製作"
  )
)
</f>
        <v/>
      </c>
      <c r="G21" s="218" t="str">
        <f t="array" ref="G21">IF(
  E21 = 0, 
  "", 
  IFERROR(
    INDEX(
      'アイテム別限界値DB'!$L:$L, 
      MATCH(
        1, 
        ('アイテム別限界値DB'!$B:$B = D$10) * 
        ('アイテム別限界値DB'!$C:$C = D21) * 
        ('アイテム別限界値DB'!$F:$F = E21), 
        0
      )
    ), 
    ""
  )
)
</f>
        <v/>
      </c>
      <c r="H21" s="12"/>
      <c r="I21" s="238" t="s">
        <v>82</v>
      </c>
      <c r="J21" s="230"/>
      <c r="K21" s="231" t="str">
        <f t="array" ref="K21">IF(
  J21 = 0, 
  "", 
  IFERROR(
    INDEX(
      'アイテム別限界値DB'!$K:$K, 
      MATCH(
        1, 
        ('アイテム別限界値DB'!$B:$B = I$10) * 
        ('アイテム別限界値DB'!$F:$F = I21) * 
        ('アイテム別限界値DB'!$H:$H = J21), 
        0
      )
    ), 
    "再製作"
  )
)
</f>
        <v/>
      </c>
      <c r="L21" s="218" t="str">
        <f t="array" ref="L21">IF(
  J21 = 0, 
  "", 
  IFERROR(
    INDEX(
      'アイテム別限界値DB'!$L:$L, 
      MATCH(
        1, 
        ('アイテム別限界値DB'!$B:$B = I$10) * 
        ('アイテム別限界値DB'!$C:$C = I21) * 
        ('アイテム別限界値DB'!$F:$F = J21), 
        0
      )
    ), 
    ""
  )
)
</f>
        <v/>
      </c>
      <c r="M21" s="12"/>
      <c r="N21" s="224" t="s">
        <v>83</v>
      </c>
      <c r="O21" s="232"/>
      <c r="P21" s="231" t="str">
        <f t="array" ref="P21">IF(
  O21 = 0, 
  "", 
  IFERROR(
    INDEX(
      'アイテム別限界値DB'!$K:$K, 
      MATCH(
        1, 
        ('アイテム別限界値DB'!$B:$B = N$10) * 
        ('アイテム別限界値DB'!$F:$F = N21) * 
        ('アイテム別限界値DB'!$H:$H = O21), 
        0
      )
    ), 
    "再製作"
  )
)
</f>
        <v/>
      </c>
      <c r="Q21" s="121" t="str">
        <f t="array" ref="Q21">IF(
  O21 = 0, 
  "", 
  IFERROR(
    INDEX(
      'アイテム別限界値DB'!$L:$L, 
      MATCH(
        1, 
        ('アイテム別限界値DB'!$B:$B = N$10) * 
        ('アイテム別限界値DB'!$C:$C = N21) * 
        ('アイテム別限界値DB'!$F:$F = O21), 
        0
      )
    ), 
    ""
  )
)
</f>
        <v/>
      </c>
      <c r="R21" s="11"/>
      <c r="S21" s="238" t="s">
        <v>82</v>
      </c>
      <c r="T21" s="232"/>
      <c r="U21" s="231" t="str">
        <f t="array" ref="U21">IF(
  T21 = 0, 
  "", 
  IFERROR(
    INDEX(
      'アイテム別限界値DB'!$K:$K, 
      MATCH(
        1, 
        ('アイテム別限界値DB'!$B:$B = S$10) * 
        ('アイテム別限界値DB'!$F:$F = S21) * 
        ('アイテム別限界値DB'!$H:$H = T21), 
        0
      )
    ), 
    "再製作"
  )
)
</f>
        <v/>
      </c>
      <c r="V21" s="218" t="str">
        <f t="array" ref="V21">IF(
  T21 = 0, 
  "", 
  IFERROR(
    INDEX(
      'アイテム別限界値DB'!$L:$L, 
      MATCH(
        1, 
        ('アイテム別限界値DB'!$B:$B = S$10) * 
        ('アイテム別限界値DB'!$C:$C = S21) * 
        ('アイテム別限界値DB'!$F:$F = T21), 
        0
      )
    ), 
    ""
  )
)
</f>
        <v/>
      </c>
      <c r="W21" s="11"/>
      <c r="X21" s="238" t="s">
        <v>84</v>
      </c>
      <c r="Y21" s="230"/>
      <c r="Z21" s="231" t="str">
        <f t="array" ref="Z21">IF(
  Y21 = 0, 
  "", 
  IFERROR(
    INDEX(
      'アイテム別限界値DB'!$K:$K, 
      MATCH(
        1, 
        ('アイテム別限界値DB'!$B:$B = X$10) * 
        ('アイテム別限界値DB'!$F:$F = X21) * 
        ('アイテム別限界値DB'!$H:$H = Y21), 
        0
      )
    ), 
    "再製作"
  )
)
</f>
        <v/>
      </c>
      <c r="AA21" s="218" t="str">
        <f t="array" ref="AA21">IF(
  Y21 = 0, 
  "", 
  IFERROR(
    INDEX(
      'アイテム別限界値DB'!$L:$L, 
      MATCH(
        1, 
        ('アイテム別限界値DB'!$B:$B = X$10) * 
        ('アイテム別限界値DB'!$C:$C = X21) * 
        ('アイテム別限界値DB'!$F:$F = Y21), 
        0
      )
    ), 
    ""
  )
)
</f>
        <v/>
      </c>
      <c r="AB21" s="11"/>
      <c r="AC21" s="238" t="s">
        <v>85</v>
      </c>
      <c r="AD21" s="232"/>
      <c r="AE21" s="231" t="str">
        <f t="array" ref="AE21">IF(
  AD21 = 0, 
  "", 
  IFERROR(
    INDEX(
      'アイテム別限界値DB'!$K:$K, 
      MATCH(
        1, 
        ('アイテム別限界値DB'!$B:$B = AC$10) * 
        ('アイテム別限界値DB'!$F:$F = AC21) * 
        ('アイテム別限界値DB'!$H:$H = AD21), 
        0
      )
    ), 
    "再製作"
  )
)
</f>
        <v/>
      </c>
      <c r="AF21" s="218" t="str">
        <f t="array" ref="AF21">IF(
  AD21 = 0, 
  "", 
  IFERROR(
    INDEX(
      'アイテム別限界値DB'!$L:$L, 
      MATCH(
        1, 
        ('アイテム別限界値DB'!$B:$B = AC$10) * 
        ('アイテム別限界値DB'!$C:$C = AC21) * 
        ('アイテム別限界値DB'!$F:$F = AD21), 
        0
      )
    ), 
    ""
  )
)
</f>
        <v/>
      </c>
      <c r="AG21" s="11"/>
      <c r="AH21" s="224"/>
      <c r="AI21" s="225"/>
      <c r="AJ21" s="220" t="str">
        <f t="array" ref="AJ21">IF(
  AI21 = 0, 
  "", 
  IFERROR(
    INDEX(
      'アイテム別限界値DB'!$I:$I, 
      MATCH(
        1, 
        ('アイテム別限界値DB'!$B:$B = AH$10) * 
        ('アイテム別限界値DB'!$C:$C = AH21) * 
        ('アイテム別限界値DB'!$F:$F = AI21), 
        0
      )
    ), 
    "再製作"
  )
)
</f>
        <v/>
      </c>
      <c r="AK21" s="121" t="str">
        <f t="array" ref="AK21">IF(
  AI21 = 0, 
  "", 
  IFERROR(
    INDEX(
      'アイテム別限界値DB'!$L:$L, 
      MATCH(
        1, 
        ('アイテム別限界値DB'!$B:$B = AH$10) * 
        ('アイテム別限界値DB'!$C:$C = AH21) * 
        ('アイテム別限界値DB'!$F:$F = AI21), 
        0
      )
    ), 
    ""
  )
)
</f>
        <v/>
      </c>
      <c r="AL21" s="11"/>
      <c r="AM21" s="224"/>
      <c r="AN21" s="225"/>
      <c r="AO21" s="220" t="str">
        <f t="array" ref="AO21">IF(
  AN21 = 0, 
  "", 
  IFERROR(
    INDEX(
      'アイテム別限界値DB'!$I:$I, 
      MATCH(
        1, 
        ('アイテム別限界値DB'!$B:$B = AM$10) * 
        ('アイテム別限界値DB'!$C:$C = AM21) * 
        ('アイテム別限界値DB'!$F:$F = AN21), 
        0
      )
    ), 
    "再製作"
  )
)
</f>
        <v/>
      </c>
      <c r="AP21" s="121" t="str">
        <f t="array" ref="AP21">IF(
  AN21 = 0, 
  "", 
  IFERROR(
    INDEX(
      'アイテム別限界値DB'!$L:$L, 
      MATCH(
        1, 
        ('アイテム別限界値DB'!$B:$B = AM$10) * 
        ('アイテム別限界値DB'!$C:$C = AM21) * 
        ('アイテム別限界値DB'!$F:$F = AN21), 
        0
      )
    ), 
    ""
  )
)
</f>
        <v/>
      </c>
      <c r="AQ21" s="11"/>
      <c r="AR21" s="224"/>
      <c r="AS21" s="225"/>
      <c r="AT21" s="220" t="str">
        <f t="array" ref="AT21">IF(
  AS21 = 0, 
  "", 
  IFERROR(
    INDEX(
      'アイテム別限界値DB'!$I:$I, 
      MATCH(
        1, 
        ('アイテム別限界値DB'!$B:$B = AR$10) * 
        ('アイテム別限界値DB'!$C:$C = AR21) * 
        ('アイテム別限界値DB'!$F:$F = AS21), 
        0
      )
    ), 
    "再製作"
  )
)
</f>
        <v/>
      </c>
      <c r="AU21" s="121" t="str">
        <f t="array" ref="AU21">IF(
  AS21 = 0, 
  "", 
  IFERROR(
    INDEX(
      'アイテム別限界値DB'!$L:$L, 
      MATCH(
        1, 
        ('アイテム別限界値DB'!$B:$B = AR$10) * 
        ('アイテム別限界値DB'!$C:$C = AR21) * 
        ('アイテム別限界値DB'!$F:$F = AS21), 
        0
      )
    ), 
    ""
  )
)
</f>
        <v/>
      </c>
      <c r="AV21" s="121"/>
      <c r="AW21" s="224"/>
      <c r="AX21" s="225"/>
      <c r="AY21" s="220" t="str">
        <f t="array" ref="AY21">IF(
  AX21 = 0, 
  "", 
  IFERROR(
    INDEX(
      'アイテム別限界値DB'!$I:$I, 
      MATCH(
        1, 
        ('アイテム別限界値DB'!$B:$B = AW$10) * 
        ('アイテム別限界値DB'!$C:$C = AW21) * 
        ('アイテム別限界値DB'!$F:$F = AX21), 
        0
      )
    ), 
    "再製作"
  )
)
</f>
        <v/>
      </c>
      <c r="AZ21" s="121" t="str">
        <f t="array" ref="AZ21">IF(
  AX21 = 0, 
  "", 
  IFERROR(
    INDEX(
      'アイテム別限界値DB'!$L:$L, 
      MATCH(
        1, 
        ('アイテム別限界値DB'!$B:$B = AW$10) * 
        ('アイテム別限界値DB'!$C:$C = AW21) * 
        ('アイテム別限界値DB'!$F:$F = AX21), 
        0
      )
    ), 
    ""
  )
)
</f>
        <v/>
      </c>
      <c r="BA21" s="121"/>
      <c r="BB21" s="224"/>
      <c r="BC21" s="225"/>
      <c r="BD21" s="220" t="str">
        <f t="array" ref="BD21">IF(
  BC21 = 0, 
  "", 
  IFERROR(
    INDEX(
      'アイテム別限界値DB'!$I:$I, 
      MATCH(
        1, 
        ('アイテム別限界値DB'!$B:$B = BB$10) * 
        ('アイテム別限界値DB'!$C:$C = BB21) * 
        ('アイテム別限界値DB'!$F:$F = BC21), 
        0
      )
    ), 
    "再製作"
  )
)
</f>
        <v/>
      </c>
      <c r="BE21" s="121" t="str">
        <f t="array" ref="BE21">IF(
  BC21 = 0, 
  "", 
  IFERROR(
    INDEX(
      'アイテム別限界値DB'!$L:$L, 
      MATCH(
        1, 
        ('アイテム別限界値DB'!$B:$B = BB$10) * 
        ('アイテム別限界値DB'!$C:$C = BB21) * 
        ('アイテム別限界値DB'!$F:$F = BC21), 
        0
      )
    ), 
    ""
  )
)
</f>
        <v/>
      </c>
      <c r="BF21" s="121"/>
      <c r="BG21" s="224"/>
      <c r="BH21" s="225"/>
      <c r="BI21" s="220" t="str">
        <f t="array" ref="BI21">IF(
  BH21 = 0, 
  "", 
  IFERROR(
    INDEX(
      'アイテム別限界値DB'!$I:$I, 
      MATCH(
        1, 
        ('アイテム別限界値DB'!$B:$B = BG$10) * 
        ('アイテム別限界値DB'!$C:$C = BG21) * 
        ('アイテム別限界値DB'!$F:$F = BH21), 
        0
      )
    ), 
    "再製作"
  )
)
</f>
        <v/>
      </c>
      <c r="BJ21" s="121" t="str">
        <f t="array" ref="BJ21">IF(
  BH21 = 0, 
  "", 
  IFERROR(
    INDEX(
      'アイテム別限界値DB'!$L:$L, 
      MATCH(
        1, 
        ('アイテム別限界値DB'!$B:$B = BG$10) * 
        ('アイテム別限界値DB'!$C:$C = BG21) * 
        ('アイテム別限界値DB'!$F:$F = BH21), 
        0
      )
    ), 
    ""
  )
)
</f>
        <v/>
      </c>
      <c r="BK21" s="121"/>
      <c r="BL21" s="224" t="s">
        <v>85</v>
      </c>
      <c r="BM21" s="232"/>
      <c r="BN21" s="231" t="str">
        <f t="array" ref="BN21">IF(
  BM21 = 0, 
  "", 
  IFERROR(
    INDEX(
      'アイテム別限界値DB'!$K:$K, 
      MATCH(
        1, 
        ('アイテム別限界値DB'!$B:$B = BL$10) * 
        ('アイテム別限界値DB'!$F:$F = BL21) * 
        ('アイテム別限界値DB'!$H:$H = BM21), 
        0
      )
    ), 
    "再製作"
  )
)
</f>
        <v/>
      </c>
      <c r="BO21" s="218" t="str">
        <f t="array" ref="BO21">IF(
  BM21 = 0, 
  "", 
  IFERROR(
    INDEX(
      'アイテム別限界値DB'!$L:$L, 
      MATCH(
        1, 
        ('アイテム別限界値DB'!$B:$B = BL$10) * 
        ('アイテム別限界値DB'!$C:$C = BL21) * 
        ('アイテム別限界値DB'!$F:$F = BM21), 
        0
      )
    ), 
    ""
  )
)
</f>
        <v/>
      </c>
      <c r="BP21" s="195"/>
    </row>
    <row r="22" ht="18.75" customHeight="1">
      <c r="A22" s="228"/>
      <c r="B22" s="224"/>
      <c r="C22" s="224"/>
      <c r="D22" s="238" t="s">
        <v>86</v>
      </c>
      <c r="E22" s="230"/>
      <c r="F22" s="231" t="str">
        <f t="array" ref="F22">IF(
  E22 = 0, 
  "", 
  IFERROR(
    INDEX(
      'アイテム別限界値DB'!$K:$K, 
      MATCH(
        1, 
        ('アイテム別限界値DB'!$B:$B = D$10) * 
        ('アイテム別限界値DB'!$F:$F = D22) * 
        ('アイテム別限界値DB'!$H:$H = E22), 
        0
      )
    ), 
    "再製作"
  )
)
</f>
        <v/>
      </c>
      <c r="G22" s="218" t="str">
        <f t="array" ref="G22">IF(
  E22 = 0, 
  "", 
  IFERROR(
    INDEX(
      'アイテム別限界値DB'!$L:$L, 
      MATCH(
        1, 
        ('アイテム別限界値DB'!$B:$B = D$10) * 
        ('アイテム別限界値DB'!$C:$C = D22) * 
        ('アイテム別限界値DB'!$F:$F = E22), 
        0
      )
    ), 
    ""
  )
)
</f>
        <v/>
      </c>
      <c r="H22" s="12"/>
      <c r="I22" s="238" t="s">
        <v>87</v>
      </c>
      <c r="J22" s="230"/>
      <c r="K22" s="231" t="str">
        <f t="array" ref="K22">IF(
  J22 = 0, 
  "", 
  IFERROR(
    INDEX(
      'アイテム別限界値DB'!$K:$K, 
      MATCH(
        1, 
        ('アイテム別限界値DB'!$B:$B = I$10) * 
        ('アイテム別限界値DB'!$F:$F = I22) * 
        ('アイテム別限界値DB'!$H:$H = J22), 
        0
      )
    ), 
    "再製作"
  )
)
</f>
        <v/>
      </c>
      <c r="L22" s="218" t="str">
        <f t="array" ref="L22">IF(
  J22 = 0, 
  "", 
  IFERROR(
    INDEX(
      'アイテム別限界値DB'!$L:$L, 
      MATCH(
        1, 
        ('アイテム別限界値DB'!$B:$B = I$10) * 
        ('アイテム別限界値DB'!$C:$C = I22) * 
        ('アイテム別限界値DB'!$F:$F = J22), 
        0
      )
    ), 
    ""
  )
)
</f>
        <v/>
      </c>
      <c r="M22" s="11"/>
      <c r="N22" s="224"/>
      <c r="O22" s="220"/>
      <c r="P22" s="220" t="str">
        <f t="array" ref="P22">IF(
  O22 = 0, 
  "", 
  IFERROR(
    INDEX(
      'アイテム別限界値DB'!$I:$I, 
      MATCH(
        1, 
        ('アイテム別限界値DB'!$B:$B = N$10) * 
        ('アイテム別限界値DB'!$C:$C = N22) * 
        ('アイテム別限界値DB'!$F:$F = O22), 
        0
      )
    ), 
    "再製作"
  )
)
</f>
        <v/>
      </c>
      <c r="Q22" s="121" t="str">
        <f t="array" ref="Q22">IF(
  O22 = 0, 
  "", 
  IFERROR(
    INDEX(
      'アイテム別限界値DB'!$L:$L, 
      MATCH(
        1, 
        ('アイテム別限界値DB'!$B:$B = N$10) * 
        ('アイテム別限界値DB'!$C:$C = N22) * 
        ('アイテム別限界値DB'!$F:$F = O22), 
        0
      )
    ), 
    ""
  )
)
</f>
        <v/>
      </c>
      <c r="R22" s="11"/>
      <c r="S22" s="238" t="s">
        <v>87</v>
      </c>
      <c r="T22" s="232"/>
      <c r="U22" s="231" t="str">
        <f t="array" ref="U22">IF(
  T22 = 0, 
  "", 
  IFERROR(
    INDEX(
      'アイテム別限界値DB'!$K:$K, 
      MATCH(
        1, 
        ('アイテム別限界値DB'!$B:$B = S$10) * 
        ('アイテム別限界値DB'!$F:$F = S22) * 
        ('アイテム別限界値DB'!$H:$H = T22), 
        0
      )
    ), 
    "再製作"
  )
)
</f>
        <v/>
      </c>
      <c r="V22" s="218" t="str">
        <f t="array" ref="V22">IF(
  T22 = 0, 
  "", 
  IFERROR(
    INDEX(
      'アイテム別限界値DB'!$L:$L, 
      MATCH(
        1, 
        ('アイテム別限界値DB'!$B:$B = S$10) * 
        ('アイテム別限界値DB'!$C:$C = S22) * 
        ('アイテム別限界値DB'!$F:$F = T22), 
        0
      )
    ), 
    ""
  )
)
</f>
        <v/>
      </c>
      <c r="W22" s="11"/>
      <c r="X22" s="238" t="s">
        <v>88</v>
      </c>
      <c r="Y22" s="230"/>
      <c r="Z22" s="231" t="str">
        <f t="array" ref="Z22">IF(
  Y22 = 0, 
  "", 
  IFERROR(
    INDEX(
      'アイテム別限界値DB'!$K:$K, 
      MATCH(
        1, 
        ('アイテム別限界値DB'!$B:$B = X$10) * 
        ('アイテム別限界値DB'!$F:$F = X22) * 
        ('アイテム別限界値DB'!$H:$H = Y22), 
        0
      )
    ), 
    "再製作"
  )
)
</f>
        <v/>
      </c>
      <c r="AA22" s="218" t="str">
        <f t="array" ref="AA22">IF(
  Y22 = 0, 
  "", 
  IFERROR(
    INDEX(
      'アイテム別限界値DB'!$L:$L, 
      MATCH(
        1, 
        ('アイテム別限界値DB'!$B:$B = X$10) * 
        ('アイテム別限界値DB'!$C:$C = X22) * 
        ('アイテム別限界値DB'!$F:$F = Y22), 
        0
      )
    ), 
    ""
  )
)
</f>
        <v/>
      </c>
      <c r="AB22" s="11"/>
      <c r="AC22" s="238" t="s">
        <v>89</v>
      </c>
      <c r="AD22" s="232"/>
      <c r="AE22" s="231" t="str">
        <f t="array" ref="AE22">IF(
  AD22 = 0, 
  "", 
  IFERROR(
    INDEX(
      'アイテム別限界値DB'!$K:$K, 
      MATCH(
        1, 
        ('アイテム別限界値DB'!$B:$B = AC$10) * 
        ('アイテム別限界値DB'!$F:$F = AC22) * 
        ('アイテム別限界値DB'!$H:$H = AD22), 
        0
      )
    ), 
    "再製作"
  )
)
</f>
        <v/>
      </c>
      <c r="AF22" s="218" t="str">
        <f t="array" ref="AF22">IF(
  AD22 = 0, 
  "", 
  IFERROR(
    INDEX(
      'アイテム別限界値DB'!$L:$L, 
      MATCH(
        1, 
        ('アイテム別限界値DB'!$B:$B = AC$10) * 
        ('アイテム別限界値DB'!$C:$C = AC22) * 
        ('アイテム別限界値DB'!$F:$F = AD22), 
        0
      )
    ), 
    ""
  )
)
</f>
        <v/>
      </c>
      <c r="AG22" s="11"/>
      <c r="AH22" s="224"/>
      <c r="AI22" s="225"/>
      <c r="AJ22" s="220" t="str">
        <f t="array" ref="AJ22">IF(
  AI22 = 0, 
  "", 
  IFERROR(
    INDEX(
      'アイテム別限界値DB'!$I:$I, 
      MATCH(
        1, 
        ('アイテム別限界値DB'!$B:$B = AH$10) * 
        ('アイテム別限界値DB'!$C:$C = AH22) * 
        ('アイテム別限界値DB'!$F:$F = AI22), 
        0
      )
    ), 
    "再製作"
  )
)
</f>
        <v/>
      </c>
      <c r="AK22" s="121" t="str">
        <f t="array" ref="AK22">IF(
  AI22 = 0, 
  "", 
  IFERROR(
    INDEX(
      'アイテム別限界値DB'!$L:$L, 
      MATCH(
        1, 
        ('アイテム別限界値DB'!$B:$B = AH$10) * 
        ('アイテム別限界値DB'!$C:$C = AH22) * 
        ('アイテム別限界値DB'!$F:$F = AI22), 
        0
      )
    ), 
    ""
  )
)
</f>
        <v/>
      </c>
      <c r="AL22" s="11"/>
      <c r="AM22" s="224"/>
      <c r="AN22" s="225"/>
      <c r="AO22" s="220" t="str">
        <f t="array" ref="AO22">IF(
  AN22 = 0, 
  "", 
  IFERROR(
    INDEX(
      'アイテム別限界値DB'!$I:$I, 
      MATCH(
        1, 
        ('アイテム別限界値DB'!$B:$B = AM$10) * 
        ('アイテム別限界値DB'!$C:$C = AM22) * 
        ('アイテム別限界値DB'!$F:$F = AN22), 
        0
      )
    ), 
    "再製作"
  )
)
</f>
        <v/>
      </c>
      <c r="AP22" s="121" t="str">
        <f t="array" ref="AP22">IF(
  AN22 = 0, 
  "", 
  IFERROR(
    INDEX(
      'アイテム別限界値DB'!$L:$L, 
      MATCH(
        1, 
        ('アイテム別限界値DB'!$B:$B = AM$10) * 
        ('アイテム別限界値DB'!$C:$C = AM22) * 
        ('アイテム別限界値DB'!$F:$F = AN22), 
        0
      )
    ), 
    ""
  )
)
</f>
        <v/>
      </c>
      <c r="AQ22" s="11"/>
      <c r="AR22" s="224"/>
      <c r="AS22" s="225"/>
      <c r="AT22" s="220" t="str">
        <f t="array" ref="AT22">IF(
  AS22 = 0, 
  "", 
  IFERROR(
    INDEX(
      'アイテム別限界値DB'!$I:$I, 
      MATCH(
        1, 
        ('アイテム別限界値DB'!$B:$B = AR$10) * 
        ('アイテム別限界値DB'!$C:$C = AR22) * 
        ('アイテム別限界値DB'!$F:$F = AS22), 
        0
      )
    ), 
    "再製作"
  )
)
</f>
        <v/>
      </c>
      <c r="AU22" s="121" t="str">
        <f t="array" ref="AU22">IF(
  AS22 = 0, 
  "", 
  IFERROR(
    INDEX(
      'アイテム別限界値DB'!$L:$L, 
      MATCH(
        1, 
        ('アイテム別限界値DB'!$B:$B = AR$10) * 
        ('アイテム別限界値DB'!$C:$C = AR22) * 
        ('アイテム別限界値DB'!$F:$F = AS22), 
        0
      )
    ), 
    ""
  )
)
</f>
        <v/>
      </c>
      <c r="AV22" s="121"/>
      <c r="AW22" s="224"/>
      <c r="AX22" s="225"/>
      <c r="AY22" s="220" t="str">
        <f t="array" ref="AY22">IF(
  AX22 = 0, 
  "", 
  IFERROR(
    INDEX(
      'アイテム別限界値DB'!$I:$I, 
      MATCH(
        1, 
        ('アイテム別限界値DB'!$B:$B = AW$10) * 
        ('アイテム別限界値DB'!$C:$C = AW22) * 
        ('アイテム別限界値DB'!$F:$F = AX22), 
        0
      )
    ), 
    "再製作"
  )
)
</f>
        <v/>
      </c>
      <c r="AZ22" s="121" t="str">
        <f t="array" ref="AZ22">IF(
  AX22 = 0, 
  "", 
  IFERROR(
    INDEX(
      'アイテム別限界値DB'!$L:$L, 
      MATCH(
        1, 
        ('アイテム別限界値DB'!$B:$B = AW$10) * 
        ('アイテム別限界値DB'!$C:$C = AW22) * 
        ('アイテム別限界値DB'!$F:$F = AX22), 
        0
      )
    ), 
    ""
  )
)
</f>
        <v/>
      </c>
      <c r="BA22" s="121"/>
      <c r="BB22" s="224"/>
      <c r="BC22" s="225"/>
      <c r="BD22" s="220" t="str">
        <f t="array" ref="BD22">IF(
  BC22 = 0, 
  "", 
  IFERROR(
    INDEX(
      'アイテム別限界値DB'!$I:$I, 
      MATCH(
        1, 
        ('アイテム別限界値DB'!$B:$B = BB$10) * 
        ('アイテム別限界値DB'!$C:$C = BB22) * 
        ('アイテム別限界値DB'!$F:$F = BC22), 
        0
      )
    ), 
    "再製作"
  )
)
</f>
        <v/>
      </c>
      <c r="BE22" s="121" t="str">
        <f t="array" ref="BE22">IF(
  BC22 = 0, 
  "", 
  IFERROR(
    INDEX(
      'アイテム別限界値DB'!$L:$L, 
      MATCH(
        1, 
        ('アイテム別限界値DB'!$B:$B = BB$10) * 
        ('アイテム別限界値DB'!$C:$C = BB22) * 
        ('アイテム別限界値DB'!$F:$F = BC22), 
        0
      )
    ), 
    ""
  )
)
</f>
        <v/>
      </c>
      <c r="BF22" s="121"/>
      <c r="BG22" s="224"/>
      <c r="BH22" s="225"/>
      <c r="BI22" s="220" t="str">
        <f t="array" ref="BI22">IF(
  BH22 = 0, 
  "", 
  IFERROR(
    INDEX(
      'アイテム別限界値DB'!$I:$I, 
      MATCH(
        1, 
        ('アイテム別限界値DB'!$B:$B = BG$10) * 
        ('アイテム別限界値DB'!$C:$C = BG22) * 
        ('アイテム別限界値DB'!$F:$F = BH22), 
        0
      )
    ), 
    "再製作"
  )
)
</f>
        <v/>
      </c>
      <c r="BJ22" s="121" t="str">
        <f t="array" ref="BJ22">IF(
  BH22 = 0, 
  "", 
  IFERROR(
    INDEX(
      'アイテム別限界値DB'!$L:$L, 
      MATCH(
        1, 
        ('アイテム別限界値DB'!$B:$B = BG$10) * 
        ('アイテム別限界値DB'!$C:$C = BG22) * 
        ('アイテム別限界値DB'!$F:$F = BH22), 
        0
      )
    ), 
    ""
  )
)
</f>
        <v/>
      </c>
      <c r="BK22" s="121"/>
      <c r="BL22" s="224" t="s">
        <v>90</v>
      </c>
      <c r="BM22" s="232"/>
      <c r="BN22" s="231" t="str">
        <f t="array" ref="BN22">IF(
  BM22 = 0, 
  "", 
  IFERROR(
    INDEX(
      'アイテム別限界値DB'!$K:$K, 
      MATCH(
        1, 
        ('アイテム別限界値DB'!$B:$B = BL$10) * 
        ('アイテム別限界値DB'!$F:$F = BL22) * 
        ('アイテム別限界値DB'!$H:$H = BM22), 
        0
      )
    ), 
    "再製作"
  )
)
</f>
        <v/>
      </c>
      <c r="BO22" s="218" t="str">
        <f t="array" ref="BO22">IF(
  BM22 = 0, 
  "", 
  IFERROR(
    INDEX(
      'アイテム別限界値DB'!$L:$L, 
      MATCH(
        1, 
        ('アイテム別限界値DB'!$B:$B = BL$10) * 
        ('アイテム別限界値DB'!$C:$C = BL22) * 
        ('アイテム別限界値DB'!$F:$F = BM22), 
        0
      )
    ), 
    ""
  )
)
</f>
        <v/>
      </c>
      <c r="BP22" s="195"/>
    </row>
    <row r="23" ht="18.75" customHeight="1">
      <c r="A23" s="237" t="s">
        <v>91</v>
      </c>
      <c r="B23" s="229"/>
      <c r="C23" s="224"/>
      <c r="D23" s="238" t="s">
        <v>92</v>
      </c>
      <c r="E23" s="230"/>
      <c r="F23" s="231" t="str">
        <f t="array" ref="F23">IF(
  E23 = 0, 
  "", 
  IFERROR(
    INDEX(
      'アイテム別限界値DB'!$K:$K, 
      MATCH(
        1, 
        ('アイテム別限界値DB'!$B:$B = D$10) * 
        ('アイテム別限界値DB'!$F:$F = D23) * 
        ('アイテム別限界値DB'!$H:$H = E23), 
        0
      )
    ), 
    "再製作"
  )
)
</f>
        <v/>
      </c>
      <c r="G23" s="218" t="str">
        <f t="array" ref="G23">IF(
  E23 = 0, 
  "", 
  IFERROR(
    INDEX(
      'アイテム別限界値DB'!$L:$L, 
      MATCH(
        1, 
        ('アイテム別限界値DB'!$B:$B = D$10) * 
        ('アイテム別限界値DB'!$C:$C = D23) * 
        ('アイテム別限界値DB'!$F:$F = E23), 
        0
      )
    ), 
    ""
  )
)
</f>
        <v/>
      </c>
      <c r="H23" s="12"/>
      <c r="I23" s="238" t="s">
        <v>93</v>
      </c>
      <c r="J23" s="232"/>
      <c r="K23" s="231" t="str">
        <f t="array" ref="K23">IF(
  J23 = 0, 
  "", 
  IFERROR(
    INDEX(
      'アイテム別限界値DB'!$K:$K, 
      MATCH(
        1, 
        ('アイテム別限界値DB'!$B:$B = I$10) * 
        ('アイテム別限界値DB'!$F:$F = I23) * 
        ('アイテム別限界値DB'!$H:$H = J23), 
        0
      )
    ), 
    "再製作"
  )
)
</f>
        <v/>
      </c>
      <c r="L23" s="218" t="str">
        <f t="array" ref="L23">IF(
  J23 = 0, 
  "", 
  IFERROR(
    INDEX(
      'アイテム別限界値DB'!$L:$L, 
      MATCH(
        1, 
        ('アイテム別限界値DB'!$B:$B = I$10) * 
        ('アイテム別限界値DB'!$C:$C = I23) * 
        ('アイテム別限界値DB'!$F:$F = J23), 
        0
      )
    ), 
    ""
  )
)
</f>
        <v/>
      </c>
      <c r="M23" s="11"/>
      <c r="N23" s="224"/>
      <c r="O23" s="220"/>
      <c r="P23" s="220" t="str">
        <f t="array" ref="P23">IF(
  O23 = 0, 
  "", 
  IFERROR(
    INDEX(
      'アイテム別限界値DB'!$I:$I, 
      MATCH(
        1, 
        ('アイテム別限界値DB'!$B:$B = N$10) * 
        ('アイテム別限界値DB'!$C:$C = N23) * 
        ('アイテム別限界値DB'!$F:$F = O23), 
        0
      )
    ), 
    "再製作"
  )
)
</f>
        <v/>
      </c>
      <c r="Q23" s="121" t="str">
        <f t="array" ref="Q23">IF(
  O23 = 0, 
  "", 
  IFERROR(
    INDEX(
      'アイテム別限界値DB'!$L:$L, 
      MATCH(
        1, 
        ('アイテム別限界値DB'!$B:$B = N$10) * 
        ('アイテム別限界値DB'!$C:$C = N23) * 
        ('アイテム別限界値DB'!$F:$F = O23), 
        0
      )
    ), 
    ""
  )
)
</f>
        <v/>
      </c>
      <c r="R23" s="11"/>
      <c r="S23" s="238" t="s">
        <v>93</v>
      </c>
      <c r="T23" s="232"/>
      <c r="U23" s="231" t="str">
        <f t="array" ref="U23">IF(
  T23 = 0, 
  "", 
  IFERROR(
    INDEX(
      'アイテム別限界値DB'!$K:$K, 
      MATCH(
        1, 
        ('アイテム別限界値DB'!$B:$B = S$10) * 
        ('アイテム別限界値DB'!$F:$F = S23) * 
        ('アイテム別限界値DB'!$H:$H = T23), 
        0
      )
    ), 
    "再製作"
  )
)
</f>
        <v/>
      </c>
      <c r="V23" s="218" t="str">
        <f t="array" ref="V23">IF(
  T23 = 0, 
  "", 
  IFERROR(
    INDEX(
      'アイテム別限界値DB'!$L:$L, 
      MATCH(
        1, 
        ('アイテム別限界値DB'!$B:$B = S$10) * 
        ('アイテム別限界値DB'!$C:$C = S23) * 
        ('アイテム別限界値DB'!$F:$F = T23), 
        0
      )
    ), 
    ""
  )
)
</f>
        <v/>
      </c>
      <c r="W23" s="11"/>
      <c r="X23" s="238" t="s">
        <v>89</v>
      </c>
      <c r="Y23" s="232"/>
      <c r="Z23" s="231" t="str">
        <f t="array" ref="Z23">IF(
  Y23 = 0, 
  "", 
  IFERROR(
    INDEX(
      'アイテム別限界値DB'!$K:$K, 
      MATCH(
        1, 
        ('アイテム別限界値DB'!$B:$B = X$10) * 
        ('アイテム別限界値DB'!$F:$F = X23) * 
        ('アイテム別限界値DB'!$H:$H = Y23), 
        0
      )
    ), 
    "再製作"
  )
)
</f>
        <v/>
      </c>
      <c r="AA23" s="218" t="str">
        <f t="array" ref="AA23">IF(
  Y23 = 0, 
  "", 
  IFERROR(
    INDEX(
      'アイテム別限界値DB'!$L:$L, 
      MATCH(
        1, 
        ('アイテム別限界値DB'!$B:$B = X$10) * 
        ('アイテム別限界値DB'!$C:$C = X23) * 
        ('アイテム別限界値DB'!$F:$F = Y23), 
        0
      )
    ), 
    ""
  )
)
</f>
        <v/>
      </c>
      <c r="AB23" s="11"/>
      <c r="AC23" s="238" t="s">
        <v>90</v>
      </c>
      <c r="AD23" s="232"/>
      <c r="AE23" s="231" t="str">
        <f t="array" ref="AE23">IF(
  AD23 = 0, 
  "", 
  IFERROR(
    INDEX(
      'アイテム別限界値DB'!$K:$K, 
      MATCH(
        1, 
        ('アイテム別限界値DB'!$B:$B = AC$10) * 
        ('アイテム別限界値DB'!$F:$F = AC23) * 
        ('アイテム別限界値DB'!$H:$H = AD23), 
        0
      )
    ), 
    "再製作"
  )
)
</f>
        <v/>
      </c>
      <c r="AF23" s="218" t="str">
        <f t="array" ref="AF23">IF(
  AD23 = 0, 
  "", 
  IFERROR(
    INDEX(
      'アイテム別限界値DB'!$L:$L, 
      MATCH(
        1, 
        ('アイテム別限界値DB'!$B:$B = AC$10) * 
        ('アイテム別限界値DB'!$C:$C = AC23) * 
        ('アイテム別限界値DB'!$F:$F = AD23), 
        0
      )
    ), 
    ""
  )
)
</f>
        <v/>
      </c>
      <c r="AG23" s="11"/>
      <c r="AH23" s="224"/>
      <c r="AI23" s="225"/>
      <c r="AJ23" s="220" t="str">
        <f t="array" ref="AJ23">IF(
  AI23 = 0, 
  "", 
  IFERROR(
    INDEX(
      'アイテム別限界値DB'!$I:$I, 
      MATCH(
        1, 
        ('アイテム別限界値DB'!$B:$B = AH$10) * 
        ('アイテム別限界値DB'!$C:$C = AH23) * 
        ('アイテム別限界値DB'!$F:$F = AI23), 
        0
      )
    ), 
    "再製作"
  )
)
</f>
        <v/>
      </c>
      <c r="AK23" s="121" t="str">
        <f t="array" ref="AK23">IF(
  AI23 = 0, 
  "", 
  IFERROR(
    INDEX(
      'アイテム別限界値DB'!$L:$L, 
      MATCH(
        1, 
        ('アイテム別限界値DB'!$B:$B = AH$10) * 
        ('アイテム別限界値DB'!$C:$C = AH23) * 
        ('アイテム別限界値DB'!$F:$F = AI23), 
        0
      )
    ), 
    ""
  )
)
</f>
        <v/>
      </c>
      <c r="AL23" s="11"/>
      <c r="AM23" s="224"/>
      <c r="AN23" s="225"/>
      <c r="AO23" s="220" t="str">
        <f t="array" ref="AO23">IF(
  AN23 = 0, 
  "", 
  IFERROR(
    INDEX(
      'アイテム別限界値DB'!$I:$I, 
      MATCH(
        1, 
        ('アイテム別限界値DB'!$B:$B = AM$10) * 
        ('アイテム別限界値DB'!$C:$C = AM23) * 
        ('アイテム別限界値DB'!$F:$F = AN23), 
        0
      )
    ), 
    "再製作"
  )
)
</f>
        <v/>
      </c>
      <c r="AP23" s="121" t="str">
        <f t="array" ref="AP23">IF(
  AN23 = 0, 
  "", 
  IFERROR(
    INDEX(
      'アイテム別限界値DB'!$L:$L, 
      MATCH(
        1, 
        ('アイテム別限界値DB'!$B:$B = AM$10) * 
        ('アイテム別限界値DB'!$C:$C = AM23) * 
        ('アイテム別限界値DB'!$F:$F = AN23), 
        0
      )
    ), 
    ""
  )
)
</f>
        <v/>
      </c>
      <c r="AQ23" s="11"/>
      <c r="AR23" s="224"/>
      <c r="AS23" s="225"/>
      <c r="AT23" s="220" t="str">
        <f t="array" ref="AT23">IF(
  AS23 = 0, 
  "", 
  IFERROR(
    INDEX(
      'アイテム別限界値DB'!$I:$I, 
      MATCH(
        1, 
        ('アイテム別限界値DB'!$B:$B = AR$10) * 
        ('アイテム別限界値DB'!$C:$C = AR23) * 
        ('アイテム別限界値DB'!$F:$F = AS23), 
        0
      )
    ), 
    "再製作"
  )
)
</f>
        <v/>
      </c>
      <c r="AU23" s="121" t="str">
        <f t="array" ref="AU23">IF(
  AS23 = 0, 
  "", 
  IFERROR(
    INDEX(
      'アイテム別限界値DB'!$L:$L, 
      MATCH(
        1, 
        ('アイテム別限界値DB'!$B:$B = AR$10) * 
        ('アイテム別限界値DB'!$C:$C = AR23) * 
        ('アイテム別限界値DB'!$F:$F = AS23), 
        0
      )
    ), 
    ""
  )
)
</f>
        <v/>
      </c>
      <c r="AV23" s="121"/>
      <c r="AW23" s="224"/>
      <c r="AX23" s="225"/>
      <c r="AY23" s="220" t="str">
        <f t="array" ref="AY23">IF(
  AX23 = 0, 
  "", 
  IFERROR(
    INDEX(
      'アイテム別限界値DB'!$I:$I, 
      MATCH(
        1, 
        ('アイテム別限界値DB'!$B:$B = AW$10) * 
        ('アイテム別限界値DB'!$C:$C = AW23) * 
        ('アイテム別限界値DB'!$F:$F = AX23), 
        0
      )
    ), 
    "再製作"
  )
)
</f>
        <v/>
      </c>
      <c r="AZ23" s="121" t="str">
        <f t="array" ref="AZ23">IF(
  AX23 = 0, 
  "", 
  IFERROR(
    INDEX(
      'アイテム別限界値DB'!$L:$L, 
      MATCH(
        1, 
        ('アイテム別限界値DB'!$B:$B = AW$10) * 
        ('アイテム別限界値DB'!$C:$C = AW23) * 
        ('アイテム別限界値DB'!$F:$F = AX23), 
        0
      )
    ), 
    ""
  )
)
</f>
        <v/>
      </c>
      <c r="BA23" s="121"/>
      <c r="BB23" s="224"/>
      <c r="BC23" s="225"/>
      <c r="BD23" s="220" t="str">
        <f t="array" ref="BD23">IF(
  BC23 = 0, 
  "", 
  IFERROR(
    INDEX(
      'アイテム別限界値DB'!$I:$I, 
      MATCH(
        1, 
        ('アイテム別限界値DB'!$B:$B = BB$10) * 
        ('アイテム別限界値DB'!$C:$C = BB23) * 
        ('アイテム別限界値DB'!$F:$F = BC23), 
        0
      )
    ), 
    "再製作"
  )
)
</f>
        <v/>
      </c>
      <c r="BE23" s="121" t="str">
        <f t="array" ref="BE23">IF(
  BC23 = 0, 
  "", 
  IFERROR(
    INDEX(
      'アイテム別限界値DB'!$L:$L, 
      MATCH(
        1, 
        ('アイテム別限界値DB'!$B:$B = BB$10) * 
        ('アイテム別限界値DB'!$C:$C = BB23) * 
        ('アイテム別限界値DB'!$F:$F = BC23), 
        0
      )
    ), 
    ""
  )
)
</f>
        <v/>
      </c>
      <c r="BF23" s="121"/>
      <c r="BG23" s="224"/>
      <c r="BH23" s="225"/>
      <c r="BI23" s="220" t="str">
        <f t="array" ref="BI23">IF(
  BH23 = 0, 
  "", 
  IFERROR(
    INDEX(
      'アイテム別限界値DB'!$I:$I, 
      MATCH(
        1, 
        ('アイテム別限界値DB'!$B:$B = BG$10) * 
        ('アイテム別限界値DB'!$C:$C = BG23) * 
        ('アイテム別限界値DB'!$F:$F = BH23), 
        0
      )
    ), 
    "再製作"
  )
)
</f>
        <v/>
      </c>
      <c r="BJ23" s="121" t="str">
        <f t="array" ref="BJ23">IF(
  BH23 = 0, 
  "", 
  IFERROR(
    INDEX(
      'アイテム別限界値DB'!$L:$L, 
      MATCH(
        1, 
        ('アイテム別限界値DB'!$B:$B = BG$10) * 
        ('アイテム別限界値DB'!$C:$C = BG23) * 
        ('アイテム別限界値DB'!$F:$F = BH23), 
        0
      )
    ), 
    ""
  )
)
</f>
        <v/>
      </c>
      <c r="BK23" s="121"/>
      <c r="BL23" s="224" t="s">
        <v>62</v>
      </c>
      <c r="BM23" s="232"/>
      <c r="BN23" s="231" t="str">
        <f t="array" ref="BN23">IF(
  BM23 = 0, 
  "", 
  IFERROR(
    INDEX(
      'アイテム別限界値DB'!$K:$K, 
      MATCH(
        1, 
        ('アイテム別限界値DB'!$B:$B = BL$10) * 
        ('アイテム別限界値DB'!$F:$F = BL23) * 
        ('アイテム別限界値DB'!$H:$H = BM23), 
        0
      )
    ), 
    "再製作"
  )
)
</f>
        <v/>
      </c>
      <c r="BO23" s="218" t="str">
        <f t="array" ref="BO23">IF(
  BM23 = 0, 
  "", 
  IFERROR(
    INDEX(
      'アイテム別限界値DB'!$L:$L, 
      MATCH(
        1, 
        ('アイテム別限界値DB'!$B:$B = BL$10) * 
        ('アイテム別限界値DB'!$C:$C = BL23) * 
        ('アイテム別限界値DB'!$F:$F = BM23), 
        0
      )
    ), 
    ""
  )
)
</f>
        <v/>
      </c>
      <c r="BP23" s="195"/>
    </row>
    <row r="24" ht="18.75" customHeight="1">
      <c r="A24" s="228" t="str">
        <f>IF($N$11="再製作", "◼︎ ベスト（対応着地：再製作）" &amp; char(10) &amp; "《修正数値》", IF($N$11&lt;&gt;"", "◼︎ ベスト（対応着地：お直し）" &amp; char(10) &amp; "《修正数値》", ""))</f>
        <v/>
      </c>
      <c r="B24" s="229"/>
      <c r="C24" s="224"/>
      <c r="D24" s="239" t="s">
        <v>94</v>
      </c>
      <c r="E24" s="232"/>
      <c r="F24" s="231" t="str">
        <f t="array" ref="F24">IF(
  E24 = 0, 
  "", 
  IFERROR(
    INDEX(
      'アイテム別限界値DB'!$K:$K, 
      MATCH(
        1, 
        ('アイテム別限界値DB'!$B:$B = D$10) * 
        ('アイテム別限界値DB'!$F:$F = D24) * 
        ('アイテム別限界値DB'!$H:$H = E24), 
        0
      )
    ), 
    "再製作"
  )
)
</f>
        <v/>
      </c>
      <c r="G24" s="218" t="str">
        <f t="array" ref="G24">IF(
  E24 = 0, 
  "", 
  IFERROR(
    INDEX(
      'アイテム別限界値DB'!$L:$L, 
      MATCH(
        1, 
        ('アイテム別限界値DB'!$B:$B = D$10) * 
        ('アイテム別限界値DB'!$C:$C = D24) * 
        ('アイテム別限界値DB'!$F:$F = E24), 
        0
      )
    ), 
    ""
  )
)
</f>
        <v/>
      </c>
      <c r="H24" s="12"/>
      <c r="I24" s="239" t="s">
        <v>95</v>
      </c>
      <c r="J24" s="232"/>
      <c r="K24" s="231" t="str">
        <f t="array" ref="K24">IF(
  J24 = 0, 
  "", 
  IFERROR(
    INDEX(
      'アイテム別限界値DB'!$K:$K, 
      MATCH(
        1, 
        ('アイテム別限界値DB'!$B:$B = I$10) * 
        ('アイテム別限界値DB'!$F:$F = I24) * 
        ('アイテム別限界値DB'!$H:$H = J24), 
        0
      )
    ), 
    "再製作"
  )
)
</f>
        <v/>
      </c>
      <c r="L24" s="218" t="str">
        <f t="array" ref="L24">IF(
  J24 = 0, 
  "", 
  IFERROR(
    INDEX(
      'アイテム別限界値DB'!$L:$L, 
      MATCH(
        1, 
        ('アイテム別限界値DB'!$B:$B = I$10) * 
        ('アイテム別限界値DB'!$C:$C = I24) * 
        ('アイテム別限界値DB'!$F:$F = J24), 
        0
      )
    ), 
    ""
  )
)
</f>
        <v/>
      </c>
      <c r="M24" s="11"/>
      <c r="N24" s="224"/>
      <c r="O24" s="220"/>
      <c r="P24" s="220" t="str">
        <f t="array" ref="P24">IF(
  O24 = 0, 
  "", 
  IFERROR(
    INDEX(
      'アイテム別限界値DB'!$I:$I, 
      MATCH(
        1, 
        ('アイテム別限界値DB'!$B:$B = N$10) * 
        ('アイテム別限界値DB'!$C:$C = N24) * 
        ('アイテム別限界値DB'!$F:$F = O24), 
        0
      )
    ), 
    "再製作"
  )
)
</f>
        <v/>
      </c>
      <c r="Q24" s="121" t="str">
        <f t="array" ref="Q24">IF(
  O24 = 0, 
  "", 
  IFERROR(
    INDEX(
      'アイテム別限界値DB'!$L:$L, 
      MATCH(
        1, 
        ('アイテム別限界値DB'!$B:$B = N$10) * 
        ('アイテム別限界値DB'!$C:$C = N24) * 
        ('アイテム別限界値DB'!$F:$F = O24), 
        0
      )
    ), 
    ""
  )
)
</f>
        <v/>
      </c>
      <c r="R24" s="11"/>
      <c r="S24" s="239" t="s">
        <v>96</v>
      </c>
      <c r="T24" s="232"/>
      <c r="U24" s="231" t="str">
        <f t="array" ref="U24">IF(
  T24 = 0, 
  "", 
  IFERROR(
    INDEX(
      'アイテム別限界値DB'!$K:$K, 
      MATCH(
        1, 
        ('アイテム別限界値DB'!$B:$B = S$10) * 
        ('アイテム別限界値DB'!$F:$F = S24) * 
        ('アイテム別限界値DB'!$H:$H = T24), 
        0
      )
    ), 
    "再製作"
  )
)
</f>
        <v/>
      </c>
      <c r="V24" s="218" t="str">
        <f t="array" ref="V24">IF(
  T24 = 0, 
  "", 
  IFERROR(
    INDEX(
      'アイテム別限界値DB'!$L:$L, 
      MATCH(
        1, 
        ('アイテム別限界値DB'!$B:$B = S$10) * 
        ('アイテム別限界値DB'!$C:$C = S24) * 
        ('アイテム別限界値DB'!$F:$F = T24), 
        0
      )
    ), 
    ""
  )
)
</f>
        <v/>
      </c>
      <c r="W24" s="11"/>
      <c r="X24" s="239" t="s">
        <v>97</v>
      </c>
      <c r="Y24" s="230"/>
      <c r="Z24" s="231" t="str">
        <f t="array" ref="Z24">IF(
  Y24 = 0, 
  "", 
  IFERROR(
    INDEX(
      'アイテム別限界値DB'!$K:$K, 
      MATCH(
        1, 
        ('アイテム別限界値DB'!$B:$B = X$10) * 
        ('アイテム別限界値DB'!$F:$F = X24) * 
        ('アイテム別限界値DB'!$H:$H = Y24), 
        0
      )
    ), 
    "再製作"
  )
)
</f>
        <v/>
      </c>
      <c r="AA24" s="218" t="str">
        <f t="array" ref="AA24">IF(
  Y24 = 0, 
  "", 
  IFERROR(
    INDEX(
      'アイテム別限界値DB'!$L:$L, 
      MATCH(
        1, 
        ('アイテム別限界値DB'!$B:$B = X$10) * 
        ('アイテム別限界値DB'!$C:$C = X24) * 
        ('アイテム別限界値DB'!$F:$F = Y24), 
        0
      )
    ), 
    ""
  )
)
</f>
        <v/>
      </c>
      <c r="AB24" s="11"/>
      <c r="AC24" s="239" t="s">
        <v>62</v>
      </c>
      <c r="AD24" s="232"/>
      <c r="AE24" s="231" t="str">
        <f t="array" ref="AE24">IF(
  AD24 = 0, 
  "", 
  IFERROR(
    INDEX(
      'アイテム別限界値DB'!$K:$K, 
      MATCH(
        1, 
        ('アイテム別限界値DB'!$B:$B = AC$10) * 
        ('アイテム別限界値DB'!$F:$F = AC24) * 
        ('アイテム別限界値DB'!$H:$H = AD24), 
        0
      )
    ), 
    "再製作"
  )
)
</f>
        <v/>
      </c>
      <c r="AF24" s="218" t="str">
        <f t="array" ref="AF24">IF(
  AD24 = 0, 
  "", 
  IFERROR(
    INDEX(
      'アイテム別限界値DB'!$L:$L, 
      MATCH(
        1, 
        ('アイテム別限界値DB'!$B:$B = AC$10) * 
        ('アイテム別限界値DB'!$C:$C = AC24) * 
        ('アイテム別限界値DB'!$F:$F = AD24), 
        0
      )
    ), 
    ""
  )
)
</f>
        <v/>
      </c>
      <c r="AG24" s="11"/>
      <c r="AH24" s="224"/>
      <c r="AI24" s="225"/>
      <c r="AJ24" s="220" t="str">
        <f t="array" ref="AJ24">IF(
  AI24 = 0, 
  "", 
  IFERROR(
    INDEX(
      'アイテム別限界値DB'!$I:$I, 
      MATCH(
        1, 
        ('アイテム別限界値DB'!$B:$B = AH$10) * 
        ('アイテム別限界値DB'!$C:$C = AH24) * 
        ('アイテム別限界値DB'!$F:$F = AI24), 
        0
      )
    ), 
    "再製作"
  )
)
</f>
        <v/>
      </c>
      <c r="AK24" s="121" t="str">
        <f t="array" ref="AK24">IF(
  AI24 = 0, 
  "", 
  IFERROR(
    INDEX(
      'アイテム別限界値DB'!$L:$L, 
      MATCH(
        1, 
        ('アイテム別限界値DB'!$B:$B = AH$10) * 
        ('アイテム別限界値DB'!$C:$C = AH24) * 
        ('アイテム別限界値DB'!$F:$F = AI24), 
        0
      )
    ), 
    ""
  )
)
</f>
        <v/>
      </c>
      <c r="AL24" s="11"/>
      <c r="AM24" s="224"/>
      <c r="AN24" s="225"/>
      <c r="AO24" s="220" t="str">
        <f t="array" ref="AO24">IF(
  AN24 = 0, 
  "", 
  IFERROR(
    INDEX(
      'アイテム別限界値DB'!$I:$I, 
      MATCH(
        1, 
        ('アイテム別限界値DB'!$B:$B = AM$10) * 
        ('アイテム別限界値DB'!$C:$C = AM24) * 
        ('アイテム別限界値DB'!$F:$F = AN24), 
        0
      )
    ), 
    "再製作"
  )
)
</f>
        <v/>
      </c>
      <c r="AP24" s="121" t="str">
        <f t="array" ref="AP24">IF(
  AN24 = 0, 
  "", 
  IFERROR(
    INDEX(
      'アイテム別限界値DB'!$L:$L, 
      MATCH(
        1, 
        ('アイテム別限界値DB'!$B:$B = AM$10) * 
        ('アイテム別限界値DB'!$C:$C = AM24) * 
        ('アイテム別限界値DB'!$F:$F = AN24), 
        0
      )
    ), 
    ""
  )
)
</f>
        <v/>
      </c>
      <c r="AQ24" s="11"/>
      <c r="AR24" s="224"/>
      <c r="AS24" s="225"/>
      <c r="AT24" s="220" t="str">
        <f t="array" ref="AT24">IF(
  AS24 = 0, 
  "", 
  IFERROR(
    INDEX(
      'アイテム別限界値DB'!$I:$I, 
      MATCH(
        1, 
        ('アイテム別限界値DB'!$B:$B = AR$10) * 
        ('アイテム別限界値DB'!$C:$C = AR24) * 
        ('アイテム別限界値DB'!$F:$F = AS24), 
        0
      )
    ), 
    "再製作"
  )
)
</f>
        <v/>
      </c>
      <c r="AU24" s="121" t="str">
        <f t="array" ref="AU24">IF(
  AS24 = 0, 
  "", 
  IFERROR(
    INDEX(
      'アイテム別限界値DB'!$L:$L, 
      MATCH(
        1, 
        ('アイテム別限界値DB'!$B:$B = AR$10) * 
        ('アイテム別限界値DB'!$C:$C = AR24) * 
        ('アイテム別限界値DB'!$F:$F = AS24), 
        0
      )
    ), 
    ""
  )
)
</f>
        <v/>
      </c>
      <c r="AV24" s="121"/>
      <c r="AW24" s="224"/>
      <c r="AX24" s="225"/>
      <c r="AY24" s="220" t="str">
        <f t="array" ref="AY24">IF(
  AX24 = 0, 
  "", 
  IFERROR(
    INDEX(
      'アイテム別限界値DB'!$I:$I, 
      MATCH(
        1, 
        ('アイテム別限界値DB'!$B:$B = AW$10) * 
        ('アイテム別限界値DB'!$C:$C = AW24) * 
        ('アイテム別限界値DB'!$F:$F = AX24), 
        0
      )
    ), 
    "再製作"
  )
)
</f>
        <v/>
      </c>
      <c r="AZ24" s="121" t="str">
        <f t="array" ref="AZ24">IF(
  AX24 = 0, 
  "", 
  IFERROR(
    INDEX(
      'アイテム別限界値DB'!$L:$L, 
      MATCH(
        1, 
        ('アイテム別限界値DB'!$B:$B = AW$10) * 
        ('アイテム別限界値DB'!$C:$C = AW24) * 
        ('アイテム別限界値DB'!$F:$F = AX24), 
        0
      )
    ), 
    ""
  )
)
</f>
        <v/>
      </c>
      <c r="BA24" s="121"/>
      <c r="BB24" s="224"/>
      <c r="BC24" s="225"/>
      <c r="BD24" s="220" t="str">
        <f t="array" ref="BD24">IF(
  BC24 = 0, 
  "", 
  IFERROR(
    INDEX(
      'アイテム別限界値DB'!$I:$I, 
      MATCH(
        1, 
        ('アイテム別限界値DB'!$B:$B = BB$10) * 
        ('アイテム別限界値DB'!$C:$C = BB24) * 
        ('アイテム別限界値DB'!$F:$F = BC24), 
        0
      )
    ), 
    "再製作"
  )
)
</f>
        <v/>
      </c>
      <c r="BE24" s="121" t="str">
        <f t="array" ref="BE24">IF(
  BC24 = 0, 
  "", 
  IFERROR(
    INDEX(
      'アイテム別限界値DB'!$L:$L, 
      MATCH(
        1, 
        ('アイテム別限界値DB'!$B:$B = BB$10) * 
        ('アイテム別限界値DB'!$C:$C = BB24) * 
        ('アイテム別限界値DB'!$F:$F = BC24), 
        0
      )
    ), 
    ""
  )
)
</f>
        <v/>
      </c>
      <c r="BF24" s="121"/>
      <c r="BG24" s="224"/>
      <c r="BH24" s="225"/>
      <c r="BI24" s="220" t="str">
        <f t="array" ref="BI24">IF(
  BH24 = 0, 
  "", 
  IFERROR(
    INDEX(
      'アイテム別限界値DB'!$I:$I, 
      MATCH(
        1, 
        ('アイテム別限界値DB'!$B:$B = BG$10) * 
        ('アイテム別限界値DB'!$C:$C = BG24) * 
        ('アイテム別限界値DB'!$F:$F = BH24), 
        0
      )
    ), 
    "再製作"
  )
)
</f>
        <v/>
      </c>
      <c r="BJ24" s="121" t="str">
        <f t="array" ref="BJ24">IF(
  BH24 = 0, 
  "", 
  IFERROR(
    INDEX(
      'アイテム別限界値DB'!$L:$L, 
      MATCH(
        1, 
        ('アイテム別限界値DB'!$B:$B = BG$10) * 
        ('アイテム別限界値DB'!$C:$C = BG24) * 
        ('アイテム別限界値DB'!$F:$F = BH24), 
        0
      )
    ), 
    ""
  )
)
</f>
        <v/>
      </c>
      <c r="BK24" s="121"/>
      <c r="BL24" s="224"/>
      <c r="BM24" s="225"/>
      <c r="BN24" s="220" t="str">
        <f t="array" ref="BN24">IF(
  BM24 = 0, 
  "", 
  IFERROR(
    INDEX(
      'アイテム別限界値DB'!$I:$I, 
      MATCH(
        1, 
        ('アイテム別限界値DB'!$B:$B = BL$10) * 
        ('アイテム別限界値DB'!$C:$C = BL24) * 
        ('アイテム別限界値DB'!$F:$F = BM24), 
        0
      )
    ), 
    "再製作"
  )
)
</f>
        <v/>
      </c>
      <c r="BO24" s="121" t="str">
        <f t="array" ref="BO24">IF(
  BM24 = 0, 
  "", 
  IFERROR(
    INDEX(
      'アイテム別限界値DB'!$L:$L, 
      MATCH(
        1, 
        ('アイテム別限界値DB'!$B:$B = BL$10) * 
        ('アイテム別限界値DB'!$C:$C = BL24) * 
        ('アイテム別限界値DB'!$F:$F = BM24), 
        0
      )
    ), 
    ""
  )
)
</f>
        <v/>
      </c>
      <c r="BP24" s="195"/>
    </row>
    <row r="25" ht="18.75" customHeight="1">
      <c r="A25" s="228" t="str">
        <f>IFERROR(__xludf.DUMMYFUNCTION("TEXTJOIN(CHAR(10),TRUE,FILTER(ARRAYFORMULA(IF(O$14:O72&lt;&gt;"""",N$14:N72 &amp;"" : ""&amp; O$14:O72 &amp;"" cm"","""")), N$14:N72 &lt;&gt;""""))"),"")</f>
        <v/>
      </c>
      <c r="B25" s="224"/>
      <c r="C25" s="224"/>
      <c r="D25" s="239" t="s">
        <v>98</v>
      </c>
      <c r="E25" s="232"/>
      <c r="F25" s="231" t="str">
        <f t="array" ref="F25">IF(
  E25 = 0, 
  "", 
  IFERROR(
    INDEX(
      'アイテム別限界値DB'!$K:$K, 
      MATCH(
        1, 
        ('アイテム別限界値DB'!$B:$B = D$10) * 
        ('アイテム別限界値DB'!$F:$F = D25) * 
        ('アイテム別限界値DB'!$H:$H = E25), 
        0
      )
    ), 
    "再製作"
  )
)
</f>
        <v/>
      </c>
      <c r="G25" s="218" t="str">
        <f t="array" ref="G25">IF(
  E25 = 0, 
  "", 
  IFERROR(
    INDEX(
      'アイテム別限界値DB'!$L:$L, 
      MATCH(
        1, 
        ('アイテム別限界値DB'!$B:$B = D$10) * 
        ('アイテム別限界値DB'!$C:$C = D25) * 
        ('アイテム別限界値DB'!$F:$F = E25), 
        0
      )
    ), 
    ""
  )
)
</f>
        <v/>
      </c>
      <c r="H25" s="12"/>
      <c r="I25" s="224" t="s">
        <v>99</v>
      </c>
      <c r="J25" s="232"/>
      <c r="K25" s="231" t="str">
        <f t="array" ref="K25">IF(
  J25 = 0, 
  "", 
  IFERROR(
    INDEX(
      'アイテム別限界値DB'!$K:$K, 
      MATCH(
        1, 
        ('アイテム別限界値DB'!$B:$B = I$10) * 
        ('アイテム別限界値DB'!$F:$F = I25) * 
        ('アイテム別限界値DB'!$H:$H = J25), 
        0
      )
    ), 
    "再製作"
  )
)
</f>
        <v/>
      </c>
      <c r="L25" s="195"/>
      <c r="M25" s="11"/>
      <c r="N25" s="11"/>
      <c r="O25" s="220"/>
      <c r="P25" s="184"/>
      <c r="Q25" s="11"/>
      <c r="R25" s="11"/>
      <c r="S25" s="186" t="s">
        <v>100</v>
      </c>
      <c r="T25" s="232"/>
      <c r="U25" s="231" t="str">
        <f t="array" ref="U25">IF(
  T25 = 0, 
  "", 
  IFERROR(
    INDEX(
      'アイテム別限界値DB'!$K:$K, 
      MATCH(
        1, 
        ('アイテム別限界値DB'!$B:$B = S$10) * 
        ('アイテム別限界値DB'!$F:$F = S25) * 
        ('アイテム別限界値DB'!$H:$H = T25), 
        0
      )
    ), 
    "再製作"
  )
)
</f>
        <v/>
      </c>
      <c r="V25" s="234"/>
      <c r="W25" s="11"/>
      <c r="X25" s="186" t="s">
        <v>101</v>
      </c>
      <c r="Y25" s="232"/>
      <c r="Z25" s="231" t="str">
        <f t="array" ref="Z25">IF(
  Y25 = 0, 
  "", 
  IFERROR(
    INDEX(
      'アイテム別限界値DB'!$K:$K, 
      MATCH(
        1, 
        ('アイテム別限界値DB'!$B:$B = X$10) * 
        ('アイテム別限界値DB'!$F:$F = X25) * 
        ('アイテム別限界値DB'!$H:$H = Y25), 
        0
      )
    ), 
    "再製作"
  )
)
</f>
        <v/>
      </c>
      <c r="AA25" s="218" t="str">
        <f t="array" ref="AA25">IF(
  Y25 = 0, 
  "", 
  IFERROR(
    INDEX(
      'アイテム別限界値DB'!$L:$L, 
      MATCH(
        1, 
        ('アイテム別限界値DB'!$B:$B = X$10) * 
        ('アイテム別限界値DB'!$C:$C = X25) * 
        ('アイテム別限界値DB'!$F:$F = Y25), 
        0
      )
    ), 
    ""
  )
)
</f>
        <v/>
      </c>
      <c r="AB25" s="11"/>
      <c r="AC25" s="186" t="s">
        <v>74</v>
      </c>
      <c r="AD25" s="232"/>
      <c r="AE25" s="231" t="str">
        <f t="array" ref="AE25">IF(
  AD25 = 0, 
  "", 
  IFERROR(
    INDEX(
      'アイテム別限界値DB'!$K:$K, 
      MATCH(
        1, 
        ('アイテム別限界値DB'!$B:$B = AC$10) * 
        ('アイテム別限界値DB'!$F:$F = AC25) * 
        ('アイテム別限界値DB'!$H:$H = AD25), 
        0
      )
    ), 
    "再製作"
  )
)
</f>
        <v/>
      </c>
      <c r="AF25" s="218" t="str">
        <f t="array" ref="AF25">IF(
  AD25 = 0, 
  "", 
  IFERROR(
    INDEX(
      'アイテム別限界値DB'!$L:$L, 
      MATCH(
        1, 
        ('アイテム別限界値DB'!$B:$B = AC$10) * 
        ('アイテム別限界値DB'!$C:$C = AC25) * 
        ('アイテム別限界値DB'!$F:$F = AD25), 
        0
      )
    ), 
    ""
  )
)
</f>
        <v/>
      </c>
      <c r="AG25" s="11"/>
      <c r="AH25" s="12"/>
      <c r="AI25" s="220"/>
      <c r="AJ25" s="220" t="str">
        <f t="array" ref="AJ25">IF(
  AI25 = 0, 
  "", 
  IFERROR(
    INDEX(
      'アイテム別限界値DB'!$I:$I, 
      MATCH(
        1, 
        ('アイテム別限界値DB'!$B:$B = AH$10) * 
        ('アイテム別限界値DB'!$C:$C = AH25) * 
        ('アイテム別限界値DB'!$F:$F = AI25), 
        0
      )
    ), 
    "再製作"
  )
)
</f>
        <v/>
      </c>
      <c r="AK25" s="195"/>
      <c r="AL25" s="11"/>
      <c r="AM25" s="12"/>
      <c r="AN25" s="220"/>
      <c r="AO25" s="220" t="str">
        <f t="array" ref="AO25">IF(
  AN25 = 0, 
  "", 
  IFERROR(
    INDEX(
      'アイテム別限界値DB'!$I:$I, 
      MATCH(
        1, 
        ('アイテム別限界値DB'!$B:$B = AM$10) * 
        ('アイテム別限界値DB'!$C:$C = AM25) * 
        ('アイテム別限界値DB'!$F:$F = AN25), 
        0
      )
    ), 
    "再製作"
  )
)
</f>
        <v/>
      </c>
      <c r="AP25" s="195"/>
      <c r="AQ25" s="11"/>
      <c r="AR25" s="12"/>
      <c r="AS25" s="220"/>
      <c r="AT25" s="220" t="str">
        <f t="array" ref="AT25">IF(
  AS25 = 0, 
  "", 
  IFERROR(
    INDEX(
      'アイテム別限界値DB'!$I:$I, 
      MATCH(
        1, 
        ('アイテム別限界値DB'!$B:$B = AR$10) * 
        ('アイテム別限界値DB'!$C:$C = AR25) * 
        ('アイテム別限界値DB'!$F:$F = AS25), 
        0
      )
    ), 
    "再製作"
  )
)
</f>
        <v/>
      </c>
      <c r="AU25" s="195"/>
      <c r="AV25" s="195"/>
      <c r="AW25" s="12"/>
      <c r="AX25" s="220"/>
      <c r="AY25" s="220" t="str">
        <f t="array" ref="AY25">IF(
  AX25 = 0, 
  "", 
  IFERROR(
    INDEX(
      'アイテム別限界値DB'!$I:$I, 
      MATCH(
        1, 
        ('アイテム別限界値DB'!$B:$B = AW$10) * 
        ('アイテム別限界値DB'!$C:$C = AW25) * 
        ('アイテム別限界値DB'!$F:$F = AX25), 
        0
      )
    ), 
    "再製作"
  )
)
</f>
        <v/>
      </c>
      <c r="AZ25" s="195"/>
      <c r="BA25" s="195"/>
      <c r="BB25" s="12"/>
      <c r="BC25" s="220"/>
      <c r="BD25" s="220" t="str">
        <f t="array" ref="BD25">IF(
  BC25 = 0, 
  "", 
  IFERROR(
    INDEX(
      'アイテム別限界値DB'!$I:$I, 
      MATCH(
        1, 
        ('アイテム別限界値DB'!$B:$B = BB$10) * 
        ('アイテム別限界値DB'!$C:$C = BB25) * 
        ('アイテム別限界値DB'!$F:$F = BC25), 
        0
      )
    ), 
    "再製作"
  )
)
</f>
        <v/>
      </c>
      <c r="BE25" s="195"/>
      <c r="BF25" s="195"/>
      <c r="BG25" s="12"/>
      <c r="BH25" s="220"/>
      <c r="BI25" s="220" t="str">
        <f t="array" ref="BI25">IF(
  BH25 = 0, 
  "", 
  IFERROR(
    INDEX(
      'アイテム別限界値DB'!$I:$I, 
      MATCH(
        1, 
        ('アイテム別限界値DB'!$B:$B = BG$10) * 
        ('アイテム別限界値DB'!$C:$C = BG25) * 
        ('アイテム別限界値DB'!$F:$F = BH25), 
        0
      )
    ), 
    "再製作"
  )
)
</f>
        <v/>
      </c>
      <c r="BJ25" s="195"/>
      <c r="BK25" s="195"/>
      <c r="BL25" s="195"/>
      <c r="BM25" s="220"/>
      <c r="BN25" s="220" t="str">
        <f t="array" ref="BN25">IF(
  BM25 = 0, 
  "", 
  IFERROR(
    INDEX(
      'アイテム別限界値DB'!$I:$I, 
      MATCH(
        1, 
        ('アイテム別限界値DB'!$B:$B = BL$10) * 
        ('アイテム別限界値DB'!$C:$C = BL25) * 
        ('アイテム別限界値DB'!$F:$F = BM25), 
        0
      )
    ), 
    "再製作"
  )
)
</f>
        <v/>
      </c>
      <c r="BO25" s="195"/>
      <c r="BP25" s="195"/>
    </row>
    <row r="26" ht="18.75" customHeight="1">
      <c r="A26" s="236"/>
      <c r="B26" s="229"/>
      <c r="C26" s="224"/>
      <c r="D26" s="239" t="s">
        <v>74</v>
      </c>
      <c r="E26" s="230"/>
      <c r="F26" s="231" t="str">
        <f t="array" ref="F26">IF(
  E26 = 0, 
  "", 
  IFERROR(
    INDEX(
      'アイテム別限界値DB'!$K:$K, 
      MATCH(
        1, 
        ('アイテム別限界値DB'!$B:$B = D$10) * 
        ('アイテム別限界値DB'!$F:$F = D26) * 
        ('アイテム別限界値DB'!$H:$H = E26), 
        0
      )
    ), 
    "再製作"
  )
)
</f>
        <v/>
      </c>
      <c r="G26" s="218" t="str">
        <f t="array" ref="G26">IF(
  E26 = 0, 
  "", 
  IFERROR(
    INDEX(
      'アイテム別限界値DB'!$L:$L, 
      MATCH(
        1, 
        ('アイテム別限界値DB'!$B:$B = D$10) * 
        ('アイテム別限界値DB'!$C:$C = D26) * 
        ('アイテム別限界値DB'!$F:$F = E26), 
        0
      )
    ), 
    ""
  )
)
</f>
        <v/>
      </c>
      <c r="H26" s="12"/>
      <c r="I26" s="11" t="s">
        <v>100</v>
      </c>
      <c r="J26" s="232"/>
      <c r="K26" s="231" t="str">
        <f t="array" ref="K26">IF(
  J26 = 0, 
  "", 
  IFERROR(
    INDEX(
      'アイテム別限界値DB'!$K:$K, 
      MATCH(
        1, 
        ('アイテム別限界値DB'!$B:$B = I$10) * 
        ('アイテム別限界値DB'!$F:$F = I26) * 
        ('アイテム別限界値DB'!$H:$H = J26), 
        0
      )
    ), 
    "再製作"
  )
)
</f>
        <v/>
      </c>
      <c r="L26" s="195"/>
      <c r="M26" s="11"/>
      <c r="N26" s="11"/>
      <c r="O26" s="220"/>
      <c r="P26" s="184"/>
      <c r="Q26" s="11"/>
      <c r="R26" s="11"/>
      <c r="S26" s="12" t="s">
        <v>95</v>
      </c>
      <c r="T26" s="232"/>
      <c r="U26" s="231" t="str">
        <f t="array" ref="U26">IF(
  T26 = 0, 
  "", 
  IFERROR(
    INDEX(
      'アイテム別限界値DB'!$K:$K, 
      MATCH(
        1, 
        ('アイテム別限界値DB'!$B:$B = S$10) * 
        ('アイテム別限界値DB'!$F:$F = S26) * 
        ('アイテム別限界値DB'!$H:$H = T26), 
        0
      )
    ), 
    "再製作"
  )
)
</f>
        <v/>
      </c>
      <c r="V26" s="195"/>
      <c r="W26" s="11"/>
      <c r="X26" s="186" t="s">
        <v>62</v>
      </c>
      <c r="Y26" s="232"/>
      <c r="Z26" s="231" t="str">
        <f t="array" ref="Z26">IF(
  Y26 = 0, 
  "", 
  IFERROR(
    INDEX(
      'アイテム別限界値DB'!$K:$K, 
      MATCH(
        1, 
        ('アイテム別限界値DB'!$B:$B = X$10) * 
        ('アイテム別限界値DB'!$F:$F = X26) * 
        ('アイテム別限界値DB'!$H:$H = Y26), 
        0
      )
    ), 
    "再製作"
  )
)
</f>
        <v/>
      </c>
      <c r="AA26" s="218" t="str">
        <f t="array" ref="AA26">IF(
  Y26 = 0, 
  "", 
  IFERROR(
    INDEX(
      'アイテム別限界値DB'!$L:$L, 
      MATCH(
        1, 
        ('アイテム別限界値DB'!$B:$B = X$10) * 
        ('アイテム別限界値DB'!$C:$C = X26) * 
        ('アイテム別限界値DB'!$F:$F = Y26), 
        0
      )
    ), 
    ""
  )
)
</f>
        <v/>
      </c>
      <c r="AB26" s="11"/>
      <c r="AC26" s="186" t="s">
        <v>67</v>
      </c>
      <c r="AD26" s="232"/>
      <c r="AE26" s="231" t="str">
        <f t="array" ref="AE26">IF(
  AD26 = 0, 
  "", 
  IFERROR(
    INDEX(
      'アイテム別限界値DB'!$K:$K, 
      MATCH(
        1, 
        ('アイテム別限界値DB'!$B:$B = AC$10) * 
        ('アイテム別限界値DB'!$F:$F = AC26) * 
        ('アイテム別限界値DB'!$H:$H = AD26), 
        0
      )
    ), 
    "再製作"
  )
)
</f>
        <v/>
      </c>
      <c r="AF26" s="218" t="str">
        <f t="array" ref="AF26">IF(
  AD26 = 0, 
  "", 
  IFERROR(
    INDEX(
      'アイテム別限界値DB'!$L:$L, 
      MATCH(
        1, 
        ('アイテム別限界値DB'!$B:$B = AC$10) * 
        ('アイテム別限界値DB'!$C:$C = AC26) * 
        ('アイテム別限界値DB'!$F:$F = AD26), 
        0
      )
    ), 
    ""
  )
)
</f>
        <v/>
      </c>
      <c r="AG26" s="11"/>
      <c r="AH26" s="12"/>
      <c r="AI26" s="220"/>
      <c r="AJ26" s="220" t="str">
        <f t="array" ref="AJ26">IF(
  AI26 = 0, 
  "", 
  IFERROR(
    INDEX(
      'アイテム別限界値DB'!$I:$I, 
      MATCH(
        1, 
        ('アイテム別限界値DB'!$B:$B = AH$10) * 
        ('アイテム別限界値DB'!$C:$C = AH26) * 
        ('アイテム別限界値DB'!$F:$F = AI26), 
        0
      )
    ), 
    "再製作"
  )
)
</f>
        <v/>
      </c>
      <c r="AK26" s="195"/>
      <c r="AL26" s="11"/>
      <c r="AM26" s="12"/>
      <c r="AN26" s="220"/>
      <c r="AO26" s="220" t="str">
        <f t="array" ref="AO26">IF(
  AN26 = 0, 
  "", 
  IFERROR(
    INDEX(
      'アイテム別限界値DB'!$I:$I, 
      MATCH(
        1, 
        ('アイテム別限界値DB'!$B:$B = AM$10) * 
        ('アイテム別限界値DB'!$C:$C = AM26) * 
        ('アイテム別限界値DB'!$F:$F = AN26), 
        0
      )
    ), 
    "再製作"
  )
)
</f>
        <v/>
      </c>
      <c r="AP26" s="195"/>
      <c r="AQ26" s="11"/>
      <c r="AR26" s="12"/>
      <c r="AS26" s="220"/>
      <c r="AT26" s="220" t="str">
        <f t="array" ref="AT26">IF(
  AS26 = 0, 
  "", 
  IFERROR(
    INDEX(
      'アイテム別限界値DB'!$I:$I, 
      MATCH(
        1, 
        ('アイテム別限界値DB'!$B:$B = AR$10) * 
        ('アイテム別限界値DB'!$C:$C = AR26) * 
        ('アイテム別限界値DB'!$F:$F = AS26), 
        0
      )
    ), 
    "再製作"
  )
)
</f>
        <v/>
      </c>
      <c r="AU26" s="195"/>
      <c r="AV26" s="195"/>
      <c r="AW26" s="12"/>
      <c r="AX26" s="220"/>
      <c r="AY26" s="220" t="str">
        <f t="array" ref="AY26">IF(
  AX26 = 0, 
  "", 
  IFERROR(
    INDEX(
      'アイテム別限界値DB'!$I:$I, 
      MATCH(
        1, 
        ('アイテム別限界値DB'!$B:$B = AW$10) * 
        ('アイテム別限界値DB'!$C:$C = AW26) * 
        ('アイテム別限界値DB'!$F:$F = AX26), 
        0
      )
    ), 
    "再製作"
  )
)
</f>
        <v/>
      </c>
      <c r="AZ26" s="195"/>
      <c r="BA26" s="195"/>
      <c r="BB26" s="12"/>
      <c r="BC26" s="220"/>
      <c r="BD26" s="220" t="str">
        <f t="array" ref="BD26">IF(
  BC26 = 0, 
  "", 
  IFERROR(
    INDEX(
      'アイテム別限界値DB'!$I:$I, 
      MATCH(
        1, 
        ('アイテム別限界値DB'!$B:$B = BB$10) * 
        ('アイテム別限界値DB'!$C:$C = BB26) * 
        ('アイテム別限界値DB'!$F:$F = BC26), 
        0
      )
    ), 
    "再製作"
  )
)
</f>
        <v/>
      </c>
      <c r="BE26" s="195"/>
      <c r="BF26" s="195"/>
      <c r="BG26" s="12"/>
      <c r="BH26" s="220"/>
      <c r="BI26" s="220" t="str">
        <f t="array" ref="BI26">IF(
  BH26 = 0, 
  "", 
  IFERROR(
    INDEX(
      'アイテム別限界値DB'!$I:$I, 
      MATCH(
        1, 
        ('アイテム別限界値DB'!$B:$B = BG$10) * 
        ('アイテム別限界値DB'!$C:$C = BG26) * 
        ('アイテム別限界値DB'!$F:$F = BH26), 
        0
      )
    ), 
    "再製作"
  )
)
</f>
        <v/>
      </c>
      <c r="BJ26" s="195"/>
      <c r="BK26" s="195"/>
      <c r="BL26" s="195"/>
      <c r="BM26" s="220"/>
      <c r="BN26" s="220" t="str">
        <f t="array" ref="BN26">IF(
  BM26 = 0, 
  "", 
  IFERROR(
    INDEX(
      'アイテム別限界値DB'!$I:$I, 
      MATCH(
        1, 
        ('アイテム別限界値DB'!$B:$B = BL$10) * 
        ('アイテム別限界値DB'!$C:$C = BL26) * 
        ('アイテム別限界値DB'!$F:$F = BM26), 
        0
      )
    ), 
    "再製作"
  )
)
</f>
        <v/>
      </c>
      <c r="BO26" s="195"/>
      <c r="BP26" s="195"/>
    </row>
    <row r="27" ht="18.75" customHeight="1">
      <c r="A27" s="228"/>
      <c r="B27" s="229"/>
      <c r="C27" s="224"/>
      <c r="D27" s="239" t="s">
        <v>67</v>
      </c>
      <c r="E27" s="230"/>
      <c r="F27" s="231" t="str">
        <f t="array" ref="F27">IF(
  E27 = 0, 
  "", 
  IFERROR(
    INDEX(
      'アイテム別限界値DB'!$K:$K, 
      MATCH(
        1, 
        ('アイテム別限界値DB'!$B:$B = D$10) * 
        ('アイテム別限界値DB'!$F:$F = D27) * 
        ('アイテム別限界値DB'!$H:$H = E27), 
        0
      )
    ), 
    "再製作"
  )
)
</f>
        <v/>
      </c>
      <c r="G27" s="218" t="str">
        <f t="array" ref="G27">IF(
  E27 = 0, 
  "", 
  IFERROR(
    INDEX(
      'アイテム別限界値DB'!$L:$L, 
      MATCH(
        1, 
        ('アイテム別限界値DB'!$B:$B = D$10) * 
        ('アイテム別限界値DB'!$C:$C = D27) * 
        ('アイテム別限界値DB'!$F:$F = E27), 
        0
      )
    ), 
    ""
  )
)
</f>
        <v/>
      </c>
      <c r="H27" s="12"/>
      <c r="I27" s="11" t="s">
        <v>103</v>
      </c>
      <c r="J27" s="230"/>
      <c r="K27" s="231" t="str">
        <f t="array" ref="K27">IF(
  J27 = 0, 
  "", 
  IFERROR(
    INDEX(
      'アイテム別限界値DB'!$K:$K, 
      MATCH(
        1, 
        ('アイテム別限界値DB'!$B:$B = I$10) * 
        ('アイテム別限界値DB'!$F:$F = I27) * 
        ('アイテム別限界値DB'!$H:$H = J27), 
        0
      )
    ), 
    "再製作"
  )
)
</f>
        <v/>
      </c>
      <c r="L27" s="11"/>
      <c r="M27" s="11"/>
      <c r="N27" s="11"/>
      <c r="O27" s="220"/>
      <c r="P27" s="184"/>
      <c r="Q27" s="11"/>
      <c r="R27" s="11"/>
      <c r="S27" s="12" t="s">
        <v>99</v>
      </c>
      <c r="T27" s="232"/>
      <c r="U27" s="231" t="str">
        <f t="array" ref="U27">IF(
  T27 = 0, 
  "", 
  IFERROR(
    INDEX(
      'アイテム別限界値DB'!$K:$K, 
      MATCH(
        1, 
        ('アイテム別限界値DB'!$B:$B = S$10) * 
        ('アイテム別限界値DB'!$F:$F = S27) * 
        ('アイテム別限界値DB'!$H:$H = T27), 
        0
      )
    ), 
    "再製作"
  )
)
</f>
        <v/>
      </c>
      <c r="V27" s="12"/>
      <c r="W27" s="11"/>
      <c r="X27" s="240" t="s">
        <v>74</v>
      </c>
      <c r="Y27" s="232"/>
      <c r="Z27" s="231" t="str">
        <f t="array" ref="Z27">IF(
  Y27 = 0, 
  "", 
  IFERROR(
    INDEX(
      'アイテム別限界値DB'!$K:$K, 
      MATCH(
        1, 
        ('アイテム別限界値DB'!$B:$B = X$10) * 
        ('アイテム別限界値DB'!$F:$F = X27) * 
        ('アイテム別限界値DB'!$H:$H = Y27), 
        0
      )
    ), 
    "再製作"
  )
)
</f>
        <v/>
      </c>
      <c r="AA27" s="218" t="str">
        <f t="array" ref="AA27">IF(
  Y27 = 0, 
  "", 
  IFERROR(
    INDEX(
      'アイテム別限界値DB'!$L:$L, 
      MATCH(
        1, 
        ('アイテム別限界値DB'!$B:$B = X$10) * 
        ('アイテム別限界値DB'!$C:$C = X27) * 
        ('アイテム別限界値DB'!$F:$F = Y27), 
        0
      )
    ), 
    ""
  )
)
</f>
        <v/>
      </c>
      <c r="AB27" s="11"/>
      <c r="AC27" s="240" t="s">
        <v>79</v>
      </c>
      <c r="AD27" s="232"/>
      <c r="AE27" s="231" t="str">
        <f t="array" ref="AE27">IF(
  AD27 = 0, 
  "", 
  IFERROR(
    INDEX(
      'アイテム別限界値DB'!$K:$K, 
      MATCH(
        1, 
        ('アイテム別限界値DB'!$B:$B = AC$10) * 
        ('アイテム別限界値DB'!$F:$F = AC27) * 
        ('アイテム別限界値DB'!$H:$H = AD27), 
        0
      )
    ), 
    "再製作"
  )
)
</f>
        <v/>
      </c>
      <c r="AF27" s="218" t="str">
        <f t="array" ref="AF27">IF(
  AD27 = 0, 
  "", 
  IFERROR(
    INDEX(
      'アイテム別限界値DB'!$L:$L, 
      MATCH(
        1, 
        ('アイテム別限界値DB'!$B:$B = AC$10) * 
        ('アイテム別限界値DB'!$C:$C = AC27) * 
        ('アイテム別限界値DB'!$F:$F = AD27), 
        0
      )
    ), 
    ""
  )
)
</f>
        <v/>
      </c>
      <c r="AG27" s="11"/>
      <c r="AH27" s="11"/>
      <c r="AI27" s="220"/>
      <c r="AJ27" s="184"/>
      <c r="AK27" s="11"/>
      <c r="AL27" s="11"/>
      <c r="AM27" s="11"/>
      <c r="AN27" s="220"/>
      <c r="AO27" s="184"/>
      <c r="AP27" s="11"/>
      <c r="AQ27" s="11"/>
      <c r="AR27" s="11"/>
      <c r="AS27" s="220"/>
      <c r="AT27" s="184"/>
      <c r="AU27" s="11"/>
      <c r="AV27" s="11"/>
      <c r="AW27" s="11"/>
      <c r="AX27" s="220"/>
      <c r="AY27" s="184"/>
      <c r="AZ27" s="11"/>
      <c r="BA27" s="11"/>
      <c r="BB27" s="11"/>
      <c r="BC27" s="220"/>
      <c r="BD27" s="184"/>
      <c r="BE27" s="11"/>
      <c r="BF27" s="11"/>
      <c r="BG27" s="11"/>
      <c r="BH27" s="220"/>
      <c r="BI27" s="184"/>
      <c r="BJ27" s="11"/>
      <c r="BK27" s="11"/>
      <c r="BL27" s="11"/>
      <c r="BM27" s="220"/>
      <c r="BN27" s="184"/>
      <c r="BO27" s="11"/>
      <c r="BP27" s="11"/>
    </row>
    <row r="28" ht="15.75" customHeight="1">
      <c r="A28" s="237" t="s">
        <v>104</v>
      </c>
      <c r="B28" s="11"/>
      <c r="C28" s="11"/>
      <c r="D28" s="11" t="s">
        <v>79</v>
      </c>
      <c r="E28" s="230"/>
      <c r="F28" s="231" t="str">
        <f t="array" ref="F28">IF(
  E28 = 0, 
  "", 
  IFERROR(
    INDEX(
      'アイテム別限界値DB'!$K:$K, 
      MATCH(
        1, 
        ('アイテム別限界値DB'!$B:$B = D$10) * 
        ('アイテム別限界値DB'!$F:$F = D28) * 
        ('アイテム別限界値DB'!$H:$H = E28), 
        0
      )
    ), 
    "再製作"
  )
)
</f>
        <v/>
      </c>
      <c r="G28" s="218" t="str">
        <f t="array" ref="G28">IF(
  E28 = 0, 
  "", 
  IFERROR(
    INDEX(
      'アイテム別限界値DB'!$L:$L, 
      MATCH(
        1, 
        ('アイテム別限界値DB'!$B:$B = D$10) * 
        ('アイテム別限界値DB'!$C:$C = D28) * 
        ('アイテム別限界値DB'!$F:$F = E28), 
        0
      )
    ), 
    ""
  )
)
</f>
        <v/>
      </c>
      <c r="H28" s="11"/>
      <c r="I28" s="11"/>
      <c r="J28" s="220"/>
      <c r="K28" s="184"/>
      <c r="L28" s="11"/>
      <c r="M28" s="11"/>
      <c r="N28" s="11"/>
      <c r="O28" s="220"/>
      <c r="P28" s="184"/>
      <c r="Q28" s="11"/>
      <c r="R28" s="12"/>
      <c r="S28" s="11" t="s">
        <v>103</v>
      </c>
      <c r="T28" s="232"/>
      <c r="U28" s="231" t="str">
        <f t="array" ref="U28">IF(
  T28 = 0, 
  "", 
  IFERROR(
    INDEX(
      'アイテム別限界値DB'!$K:$K, 
      MATCH(
        1, 
        ('アイテム別限界値DB'!$B:$B = S$10) * 
        ('アイテム別限界値DB'!$F:$F = S28) * 
        ('アイテム別限界値DB'!$H:$H = T28), 
        0
      )
    ), 
    "再製作"
  )
)
</f>
        <v/>
      </c>
      <c r="V28" s="11"/>
      <c r="W28" s="11"/>
      <c r="X28" s="11" t="s">
        <v>67</v>
      </c>
      <c r="Y28" s="241"/>
      <c r="Z28" s="231" t="str">
        <f t="array" ref="Z28">IF(
  Y28 = 0, 
  "", 
  IFERROR(
    INDEX(
      'アイテム別限界値DB'!$K:$K, 
      MATCH(
        1, 
        ('アイテム別限界値DB'!$B:$B = X$10) * 
        ('アイテム別限界値DB'!$F:$F = X28) * 
        ('アイテム別限界値DB'!$H:$H = Y28), 
        0
      )
    ), 
    "再製作"
  )
)
</f>
        <v/>
      </c>
      <c r="AA28" s="218" t="str">
        <f t="array" ref="AA28">IF(
  Y28 = 0, 
  "", 
  IFERROR(
    INDEX(
      'アイテム別限界値DB'!$L:$L, 
      MATCH(
        1, 
        ('アイテム別限界値DB'!$B:$B = X$10) * 
        ('アイテム別限界値DB'!$C:$C = X28) * 
        ('アイテム別限界値DB'!$F:$F = Y28), 
        0
      )
    ), 
    ""
  )
)
</f>
        <v/>
      </c>
      <c r="AB28" s="11"/>
      <c r="AC28" s="11" t="s">
        <v>83</v>
      </c>
      <c r="AD28" s="232"/>
      <c r="AE28" s="231" t="str">
        <f t="array" ref="AE28">IF(
  AD28 = 0, 
  "", 
  IFERROR(
    INDEX(
      'アイテム別限界値DB'!$K:$K, 
      MATCH(
        1, 
        ('アイテム別限界値DB'!$B:$B = AC$10) * 
        ('アイテム別限界値DB'!$F:$F = AC28) * 
        ('アイテム別限界値DB'!$H:$H = AD28), 
        0
      )
    ), 
    "再製作"
  )
)
</f>
        <v/>
      </c>
      <c r="AF28" s="218" t="str">
        <f t="array" ref="AF28">IF(
  AD28 = 0, 
  "", 
  IFERROR(
    INDEX(
      'アイテム別限界値DB'!$L:$L, 
      MATCH(
        1, 
        ('アイテム別限界値DB'!$B:$B = AC$10) * 
        ('アイテム別限界値DB'!$C:$C = AC28) * 
        ('アイテム別限界値DB'!$F:$F = AD28), 
        0
      )
    ), 
    ""
  )
)
</f>
        <v/>
      </c>
      <c r="AG28" s="11"/>
      <c r="AH28" s="11"/>
      <c r="AI28" s="220"/>
      <c r="AJ28" s="184"/>
      <c r="AK28" s="11"/>
      <c r="AL28" s="11"/>
      <c r="AM28" s="11"/>
      <c r="AN28" s="220"/>
      <c r="AO28" s="184"/>
      <c r="AP28" s="11"/>
      <c r="AQ28" s="11"/>
      <c r="AR28" s="11"/>
      <c r="AS28" s="220"/>
      <c r="AT28" s="184"/>
      <c r="AU28" s="11"/>
      <c r="AV28" s="11"/>
      <c r="AW28" s="11"/>
      <c r="AX28" s="220"/>
      <c r="AY28" s="184"/>
      <c r="AZ28" s="11"/>
      <c r="BA28" s="11"/>
      <c r="BB28" s="11"/>
      <c r="BC28" s="220"/>
      <c r="BD28" s="184"/>
      <c r="BE28" s="11"/>
      <c r="BF28" s="11"/>
      <c r="BG28" s="11"/>
      <c r="BH28" s="220"/>
      <c r="BI28" s="184"/>
      <c r="BJ28" s="11"/>
      <c r="BK28" s="11"/>
      <c r="BL28" s="11"/>
      <c r="BM28" s="220"/>
      <c r="BN28" s="184"/>
      <c r="BO28" s="11"/>
      <c r="BP28" s="11"/>
    </row>
    <row r="29" ht="15.75" customHeight="1">
      <c r="A29" s="228" t="str">
        <f>IF($S$11="再製作", "◼︎ チノ（対応着地：再製作）" &amp; char(10) &amp; "《修正数値》", IF($S$11&lt;&gt;"", "◼︎ チノ（対応着地：お直し）" &amp; char(10) &amp; "《修正数値》", ""))</f>
        <v/>
      </c>
      <c r="B29" s="160"/>
      <c r="C29" s="11"/>
      <c r="D29" s="11" t="s">
        <v>83</v>
      </c>
      <c r="E29" s="232"/>
      <c r="F29" s="231" t="str">
        <f t="array" ref="F29">IF(
  E29 = 0, 
  "", 
  IFERROR(
    INDEX(
      'アイテム別限界値DB'!$K:$K, 
      MATCH(
        1, 
        ('アイテム別限界値DB'!$B:$B = D$10) * 
        ('アイテム別限界値DB'!$F:$F = D29) * 
        ('アイテム別限界値DB'!$H:$H = E29), 
        0
      )
    ), 
    "再製作"
  )
)
</f>
        <v/>
      </c>
      <c r="G29" s="218" t="str">
        <f t="array" ref="G29">IF(
  E29 = 0, 
  "", 
  IFERROR(
    INDEX(
      'アイテム別限界値DB'!$L:$L, 
      MATCH(
        1, 
        ('アイテム別限界値DB'!$B:$B = D$10) * 
        ('アイテム別限界値DB'!$C:$C = D29) * 
        ('アイテム別限界値DB'!$F:$F = E29), 
        0
      )
    ), 
    ""
  )
)
</f>
        <v/>
      </c>
      <c r="H29" s="11"/>
      <c r="I29" s="11"/>
      <c r="J29" s="220"/>
      <c r="K29" s="184"/>
      <c r="L29" s="11"/>
      <c r="M29" s="11"/>
      <c r="N29" s="11"/>
      <c r="O29" s="220"/>
      <c r="P29" s="184"/>
      <c r="Q29" s="11"/>
      <c r="R29" s="12"/>
      <c r="S29" s="11"/>
      <c r="T29" s="220"/>
      <c r="U29" s="184"/>
      <c r="V29" s="11"/>
      <c r="W29" s="11"/>
      <c r="X29" s="11" t="s">
        <v>79</v>
      </c>
      <c r="Y29" s="232"/>
      <c r="Z29" s="231" t="str">
        <f t="array" ref="Z29">IF(
  Y29 = 0, 
  "", 
  IFERROR(
    INDEX(
      'アイテム別限界値DB'!$K:$K, 
      MATCH(
        1, 
        ('アイテム別限界値DB'!$B:$B = X$10) * 
        ('アイテム別限界値DB'!$F:$F = X29) * 
        ('アイテム別限界値DB'!$H:$H = Y29), 
        0
      )
    ), 
    "再製作"
  )
)
</f>
        <v/>
      </c>
      <c r="AA29" s="11"/>
      <c r="AB29" s="11"/>
      <c r="AC29" s="11" t="s">
        <v>105</v>
      </c>
      <c r="AD29" s="232"/>
      <c r="AE29" s="231" t="str">
        <f t="array" ref="AE29">IF(
  AD29 = 0, 
  "", 
  IFERROR(
    INDEX(
      'アイテム別限界値DB'!$K:$K, 
      MATCH(
        1, 
        ('アイテム別限界値DB'!$B:$B = AC$10) * 
        ('アイテム別限界値DB'!$F:$F = AC29) * 
        ('アイテム別限界値DB'!$H:$H = AD29), 
        0
      )
    ), 
    "再製作"
  )
)
</f>
        <v/>
      </c>
      <c r="AF29" s="11"/>
      <c r="AG29" s="11"/>
      <c r="AH29" s="11"/>
      <c r="AI29" s="220"/>
      <c r="AJ29" s="184"/>
      <c r="AK29" s="11"/>
      <c r="AL29" s="11"/>
      <c r="AM29" s="11"/>
      <c r="AN29" s="220"/>
      <c r="AO29" s="184"/>
      <c r="AP29" s="11"/>
      <c r="AQ29" s="11"/>
      <c r="AR29" s="11"/>
      <c r="AS29" s="220"/>
      <c r="AT29" s="184"/>
      <c r="AU29" s="11"/>
      <c r="AV29" s="11"/>
      <c r="AW29" s="11"/>
      <c r="AX29" s="220"/>
      <c r="AY29" s="184"/>
      <c r="AZ29" s="11"/>
      <c r="BA29" s="11"/>
      <c r="BB29" s="11"/>
      <c r="BC29" s="220"/>
      <c r="BD29" s="184"/>
      <c r="BE29" s="11"/>
      <c r="BF29" s="11"/>
      <c r="BG29" s="11"/>
      <c r="BH29" s="220"/>
      <c r="BI29" s="184"/>
      <c r="BJ29" s="11"/>
      <c r="BK29" s="11"/>
      <c r="BL29" s="11"/>
      <c r="BM29" s="220"/>
      <c r="BN29" s="184"/>
      <c r="BO29" s="11"/>
      <c r="BP29" s="11"/>
    </row>
    <row r="30" ht="15.75" customHeight="1">
      <c r="A30" s="228" t="str">
        <f>IFERROR(__xludf.DUMMYFUNCTION("TEXTJOIN(CHAR(10),TRUE,FILTER(ARRAYFORMULA(IF(T$14:T72&lt;&gt;"""", S$14:S72 &amp;"" : ""&amp; T$14:T72 &amp;"" cm"","""")), S$14:S72 &lt;&gt;""""))"),"")</f>
        <v/>
      </c>
      <c r="B30" s="229"/>
      <c r="C30" s="11"/>
      <c r="D30" s="11" t="s">
        <v>106</v>
      </c>
      <c r="E30" s="232"/>
      <c r="F30" s="231" t="str">
        <f t="array" ref="F30">IF(
  E30 = 0, 
  "", 
  IFERROR(
    INDEX(
      'アイテム別限界値DB'!$K:$K, 
      MATCH(
        1, 
        ('アイテム別限界値DB'!$B:$B = D$10) * 
        ('アイテム別限界値DB'!$F:$F = D30) * 
        ('アイテム別限界値DB'!$H:$H = E30), 
        0
      )
    ), 
    "再製作"
  )
)
</f>
        <v/>
      </c>
      <c r="G30" s="218" t="str">
        <f t="array" ref="G30">IF(
  E30 = 0, 
  "", 
  IFERROR(
    INDEX(
      'アイテム別限界値DB'!$L:$L, 
      MATCH(
        1, 
        ('アイテム別限界値DB'!$B:$B = D$10) * 
        ('アイテム別限界値DB'!$C:$C = D30) * 
        ('アイテム別限界値DB'!$F:$F = E30), 
        0
      )
    ), 
    ""
  )
)
</f>
        <v/>
      </c>
      <c r="H30" s="11"/>
      <c r="I30" s="11"/>
      <c r="J30" s="220"/>
      <c r="K30" s="184"/>
      <c r="L30" s="11"/>
      <c r="M30" s="11"/>
      <c r="N30" s="11"/>
      <c r="O30" s="220"/>
      <c r="P30" s="184"/>
      <c r="Q30" s="11"/>
      <c r="R30" s="12"/>
      <c r="S30" s="11"/>
      <c r="T30" s="220"/>
      <c r="U30" s="184"/>
      <c r="V30" s="11"/>
      <c r="W30" s="11"/>
      <c r="X30" s="11" t="s">
        <v>83</v>
      </c>
      <c r="Y30" s="232"/>
      <c r="Z30" s="231" t="str">
        <f t="array" ref="Z30">IF(
  Y30 = 0, 
  "", 
  IFERROR(
    INDEX(
      'アイテム別限界値DB'!$K:$K, 
      MATCH(
        1, 
        ('アイテム別限界値DB'!$B:$B = X$10) * 
        ('アイテム別限界値DB'!$F:$F = X30) * 
        ('アイテム別限界値DB'!$H:$H = Y30), 
        0
      )
    ), 
    "再製作"
  )
)
</f>
        <v/>
      </c>
      <c r="AA30" s="11"/>
      <c r="AB30" s="11"/>
      <c r="AC30" s="11"/>
      <c r="AD30" s="220"/>
      <c r="AE30" s="184"/>
      <c r="AF30" s="11"/>
      <c r="AG30" s="11"/>
      <c r="AH30" s="11"/>
      <c r="AI30" s="220"/>
      <c r="AJ30" s="184"/>
      <c r="AK30" s="11"/>
      <c r="AL30" s="11"/>
      <c r="AM30" s="11"/>
      <c r="AN30" s="220"/>
      <c r="AO30" s="184"/>
      <c r="AP30" s="11"/>
      <c r="AQ30" s="11"/>
      <c r="AR30" s="11"/>
      <c r="AS30" s="220"/>
      <c r="AT30" s="184"/>
      <c r="AU30" s="11"/>
      <c r="AV30" s="11"/>
      <c r="AW30" s="11"/>
      <c r="AX30" s="220"/>
      <c r="AY30" s="184"/>
      <c r="AZ30" s="11"/>
      <c r="BA30" s="11"/>
      <c r="BB30" s="11"/>
      <c r="BC30" s="220"/>
      <c r="BD30" s="184"/>
      <c r="BE30" s="11"/>
      <c r="BF30" s="11"/>
      <c r="BG30" s="11"/>
      <c r="BH30" s="220"/>
      <c r="BI30" s="184"/>
      <c r="BJ30" s="11"/>
      <c r="BK30" s="11"/>
      <c r="BL30" s="11"/>
      <c r="BM30" s="220"/>
      <c r="BN30" s="184"/>
      <c r="BO30" s="11"/>
      <c r="BP30" s="11"/>
    </row>
    <row r="31" ht="15.75" customHeight="1">
      <c r="A31" s="242"/>
      <c r="B31" s="12"/>
      <c r="C31" s="11"/>
      <c r="D31" s="11" t="s">
        <v>107</v>
      </c>
      <c r="E31" s="232"/>
      <c r="F31" s="231" t="str">
        <f t="array" ref="F31">IF(
  E31 = 0, 
  "", 
  IFERROR(
    INDEX(
      'アイテム別限界値DB'!$K:$K, 
      MATCH(
        1, 
        ('アイテム別限界値DB'!$B:$B = D$10) * 
        ('アイテム別限界値DB'!$F:$F = D31) * 
        ('アイテム別限界値DB'!$H:$H = E31), 
        0
      )
    ), 
    "再製作"
  )
)
</f>
        <v/>
      </c>
      <c r="G31" s="218" t="str">
        <f t="array" ref="G31">IF(
  E31 = 0, 
  "", 
  IFERROR(
    INDEX(
      'アイテム別限界値DB'!$L:$L, 
      MATCH(
        1, 
        ('アイテム別限界値DB'!$B:$B = D$10) * 
        ('アイテム別限界値DB'!$C:$C = D31) * 
        ('アイテム別限界値DB'!$F:$F = E31), 
        0
      )
    ), 
    ""
  )
)
</f>
        <v/>
      </c>
      <c r="H31" s="11"/>
      <c r="I31" s="11"/>
      <c r="J31" s="220"/>
      <c r="K31" s="184"/>
      <c r="L31" s="11"/>
      <c r="M31" s="11"/>
      <c r="N31" s="11"/>
      <c r="O31" s="220"/>
      <c r="P31" s="184"/>
      <c r="Q31" s="11"/>
      <c r="R31" s="12"/>
      <c r="S31" s="11"/>
      <c r="T31" s="220"/>
      <c r="U31" s="184"/>
      <c r="V31" s="11"/>
      <c r="W31" s="11"/>
      <c r="X31" s="11" t="s">
        <v>105</v>
      </c>
      <c r="Y31" s="232"/>
      <c r="Z31" s="231" t="str">
        <f t="array" ref="Z31">IF(
  Y31 = 0, 
  "", 
  IFERROR(
    INDEX(
      'アイテム別限界値DB'!$K:$K, 
      MATCH(
        1, 
        ('アイテム別限界値DB'!$B:$B = X$10) * 
        ('アイテム別限界値DB'!$F:$F = X31) * 
        ('アイテム別限界値DB'!$H:$H = Y31), 
        0
      )
    ), 
    "再製作"
  )
)
</f>
        <v/>
      </c>
      <c r="AA31" s="11"/>
      <c r="AB31" s="11"/>
      <c r="AC31" s="11"/>
      <c r="AD31" s="220"/>
      <c r="AE31" s="184"/>
      <c r="AF31" s="11"/>
      <c r="AG31" s="11"/>
      <c r="AH31" s="11"/>
      <c r="AI31" s="220"/>
      <c r="AJ31" s="184"/>
      <c r="AK31" s="11"/>
      <c r="AL31" s="11"/>
      <c r="AM31" s="11"/>
      <c r="AN31" s="220"/>
      <c r="AO31" s="184"/>
      <c r="AP31" s="11"/>
      <c r="AQ31" s="11"/>
      <c r="AR31" s="11"/>
      <c r="AS31" s="220"/>
      <c r="AT31" s="184"/>
      <c r="AU31" s="11"/>
      <c r="AV31" s="11"/>
      <c r="AW31" s="11"/>
      <c r="AX31" s="220"/>
      <c r="AY31" s="184"/>
      <c r="AZ31" s="11"/>
      <c r="BA31" s="11"/>
      <c r="BB31" s="11"/>
      <c r="BC31" s="220"/>
      <c r="BD31" s="184"/>
      <c r="BE31" s="11"/>
      <c r="BF31" s="11"/>
      <c r="BG31" s="11"/>
      <c r="BH31" s="220"/>
      <c r="BI31" s="184"/>
      <c r="BJ31" s="11"/>
      <c r="BK31" s="11"/>
      <c r="BL31" s="11"/>
      <c r="BM31" s="220"/>
      <c r="BN31" s="184"/>
      <c r="BO31" s="11"/>
      <c r="BP31" s="11"/>
    </row>
    <row r="32" ht="15.75" customHeight="1">
      <c r="A32" s="228"/>
      <c r="B32" s="160"/>
      <c r="C32" s="11"/>
      <c r="D32" s="11" t="s">
        <v>108</v>
      </c>
      <c r="E32" s="232"/>
      <c r="F32" s="231" t="str">
        <f t="array" ref="F32">IF(
  E32 = 0, 
  "", 
  IFERROR(
    INDEX(
      'アイテム別限界値DB'!$K:$K, 
      MATCH(
        1, 
        ('アイテム別限界値DB'!$B:$B = D$10) * 
        ('アイテム別限界値DB'!$F:$F = D32) * 
        ('アイテム別限界値DB'!$H:$H = E32), 
        0
      )
    ), 
    "再製作"
  )
)
</f>
        <v/>
      </c>
      <c r="G32" s="218" t="str">
        <f t="array" ref="G32">IF(
  E32 = 0, 
  "", 
  IFERROR(
    INDEX(
      'アイテム別限界値DB'!$L:$L, 
      MATCH(
        1, 
        ('アイテム別限界値DB'!$B:$B = D$10) * 
        ('アイテム別限界値DB'!$C:$C = D32) * 
        ('アイテム別限界値DB'!$F:$F = E32), 
        0
      )
    ), 
    ""
  )
)
</f>
        <v/>
      </c>
      <c r="H32" s="11"/>
      <c r="I32" s="11"/>
      <c r="J32" s="220"/>
      <c r="K32" s="184"/>
      <c r="L32" s="11"/>
      <c r="M32" s="11"/>
      <c r="N32" s="11"/>
      <c r="O32" s="220"/>
      <c r="P32" s="184"/>
      <c r="Q32" s="11"/>
      <c r="R32" s="12"/>
      <c r="S32" s="11"/>
      <c r="T32" s="220"/>
      <c r="U32" s="184"/>
      <c r="V32" s="11"/>
      <c r="W32" s="11"/>
      <c r="X32" s="11"/>
      <c r="Y32" s="220"/>
      <c r="Z32" s="184"/>
      <c r="AA32" s="11"/>
      <c r="AB32" s="11"/>
      <c r="AC32" s="11"/>
      <c r="AD32" s="220"/>
      <c r="AE32" s="184"/>
      <c r="AF32" s="11"/>
      <c r="AG32" s="11"/>
      <c r="AH32" s="11"/>
      <c r="AI32" s="220"/>
      <c r="AJ32" s="184"/>
      <c r="AK32" s="11"/>
      <c r="AL32" s="11"/>
      <c r="AM32" s="11"/>
      <c r="AN32" s="220"/>
      <c r="AO32" s="184"/>
      <c r="AP32" s="11"/>
      <c r="AQ32" s="11"/>
      <c r="AR32" s="11"/>
      <c r="AS32" s="220"/>
      <c r="AT32" s="184"/>
      <c r="AU32" s="11"/>
      <c r="AV32" s="11"/>
      <c r="AW32" s="11"/>
      <c r="AX32" s="220"/>
      <c r="AY32" s="184"/>
      <c r="AZ32" s="11"/>
      <c r="BA32" s="11"/>
      <c r="BB32" s="11"/>
      <c r="BC32" s="220"/>
      <c r="BD32" s="184"/>
      <c r="BE32" s="11"/>
      <c r="BF32" s="11"/>
      <c r="BG32" s="11"/>
      <c r="BH32" s="220"/>
      <c r="BI32" s="184"/>
      <c r="BJ32" s="11"/>
      <c r="BK32" s="11"/>
      <c r="BL32" s="11"/>
      <c r="BM32" s="220"/>
      <c r="BN32" s="184"/>
      <c r="BO32" s="11"/>
      <c r="BP32" s="11"/>
    </row>
    <row r="33" ht="15.75" customHeight="1">
      <c r="A33" s="237" t="s">
        <v>109</v>
      </c>
      <c r="B33" s="229"/>
      <c r="C33" s="11"/>
      <c r="D33" s="11" t="s">
        <v>110</v>
      </c>
      <c r="E33" s="230"/>
      <c r="F33" s="231" t="str">
        <f t="array" ref="F33">IF(
  E33 = 0, 
  "", 
  IFERROR(
    INDEX(
      'アイテム別限界値DB'!$K:$K, 
      MATCH(
        1, 
        ('アイテム別限界値DB'!$B:$B = D$10) * 
        ('アイテム別限界値DB'!$F:$F = D33) * 
        ('アイテム別限界値DB'!$H:$H = E33), 
        0
      )
    ), 
    "再製作"
  )
)
</f>
        <v/>
      </c>
      <c r="G33" s="218" t="str">
        <f t="array" ref="G33">IF(
  E33 = 0, 
  "", 
  IFERROR(
    INDEX(
      'アイテム別限界値DB'!$L:$L, 
      MATCH(
        1, 
        ('アイテム別限界値DB'!$B:$B = D$10) * 
        ('アイテム別限界値DB'!$C:$C = D33) * 
        ('アイテム別限界値DB'!$F:$F = E33), 
        0
      )
    ), 
    ""
  )
)
</f>
        <v/>
      </c>
      <c r="H33" s="11"/>
      <c r="I33" s="11"/>
      <c r="J33" s="220"/>
      <c r="K33" s="184"/>
      <c r="L33" s="11"/>
      <c r="M33" s="11"/>
      <c r="N33" s="11"/>
      <c r="O33" s="220"/>
      <c r="P33" s="184"/>
      <c r="Q33" s="11"/>
      <c r="R33" s="12"/>
      <c r="S33" s="11"/>
      <c r="T33" s="220"/>
      <c r="U33" s="184"/>
      <c r="V33" s="11"/>
      <c r="W33" s="11"/>
      <c r="X33" s="11"/>
      <c r="Y33" s="220"/>
      <c r="Z33" s="184"/>
      <c r="AA33" s="11"/>
      <c r="AB33" s="11"/>
      <c r="AC33" s="11"/>
      <c r="AD33" s="220"/>
      <c r="AE33" s="184"/>
      <c r="AF33" s="11"/>
      <c r="AG33" s="11"/>
      <c r="AH33" s="11"/>
      <c r="AI33" s="220"/>
      <c r="AJ33" s="184"/>
      <c r="AK33" s="11"/>
      <c r="AL33" s="11"/>
      <c r="AM33" s="11"/>
      <c r="AN33" s="220"/>
      <c r="AO33" s="184"/>
      <c r="AP33" s="11"/>
      <c r="AQ33" s="11"/>
      <c r="AR33" s="11"/>
      <c r="AS33" s="220"/>
      <c r="AT33" s="184"/>
      <c r="AU33" s="11"/>
      <c r="AV33" s="11"/>
      <c r="AW33" s="11"/>
      <c r="AX33" s="220"/>
      <c r="AY33" s="184"/>
      <c r="AZ33" s="11"/>
      <c r="BA33" s="11"/>
      <c r="BB33" s="11"/>
      <c r="BC33" s="220"/>
      <c r="BD33" s="184"/>
      <c r="BE33" s="11"/>
      <c r="BF33" s="11"/>
      <c r="BG33" s="11"/>
      <c r="BH33" s="220"/>
      <c r="BI33" s="184"/>
      <c r="BJ33" s="11"/>
      <c r="BK33" s="11"/>
      <c r="BL33" s="11"/>
      <c r="BM33" s="220"/>
      <c r="BN33" s="184"/>
      <c r="BO33" s="11"/>
      <c r="BP33" s="11"/>
    </row>
    <row r="34" ht="15.75" customHeight="1">
      <c r="A34" s="228" t="str">
        <f>IF($X$11="再製作", "◼︎ シャツ（対応着地：再製作）" &amp; char(10) &amp; "《修正数値》" , IF($X$11&lt;&gt;"", "◼︎ シャツ（対応着地：お直し）" &amp; char(10) &amp; "《修正数値》", ""))</f>
        <v/>
      </c>
      <c r="B34" s="12"/>
      <c r="C34" s="11"/>
      <c r="D34" s="11" t="s">
        <v>111</v>
      </c>
      <c r="E34" s="232"/>
      <c r="F34" s="231" t="str">
        <f t="array" ref="F34">IF(
  E34 = 0, 
  "", 
  IFERROR(
    INDEX(
      'アイテム別限界値DB'!$K:$K, 
      MATCH(
        1, 
        ('アイテム別限界値DB'!$B:$B = D$10) * 
        ('アイテム別限界値DB'!$F:$F = D34) * 
        ('アイテム別限界値DB'!$H:$H = E34), 
        0
      )
    ), 
    "再製作"
  )
)
</f>
        <v/>
      </c>
      <c r="G34" s="218" t="str">
        <f t="array" ref="G34">IF(
  E34 = 0, 
  "", 
  IFERROR(
    INDEX(
      'アイテム別限界値DB'!$L:$L, 
      MATCH(
        1, 
        ('アイテム別限界値DB'!$B:$B = D$10) * 
        ('アイテム別限界値DB'!$C:$C = D34) * 
        ('アイテム別限界値DB'!$F:$F = E34), 
        0
      )
    ), 
    ""
  )
)
</f>
        <v/>
      </c>
      <c r="H34" s="11"/>
      <c r="I34" s="11"/>
      <c r="J34" s="220"/>
      <c r="K34" s="184"/>
      <c r="L34" s="11"/>
      <c r="M34" s="11"/>
      <c r="N34" s="11"/>
      <c r="O34" s="220"/>
      <c r="P34" s="184"/>
      <c r="Q34" s="11"/>
      <c r="R34" s="12"/>
      <c r="S34" s="11"/>
      <c r="T34" s="220"/>
      <c r="U34" s="184"/>
      <c r="V34" s="11"/>
      <c r="W34" s="11"/>
      <c r="X34" s="11"/>
      <c r="Y34" s="220"/>
      <c r="Z34" s="184"/>
      <c r="AA34" s="11"/>
      <c r="AB34" s="11"/>
      <c r="AC34" s="11"/>
      <c r="AD34" s="220"/>
      <c r="AE34" s="184"/>
      <c r="AF34" s="11"/>
      <c r="AG34" s="11"/>
      <c r="AH34" s="11"/>
      <c r="AI34" s="220"/>
      <c r="AJ34" s="184"/>
      <c r="AK34" s="11"/>
      <c r="AL34" s="11"/>
      <c r="AM34" s="11"/>
      <c r="AN34" s="220"/>
      <c r="AO34" s="184"/>
      <c r="AP34" s="11"/>
      <c r="AQ34" s="11"/>
      <c r="AR34" s="11"/>
      <c r="AS34" s="220"/>
      <c r="AT34" s="184"/>
      <c r="AU34" s="11"/>
      <c r="AV34" s="11"/>
      <c r="AW34" s="11"/>
      <c r="AX34" s="220"/>
      <c r="AY34" s="184"/>
      <c r="AZ34" s="11"/>
      <c r="BA34" s="11"/>
      <c r="BB34" s="11"/>
      <c r="BC34" s="220"/>
      <c r="BD34" s="184"/>
      <c r="BE34" s="11"/>
      <c r="BF34" s="11"/>
      <c r="BG34" s="11"/>
      <c r="BH34" s="220"/>
      <c r="BI34" s="184"/>
      <c r="BJ34" s="11"/>
      <c r="BK34" s="11"/>
      <c r="BL34" s="11"/>
      <c r="BM34" s="220"/>
      <c r="BN34" s="184"/>
      <c r="BO34" s="11"/>
      <c r="BP34" s="11"/>
    </row>
    <row r="35" ht="15.75" customHeight="1">
      <c r="A35" s="228" t="str">
        <f>IFERROR(__xludf.DUMMYFUNCTION("TEXTJOIN(CHAR(10),TRUE,FILTER(ARRAYFORMULA(IF(Y$14:Y72&lt;&gt;"""", X$14:X72 &amp;"" : ""&amp; Y$14:Y72 &amp;"" cm"","""")), X$14:X72 &lt;&gt;""""))"),"")</f>
        <v/>
      </c>
      <c r="B35" s="160"/>
      <c r="C35" s="11"/>
      <c r="D35" s="11" t="s">
        <v>112</v>
      </c>
      <c r="E35" s="232"/>
      <c r="F35" s="231" t="str">
        <f t="array" ref="F35">IF(
  E35 = 0, 
  "", 
  IFERROR(
    INDEX(
      'アイテム別限界値DB'!$K:$K, 
      MATCH(
        1, 
        ('アイテム別限界値DB'!$B:$B = D$10) * 
        ('アイテム別限界値DB'!$F:$F = D35) * 
        ('アイテム別限界値DB'!$H:$H = E35), 
        0
      )
    ), 
    "再製作"
  )
)
</f>
        <v/>
      </c>
      <c r="G35" s="218" t="str">
        <f t="array" ref="G35">IF(
  E35 = 0, 
  "", 
  IFERROR(
    INDEX(
      'アイテム別限界値DB'!$L:$L, 
      MATCH(
        1, 
        ('アイテム別限界値DB'!$B:$B = D$10) * 
        ('アイテム別限界値DB'!$C:$C = D35) * 
        ('アイテム別限界値DB'!$F:$F = E35), 
        0
      )
    ), 
    ""
  )
)
</f>
        <v/>
      </c>
      <c r="H35" s="11"/>
      <c r="I35" s="11"/>
      <c r="J35" s="220"/>
      <c r="K35" s="184"/>
      <c r="L35" s="11"/>
      <c r="M35" s="11"/>
      <c r="N35" s="11"/>
      <c r="O35" s="220"/>
      <c r="P35" s="184"/>
      <c r="Q35" s="11"/>
      <c r="R35" s="12"/>
      <c r="S35" s="11"/>
      <c r="T35" s="220"/>
      <c r="U35" s="184"/>
      <c r="V35" s="11"/>
      <c r="W35" s="11"/>
      <c r="X35" s="11"/>
      <c r="Y35" s="220"/>
      <c r="Z35" s="184"/>
      <c r="AA35" s="11"/>
      <c r="AB35" s="11"/>
      <c r="AC35" s="11"/>
      <c r="AD35" s="220"/>
      <c r="AE35" s="184"/>
      <c r="AF35" s="11"/>
      <c r="AG35" s="11"/>
      <c r="AH35" s="11"/>
      <c r="AI35" s="220"/>
      <c r="AJ35" s="184"/>
      <c r="AK35" s="11"/>
      <c r="AL35" s="11"/>
      <c r="AM35" s="11"/>
      <c r="AN35" s="220"/>
      <c r="AO35" s="184"/>
      <c r="AP35" s="11"/>
      <c r="AQ35" s="11"/>
      <c r="AR35" s="11"/>
      <c r="AS35" s="220"/>
      <c r="AT35" s="184"/>
      <c r="AU35" s="11"/>
      <c r="AV35" s="11"/>
      <c r="AW35" s="11"/>
      <c r="AX35" s="220"/>
      <c r="AY35" s="184"/>
      <c r="AZ35" s="11"/>
      <c r="BA35" s="11"/>
      <c r="BB35" s="11"/>
      <c r="BC35" s="220"/>
      <c r="BD35" s="184"/>
      <c r="BE35" s="11"/>
      <c r="BF35" s="11"/>
      <c r="BG35" s="11"/>
      <c r="BH35" s="220"/>
      <c r="BI35" s="184"/>
      <c r="BJ35" s="11"/>
      <c r="BK35" s="11"/>
      <c r="BL35" s="11"/>
      <c r="BM35" s="220"/>
      <c r="BN35" s="184"/>
      <c r="BO35" s="11"/>
      <c r="BP35" s="11"/>
    </row>
    <row r="36" ht="15.75" customHeight="1">
      <c r="A36" s="236"/>
      <c r="B36" s="229"/>
      <c r="C36" s="11"/>
      <c r="D36" s="11" t="s">
        <v>113</v>
      </c>
      <c r="E36" s="232"/>
      <c r="F36" s="231" t="str">
        <f t="array" ref="F36">IF(
  E36 = 0, 
  "", 
  IFERROR(
    INDEX(
      'アイテム別限界値DB'!$K:$K, 
      MATCH(
        1, 
        ('アイテム別限界値DB'!$B:$B = D$10) * 
        ('アイテム別限界値DB'!$F:$F = D36) * 
        ('アイテム別限界値DB'!$H:$H = E36), 
        0
      )
    ), 
    "再製作"
  )
)
</f>
        <v/>
      </c>
      <c r="G36" s="218" t="str">
        <f t="array" ref="G36">IF(
  E36 = 0, 
  "", 
  IFERROR(
    INDEX(
      'アイテム別限界値DB'!$L:$L, 
      MATCH(
        1, 
        ('アイテム別限界値DB'!$B:$B = D$10) * 
        ('アイテム別限界値DB'!$C:$C = D36) * 
        ('アイテム別限界値DB'!$F:$F = E36), 
        0
      )
    ), 
    ""
  )
)
</f>
        <v/>
      </c>
      <c r="H36" s="11"/>
      <c r="I36" s="11"/>
      <c r="J36" s="220"/>
      <c r="K36" s="184"/>
      <c r="L36" s="11"/>
      <c r="M36" s="11"/>
      <c r="N36" s="11"/>
      <c r="O36" s="220"/>
      <c r="P36" s="184"/>
      <c r="Q36" s="11"/>
      <c r="R36" s="12"/>
      <c r="S36" s="11"/>
      <c r="T36" s="220"/>
      <c r="U36" s="184"/>
      <c r="V36" s="11"/>
      <c r="W36" s="11"/>
      <c r="X36" s="11"/>
      <c r="Y36" s="220"/>
      <c r="Z36" s="184"/>
      <c r="AA36" s="11"/>
      <c r="AB36" s="11"/>
      <c r="AC36" s="11"/>
      <c r="AD36" s="220"/>
      <c r="AE36" s="184"/>
      <c r="AF36" s="11"/>
      <c r="AG36" s="11"/>
      <c r="AH36" s="11"/>
      <c r="AI36" s="220"/>
      <c r="AJ36" s="184"/>
      <c r="AK36" s="11"/>
      <c r="AL36" s="11"/>
      <c r="AM36" s="11"/>
      <c r="AN36" s="220"/>
      <c r="AO36" s="184"/>
      <c r="AP36" s="11"/>
      <c r="AQ36" s="11"/>
      <c r="AR36" s="11"/>
      <c r="AS36" s="220"/>
      <c r="AT36" s="184"/>
      <c r="AU36" s="11"/>
      <c r="AV36" s="11"/>
      <c r="AW36" s="11"/>
      <c r="AX36" s="220"/>
      <c r="AY36" s="184"/>
      <c r="AZ36" s="11"/>
      <c r="BA36" s="11"/>
      <c r="BB36" s="11"/>
      <c r="BC36" s="220"/>
      <c r="BD36" s="184"/>
      <c r="BE36" s="11"/>
      <c r="BF36" s="11"/>
      <c r="BG36" s="11"/>
      <c r="BH36" s="220"/>
      <c r="BI36" s="184"/>
      <c r="BJ36" s="11"/>
      <c r="BK36" s="11"/>
      <c r="BL36" s="11"/>
      <c r="BM36" s="220"/>
      <c r="BN36" s="184"/>
      <c r="BO36" s="11"/>
      <c r="BP36" s="11"/>
    </row>
    <row r="37">
      <c r="A37" s="228"/>
      <c r="B37" s="12"/>
      <c r="C37" s="11"/>
      <c r="D37" s="11" t="s">
        <v>114</v>
      </c>
      <c r="E37" s="230"/>
      <c r="F37" s="231" t="str">
        <f t="array" ref="F37">IF(
  E37 = 0, 
  "", 
  IFERROR(
    INDEX(
      'アイテム別限界値DB'!$K:$K, 
      MATCH(
        1, 
        ('アイテム別限界値DB'!$B:$B = D$10) * 
        ('アイテム別限界値DB'!$F:$F = D37) * 
        ('アイテム別限界値DB'!$H:$H = E37), 
        0
      )
    ), 
    "再製作"
  )
)
</f>
        <v/>
      </c>
      <c r="G37" s="218" t="str">
        <f t="array" ref="G37">IF(
  E37 = 0, 
  "", 
  IFERROR(
    INDEX(
      'アイテム別限界値DB'!$L:$L, 
      MATCH(
        1, 
        ('アイテム別限界値DB'!$B:$B = D$10) * 
        ('アイテム別限界値DB'!$C:$C = D37) * 
        ('アイテム別限界値DB'!$F:$F = E37), 
        0
      )
    ), 
    ""
  )
)
</f>
        <v/>
      </c>
      <c r="H37" s="11"/>
      <c r="I37" s="11"/>
      <c r="J37" s="220"/>
      <c r="K37" s="184"/>
      <c r="L37" s="11"/>
      <c r="M37" s="11"/>
      <c r="N37" s="11"/>
      <c r="O37" s="220"/>
      <c r="P37" s="184"/>
      <c r="Q37" s="11"/>
      <c r="R37" s="12"/>
      <c r="S37" s="11"/>
      <c r="T37" s="220"/>
      <c r="U37" s="184"/>
      <c r="V37" s="11"/>
      <c r="W37" s="11"/>
      <c r="X37" s="11"/>
      <c r="Y37" s="220"/>
      <c r="Z37" s="184"/>
      <c r="AA37" s="11"/>
      <c r="AB37" s="11"/>
      <c r="AC37" s="11"/>
      <c r="AD37" s="220"/>
      <c r="AE37" s="184"/>
      <c r="AF37" s="11"/>
      <c r="AG37" s="11"/>
      <c r="AH37" s="11"/>
      <c r="AI37" s="220"/>
      <c r="AJ37" s="184"/>
      <c r="AK37" s="11"/>
      <c r="AL37" s="11"/>
      <c r="AM37" s="11"/>
      <c r="AN37" s="220"/>
      <c r="AO37" s="184"/>
      <c r="AP37" s="11"/>
      <c r="AQ37" s="11"/>
      <c r="AR37" s="11"/>
      <c r="AS37" s="220"/>
      <c r="AT37" s="184"/>
      <c r="AU37" s="11"/>
      <c r="AV37" s="11"/>
      <c r="AW37" s="11"/>
      <c r="AX37" s="220"/>
      <c r="AY37" s="184"/>
      <c r="AZ37" s="11"/>
      <c r="BA37" s="11"/>
      <c r="BB37" s="11"/>
      <c r="BC37" s="220"/>
      <c r="BD37" s="184"/>
      <c r="BE37" s="11"/>
      <c r="BF37" s="11"/>
      <c r="BG37" s="11"/>
      <c r="BH37" s="220"/>
      <c r="BI37" s="184"/>
      <c r="BJ37" s="11"/>
      <c r="BK37" s="11"/>
      <c r="BL37" s="11"/>
      <c r="BM37" s="220"/>
      <c r="BN37" s="184"/>
      <c r="BO37" s="11"/>
      <c r="BP37" s="11"/>
    </row>
    <row r="38">
      <c r="A38" s="243" t="s">
        <v>115</v>
      </c>
      <c r="B38" s="160"/>
      <c r="C38" s="11"/>
      <c r="D38" s="11" t="s">
        <v>116</v>
      </c>
      <c r="E38" s="232"/>
      <c r="F38" s="231" t="str">
        <f t="array" ref="F38">IF(
  E38 = 0, 
  "", 
  IFERROR(
    INDEX(
      'アイテム別限界値DB'!$K:$K, 
      MATCH(
        1, 
        ('アイテム別限界値DB'!$B:$B = D$10) * 
        ('アイテム別限界値DB'!$F:$F = D38) * 
        ('アイテム別限界値DB'!$H:$H = E38), 
        0
      )
    ), 
    "再製作"
  )
)
</f>
        <v/>
      </c>
      <c r="G38" s="218" t="str">
        <f t="array" ref="G38">IF(
  E38 = 0, 
  "", 
  IFERROR(
    INDEX(
      'アイテム別限界値DB'!$L:$L, 
      MATCH(
        1, 
        ('アイテム別限界値DB'!$B:$B = D$10) * 
        ('アイテム別限界値DB'!$C:$C = D38) * 
        ('アイテム別限界値DB'!$F:$F = E38), 
        0
      )
    ), 
    ""
  )
)
</f>
        <v/>
      </c>
      <c r="H38" s="11"/>
      <c r="I38" s="11"/>
      <c r="J38" s="220"/>
      <c r="K38" s="184"/>
      <c r="L38" s="11"/>
      <c r="M38" s="11"/>
      <c r="N38" s="11"/>
      <c r="O38" s="220"/>
      <c r="P38" s="184"/>
      <c r="Q38" s="11"/>
      <c r="R38" s="12"/>
      <c r="S38" s="11"/>
      <c r="T38" s="220"/>
      <c r="U38" s="184"/>
      <c r="V38" s="11"/>
      <c r="W38" s="11"/>
      <c r="X38" s="11"/>
      <c r="Y38" s="220"/>
      <c r="Z38" s="184"/>
      <c r="AA38" s="11"/>
      <c r="AB38" s="11"/>
      <c r="AC38" s="11"/>
      <c r="AD38" s="220"/>
      <c r="AE38" s="184"/>
      <c r="AF38" s="11"/>
      <c r="AG38" s="11"/>
      <c r="AH38" s="11"/>
      <c r="AI38" s="220"/>
      <c r="AJ38" s="184"/>
      <c r="AK38" s="11"/>
      <c r="AL38" s="11"/>
      <c r="AM38" s="11"/>
      <c r="AN38" s="220"/>
      <c r="AO38" s="184"/>
      <c r="AP38" s="11"/>
      <c r="AQ38" s="11"/>
      <c r="AR38" s="11"/>
      <c r="AS38" s="220"/>
      <c r="AT38" s="184"/>
      <c r="AU38" s="11"/>
      <c r="AV38" s="11"/>
      <c r="AW38" s="11"/>
      <c r="AX38" s="220"/>
      <c r="AY38" s="184"/>
      <c r="AZ38" s="11"/>
      <c r="BA38" s="11"/>
      <c r="BB38" s="11"/>
      <c r="BC38" s="220"/>
      <c r="BD38" s="184"/>
      <c r="BE38" s="11"/>
      <c r="BF38" s="11"/>
      <c r="BG38" s="11"/>
      <c r="BH38" s="220"/>
      <c r="BI38" s="184"/>
      <c r="BJ38" s="11"/>
      <c r="BK38" s="11"/>
      <c r="BL38" s="11"/>
      <c r="BM38" s="220"/>
      <c r="BN38" s="184"/>
      <c r="BO38" s="11"/>
      <c r="BP38" s="11"/>
    </row>
    <row r="39">
      <c r="A39" s="228" t="str">
        <f>IF( $AC$11 = "再製作", "◼︎ ポロシャツ（対応着地：再製作）" &amp; char(10) &amp; "《修正数値》" , IF($AC$11 &lt;&gt; "", "◼︎ ポロシャツ（対応着地：お直し）" &amp; char(10) &amp; "《修正数値》" , ""))</f>
        <v/>
      </c>
      <c r="B39" s="229"/>
      <c r="C39" s="11"/>
      <c r="D39" s="11" t="s">
        <v>117</v>
      </c>
      <c r="E39" s="232"/>
      <c r="F39" s="231" t="str">
        <f t="array" ref="F39">IF(
  E39 = 0, 
  "", 
  IFERROR(
    INDEX(
      'アイテム別限界値DB'!$I:$I, 
      MATCH(
        1, 
        ('アイテム別限界値DB'!$B:$B = D$10) * 
        ('アイテム別限界値DB'!$C:$C = D39) * 
        ('アイテム別限界値DB'!$F:$F = E39), 
        0
      )
    ), 
    "再製作"
  )
)
</f>
        <v/>
      </c>
      <c r="G39" s="218" t="str">
        <f t="array" ref="G39">IF(
  E39 = 0, 
  "", 
  IFERROR(
    INDEX(
      'アイテム別限界値DB'!$L:$L, 
      MATCH(
        1, 
        ('アイテム別限界値DB'!$B:$B = D$10) * 
        ('アイテム別限界値DB'!$C:$C = D39) * 
        ('アイテム別限界値DB'!$F:$F = E39), 
        0
      )
    ), 
    ""
  )
)
</f>
        <v/>
      </c>
      <c r="H39" s="11"/>
      <c r="I39" s="11"/>
      <c r="J39" s="220"/>
      <c r="K39" s="184"/>
      <c r="L39" s="11"/>
      <c r="M39" s="11"/>
      <c r="N39" s="11"/>
      <c r="O39" s="220"/>
      <c r="P39" s="184"/>
      <c r="Q39" s="11"/>
      <c r="R39" s="12"/>
      <c r="S39" s="11"/>
      <c r="T39" s="220"/>
      <c r="U39" s="184"/>
      <c r="V39" s="11"/>
      <c r="W39" s="11"/>
      <c r="X39" s="11"/>
      <c r="Y39" s="220"/>
      <c r="Z39" s="184"/>
      <c r="AA39" s="11"/>
      <c r="AB39" s="11"/>
      <c r="AC39" s="11"/>
      <c r="AD39" s="220"/>
      <c r="AE39" s="184"/>
      <c r="AF39" s="11"/>
      <c r="AG39" s="11"/>
      <c r="AH39" s="11"/>
      <c r="AI39" s="220"/>
      <c r="AJ39" s="184"/>
      <c r="AK39" s="11"/>
      <c r="AL39" s="11"/>
      <c r="AM39" s="11"/>
      <c r="AN39" s="220"/>
      <c r="AO39" s="184"/>
      <c r="AP39" s="11"/>
      <c r="AQ39" s="11"/>
      <c r="AR39" s="11"/>
      <c r="AS39" s="220"/>
      <c r="AT39" s="184"/>
      <c r="AU39" s="11"/>
      <c r="AV39" s="11"/>
      <c r="AW39" s="11"/>
      <c r="AX39" s="220"/>
      <c r="AY39" s="184"/>
      <c r="AZ39" s="11"/>
      <c r="BA39" s="11"/>
      <c r="BB39" s="11"/>
      <c r="BC39" s="220"/>
      <c r="BD39" s="184"/>
      <c r="BE39" s="11"/>
      <c r="BF39" s="11"/>
      <c r="BG39" s="11"/>
      <c r="BH39" s="220"/>
      <c r="BI39" s="184"/>
      <c r="BJ39" s="11"/>
      <c r="BK39" s="11"/>
      <c r="BL39" s="11"/>
      <c r="BM39" s="220"/>
      <c r="BN39" s="184"/>
      <c r="BO39" s="11"/>
      <c r="BP39" s="11"/>
    </row>
    <row r="40">
      <c r="A40" s="228" t="str">
        <f>IFERROR(__xludf.DUMMYFUNCTION("TEXTJOIN(CHAR(10),TRUE,FILTER(ARRAYFORMULA(IF(AD$14:AD72&lt;&gt;"""",AC$14:AC72&amp;"" : ""&amp; AD$14:AD72 &amp;"" cm"","""")), AC$14:AC72 &lt;&gt;""""))"),"")</f>
        <v/>
      </c>
      <c r="B40" s="12"/>
      <c r="C40" s="11"/>
      <c r="D40" s="11" t="s">
        <v>118</v>
      </c>
      <c r="E40" s="230"/>
      <c r="F40" s="231" t="str">
        <f t="array" ref="F40">IF(
  E40 = 0, 
  "", 
  IFERROR(
    INDEX(
      'アイテム別限界値DB'!$I:$I, 
      MATCH(
        1, 
        ('アイテム別限界値DB'!$B:$B = D$10) * 
        ('アイテム別限界値DB'!$C:$C = D40) * 
        ('アイテム別限界値DB'!$F:$F = E40), 
        0
      )
    ), 
    "再製作"
  )
)
</f>
        <v/>
      </c>
      <c r="G40" s="121"/>
      <c r="H40" s="11"/>
      <c r="I40" s="11"/>
      <c r="J40" s="220"/>
      <c r="K40" s="184"/>
      <c r="L40" s="11"/>
      <c r="M40" s="11"/>
      <c r="N40" s="11"/>
      <c r="O40" s="220"/>
      <c r="P40" s="184"/>
      <c r="Q40" s="11"/>
      <c r="R40" s="12"/>
      <c r="S40" s="11"/>
      <c r="T40" s="220"/>
      <c r="U40" s="184"/>
      <c r="V40" s="11"/>
      <c r="W40" s="11"/>
      <c r="X40" s="11"/>
      <c r="Y40" s="220"/>
      <c r="Z40" s="184"/>
      <c r="AA40" s="11"/>
      <c r="AB40" s="11"/>
      <c r="AC40" s="11"/>
      <c r="AD40" s="220"/>
      <c r="AE40" s="184"/>
      <c r="AF40" s="11"/>
      <c r="AG40" s="11"/>
      <c r="AH40" s="11"/>
      <c r="AI40" s="220"/>
      <c r="AJ40" s="184"/>
      <c r="AK40" s="11"/>
      <c r="AL40" s="11"/>
      <c r="AM40" s="11"/>
      <c r="AN40" s="220"/>
      <c r="AO40" s="184"/>
      <c r="AP40" s="11"/>
      <c r="AQ40" s="11"/>
      <c r="AR40" s="11"/>
      <c r="AS40" s="220"/>
      <c r="AT40" s="184"/>
      <c r="AU40" s="11"/>
      <c r="AV40" s="11"/>
      <c r="AW40" s="11"/>
      <c r="AX40" s="220"/>
      <c r="AY40" s="184"/>
      <c r="AZ40" s="11"/>
      <c r="BA40" s="11"/>
      <c r="BB40" s="11"/>
      <c r="BC40" s="220"/>
      <c r="BD40" s="184"/>
      <c r="BE40" s="11"/>
      <c r="BF40" s="11"/>
      <c r="BG40" s="11"/>
      <c r="BH40" s="220"/>
      <c r="BI40" s="184"/>
      <c r="BJ40" s="11"/>
      <c r="BK40" s="11"/>
      <c r="BL40" s="11"/>
      <c r="BM40" s="220"/>
      <c r="BN40" s="184"/>
      <c r="BO40" s="11"/>
      <c r="BP40" s="11"/>
    </row>
    <row r="41">
      <c r="A41" s="244"/>
      <c r="B41" s="160"/>
      <c r="C41" s="11"/>
      <c r="D41" s="11" t="s">
        <v>119</v>
      </c>
      <c r="E41" s="230"/>
      <c r="F41" s="231" t="str">
        <f t="array" ref="F41">IF(
  E41 = 0, 
  "", 
  IFERROR(
    INDEX(
      'アイテム別限界値DB'!$I:$I, 
      MATCH(
        1, 
        ('アイテム別限界値DB'!$B:$B = D$10) * 
        ('アイテム別限界値DB'!$C:$C = D41) * 
        ('アイテム別限界値DB'!$F:$F = E41), 
        0
      )
    ), 
    "再製作"
  )
)
</f>
        <v/>
      </c>
      <c r="G41" s="195"/>
      <c r="H41" s="11"/>
      <c r="I41" s="11"/>
      <c r="J41" s="220"/>
      <c r="K41" s="184"/>
      <c r="L41" s="11"/>
      <c r="M41" s="11"/>
      <c r="N41" s="11"/>
      <c r="O41" s="220"/>
      <c r="P41" s="184"/>
      <c r="Q41" s="11"/>
      <c r="R41" s="12"/>
      <c r="S41" s="11"/>
      <c r="T41" s="220"/>
      <c r="U41" s="184"/>
      <c r="V41" s="11"/>
      <c r="W41" s="11"/>
      <c r="X41" s="11"/>
      <c r="Y41" s="220"/>
      <c r="Z41" s="184"/>
      <c r="AA41" s="11"/>
      <c r="AB41" s="11"/>
      <c r="AC41" s="11"/>
      <c r="AD41" s="220"/>
      <c r="AE41" s="184"/>
      <c r="AF41" s="11"/>
      <c r="AG41" s="11"/>
      <c r="AH41" s="11"/>
      <c r="AI41" s="220"/>
      <c r="AJ41" s="184"/>
      <c r="AK41" s="11"/>
      <c r="AL41" s="11"/>
      <c r="AM41" s="11"/>
      <c r="AN41" s="220"/>
      <c r="AO41" s="184"/>
      <c r="AP41" s="11"/>
      <c r="AQ41" s="11"/>
      <c r="AR41" s="11"/>
      <c r="AS41" s="220"/>
      <c r="AT41" s="184"/>
      <c r="AU41" s="11"/>
      <c r="AV41" s="11"/>
      <c r="AW41" s="11"/>
      <c r="AX41" s="220"/>
      <c r="AY41" s="184"/>
      <c r="AZ41" s="11"/>
      <c r="BA41" s="11"/>
      <c r="BB41" s="11"/>
      <c r="BC41" s="220"/>
      <c r="BD41" s="184"/>
      <c r="BE41" s="11"/>
      <c r="BF41" s="11"/>
      <c r="BG41" s="11"/>
      <c r="BH41" s="220"/>
      <c r="BI41" s="184"/>
      <c r="BJ41" s="11"/>
      <c r="BK41" s="11"/>
      <c r="BL41" s="11"/>
      <c r="BM41" s="220"/>
      <c r="BN41" s="184"/>
      <c r="BO41" s="11"/>
      <c r="BP41" s="11"/>
    </row>
    <row r="42">
      <c r="A42" s="228"/>
      <c r="B42" s="229"/>
      <c r="C42" s="11"/>
      <c r="D42" s="11" t="s">
        <v>120</v>
      </c>
      <c r="E42" s="232"/>
      <c r="F42" s="231" t="str">
        <f t="array" ref="F42">IF(
  E42 = 0, 
  "", 
  IFERROR(
    INDEX(
      'アイテム別限界値DB'!$I:$I, 
      MATCH(
        1, 
        ('アイテム別限界値DB'!$B:$B = D$10) * 
        ('アイテム別限界値DB'!$C:$C = D42) * 
        ('アイテム別限界値DB'!$F:$F = E42), 
        0
      )
    ), 
    "再製作"
  )
)
</f>
        <v/>
      </c>
      <c r="G42" s="195"/>
      <c r="H42" s="11"/>
      <c r="I42" s="11"/>
      <c r="J42" s="220"/>
      <c r="K42" s="184"/>
      <c r="L42" s="11"/>
      <c r="M42" s="11"/>
      <c r="N42" s="11"/>
      <c r="O42" s="220"/>
      <c r="P42" s="184"/>
      <c r="Q42" s="11"/>
      <c r="R42" s="12"/>
      <c r="S42" s="11"/>
      <c r="T42" s="220"/>
      <c r="U42" s="184"/>
      <c r="V42" s="11"/>
      <c r="W42" s="11"/>
      <c r="X42" s="11"/>
      <c r="Y42" s="220"/>
      <c r="Z42" s="184"/>
      <c r="AA42" s="11"/>
      <c r="AB42" s="11"/>
      <c r="AC42" s="11"/>
      <c r="AD42" s="220"/>
      <c r="AE42" s="184"/>
      <c r="AF42" s="11"/>
      <c r="AG42" s="11"/>
      <c r="AH42" s="11"/>
      <c r="AI42" s="220"/>
      <c r="AJ42" s="184"/>
      <c r="AK42" s="11"/>
      <c r="AL42" s="11"/>
      <c r="AM42" s="11"/>
      <c r="AN42" s="220"/>
      <c r="AO42" s="184"/>
      <c r="AP42" s="11"/>
      <c r="AQ42" s="11"/>
      <c r="AR42" s="11"/>
      <c r="AS42" s="220"/>
      <c r="AT42" s="184"/>
      <c r="AU42" s="11"/>
      <c r="AV42" s="11"/>
      <c r="AW42" s="11"/>
      <c r="AX42" s="220"/>
      <c r="AY42" s="184"/>
      <c r="AZ42" s="11"/>
      <c r="BA42" s="11"/>
      <c r="BB42" s="11"/>
      <c r="BC42" s="220"/>
      <c r="BD42" s="184"/>
      <c r="BE42" s="11"/>
      <c r="BF42" s="11"/>
      <c r="BG42" s="11"/>
      <c r="BH42" s="220"/>
      <c r="BI42" s="184"/>
      <c r="BJ42" s="11"/>
      <c r="BK42" s="11"/>
      <c r="BL42" s="11"/>
      <c r="BM42" s="220"/>
      <c r="BN42" s="184"/>
      <c r="BO42" s="11"/>
      <c r="BP42" s="11"/>
    </row>
    <row r="43">
      <c r="A43" s="222" t="s">
        <v>121</v>
      </c>
      <c r="B43" s="185"/>
      <c r="C43" s="11"/>
      <c r="D43" s="11"/>
      <c r="E43" s="220"/>
      <c r="F43" s="220"/>
      <c r="G43" s="220"/>
      <c r="H43" s="11"/>
      <c r="I43" s="11"/>
      <c r="J43" s="220"/>
      <c r="K43" s="184"/>
      <c r="L43" s="184"/>
      <c r="M43" s="11"/>
      <c r="N43" s="11"/>
      <c r="O43" s="195"/>
      <c r="P43" s="11"/>
      <c r="Q43" s="11"/>
      <c r="R43" s="12"/>
      <c r="S43" s="11"/>
      <c r="T43" s="220"/>
      <c r="U43" s="184"/>
      <c r="V43" s="184"/>
      <c r="W43" s="11"/>
      <c r="X43" s="11"/>
      <c r="Y43" s="220"/>
      <c r="Z43" s="184"/>
      <c r="AA43" s="184"/>
      <c r="AB43" s="11"/>
      <c r="AC43" s="11"/>
      <c r="AD43" s="220"/>
      <c r="AE43" s="184"/>
      <c r="AF43" s="184"/>
      <c r="AG43" s="11"/>
      <c r="AH43" s="11"/>
      <c r="AI43" s="220"/>
      <c r="AJ43" s="184"/>
      <c r="AK43" s="184"/>
      <c r="AL43" s="11"/>
      <c r="AM43" s="11"/>
      <c r="AN43" s="220"/>
      <c r="AO43" s="184"/>
      <c r="AP43" s="184"/>
      <c r="AQ43" s="11"/>
      <c r="AR43" s="11"/>
      <c r="AS43" s="220"/>
      <c r="AT43" s="184"/>
      <c r="AU43" s="184"/>
      <c r="AV43" s="11"/>
      <c r="AW43" s="11"/>
      <c r="AX43" s="220"/>
      <c r="AY43" s="184"/>
      <c r="AZ43" s="184"/>
      <c r="BA43" s="11"/>
      <c r="BB43" s="11"/>
      <c r="BC43" s="220"/>
      <c r="BD43" s="184"/>
      <c r="BE43" s="184"/>
      <c r="BF43" s="11"/>
      <c r="BG43" s="11"/>
      <c r="BH43" s="220"/>
      <c r="BI43" s="184"/>
      <c r="BJ43" s="184"/>
      <c r="BK43" s="184"/>
      <c r="BL43" s="184"/>
      <c r="BM43" s="184"/>
      <c r="BN43" s="184"/>
      <c r="BO43" s="184"/>
      <c r="BP43" s="184"/>
    </row>
    <row r="44">
      <c r="A44" s="245" t="str">
        <f>IF( $AH$11 = "再製作", "◼︎ アルスターコート（対応着地：再製作）" &amp; char(10) &amp; "《修正数値》", IF($AH$11 &lt;&gt; "", "◼︎ アルスターコート（対応着地：お直し）" &amp; char(10) &amp; "《修正数値》", ""))</f>
        <v/>
      </c>
      <c r="B44" s="187"/>
      <c r="C44" s="11"/>
      <c r="D44" s="11"/>
      <c r="E44" s="220"/>
      <c r="F44" s="220"/>
      <c r="G44" s="220"/>
      <c r="H44" s="11"/>
      <c r="I44" s="11"/>
      <c r="J44" s="220"/>
      <c r="K44" s="184"/>
      <c r="L44" s="184"/>
      <c r="M44" s="11"/>
      <c r="N44" s="11"/>
      <c r="O44" s="195"/>
      <c r="P44" s="11"/>
      <c r="Q44" s="11"/>
      <c r="R44" s="12"/>
      <c r="S44" s="11"/>
      <c r="T44" s="220"/>
      <c r="U44" s="184"/>
      <c r="V44" s="184"/>
      <c r="W44" s="11"/>
      <c r="X44" s="11"/>
      <c r="Y44" s="220"/>
      <c r="Z44" s="184"/>
      <c r="AA44" s="184"/>
      <c r="AB44" s="11"/>
      <c r="AC44" s="11"/>
      <c r="AD44" s="220"/>
      <c r="AE44" s="184"/>
      <c r="AF44" s="184"/>
      <c r="AG44" s="11"/>
      <c r="AH44" s="11"/>
      <c r="AI44" s="220"/>
      <c r="AJ44" s="184"/>
      <c r="AK44" s="184"/>
      <c r="AL44" s="11"/>
      <c r="AM44" s="11"/>
      <c r="AN44" s="220"/>
      <c r="AO44" s="184"/>
      <c r="AP44" s="184"/>
      <c r="AQ44" s="11"/>
      <c r="AR44" s="11"/>
      <c r="AS44" s="220"/>
      <c r="AT44" s="184"/>
      <c r="AU44" s="184"/>
      <c r="AV44" s="11"/>
      <c r="AW44" s="11"/>
      <c r="AX44" s="220"/>
      <c r="AY44" s="184"/>
      <c r="AZ44" s="184"/>
      <c r="BA44" s="11"/>
      <c r="BB44" s="11"/>
      <c r="BC44" s="220"/>
      <c r="BD44" s="184"/>
      <c r="BE44" s="184"/>
      <c r="BF44" s="11"/>
      <c r="BG44" s="11"/>
      <c r="BH44" s="220"/>
      <c r="BI44" s="184"/>
      <c r="BJ44" s="184"/>
      <c r="BK44" s="184"/>
      <c r="BL44" s="184"/>
      <c r="BM44" s="184"/>
      <c r="BN44" s="184"/>
      <c r="BO44" s="184"/>
      <c r="BP44" s="184"/>
    </row>
    <row r="45">
      <c r="A45" s="228" t="str">
        <f>IFERROR(__xludf.DUMMYFUNCTION("TEXTJOIN(CHAR(10),TRUE,FILTER(ARRAYFORMULA(IF($AI$14:$AI72&lt;&gt;"""",AH$14:AH72&amp;"" : ""&amp; AI$14:AI72 &amp;"" cm"","""")), AH$14:AH72 &lt;&gt;""""))"),"")</f>
        <v/>
      </c>
      <c r="B45" s="246"/>
      <c r="C45" s="11"/>
      <c r="D45" s="11"/>
      <c r="E45" s="220"/>
      <c r="F45" s="220"/>
      <c r="G45" s="220"/>
      <c r="H45" s="11"/>
      <c r="I45" s="11"/>
      <c r="J45" s="220"/>
      <c r="K45" s="184"/>
      <c r="L45" s="184"/>
      <c r="M45" s="11"/>
      <c r="N45" s="11"/>
      <c r="O45" s="195"/>
      <c r="P45" s="11"/>
      <c r="Q45" s="11"/>
      <c r="R45" s="12"/>
      <c r="S45" s="11"/>
      <c r="T45" s="220"/>
      <c r="U45" s="184"/>
      <c r="V45" s="184"/>
      <c r="W45" s="11"/>
      <c r="X45" s="11"/>
      <c r="Y45" s="220"/>
      <c r="Z45" s="184"/>
      <c r="AA45" s="184"/>
      <c r="AB45" s="11"/>
      <c r="AC45" s="11"/>
      <c r="AD45" s="220"/>
      <c r="AE45" s="184"/>
      <c r="AF45" s="184"/>
      <c r="AG45" s="11"/>
      <c r="AH45" s="11"/>
      <c r="AI45" s="220"/>
      <c r="AJ45" s="184"/>
      <c r="AK45" s="184"/>
      <c r="AL45" s="11"/>
      <c r="AM45" s="11"/>
      <c r="AN45" s="220"/>
      <c r="AO45" s="184"/>
      <c r="AP45" s="184"/>
      <c r="AQ45" s="11"/>
      <c r="AR45" s="11"/>
      <c r="AS45" s="220"/>
      <c r="AT45" s="184"/>
      <c r="AU45" s="184"/>
      <c r="AV45" s="11"/>
      <c r="AW45" s="11"/>
      <c r="AX45" s="220"/>
      <c r="AY45" s="184"/>
      <c r="AZ45" s="184"/>
      <c r="BA45" s="11"/>
      <c r="BB45" s="11"/>
      <c r="BC45" s="220"/>
      <c r="BD45" s="184"/>
      <c r="BE45" s="184"/>
      <c r="BF45" s="11"/>
      <c r="BG45" s="11"/>
      <c r="BH45" s="220"/>
      <c r="BI45" s="184"/>
      <c r="BJ45" s="184"/>
      <c r="BK45" s="184"/>
      <c r="BL45" s="184"/>
      <c r="BM45" s="184"/>
      <c r="BN45" s="184"/>
      <c r="BO45" s="184"/>
      <c r="BP45" s="184"/>
    </row>
    <row r="46">
      <c r="A46" s="242"/>
      <c r="B46" s="240"/>
      <c r="C46" s="11"/>
      <c r="D46" s="11"/>
      <c r="E46" s="220"/>
      <c r="F46" s="220"/>
      <c r="G46" s="220"/>
      <c r="H46" s="11"/>
      <c r="I46" s="11"/>
      <c r="J46" s="220"/>
      <c r="K46" s="184"/>
      <c r="L46" s="184"/>
      <c r="M46" s="11"/>
      <c r="N46" s="11"/>
      <c r="O46" s="195"/>
      <c r="P46" s="11"/>
      <c r="Q46" s="11"/>
      <c r="R46" s="12"/>
      <c r="S46" s="11"/>
      <c r="T46" s="220"/>
      <c r="U46" s="184"/>
      <c r="V46" s="184"/>
      <c r="W46" s="11"/>
      <c r="X46" s="11"/>
      <c r="Y46" s="220"/>
      <c r="Z46" s="184"/>
      <c r="AA46" s="184"/>
      <c r="AB46" s="11"/>
      <c r="AC46" s="11"/>
      <c r="AD46" s="220"/>
      <c r="AE46" s="184"/>
      <c r="AF46" s="184"/>
      <c r="AG46" s="11"/>
      <c r="AH46" s="11"/>
      <c r="AI46" s="220"/>
      <c r="AJ46" s="184"/>
      <c r="AK46" s="184"/>
      <c r="AL46" s="11"/>
      <c r="AM46" s="11"/>
      <c r="AN46" s="220"/>
      <c r="AO46" s="184"/>
      <c r="AP46" s="184"/>
      <c r="AQ46" s="11"/>
      <c r="AR46" s="11"/>
      <c r="AS46" s="220"/>
      <c r="AT46" s="184"/>
      <c r="AU46" s="184"/>
      <c r="AV46" s="11"/>
      <c r="AW46" s="11"/>
      <c r="AX46" s="220"/>
      <c r="AY46" s="184"/>
      <c r="AZ46" s="184"/>
      <c r="BA46" s="11"/>
      <c r="BB46" s="11"/>
      <c r="BC46" s="220"/>
      <c r="BD46" s="184"/>
      <c r="BE46" s="184"/>
      <c r="BF46" s="11"/>
      <c r="BG46" s="11"/>
      <c r="BH46" s="220"/>
      <c r="BI46" s="184"/>
      <c r="BJ46" s="184"/>
      <c r="BK46" s="184"/>
      <c r="BL46" s="184"/>
      <c r="BM46" s="184"/>
      <c r="BN46" s="184"/>
      <c r="BO46" s="184"/>
      <c r="BP46" s="184"/>
    </row>
    <row r="47">
      <c r="A47" s="228"/>
      <c r="B47" s="240"/>
      <c r="C47" s="11"/>
      <c r="D47" s="11"/>
      <c r="E47" s="220"/>
      <c r="F47" s="220"/>
      <c r="G47" s="220"/>
      <c r="H47" s="11"/>
      <c r="I47" s="11"/>
      <c r="J47" s="220"/>
      <c r="K47" s="184"/>
      <c r="L47" s="184"/>
      <c r="M47" s="11"/>
      <c r="N47" s="11"/>
      <c r="O47" s="195"/>
      <c r="P47" s="11"/>
      <c r="Q47" s="11"/>
      <c r="R47" s="12"/>
      <c r="S47" s="11"/>
      <c r="T47" s="220"/>
      <c r="U47" s="184"/>
      <c r="V47" s="184"/>
      <c r="W47" s="11"/>
      <c r="X47" s="11"/>
      <c r="Y47" s="220"/>
      <c r="Z47" s="184"/>
      <c r="AA47" s="184"/>
      <c r="AB47" s="11"/>
      <c r="AC47" s="11"/>
      <c r="AD47" s="220"/>
      <c r="AE47" s="184"/>
      <c r="AF47" s="184"/>
      <c r="AG47" s="11"/>
      <c r="AH47" s="11"/>
      <c r="AI47" s="220"/>
      <c r="AJ47" s="184"/>
      <c r="AK47" s="184"/>
      <c r="AL47" s="11"/>
      <c r="AM47" s="11"/>
      <c r="AN47" s="220"/>
      <c r="AO47" s="184"/>
      <c r="AP47" s="184"/>
      <c r="AQ47" s="11"/>
      <c r="AR47" s="11"/>
      <c r="AS47" s="220"/>
      <c r="AT47" s="184"/>
      <c r="AU47" s="184"/>
      <c r="AV47" s="11"/>
      <c r="AW47" s="11"/>
      <c r="AX47" s="220"/>
      <c r="AY47" s="184"/>
      <c r="AZ47" s="184"/>
      <c r="BA47" s="11"/>
      <c r="BB47" s="11"/>
      <c r="BC47" s="220"/>
      <c r="BD47" s="184"/>
      <c r="BE47" s="184"/>
      <c r="BF47" s="11"/>
      <c r="BG47" s="11"/>
      <c r="BH47" s="220"/>
      <c r="BI47" s="184"/>
      <c r="BJ47" s="184"/>
      <c r="BK47" s="184"/>
      <c r="BL47" s="184"/>
      <c r="BM47" s="184"/>
      <c r="BN47" s="184"/>
      <c r="BO47" s="184"/>
      <c r="BP47" s="184"/>
    </row>
    <row r="48">
      <c r="A48" s="237" t="s">
        <v>122</v>
      </c>
      <c r="B48" s="240"/>
      <c r="C48" s="11"/>
      <c r="D48" s="11"/>
      <c r="E48" s="220"/>
      <c r="F48" s="220"/>
      <c r="G48" s="220"/>
      <c r="H48" s="11"/>
      <c r="I48" s="11"/>
      <c r="J48" s="220"/>
      <c r="K48" s="184"/>
      <c r="L48" s="184"/>
      <c r="M48" s="11"/>
      <c r="N48" s="11"/>
      <c r="O48" s="195"/>
      <c r="P48" s="11"/>
      <c r="Q48" s="11"/>
      <c r="R48" s="12"/>
      <c r="S48" s="11"/>
      <c r="T48" s="220"/>
      <c r="U48" s="184"/>
      <c r="V48" s="184"/>
      <c r="W48" s="11"/>
      <c r="X48" s="11"/>
      <c r="Y48" s="220"/>
      <c r="Z48" s="184"/>
      <c r="AA48" s="184"/>
      <c r="AB48" s="11"/>
      <c r="AC48" s="11"/>
      <c r="AD48" s="220"/>
      <c r="AE48" s="184"/>
      <c r="AF48" s="184"/>
      <c r="AG48" s="11"/>
      <c r="AH48" s="11"/>
      <c r="AI48" s="220"/>
      <c r="AJ48" s="184"/>
      <c r="AK48" s="184"/>
      <c r="AL48" s="11"/>
      <c r="AM48" s="11"/>
      <c r="AN48" s="220"/>
      <c r="AO48" s="184"/>
      <c r="AP48" s="184"/>
      <c r="AQ48" s="11"/>
      <c r="AR48" s="11"/>
      <c r="AS48" s="220"/>
      <c r="AT48" s="184"/>
      <c r="AU48" s="184"/>
      <c r="AV48" s="11"/>
      <c r="AW48" s="11"/>
      <c r="AX48" s="220"/>
      <c r="AY48" s="184"/>
      <c r="AZ48" s="184"/>
      <c r="BA48" s="11"/>
      <c r="BB48" s="11"/>
      <c r="BC48" s="220"/>
      <c r="BD48" s="184"/>
      <c r="BE48" s="184"/>
      <c r="BF48" s="11"/>
      <c r="BG48" s="11"/>
      <c r="BH48" s="220"/>
      <c r="BI48" s="184"/>
      <c r="BJ48" s="184"/>
      <c r="BK48" s="184"/>
      <c r="BL48" s="184"/>
      <c r="BM48" s="184"/>
      <c r="BN48" s="184"/>
      <c r="BO48" s="184"/>
      <c r="BP48" s="184"/>
    </row>
    <row r="49">
      <c r="A49" s="245" t="str">
        <f>IF( $AM$11 = "再製作", "◼︎ ショートステンカラーコート（対応着地：再製作）" &amp; char(10) &amp; "《修正数値》", IF($AM$11 &lt;&gt; "", "◼︎ ショートステンカラーコート（対応着地：お直し）"  &amp; char(10) &amp; "《修正数値》", ""))</f>
        <v/>
      </c>
      <c r="B49" s="240"/>
      <c r="C49" s="11"/>
      <c r="D49" s="11"/>
      <c r="E49" s="220"/>
      <c r="F49" s="220"/>
      <c r="G49" s="220"/>
      <c r="H49" s="11"/>
      <c r="I49" s="11"/>
      <c r="J49" s="220"/>
      <c r="K49" s="184"/>
      <c r="L49" s="184"/>
      <c r="M49" s="11"/>
      <c r="N49" s="11"/>
      <c r="O49" s="195"/>
      <c r="P49" s="11"/>
      <c r="Q49" s="11"/>
      <c r="R49" s="12"/>
      <c r="S49" s="11"/>
      <c r="T49" s="220"/>
      <c r="U49" s="184"/>
      <c r="V49" s="184"/>
      <c r="W49" s="11"/>
      <c r="X49" s="11"/>
      <c r="Y49" s="220"/>
      <c r="Z49" s="184"/>
      <c r="AA49" s="184"/>
      <c r="AB49" s="11"/>
      <c r="AC49" s="11"/>
      <c r="AD49" s="220"/>
      <c r="AE49" s="184"/>
      <c r="AF49" s="184"/>
      <c r="AG49" s="11"/>
      <c r="AH49" s="11"/>
      <c r="AI49" s="220"/>
      <c r="AJ49" s="184"/>
      <c r="AK49" s="184"/>
      <c r="AL49" s="11"/>
      <c r="AM49" s="11"/>
      <c r="AN49" s="220"/>
      <c r="AO49" s="184"/>
      <c r="AP49" s="184"/>
      <c r="AQ49" s="11"/>
      <c r="AR49" s="11"/>
      <c r="AS49" s="220"/>
      <c r="AT49" s="184"/>
      <c r="AU49" s="184"/>
      <c r="AV49" s="11"/>
      <c r="AW49" s="11"/>
      <c r="AX49" s="220"/>
      <c r="AY49" s="184"/>
      <c r="AZ49" s="184"/>
      <c r="BA49" s="11"/>
      <c r="BB49" s="11"/>
      <c r="BC49" s="220"/>
      <c r="BD49" s="184"/>
      <c r="BE49" s="184"/>
      <c r="BF49" s="11"/>
      <c r="BG49" s="11"/>
      <c r="BH49" s="220"/>
      <c r="BI49" s="184"/>
      <c r="BJ49" s="184"/>
      <c r="BK49" s="184"/>
      <c r="BL49" s="184"/>
      <c r="BM49" s="184"/>
      <c r="BN49" s="184"/>
      <c r="BO49" s="184"/>
      <c r="BP49" s="184"/>
    </row>
    <row r="50">
      <c r="A50" s="228" t="str">
        <f>IFERROR(__xludf.DUMMYFUNCTION("TEXTJOIN(CHAR(10),TRUE,FILTER(ARRAYFORMULA(IF(AN$14:AN72&lt;&gt;"""",AM$14:AM72&amp;"" : ""&amp; AN$14:AN72 &amp;"" cm"" &amp; ""（仕上がり寸：cm）"","""")), AM$14:AM72 &lt;&gt;""""))"),"")</f>
        <v/>
      </c>
      <c r="B50" s="240"/>
      <c r="C50" s="11"/>
      <c r="D50" s="11"/>
      <c r="E50" s="220"/>
      <c r="F50" s="220"/>
      <c r="G50" s="220"/>
      <c r="H50" s="11"/>
      <c r="I50" s="11"/>
      <c r="J50" s="220"/>
      <c r="K50" s="184"/>
      <c r="L50" s="184"/>
      <c r="M50" s="11"/>
      <c r="N50" s="11"/>
      <c r="O50" s="195"/>
      <c r="P50" s="11"/>
      <c r="Q50" s="11"/>
      <c r="R50" s="12"/>
      <c r="S50" s="11"/>
      <c r="T50" s="220"/>
      <c r="U50" s="184"/>
      <c r="V50" s="184"/>
      <c r="W50" s="11"/>
      <c r="X50" s="11"/>
      <c r="Y50" s="220"/>
      <c r="Z50" s="184"/>
      <c r="AA50" s="184"/>
      <c r="AB50" s="11"/>
      <c r="AC50" s="11"/>
      <c r="AD50" s="220"/>
      <c r="AE50" s="184"/>
      <c r="AF50" s="184"/>
      <c r="AG50" s="11"/>
      <c r="AH50" s="11"/>
      <c r="AI50" s="220"/>
      <c r="AJ50" s="184"/>
      <c r="AK50" s="184"/>
      <c r="AL50" s="11"/>
      <c r="AM50" s="11"/>
      <c r="AN50" s="220"/>
      <c r="AO50" s="184"/>
      <c r="AP50" s="184"/>
      <c r="AQ50" s="11"/>
      <c r="AR50" s="11"/>
      <c r="AS50" s="220"/>
      <c r="AT50" s="184"/>
      <c r="AU50" s="184"/>
      <c r="AV50" s="11"/>
      <c r="AW50" s="11"/>
      <c r="AX50" s="220"/>
      <c r="AY50" s="184"/>
      <c r="AZ50" s="184"/>
      <c r="BA50" s="11"/>
      <c r="BB50" s="11"/>
      <c r="BC50" s="220"/>
      <c r="BD50" s="184"/>
      <c r="BE50" s="184"/>
      <c r="BF50" s="11"/>
      <c r="BG50" s="11"/>
      <c r="BH50" s="220"/>
      <c r="BI50" s="184"/>
      <c r="BJ50" s="184"/>
      <c r="BK50" s="184"/>
      <c r="BL50" s="184"/>
      <c r="BM50" s="184"/>
      <c r="BN50" s="184"/>
      <c r="BO50" s="184"/>
      <c r="BP50" s="184"/>
    </row>
    <row r="51">
      <c r="A51" s="244"/>
      <c r="B51" s="240"/>
      <c r="C51" s="11"/>
      <c r="D51" s="11"/>
      <c r="E51" s="220"/>
      <c r="F51" s="220"/>
      <c r="G51" s="220"/>
      <c r="H51" s="11"/>
      <c r="I51" s="11"/>
      <c r="J51" s="220"/>
      <c r="K51" s="184"/>
      <c r="L51" s="184"/>
      <c r="M51" s="11"/>
      <c r="N51" s="11"/>
      <c r="O51" s="195"/>
      <c r="P51" s="11"/>
      <c r="Q51" s="11"/>
      <c r="R51" s="12"/>
      <c r="S51" s="11"/>
      <c r="T51" s="220"/>
      <c r="U51" s="184"/>
      <c r="V51" s="184"/>
      <c r="W51" s="11"/>
      <c r="X51" s="11"/>
      <c r="Y51" s="220"/>
      <c r="Z51" s="184"/>
      <c r="AA51" s="184"/>
      <c r="AB51" s="11"/>
      <c r="AC51" s="11"/>
      <c r="AD51" s="220"/>
      <c r="AE51" s="184"/>
      <c r="AF51" s="184"/>
      <c r="AG51" s="11"/>
      <c r="AH51" s="11"/>
      <c r="AI51" s="220"/>
      <c r="AJ51" s="184"/>
      <c r="AK51" s="184"/>
      <c r="AL51" s="11"/>
      <c r="AM51" s="11"/>
      <c r="AN51" s="220"/>
      <c r="AO51" s="184"/>
      <c r="AP51" s="184"/>
      <c r="AQ51" s="11"/>
      <c r="AR51" s="11"/>
      <c r="AS51" s="220"/>
      <c r="AT51" s="184"/>
      <c r="AU51" s="184"/>
      <c r="AV51" s="11"/>
      <c r="AW51" s="11"/>
      <c r="AX51" s="220"/>
      <c r="AY51" s="184"/>
      <c r="AZ51" s="184"/>
      <c r="BA51" s="11"/>
      <c r="BB51" s="11"/>
      <c r="BC51" s="220"/>
      <c r="BD51" s="184"/>
      <c r="BE51" s="184"/>
      <c r="BF51" s="11"/>
      <c r="BG51" s="11"/>
      <c r="BH51" s="220"/>
      <c r="BI51" s="184"/>
      <c r="BJ51" s="184"/>
      <c r="BK51" s="184"/>
      <c r="BL51" s="184"/>
      <c r="BM51" s="184"/>
      <c r="BN51" s="184"/>
      <c r="BO51" s="184"/>
      <c r="BP51" s="184"/>
    </row>
    <row r="52">
      <c r="A52" s="228"/>
      <c r="B52" s="240"/>
      <c r="C52" s="11"/>
      <c r="D52" s="11"/>
      <c r="E52" s="220"/>
      <c r="F52" s="220"/>
      <c r="G52" s="220"/>
      <c r="H52" s="11"/>
      <c r="I52" s="11"/>
      <c r="J52" s="220"/>
      <c r="K52" s="184"/>
      <c r="L52" s="184"/>
      <c r="M52" s="11"/>
      <c r="N52" s="11"/>
      <c r="O52" s="195"/>
      <c r="P52" s="11"/>
      <c r="Q52" s="11"/>
      <c r="R52" s="12"/>
      <c r="S52" s="11"/>
      <c r="T52" s="220"/>
      <c r="U52" s="184"/>
      <c r="V52" s="184"/>
      <c r="W52" s="11"/>
      <c r="X52" s="11"/>
      <c r="Y52" s="220"/>
      <c r="Z52" s="184"/>
      <c r="AA52" s="184"/>
      <c r="AB52" s="11"/>
      <c r="AC52" s="11"/>
      <c r="AD52" s="220"/>
      <c r="AE52" s="184"/>
      <c r="AF52" s="184"/>
      <c r="AG52" s="11"/>
      <c r="AH52" s="11"/>
      <c r="AI52" s="220"/>
      <c r="AJ52" s="184"/>
      <c r="AK52" s="184"/>
      <c r="AL52" s="11"/>
      <c r="AM52" s="11"/>
      <c r="AN52" s="220"/>
      <c r="AO52" s="184"/>
      <c r="AP52" s="184"/>
      <c r="AQ52" s="11"/>
      <c r="AR52" s="11"/>
      <c r="AS52" s="220"/>
      <c r="AT52" s="184"/>
      <c r="AU52" s="184"/>
      <c r="AV52" s="11"/>
      <c r="AW52" s="11"/>
      <c r="AX52" s="220"/>
      <c r="AY52" s="184"/>
      <c r="AZ52" s="184"/>
      <c r="BA52" s="11"/>
      <c r="BB52" s="11"/>
      <c r="BC52" s="220"/>
      <c r="BD52" s="184"/>
      <c r="BE52" s="184"/>
      <c r="BF52" s="11"/>
      <c r="BG52" s="11"/>
      <c r="BH52" s="220"/>
      <c r="BI52" s="184"/>
      <c r="BJ52" s="184"/>
      <c r="BK52" s="184"/>
      <c r="BL52" s="184"/>
      <c r="BM52" s="184"/>
      <c r="BN52" s="184"/>
      <c r="BO52" s="184"/>
      <c r="BP52" s="184"/>
    </row>
    <row r="53">
      <c r="A53" s="243" t="s">
        <v>123</v>
      </c>
      <c r="B53" s="240"/>
      <c r="C53" s="11"/>
      <c r="D53" s="11"/>
      <c r="E53" s="220"/>
      <c r="F53" s="220"/>
      <c r="G53" s="220"/>
      <c r="H53" s="11"/>
      <c r="I53" s="11"/>
      <c r="J53" s="220"/>
      <c r="K53" s="184"/>
      <c r="L53" s="184"/>
      <c r="M53" s="11"/>
      <c r="N53" s="11"/>
      <c r="O53" s="195"/>
      <c r="P53" s="11"/>
      <c r="Q53" s="11"/>
      <c r="R53" s="12"/>
      <c r="S53" s="11"/>
      <c r="T53" s="220"/>
      <c r="U53" s="184"/>
      <c r="V53" s="184"/>
      <c r="W53" s="11"/>
      <c r="X53" s="11"/>
      <c r="Y53" s="220"/>
      <c r="Z53" s="184"/>
      <c r="AA53" s="184"/>
      <c r="AB53" s="11"/>
      <c r="AC53" s="11"/>
      <c r="AD53" s="220"/>
      <c r="AE53" s="184"/>
      <c r="AF53" s="184"/>
      <c r="AG53" s="11"/>
      <c r="AH53" s="11"/>
      <c r="AI53" s="220"/>
      <c r="AJ53" s="184"/>
      <c r="AK53" s="184"/>
      <c r="AL53" s="11"/>
      <c r="AM53" s="11"/>
      <c r="AN53" s="220"/>
      <c r="AO53" s="184"/>
      <c r="AP53" s="184"/>
      <c r="AQ53" s="11"/>
      <c r="AR53" s="11"/>
      <c r="AS53" s="220"/>
      <c r="AT53" s="184"/>
      <c r="AU53" s="184"/>
      <c r="AV53" s="11"/>
      <c r="AW53" s="11"/>
      <c r="AX53" s="220"/>
      <c r="AY53" s="184"/>
      <c r="AZ53" s="184"/>
      <c r="BA53" s="11"/>
      <c r="BB53" s="11"/>
      <c r="BC53" s="220"/>
      <c r="BD53" s="184"/>
      <c r="BE53" s="184"/>
      <c r="BF53" s="11"/>
      <c r="BG53" s="11"/>
      <c r="BH53" s="220"/>
      <c r="BI53" s="184"/>
      <c r="BJ53" s="184"/>
      <c r="BK53" s="184"/>
      <c r="BL53" s="184"/>
      <c r="BM53" s="184"/>
      <c r="BN53" s="184"/>
      <c r="BO53" s="184"/>
      <c r="BP53" s="184"/>
    </row>
    <row r="54">
      <c r="A54" s="245" t="str">
        <f>IF( $AR$11 = "再製作", "◼︎ ステンカラーコート（対応着地：再製作）" &amp;char(10)&amp; "《修正数値》", IF($AR$11 &lt;&gt; "", "◼︎ ステンカラーコート（対応着地：お直し）" &amp;char(10)&amp; "《修正数値》", ""))</f>
        <v/>
      </c>
      <c r="B54" s="240"/>
      <c r="C54" s="11"/>
      <c r="D54" s="11"/>
      <c r="E54" s="220"/>
      <c r="F54" s="220"/>
      <c r="G54" s="220"/>
      <c r="H54" s="11"/>
      <c r="I54" s="11"/>
      <c r="J54" s="220"/>
      <c r="K54" s="184"/>
      <c r="L54" s="184"/>
      <c r="M54" s="11"/>
      <c r="N54" s="11"/>
      <c r="O54" s="195"/>
      <c r="P54" s="11"/>
      <c r="Q54" s="11"/>
      <c r="R54" s="12"/>
      <c r="S54" s="11"/>
      <c r="T54" s="220"/>
      <c r="U54" s="184"/>
      <c r="V54" s="184"/>
      <c r="W54" s="11"/>
      <c r="X54" s="11"/>
      <c r="Y54" s="220"/>
      <c r="Z54" s="184"/>
      <c r="AA54" s="184"/>
      <c r="AB54" s="11"/>
      <c r="AC54" s="11"/>
      <c r="AD54" s="220"/>
      <c r="AE54" s="184"/>
      <c r="AF54" s="184"/>
      <c r="AG54" s="11"/>
      <c r="AH54" s="11"/>
      <c r="AI54" s="220"/>
      <c r="AJ54" s="184"/>
      <c r="AK54" s="184"/>
      <c r="AL54" s="11"/>
      <c r="AM54" s="11"/>
      <c r="AN54" s="220"/>
      <c r="AO54" s="184"/>
      <c r="AP54" s="184"/>
      <c r="AQ54" s="11"/>
      <c r="AR54" s="11"/>
      <c r="AS54" s="220"/>
      <c r="AT54" s="184"/>
      <c r="AU54" s="184"/>
      <c r="AV54" s="11"/>
      <c r="AW54" s="11"/>
      <c r="AX54" s="220"/>
      <c r="AY54" s="184"/>
      <c r="AZ54" s="184"/>
      <c r="BA54" s="11"/>
      <c r="BB54" s="11"/>
      <c r="BC54" s="220"/>
      <c r="BD54" s="184"/>
      <c r="BE54" s="184"/>
      <c r="BF54" s="11"/>
      <c r="BG54" s="11"/>
      <c r="BH54" s="220"/>
      <c r="BI54" s="184"/>
      <c r="BJ54" s="184"/>
      <c r="BK54" s="184"/>
      <c r="BL54" s="184"/>
      <c r="BM54" s="184"/>
      <c r="BN54" s="184"/>
      <c r="BO54" s="184"/>
      <c r="BP54" s="184"/>
    </row>
    <row r="55">
      <c r="A55" s="228" t="str">
        <f>IFERROR(__xludf.DUMMYFUNCTION("TEXTJOIN(CHAR(10),TRUE,FILTER(ARRAYFORMULA(IF(AS$14:AS72&lt;&gt;"""",AR$14:AR72&amp;"" : ""&amp; AS$14:AS72 &amp;"" cm"","""")), AR$14:AR72 &lt;&gt;""""))"),"")</f>
        <v/>
      </c>
      <c r="B55" s="240"/>
      <c r="C55" s="11"/>
      <c r="D55" s="11"/>
      <c r="E55" s="220"/>
      <c r="F55" s="220"/>
      <c r="G55" s="220"/>
      <c r="H55" s="11"/>
      <c r="I55" s="11"/>
      <c r="J55" s="220"/>
      <c r="K55" s="184"/>
      <c r="L55" s="184"/>
      <c r="M55" s="11"/>
      <c r="N55" s="11"/>
      <c r="O55" s="195"/>
      <c r="P55" s="11"/>
      <c r="Q55" s="11"/>
      <c r="R55" s="12"/>
      <c r="S55" s="11"/>
      <c r="T55" s="220"/>
      <c r="U55" s="184"/>
      <c r="V55" s="184"/>
      <c r="W55" s="11"/>
      <c r="X55" s="11"/>
      <c r="Y55" s="220"/>
      <c r="Z55" s="184"/>
      <c r="AA55" s="184"/>
      <c r="AB55" s="11"/>
      <c r="AC55" s="11"/>
      <c r="AD55" s="220"/>
      <c r="AE55" s="184"/>
      <c r="AF55" s="184"/>
      <c r="AG55" s="11"/>
      <c r="AH55" s="11"/>
      <c r="AI55" s="220"/>
      <c r="AJ55" s="184"/>
      <c r="AK55" s="184"/>
      <c r="AL55" s="11"/>
      <c r="AM55" s="11"/>
      <c r="AN55" s="220"/>
      <c r="AO55" s="184"/>
      <c r="AP55" s="184"/>
      <c r="AQ55" s="11"/>
      <c r="AR55" s="11"/>
      <c r="AS55" s="220"/>
      <c r="AT55" s="184"/>
      <c r="AU55" s="184"/>
      <c r="AV55" s="11"/>
      <c r="AW55" s="11"/>
      <c r="AX55" s="220"/>
      <c r="AY55" s="184"/>
      <c r="AZ55" s="184"/>
      <c r="BA55" s="11"/>
      <c r="BB55" s="11"/>
      <c r="BC55" s="220"/>
      <c r="BD55" s="184"/>
      <c r="BE55" s="184"/>
      <c r="BF55" s="11"/>
      <c r="BG55" s="11"/>
      <c r="BH55" s="220"/>
      <c r="BI55" s="184"/>
      <c r="BJ55" s="184"/>
      <c r="BK55" s="184"/>
      <c r="BL55" s="184"/>
      <c r="BM55" s="184"/>
      <c r="BN55" s="184"/>
      <c r="BO55" s="184"/>
      <c r="BP55" s="184"/>
    </row>
    <row r="56">
      <c r="A56" s="244"/>
      <c r="B56" s="240"/>
      <c r="C56" s="11"/>
      <c r="D56" s="11"/>
      <c r="E56" s="220"/>
      <c r="F56" s="220"/>
      <c r="G56" s="220"/>
      <c r="H56" s="11"/>
      <c r="I56" s="11"/>
      <c r="J56" s="220"/>
      <c r="K56" s="184"/>
      <c r="L56" s="184"/>
      <c r="M56" s="11"/>
      <c r="N56" s="11"/>
      <c r="O56" s="195"/>
      <c r="P56" s="11"/>
      <c r="Q56" s="11"/>
      <c r="R56" s="12"/>
      <c r="S56" s="11"/>
      <c r="T56" s="220"/>
      <c r="U56" s="184"/>
      <c r="V56" s="184"/>
      <c r="W56" s="11"/>
      <c r="X56" s="11"/>
      <c r="Y56" s="220"/>
      <c r="Z56" s="184"/>
      <c r="AA56" s="184"/>
      <c r="AB56" s="11"/>
      <c r="AC56" s="11"/>
      <c r="AD56" s="220"/>
      <c r="AE56" s="184"/>
      <c r="AF56" s="184"/>
      <c r="AG56" s="11"/>
      <c r="AH56" s="11"/>
      <c r="AI56" s="220"/>
      <c r="AJ56" s="184"/>
      <c r="AK56" s="184"/>
      <c r="AL56" s="11"/>
      <c r="AM56" s="11"/>
      <c r="AN56" s="220"/>
      <c r="AO56" s="184"/>
      <c r="AP56" s="184"/>
      <c r="AQ56" s="11"/>
      <c r="AR56" s="11"/>
      <c r="AS56" s="220"/>
      <c r="AT56" s="184"/>
      <c r="AU56" s="184"/>
      <c r="AV56" s="11"/>
      <c r="AW56" s="11"/>
      <c r="AX56" s="220"/>
      <c r="AY56" s="184"/>
      <c r="AZ56" s="184"/>
      <c r="BA56" s="11"/>
      <c r="BB56" s="11"/>
      <c r="BC56" s="220"/>
      <c r="BD56" s="184"/>
      <c r="BE56" s="184"/>
      <c r="BF56" s="11"/>
      <c r="BG56" s="11"/>
      <c r="BH56" s="220"/>
      <c r="BI56" s="184"/>
      <c r="BJ56" s="184"/>
      <c r="BK56" s="184"/>
      <c r="BL56" s="184"/>
      <c r="BM56" s="184"/>
      <c r="BN56" s="184"/>
      <c r="BO56" s="184"/>
      <c r="BP56" s="184"/>
    </row>
    <row r="57">
      <c r="A57" s="228"/>
      <c r="B57" s="240"/>
      <c r="C57" s="11"/>
      <c r="D57" s="11"/>
      <c r="E57" s="220"/>
      <c r="F57" s="220"/>
      <c r="G57" s="220"/>
      <c r="H57" s="11"/>
      <c r="I57" s="11"/>
      <c r="J57" s="220"/>
      <c r="K57" s="184"/>
      <c r="L57" s="184"/>
      <c r="M57" s="11"/>
      <c r="N57" s="11"/>
      <c r="O57" s="195"/>
      <c r="P57" s="11"/>
      <c r="Q57" s="11"/>
      <c r="R57" s="12"/>
      <c r="S57" s="11"/>
      <c r="T57" s="220"/>
      <c r="U57" s="184"/>
      <c r="V57" s="184"/>
      <c r="W57" s="11"/>
      <c r="X57" s="11"/>
      <c r="Y57" s="220"/>
      <c r="Z57" s="184"/>
      <c r="AA57" s="184"/>
      <c r="AB57" s="11"/>
      <c r="AC57" s="11"/>
      <c r="AD57" s="220"/>
      <c r="AE57" s="184"/>
      <c r="AF57" s="184"/>
      <c r="AG57" s="11"/>
      <c r="AH57" s="11"/>
      <c r="AI57" s="220"/>
      <c r="AJ57" s="184"/>
      <c r="AK57" s="184"/>
      <c r="AL57" s="11"/>
      <c r="AM57" s="11"/>
      <c r="AN57" s="220"/>
      <c r="AO57" s="184"/>
      <c r="AP57" s="184"/>
      <c r="AQ57" s="11"/>
      <c r="AR57" s="11"/>
      <c r="AS57" s="220"/>
      <c r="AT57" s="184"/>
      <c r="AU57" s="184"/>
      <c r="AV57" s="11"/>
      <c r="AW57" s="11"/>
      <c r="AX57" s="220"/>
      <c r="AY57" s="184"/>
      <c r="AZ57" s="184"/>
      <c r="BA57" s="11"/>
      <c r="BB57" s="11"/>
      <c r="BC57" s="220"/>
      <c r="BD57" s="184"/>
      <c r="BE57" s="184"/>
      <c r="BF57" s="11"/>
      <c r="BG57" s="11"/>
      <c r="BH57" s="220"/>
      <c r="BI57" s="184"/>
      <c r="BJ57" s="184"/>
      <c r="BK57" s="184"/>
      <c r="BL57" s="184"/>
      <c r="BM57" s="184"/>
      <c r="BN57" s="184"/>
      <c r="BO57" s="184"/>
      <c r="BP57" s="184"/>
    </row>
    <row r="58">
      <c r="A58" s="243" t="s">
        <v>124</v>
      </c>
      <c r="B58" s="240"/>
      <c r="C58" s="11"/>
      <c r="D58" s="11"/>
      <c r="E58" s="220"/>
      <c r="F58" s="220"/>
      <c r="G58" s="220"/>
      <c r="H58" s="11"/>
      <c r="I58" s="11"/>
      <c r="J58" s="220"/>
      <c r="K58" s="184"/>
      <c r="L58" s="184"/>
      <c r="M58" s="11"/>
      <c r="N58" s="11"/>
      <c r="O58" s="195"/>
      <c r="P58" s="11"/>
      <c r="Q58" s="11"/>
      <c r="R58" s="12"/>
      <c r="S58" s="11"/>
      <c r="T58" s="220"/>
      <c r="U58" s="184"/>
      <c r="V58" s="184"/>
      <c r="W58" s="11"/>
      <c r="X58" s="11"/>
      <c r="Y58" s="220"/>
      <c r="Z58" s="184"/>
      <c r="AA58" s="184"/>
      <c r="AB58" s="11"/>
      <c r="AC58" s="11"/>
      <c r="AD58" s="220"/>
      <c r="AE58" s="184"/>
      <c r="AF58" s="184"/>
      <c r="AG58" s="11"/>
      <c r="AH58" s="11"/>
      <c r="AI58" s="220"/>
      <c r="AJ58" s="184"/>
      <c r="AK58" s="184"/>
      <c r="AL58" s="11"/>
      <c r="AM58" s="11"/>
      <c r="AN58" s="220"/>
      <c r="AO58" s="184"/>
      <c r="AP58" s="184"/>
      <c r="AQ58" s="11"/>
      <c r="AR58" s="11"/>
      <c r="AS58" s="220"/>
      <c r="AT58" s="184"/>
      <c r="AU58" s="184"/>
      <c r="AV58" s="11"/>
      <c r="AW58" s="11"/>
      <c r="AX58" s="220"/>
      <c r="AY58" s="184"/>
      <c r="AZ58" s="184"/>
      <c r="BA58" s="11"/>
      <c r="BB58" s="11"/>
      <c r="BC58" s="220"/>
      <c r="BD58" s="184"/>
      <c r="BE58" s="184"/>
      <c r="BF58" s="11"/>
      <c r="BG58" s="11"/>
      <c r="BH58" s="220"/>
      <c r="BI58" s="184"/>
      <c r="BJ58" s="184"/>
      <c r="BK58" s="184"/>
      <c r="BL58" s="184"/>
      <c r="BM58" s="184"/>
      <c r="BN58" s="184"/>
      <c r="BO58" s="184"/>
      <c r="BP58" s="184"/>
    </row>
    <row r="59">
      <c r="A59" s="245" t="str">
        <f>IF( $AW$11 = "再製作", "◼︎ チェスターコート（対応着地：再製作）" &amp;char(10)&amp;"《修正数値》", IF($AW$11 &lt;&gt; "", "◼︎ チェスターコート（対応着地：お直し）" &amp;char(10)&amp;"《修正数値》", ""))</f>
        <v/>
      </c>
      <c r="B59" s="240"/>
      <c r="C59" s="11"/>
      <c r="D59" s="11"/>
      <c r="E59" s="220"/>
      <c r="F59" s="220"/>
      <c r="G59" s="220"/>
      <c r="H59" s="11"/>
      <c r="I59" s="11"/>
      <c r="J59" s="220"/>
      <c r="K59" s="184"/>
      <c r="L59" s="184"/>
      <c r="M59" s="11"/>
      <c r="N59" s="11"/>
      <c r="O59" s="195"/>
      <c r="P59" s="11"/>
      <c r="Q59" s="11"/>
      <c r="R59" s="12"/>
      <c r="S59" s="11"/>
      <c r="T59" s="220"/>
      <c r="U59" s="184"/>
      <c r="V59" s="184"/>
      <c r="W59" s="11"/>
      <c r="X59" s="11"/>
      <c r="Y59" s="220"/>
      <c r="Z59" s="184"/>
      <c r="AA59" s="184"/>
      <c r="AB59" s="11"/>
      <c r="AC59" s="11"/>
      <c r="AD59" s="220"/>
      <c r="AE59" s="184"/>
      <c r="AF59" s="184"/>
      <c r="AG59" s="11"/>
      <c r="AH59" s="11"/>
      <c r="AI59" s="220"/>
      <c r="AJ59" s="184"/>
      <c r="AK59" s="184"/>
      <c r="AL59" s="11"/>
      <c r="AM59" s="11"/>
      <c r="AN59" s="220"/>
      <c r="AO59" s="184"/>
      <c r="AP59" s="184"/>
      <c r="AQ59" s="11"/>
      <c r="AR59" s="11"/>
      <c r="AS59" s="220"/>
      <c r="AT59" s="184"/>
      <c r="AU59" s="184"/>
      <c r="AV59" s="11"/>
      <c r="AW59" s="11"/>
      <c r="AX59" s="220"/>
      <c r="AY59" s="184"/>
      <c r="AZ59" s="184"/>
      <c r="BA59" s="11"/>
      <c r="BB59" s="11"/>
      <c r="BC59" s="220"/>
      <c r="BD59" s="184"/>
      <c r="BE59" s="184"/>
      <c r="BF59" s="11"/>
      <c r="BG59" s="11"/>
      <c r="BH59" s="220"/>
      <c r="BI59" s="184"/>
      <c r="BJ59" s="184"/>
      <c r="BK59" s="184"/>
      <c r="BL59" s="184"/>
      <c r="BM59" s="184"/>
      <c r="BN59" s="184"/>
      <c r="BO59" s="184"/>
      <c r="BP59" s="184"/>
    </row>
    <row r="60">
      <c r="A60" s="228" t="str">
        <f>IFERROR(__xludf.DUMMYFUNCTION("TEXTJOIN(CHAR(10),TRUE,FILTER(ARRAYFORMULA(IF(AX$14:AX72&lt;&gt;"""",AW$14:AW72&amp;"" : ""&amp; AX$14:AX72 &amp;"" cm"","""")), AC$14:AC72 &lt;&gt;""""))"),"")</f>
        <v/>
      </c>
      <c r="B60" s="240"/>
      <c r="C60" s="11"/>
      <c r="D60" s="11"/>
      <c r="E60" s="220"/>
      <c r="F60" s="220"/>
      <c r="G60" s="220"/>
      <c r="H60" s="11"/>
      <c r="I60" s="11"/>
      <c r="J60" s="220"/>
      <c r="K60" s="184"/>
      <c r="L60" s="184"/>
      <c r="M60" s="11"/>
      <c r="N60" s="11"/>
      <c r="O60" s="195"/>
      <c r="P60" s="11"/>
      <c r="Q60" s="11"/>
      <c r="R60" s="12"/>
      <c r="S60" s="11"/>
      <c r="T60" s="220"/>
      <c r="U60" s="184"/>
      <c r="V60" s="184"/>
      <c r="W60" s="11"/>
      <c r="X60" s="11"/>
      <c r="Y60" s="220"/>
      <c r="Z60" s="184"/>
      <c r="AA60" s="184"/>
      <c r="AB60" s="11"/>
      <c r="AC60" s="11"/>
      <c r="AD60" s="220"/>
      <c r="AE60" s="184"/>
      <c r="AF60" s="184"/>
      <c r="AG60" s="11"/>
      <c r="AH60" s="11"/>
      <c r="AI60" s="220"/>
      <c r="AJ60" s="184"/>
      <c r="AK60" s="184"/>
      <c r="AL60" s="11"/>
      <c r="AM60" s="11"/>
      <c r="AN60" s="220"/>
      <c r="AO60" s="184"/>
      <c r="AP60" s="184"/>
      <c r="AQ60" s="11"/>
      <c r="AR60" s="11"/>
      <c r="AS60" s="220"/>
      <c r="AT60" s="184"/>
      <c r="AU60" s="184"/>
      <c r="AV60" s="11"/>
      <c r="AW60" s="11"/>
      <c r="AX60" s="220"/>
      <c r="AY60" s="184"/>
      <c r="AZ60" s="184"/>
      <c r="BA60" s="11"/>
      <c r="BB60" s="11"/>
      <c r="BC60" s="220"/>
      <c r="BD60" s="184"/>
      <c r="BE60" s="184"/>
      <c r="BF60" s="11"/>
      <c r="BG60" s="11"/>
      <c r="BH60" s="220"/>
      <c r="BI60" s="184"/>
      <c r="BJ60" s="184"/>
      <c r="BK60" s="184"/>
      <c r="BL60" s="184"/>
      <c r="BM60" s="184"/>
      <c r="BN60" s="184"/>
      <c r="BO60" s="184"/>
      <c r="BP60" s="184"/>
    </row>
    <row r="61">
      <c r="A61" s="244"/>
      <c r="B61" s="240"/>
      <c r="C61" s="11"/>
      <c r="D61" s="11"/>
      <c r="E61" s="220"/>
      <c r="F61" s="220"/>
      <c r="G61" s="220"/>
      <c r="H61" s="11"/>
      <c r="I61" s="11"/>
      <c r="J61" s="220"/>
      <c r="K61" s="184"/>
      <c r="L61" s="184"/>
      <c r="M61" s="11"/>
      <c r="N61" s="11"/>
      <c r="O61" s="195"/>
      <c r="P61" s="11"/>
      <c r="Q61" s="11"/>
      <c r="R61" s="12"/>
      <c r="S61" s="11"/>
      <c r="T61" s="220"/>
      <c r="U61" s="184"/>
      <c r="V61" s="184"/>
      <c r="W61" s="11"/>
      <c r="X61" s="11"/>
      <c r="Y61" s="220"/>
      <c r="Z61" s="184"/>
      <c r="AA61" s="184"/>
      <c r="AB61" s="11"/>
      <c r="AC61" s="11"/>
      <c r="AD61" s="220"/>
      <c r="AE61" s="184"/>
      <c r="AF61" s="184"/>
      <c r="AG61" s="11"/>
      <c r="AH61" s="11"/>
      <c r="AI61" s="220"/>
      <c r="AJ61" s="184"/>
      <c r="AK61" s="184"/>
      <c r="AL61" s="11"/>
      <c r="AM61" s="11"/>
      <c r="AN61" s="220"/>
      <c r="AO61" s="184"/>
      <c r="AP61" s="184"/>
      <c r="AQ61" s="11"/>
      <c r="AR61" s="11"/>
      <c r="AS61" s="220"/>
      <c r="AT61" s="184"/>
      <c r="AU61" s="184"/>
      <c r="AV61" s="11"/>
      <c r="AW61" s="11"/>
      <c r="AX61" s="220"/>
      <c r="AY61" s="184"/>
      <c r="AZ61" s="184"/>
      <c r="BA61" s="11"/>
      <c r="BB61" s="11"/>
      <c r="BC61" s="220"/>
      <c r="BD61" s="184"/>
      <c r="BE61" s="184"/>
      <c r="BF61" s="11"/>
      <c r="BG61" s="11"/>
      <c r="BH61" s="220"/>
      <c r="BI61" s="184"/>
      <c r="BJ61" s="184"/>
      <c r="BK61" s="184"/>
      <c r="BL61" s="184"/>
      <c r="BM61" s="184"/>
      <c r="BN61" s="184"/>
      <c r="BO61" s="184"/>
      <c r="BP61" s="184"/>
    </row>
    <row r="62">
      <c r="A62" s="228"/>
      <c r="B62" s="240"/>
      <c r="C62" s="11"/>
      <c r="D62" s="11"/>
      <c r="E62" s="220"/>
      <c r="F62" s="220"/>
      <c r="G62" s="220"/>
      <c r="H62" s="11"/>
      <c r="I62" s="11"/>
      <c r="J62" s="220"/>
      <c r="K62" s="184"/>
      <c r="L62" s="184"/>
      <c r="M62" s="11"/>
      <c r="N62" s="11"/>
      <c r="O62" s="195"/>
      <c r="P62" s="11"/>
      <c r="Q62" s="11"/>
      <c r="R62" s="12"/>
      <c r="S62" s="11"/>
      <c r="T62" s="220"/>
      <c r="U62" s="184"/>
      <c r="V62" s="184"/>
      <c r="W62" s="11"/>
      <c r="X62" s="11"/>
      <c r="Y62" s="220"/>
      <c r="Z62" s="184"/>
      <c r="AA62" s="184"/>
      <c r="AB62" s="11"/>
      <c r="AC62" s="11"/>
      <c r="AD62" s="220"/>
      <c r="AE62" s="184"/>
      <c r="AF62" s="184"/>
      <c r="AG62" s="11"/>
      <c r="AH62" s="11"/>
      <c r="AI62" s="220"/>
      <c r="AJ62" s="184"/>
      <c r="AK62" s="184"/>
      <c r="AL62" s="11"/>
      <c r="AM62" s="11"/>
      <c r="AN62" s="220"/>
      <c r="AO62" s="184"/>
      <c r="AP62" s="184"/>
      <c r="AQ62" s="11"/>
      <c r="AR62" s="11"/>
      <c r="AS62" s="220"/>
      <c r="AT62" s="184"/>
      <c r="AU62" s="184"/>
      <c r="AV62" s="11"/>
      <c r="AW62" s="11"/>
      <c r="AX62" s="220"/>
      <c r="AY62" s="184"/>
      <c r="AZ62" s="184"/>
      <c r="BA62" s="11"/>
      <c r="BB62" s="11"/>
      <c r="BC62" s="220"/>
      <c r="BD62" s="184"/>
      <c r="BE62" s="184"/>
      <c r="BF62" s="11"/>
      <c r="BG62" s="11"/>
      <c r="BH62" s="220"/>
      <c r="BI62" s="184"/>
      <c r="BJ62" s="184"/>
      <c r="BK62" s="184"/>
      <c r="BL62" s="184"/>
      <c r="BM62" s="184"/>
      <c r="BN62" s="184"/>
      <c r="BO62" s="184"/>
      <c r="BP62" s="184"/>
    </row>
    <row r="63">
      <c r="A63" s="243" t="s">
        <v>125</v>
      </c>
      <c r="B63" s="240"/>
      <c r="C63" s="11"/>
      <c r="D63" s="11"/>
      <c r="E63" s="220"/>
      <c r="F63" s="220"/>
      <c r="G63" s="220"/>
      <c r="H63" s="11"/>
      <c r="I63" s="11"/>
      <c r="J63" s="220"/>
      <c r="K63" s="184"/>
      <c r="L63" s="184"/>
      <c r="M63" s="11"/>
      <c r="N63" s="11"/>
      <c r="O63" s="195"/>
      <c r="P63" s="11"/>
      <c r="Q63" s="11"/>
      <c r="R63" s="12"/>
      <c r="S63" s="11"/>
      <c r="T63" s="220"/>
      <c r="U63" s="184"/>
      <c r="V63" s="184"/>
      <c r="W63" s="11"/>
      <c r="X63" s="11"/>
      <c r="Y63" s="220"/>
      <c r="Z63" s="184"/>
      <c r="AA63" s="184"/>
      <c r="AB63" s="11"/>
      <c r="AC63" s="11"/>
      <c r="AD63" s="220"/>
      <c r="AE63" s="184"/>
      <c r="AF63" s="184"/>
      <c r="AG63" s="11"/>
      <c r="AH63" s="11"/>
      <c r="AI63" s="220"/>
      <c r="AJ63" s="184"/>
      <c r="AK63" s="184"/>
      <c r="AL63" s="11"/>
      <c r="AM63" s="11"/>
      <c r="AN63" s="220"/>
      <c r="AO63" s="184"/>
      <c r="AP63" s="184"/>
      <c r="AQ63" s="11"/>
      <c r="AR63" s="11"/>
      <c r="AS63" s="220"/>
      <c r="AT63" s="184"/>
      <c r="AU63" s="184"/>
      <c r="AV63" s="11"/>
      <c r="AW63" s="11"/>
      <c r="AX63" s="220"/>
      <c r="AY63" s="184"/>
      <c r="AZ63" s="184"/>
      <c r="BA63" s="11"/>
      <c r="BB63" s="11"/>
      <c r="BC63" s="220"/>
      <c r="BD63" s="184"/>
      <c r="BE63" s="184"/>
      <c r="BF63" s="11"/>
      <c r="BG63" s="11"/>
      <c r="BH63" s="220"/>
      <c r="BI63" s="184"/>
      <c r="BJ63" s="184"/>
      <c r="BK63" s="184"/>
      <c r="BL63" s="184"/>
      <c r="BM63" s="184"/>
      <c r="BN63" s="184"/>
      <c r="BO63" s="184"/>
      <c r="BP63" s="184"/>
    </row>
    <row r="64">
      <c r="A64" s="245" t="str">
        <f>IF( $BB$11 = "再製作", "◼︎ トレンチコート（対応着地：再製作）" &amp;char(10)&amp; "《修正数値》", IF($BB$11 &lt;&gt; "", "◼︎ トレンチコート（対応着地：お直し）" &amp;char(10)&amp; "《修正数値》", ""))</f>
        <v/>
      </c>
      <c r="B64" s="240"/>
      <c r="C64" s="11"/>
      <c r="D64" s="11"/>
      <c r="E64" s="220"/>
      <c r="F64" s="220"/>
      <c r="G64" s="220"/>
      <c r="H64" s="11"/>
      <c r="I64" s="11"/>
      <c r="J64" s="220"/>
      <c r="K64" s="184"/>
      <c r="L64" s="184"/>
      <c r="M64" s="11"/>
      <c r="N64" s="11"/>
      <c r="O64" s="195"/>
      <c r="P64" s="11"/>
      <c r="Q64" s="11"/>
      <c r="R64" s="12"/>
      <c r="S64" s="11"/>
      <c r="T64" s="220"/>
      <c r="U64" s="184"/>
      <c r="V64" s="184"/>
      <c r="W64" s="11"/>
      <c r="X64" s="11"/>
      <c r="Y64" s="220"/>
      <c r="Z64" s="184"/>
      <c r="AA64" s="184"/>
      <c r="AB64" s="11"/>
      <c r="AC64" s="11"/>
      <c r="AD64" s="220"/>
      <c r="AE64" s="184"/>
      <c r="AF64" s="184"/>
      <c r="AG64" s="11"/>
      <c r="AH64" s="11"/>
      <c r="AI64" s="220"/>
      <c r="AJ64" s="184"/>
      <c r="AK64" s="184"/>
      <c r="AL64" s="11"/>
      <c r="AM64" s="11"/>
      <c r="AN64" s="220"/>
      <c r="AO64" s="184"/>
      <c r="AP64" s="184"/>
      <c r="AQ64" s="11"/>
      <c r="AR64" s="11"/>
      <c r="AS64" s="220"/>
      <c r="AT64" s="184"/>
      <c r="AU64" s="184"/>
      <c r="AV64" s="11"/>
      <c r="AW64" s="11"/>
      <c r="AX64" s="220"/>
      <c r="AY64" s="184"/>
      <c r="AZ64" s="184"/>
      <c r="BA64" s="11"/>
      <c r="BB64" s="11"/>
      <c r="BC64" s="220"/>
      <c r="BD64" s="184"/>
      <c r="BE64" s="184"/>
      <c r="BF64" s="11"/>
      <c r="BG64" s="11"/>
      <c r="BH64" s="220"/>
      <c r="BI64" s="184"/>
      <c r="BJ64" s="184"/>
      <c r="BK64" s="184"/>
      <c r="BL64" s="184"/>
      <c r="BM64" s="184"/>
      <c r="BN64" s="184"/>
      <c r="BO64" s="184"/>
      <c r="BP64" s="184"/>
    </row>
    <row r="65">
      <c r="A65" s="228" t="str">
        <f>IFERROR(__xludf.DUMMYFUNCTION("TEXTJOIN(CHAR(10),TRUE,FILTER(ARRAYFORMULA(IF(BC$14:BC72&lt;&gt;"""",BB$14:BB72&amp;"" : ""&amp; BC$14:BC72 &amp;"" cm"","""")), BB$14:BB72 &lt;&gt;""""))"),"")</f>
        <v/>
      </c>
      <c r="B65" s="240"/>
      <c r="C65" s="11"/>
      <c r="D65" s="11"/>
      <c r="E65" s="220"/>
      <c r="F65" s="220"/>
      <c r="G65" s="220"/>
      <c r="H65" s="11"/>
      <c r="I65" s="11"/>
      <c r="J65" s="220"/>
      <c r="K65" s="184"/>
      <c r="L65" s="184"/>
      <c r="M65" s="11"/>
      <c r="N65" s="11"/>
      <c r="O65" s="195"/>
      <c r="P65" s="11"/>
      <c r="Q65" s="11"/>
      <c r="R65" s="12"/>
      <c r="S65" s="11"/>
      <c r="T65" s="220"/>
      <c r="U65" s="184"/>
      <c r="V65" s="184"/>
      <c r="W65" s="11"/>
      <c r="X65" s="11"/>
      <c r="Y65" s="220"/>
      <c r="Z65" s="184"/>
      <c r="AA65" s="184"/>
      <c r="AB65" s="11"/>
      <c r="AC65" s="11"/>
      <c r="AD65" s="220"/>
      <c r="AE65" s="184"/>
      <c r="AF65" s="184"/>
      <c r="AG65" s="11"/>
      <c r="AH65" s="11"/>
      <c r="AI65" s="220"/>
      <c r="AJ65" s="184"/>
      <c r="AK65" s="184"/>
      <c r="AL65" s="11"/>
      <c r="AM65" s="11"/>
      <c r="AN65" s="220"/>
      <c r="AO65" s="184"/>
      <c r="AP65" s="184"/>
      <c r="AQ65" s="11"/>
      <c r="AR65" s="11"/>
      <c r="AS65" s="220"/>
      <c r="AT65" s="184"/>
      <c r="AU65" s="184"/>
      <c r="AV65" s="11"/>
      <c r="AW65" s="11"/>
      <c r="AX65" s="220"/>
      <c r="AY65" s="184"/>
      <c r="AZ65" s="184"/>
      <c r="BA65" s="11"/>
      <c r="BB65" s="11"/>
      <c r="BC65" s="220"/>
      <c r="BD65" s="184"/>
      <c r="BE65" s="184"/>
      <c r="BF65" s="11"/>
      <c r="BG65" s="11"/>
      <c r="BH65" s="220"/>
      <c r="BI65" s="184"/>
      <c r="BJ65" s="184"/>
      <c r="BK65" s="184"/>
      <c r="BL65" s="184"/>
      <c r="BM65" s="184"/>
      <c r="BN65" s="184"/>
      <c r="BO65" s="184"/>
      <c r="BP65" s="184"/>
    </row>
    <row r="66">
      <c r="A66" s="244"/>
      <c r="B66" s="240"/>
      <c r="C66" s="11"/>
      <c r="D66" s="11"/>
      <c r="E66" s="220"/>
      <c r="F66" s="220"/>
      <c r="G66" s="220"/>
      <c r="H66" s="11"/>
      <c r="I66" s="11"/>
      <c r="J66" s="220"/>
      <c r="K66" s="184"/>
      <c r="L66" s="184"/>
      <c r="M66" s="11"/>
      <c r="N66" s="11"/>
      <c r="O66" s="195"/>
      <c r="P66" s="11"/>
      <c r="Q66" s="11"/>
      <c r="R66" s="12"/>
      <c r="S66" s="11"/>
      <c r="T66" s="220"/>
      <c r="U66" s="184"/>
      <c r="V66" s="184"/>
      <c r="W66" s="11"/>
      <c r="X66" s="11"/>
      <c r="Y66" s="220"/>
      <c r="Z66" s="184"/>
      <c r="AA66" s="184"/>
      <c r="AB66" s="11"/>
      <c r="AC66" s="11"/>
      <c r="AD66" s="220"/>
      <c r="AE66" s="184"/>
      <c r="AF66" s="184"/>
      <c r="AG66" s="11"/>
      <c r="AH66" s="11"/>
      <c r="AI66" s="220"/>
      <c r="AJ66" s="184"/>
      <c r="AK66" s="184"/>
      <c r="AL66" s="11"/>
      <c r="AM66" s="11"/>
      <c r="AN66" s="220"/>
      <c r="AO66" s="184"/>
      <c r="AP66" s="184"/>
      <c r="AQ66" s="11"/>
      <c r="AR66" s="11"/>
      <c r="AS66" s="220"/>
      <c r="AT66" s="184"/>
      <c r="AU66" s="184"/>
      <c r="AV66" s="11"/>
      <c r="AW66" s="11"/>
      <c r="AX66" s="220"/>
      <c r="AY66" s="184"/>
      <c r="AZ66" s="184"/>
      <c r="BA66" s="11"/>
      <c r="BB66" s="11"/>
      <c r="BC66" s="220"/>
      <c r="BD66" s="184"/>
      <c r="BE66" s="184"/>
      <c r="BF66" s="11"/>
      <c r="BG66" s="11"/>
      <c r="BH66" s="220"/>
      <c r="BI66" s="184"/>
      <c r="BJ66" s="184"/>
      <c r="BK66" s="184"/>
      <c r="BL66" s="184"/>
      <c r="BM66" s="184"/>
      <c r="BN66" s="184"/>
      <c r="BO66" s="184"/>
      <c r="BP66" s="184"/>
    </row>
    <row r="67">
      <c r="A67" s="228"/>
      <c r="B67" s="240"/>
      <c r="C67" s="11"/>
      <c r="D67" s="11"/>
      <c r="E67" s="220"/>
      <c r="F67" s="220"/>
      <c r="G67" s="220"/>
      <c r="H67" s="11"/>
      <c r="I67" s="11"/>
      <c r="J67" s="220"/>
      <c r="K67" s="184"/>
      <c r="L67" s="184"/>
      <c r="M67" s="11"/>
      <c r="N67" s="11"/>
      <c r="O67" s="195"/>
      <c r="P67" s="11"/>
      <c r="Q67" s="11"/>
      <c r="R67" s="12"/>
      <c r="S67" s="11"/>
      <c r="T67" s="220"/>
      <c r="U67" s="184"/>
      <c r="V67" s="184"/>
      <c r="W67" s="11"/>
      <c r="X67" s="11"/>
      <c r="Y67" s="220"/>
      <c r="Z67" s="184"/>
      <c r="AA67" s="184"/>
      <c r="AB67" s="11"/>
      <c r="AC67" s="11"/>
      <c r="AD67" s="220"/>
      <c r="AE67" s="184"/>
      <c r="AF67" s="184"/>
      <c r="AG67" s="11"/>
      <c r="AH67" s="11"/>
      <c r="AI67" s="220"/>
      <c r="AJ67" s="184"/>
      <c r="AK67" s="184"/>
      <c r="AL67" s="11"/>
      <c r="AM67" s="11"/>
      <c r="AN67" s="220"/>
      <c r="AO67" s="184"/>
      <c r="AP67" s="184"/>
      <c r="AQ67" s="11"/>
      <c r="AR67" s="11"/>
      <c r="AS67" s="220"/>
      <c r="AT67" s="184"/>
      <c r="AU67" s="184"/>
      <c r="AV67" s="11"/>
      <c r="AW67" s="11"/>
      <c r="AX67" s="220"/>
      <c r="AY67" s="184"/>
      <c r="AZ67" s="184"/>
      <c r="BA67" s="11"/>
      <c r="BB67" s="11"/>
      <c r="BC67" s="220"/>
      <c r="BD67" s="184"/>
      <c r="BE67" s="184"/>
      <c r="BF67" s="11"/>
      <c r="BG67" s="11"/>
      <c r="BH67" s="220"/>
      <c r="BI67" s="184"/>
      <c r="BJ67" s="184"/>
      <c r="BK67" s="184"/>
      <c r="BL67" s="184"/>
      <c r="BM67" s="184"/>
      <c r="BN67" s="184"/>
      <c r="BO67" s="184"/>
      <c r="BP67" s="184"/>
    </row>
    <row r="68">
      <c r="A68" s="243" t="s">
        <v>126</v>
      </c>
      <c r="B68" s="240"/>
      <c r="C68" s="11"/>
      <c r="D68" s="11"/>
      <c r="E68" s="220"/>
      <c r="F68" s="220"/>
      <c r="G68" s="220"/>
      <c r="H68" s="11"/>
      <c r="I68" s="11"/>
      <c r="J68" s="220"/>
      <c r="K68" s="184"/>
      <c r="L68" s="184"/>
      <c r="M68" s="11"/>
      <c r="N68" s="11"/>
      <c r="O68" s="195"/>
      <c r="P68" s="11"/>
      <c r="Q68" s="11"/>
      <c r="R68" s="12"/>
      <c r="S68" s="11"/>
      <c r="T68" s="220"/>
      <c r="U68" s="184"/>
      <c r="V68" s="184"/>
      <c r="W68" s="11"/>
      <c r="X68" s="11"/>
      <c r="Y68" s="220"/>
      <c r="Z68" s="184"/>
      <c r="AA68" s="184"/>
      <c r="AB68" s="11"/>
      <c r="AC68" s="11"/>
      <c r="AD68" s="220"/>
      <c r="AE68" s="184"/>
      <c r="AF68" s="184"/>
      <c r="AG68" s="11"/>
      <c r="AH68" s="11"/>
      <c r="AI68" s="220"/>
      <c r="AJ68" s="184"/>
      <c r="AK68" s="184"/>
      <c r="AL68" s="11"/>
      <c r="AM68" s="11"/>
      <c r="AN68" s="220"/>
      <c r="AO68" s="184"/>
      <c r="AP68" s="184"/>
      <c r="AQ68" s="11"/>
      <c r="AR68" s="11"/>
      <c r="AS68" s="220"/>
      <c r="AT68" s="184"/>
      <c r="AU68" s="184"/>
      <c r="AV68" s="11"/>
      <c r="AW68" s="11"/>
      <c r="AX68" s="220"/>
      <c r="AY68" s="184"/>
      <c r="AZ68" s="184"/>
      <c r="BA68" s="11"/>
      <c r="BB68" s="11"/>
      <c r="BC68" s="220"/>
      <c r="BD68" s="184"/>
      <c r="BE68" s="184"/>
      <c r="BF68" s="11"/>
      <c r="BG68" s="11"/>
      <c r="BH68" s="220"/>
      <c r="BI68" s="184"/>
      <c r="BJ68" s="184"/>
      <c r="BK68" s="184"/>
      <c r="BL68" s="184"/>
      <c r="BM68" s="184"/>
      <c r="BN68" s="184"/>
      <c r="BO68" s="184"/>
      <c r="BP68" s="184"/>
    </row>
    <row r="69">
      <c r="A69" s="245" t="str">
        <f>IF( $BG$11 = "再製作", "◼︎ フーデッドコート（対応着地：再製作）"&amp;char(10)&amp;"《修正数値》", IF($BG$11 &lt;&gt; "", "◼︎ フーデッドコート（対応着地：お直し）"&amp;char(10)&amp;"《修正数値》", ""))</f>
        <v/>
      </c>
      <c r="B69" s="240"/>
      <c r="C69" s="11"/>
      <c r="D69" s="11"/>
      <c r="E69" s="220"/>
      <c r="F69" s="220"/>
      <c r="G69" s="220"/>
      <c r="H69" s="11"/>
      <c r="I69" s="11"/>
      <c r="J69" s="220"/>
      <c r="K69" s="184"/>
      <c r="L69" s="184"/>
      <c r="M69" s="11"/>
      <c r="N69" s="11"/>
      <c r="O69" s="195"/>
      <c r="P69" s="11"/>
      <c r="Q69" s="11"/>
      <c r="R69" s="12"/>
      <c r="S69" s="11"/>
      <c r="T69" s="220"/>
      <c r="U69" s="184"/>
      <c r="V69" s="184"/>
      <c r="W69" s="11"/>
      <c r="X69" s="11"/>
      <c r="Y69" s="220"/>
      <c r="Z69" s="184"/>
      <c r="AA69" s="184"/>
      <c r="AB69" s="11"/>
      <c r="AC69" s="11"/>
      <c r="AD69" s="220"/>
      <c r="AE69" s="184"/>
      <c r="AF69" s="184"/>
      <c r="AG69" s="11"/>
      <c r="AH69" s="11"/>
      <c r="AI69" s="220"/>
      <c r="AJ69" s="184"/>
      <c r="AK69" s="184"/>
      <c r="AL69" s="11"/>
      <c r="AM69" s="11"/>
      <c r="AN69" s="220"/>
      <c r="AO69" s="184"/>
      <c r="AP69" s="184"/>
      <c r="AQ69" s="11"/>
      <c r="AR69" s="11"/>
      <c r="AS69" s="220"/>
      <c r="AT69" s="184"/>
      <c r="AU69" s="184"/>
      <c r="AV69" s="11"/>
      <c r="AW69" s="11"/>
      <c r="AX69" s="220"/>
      <c r="AY69" s="184"/>
      <c r="AZ69" s="184"/>
      <c r="BA69" s="11"/>
      <c r="BB69" s="11"/>
      <c r="BC69" s="220"/>
      <c r="BD69" s="184"/>
      <c r="BE69" s="184"/>
      <c r="BF69" s="11"/>
      <c r="BG69" s="11"/>
      <c r="BH69" s="220"/>
      <c r="BI69" s="184"/>
      <c r="BJ69" s="184"/>
      <c r="BK69" s="184"/>
      <c r="BL69" s="184"/>
      <c r="BM69" s="184"/>
      <c r="BN69" s="184"/>
      <c r="BO69" s="184"/>
      <c r="BP69" s="184"/>
    </row>
    <row r="70">
      <c r="A70" s="228" t="str">
        <f>IFERROR(__xludf.DUMMYFUNCTION("TEXTJOIN(CHAR(10),TRUE,FILTER(ARRAYFORMULA(IF(BH$14:BH72&lt;&gt;"""",BG$14:BG72&amp;"" : ""&amp; BH$14:BH72 &amp;"" cm"","""")), BG$14:BG72 &lt;&gt;""""))"),"")</f>
        <v/>
      </c>
      <c r="B70" s="240"/>
      <c r="C70" s="11"/>
      <c r="D70" s="11"/>
      <c r="E70" s="220"/>
      <c r="F70" s="220"/>
      <c r="G70" s="220"/>
      <c r="H70" s="11"/>
      <c r="I70" s="11"/>
      <c r="J70" s="220"/>
      <c r="K70" s="184"/>
      <c r="L70" s="184"/>
      <c r="M70" s="11"/>
      <c r="N70" s="11"/>
      <c r="O70" s="195"/>
      <c r="P70" s="11"/>
      <c r="Q70" s="11"/>
      <c r="R70" s="12"/>
      <c r="S70" s="11"/>
      <c r="T70" s="220"/>
      <c r="U70" s="184"/>
      <c r="V70" s="184"/>
      <c r="W70" s="11"/>
      <c r="X70" s="11"/>
      <c r="Y70" s="220"/>
      <c r="Z70" s="184"/>
      <c r="AA70" s="184"/>
      <c r="AB70" s="11"/>
      <c r="AC70" s="11"/>
      <c r="AD70" s="220"/>
      <c r="AE70" s="184"/>
      <c r="AF70" s="184"/>
      <c r="AG70" s="11"/>
      <c r="AH70" s="11"/>
      <c r="AI70" s="220"/>
      <c r="AJ70" s="184"/>
      <c r="AK70" s="184"/>
      <c r="AL70" s="11"/>
      <c r="AM70" s="11"/>
      <c r="AN70" s="220"/>
      <c r="AO70" s="184"/>
      <c r="AP70" s="184"/>
      <c r="AQ70" s="11"/>
      <c r="AR70" s="11"/>
      <c r="AS70" s="220"/>
      <c r="AT70" s="184"/>
      <c r="AU70" s="184"/>
      <c r="AV70" s="11"/>
      <c r="AW70" s="11"/>
      <c r="AX70" s="220"/>
      <c r="AY70" s="184"/>
      <c r="AZ70" s="184"/>
      <c r="BA70" s="11"/>
      <c r="BB70" s="11"/>
      <c r="BC70" s="220"/>
      <c r="BD70" s="184"/>
      <c r="BE70" s="184"/>
      <c r="BF70" s="11"/>
      <c r="BG70" s="11"/>
      <c r="BH70" s="220"/>
      <c r="BI70" s="184"/>
      <c r="BJ70" s="184"/>
      <c r="BK70" s="184"/>
      <c r="BL70" s="184"/>
      <c r="BM70" s="184"/>
      <c r="BN70" s="184"/>
      <c r="BO70" s="184"/>
      <c r="BP70" s="184"/>
    </row>
    <row r="71">
      <c r="A71" s="244"/>
      <c r="B71" s="240"/>
      <c r="C71" s="11"/>
      <c r="D71" s="11"/>
      <c r="E71" s="220"/>
      <c r="F71" s="220"/>
      <c r="G71" s="220"/>
      <c r="H71" s="11"/>
      <c r="I71" s="11"/>
      <c r="J71" s="220"/>
      <c r="K71" s="184"/>
      <c r="L71" s="184"/>
      <c r="M71" s="11"/>
      <c r="N71" s="11"/>
      <c r="O71" s="195"/>
      <c r="P71" s="11"/>
      <c r="Q71" s="11"/>
      <c r="R71" s="12"/>
      <c r="S71" s="11"/>
      <c r="T71" s="220"/>
      <c r="U71" s="184"/>
      <c r="V71" s="184"/>
      <c r="W71" s="11"/>
      <c r="X71" s="11"/>
      <c r="Y71" s="220"/>
      <c r="Z71" s="184"/>
      <c r="AA71" s="184"/>
      <c r="AB71" s="11"/>
      <c r="AC71" s="11"/>
      <c r="AD71" s="220"/>
      <c r="AE71" s="184"/>
      <c r="AF71" s="184"/>
      <c r="AG71" s="11"/>
      <c r="AH71" s="11"/>
      <c r="AI71" s="220"/>
      <c r="AJ71" s="184"/>
      <c r="AK71" s="184"/>
      <c r="AL71" s="11"/>
      <c r="AM71" s="11"/>
      <c r="AN71" s="220"/>
      <c r="AO71" s="184"/>
      <c r="AP71" s="184"/>
      <c r="AQ71" s="11"/>
      <c r="AR71" s="11"/>
      <c r="AS71" s="220"/>
      <c r="AT71" s="184"/>
      <c r="AU71" s="184"/>
      <c r="AV71" s="11"/>
      <c r="AW71" s="11"/>
      <c r="AX71" s="220"/>
      <c r="AY71" s="184"/>
      <c r="AZ71" s="184"/>
      <c r="BA71" s="11"/>
      <c r="BB71" s="11"/>
      <c r="BC71" s="220"/>
      <c r="BD71" s="184"/>
      <c r="BE71" s="184"/>
      <c r="BF71" s="11"/>
      <c r="BG71" s="11"/>
      <c r="BH71" s="220"/>
      <c r="BI71" s="184"/>
      <c r="BJ71" s="184"/>
      <c r="BK71" s="184"/>
      <c r="BL71" s="184"/>
      <c r="BM71" s="184"/>
      <c r="BN71" s="184"/>
      <c r="BO71" s="184"/>
      <c r="BP71" s="184"/>
    </row>
    <row r="72">
      <c r="A72" s="228"/>
      <c r="B72" s="240"/>
      <c r="C72" s="11"/>
      <c r="D72" s="11"/>
      <c r="E72" s="220"/>
      <c r="F72" s="220"/>
      <c r="G72" s="220"/>
      <c r="H72" s="11"/>
      <c r="I72" s="11"/>
      <c r="J72" s="220"/>
      <c r="K72" s="184"/>
      <c r="L72" s="184"/>
      <c r="M72" s="11"/>
      <c r="N72" s="11"/>
      <c r="O72" s="195"/>
      <c r="P72" s="11"/>
      <c r="Q72" s="11"/>
      <c r="R72" s="12"/>
      <c r="S72" s="11"/>
      <c r="T72" s="220"/>
      <c r="U72" s="184"/>
      <c r="V72" s="184"/>
      <c r="W72" s="11"/>
      <c r="X72" s="11"/>
      <c r="Y72" s="220"/>
      <c r="Z72" s="184"/>
      <c r="AA72" s="184"/>
      <c r="AB72" s="11"/>
      <c r="AC72" s="11"/>
      <c r="AD72" s="220"/>
      <c r="AE72" s="184"/>
      <c r="AF72" s="184"/>
      <c r="AG72" s="11"/>
      <c r="AH72" s="11"/>
      <c r="AI72" s="220"/>
      <c r="AJ72" s="184"/>
      <c r="AK72" s="184"/>
      <c r="AL72" s="11"/>
      <c r="AM72" s="11"/>
      <c r="AN72" s="220"/>
      <c r="AO72" s="184"/>
      <c r="AP72" s="184"/>
      <c r="AQ72" s="11"/>
      <c r="AR72" s="11"/>
      <c r="AS72" s="220"/>
      <c r="AT72" s="184"/>
      <c r="AU72" s="184"/>
      <c r="AV72" s="11"/>
      <c r="AW72" s="11"/>
      <c r="AX72" s="220"/>
      <c r="AY72" s="184"/>
      <c r="AZ72" s="184"/>
      <c r="BA72" s="11"/>
      <c r="BB72" s="11"/>
      <c r="BC72" s="220"/>
      <c r="BD72" s="184"/>
      <c r="BE72" s="184"/>
      <c r="BF72" s="11"/>
      <c r="BG72" s="11"/>
      <c r="BH72" s="220"/>
      <c r="BI72" s="184"/>
      <c r="BJ72" s="184"/>
      <c r="BK72" s="184"/>
      <c r="BL72" s="184"/>
      <c r="BM72" s="184"/>
      <c r="BN72" s="184"/>
      <c r="BO72" s="184"/>
      <c r="BP72" s="184"/>
    </row>
  </sheetData>
  <mergeCells count="1">
    <mergeCell ref="D5:G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75"/>
    <col customWidth="1" min="2" max="2" width="54.38"/>
    <col customWidth="1" min="3" max="3" width="108.63"/>
    <col customWidth="1" min="4" max="4" width="156.13"/>
    <col customWidth="1" min="5" max="5" width="85.13"/>
  </cols>
  <sheetData>
    <row r="1">
      <c r="A1" s="273" t="str">
        <f>IFERROR(__xludf.DUMMYFUNCTION("importrange(""https://docs.google.com/spreadsheets/d/1rlWlvfQRjWUFfFh9paSBRn-92CDmgvSOC6VGQ6lw1n0/edit?gid=1337111964#gid=1337111964"",""CS確認依頼テンプレ!A:E"")"),"項目")</f>
        <v>項目</v>
      </c>
      <c r="B1" s="273" t="str">
        <f>IFERROR(__xludf.DUMMYFUNCTION("""COMPUTED_VALUE"""),"管理メモテンプレ")</f>
        <v>管理メモテンプレ</v>
      </c>
      <c r="C1" s="273" t="str">
        <f>IFERROR(__xludf.DUMMYFUNCTION("""COMPUTED_VALUE"""),"例文")</f>
        <v>例文</v>
      </c>
      <c r="D1" s="273" t="str">
        <f>IFERROR(__xludf.DUMMYFUNCTION("""COMPUTED_VALUE"""),"注意点・CS対応内容")</f>
        <v>注意点・CS対応内容</v>
      </c>
      <c r="E1" s="273" t="str">
        <f>IFERROR(__xludf.DUMMYFUNCTION("""COMPUTED_VALUE"""),"改修案")</f>
        <v>改修案</v>
      </c>
    </row>
    <row r="2">
      <c r="A2" s="273" t="str">
        <f>IFERROR(__xludf.DUMMYFUNCTION("""COMPUTED_VALUE"""),"ベース")</f>
        <v>ベース</v>
      </c>
      <c r="B2" s="273" t="str">
        <f>IFERROR(__xludf.DUMMYFUNCTION("""COMPUTED_VALUE"""),"■CS確認依頼
来店日時：
店舗：
対応者：
【CSに対応してほしい内容】
①
②
③
【確認依頼の経緯】
※時系列順に記載
ex)来店時から温度感高で店頭での対応に苦慮など
【顧客要望】
①
②
③
・連絡方法：メール
※電話対応の場合は店舗から架電お願いします。
【店頭からお客様に伝えた内容】
①
②
③
【店頭対応内部処理】
・ex.発注書作成・再鑑済み
CSからの連絡日目安伝え済み（当日を除く3営業日後の日付）：mm/dd
")</f>
        <v>■CS確認依頼
来店日時：
店舗：
対応者：
【CSに対応してほしい内容】
①
②
③
【確認依頼の経緯】
※時系列順に記載
ex)来店時から温度感高で店頭での対応に苦慮など
【顧客要望】
①
②
③
・連絡方法：メール
※電話対応の場合は店舗から架電お願いします。
【店頭からお客様に伝えた内容】
①
②
③
【店頭対応内部処理】
・ex.発注書作成・再鑑済み
CSからの連絡日目安伝え済み（当日を除く3営業日後の日付）：mm/dd
</v>
      </c>
      <c r="C2" s="273" t="str">
        <f>IFERROR(__xludf.DUMMYFUNCTION("""COMPUTED_VALUE"""),"■CS確認依頼
来店日時：
店舗：
対応者：
【CSに対応してほしい内容】
①
②
③
【確認依頼の経緯】
※時系列順に記載
ex)来店時から温度感高で店頭での対応に苦慮など
【顧客要望】
①
②
③
・連絡方法：メール
※電話対応の場合は店舗から架電お願いします。
【店頭からお客様に伝えた内容】
①
②
③
【店頭対応内部処理】
・ex.発注書作成・再鑑済み
CSからの連絡日目安伝え済み（当日を除く3営業日後の日付）：mm/dd")</f>
        <v>■CS確認依頼
来店日時：
店舗：
対応者：
【CSに対応してほしい内容】
①
②
③
【確認依頼の経緯】
※時系列順に記載
ex)来店時から温度感高で店頭での対応に苦慮など
【顧客要望】
①
②
③
・連絡方法：メール
※電話対応の場合は店舗から架電お願いします。
【店頭からお客様に伝えた内容】
①
②
③
【店頭対応内部処理】
・ex.発注書作成・再鑑済み
CSからの連絡日目安伝え済み（当日を除く3営業日後の日付）：mm/dd</v>
      </c>
      <c r="D2" s="273" t="str">
        <f>IFERROR(__xludf.DUMMYFUNCTION("""COMPUTED_VALUE"""),"
※お伝え漏れ、お伝え間違いなどがあった場合も、必ず記入をお願いします。
※「お客様⇄CS」「お客様⇄コーディネーター」のやり取りで、すれ違いがあると、お客様にブランド自体に不信感を抱かせてしまったり、二次クレームにもなってしまいます。すべて記録をお願いします。
※CS確認依頼は、毎朝10時以降に確認をしています。大急ぎの要件の場合はslackまたはTELでご連絡ください。
!!!重要!!!
・CSに対応してほしいこと、顧客要望、店舗から顧客に伝えたことの3点を抑えて書いていただくようお願いいたし"&amp;"ます！！
・既存である確認依頼のテンプレ以外の内容で、店舗で判断できずにCS確認依頼する際は、「CSに対応してほしい内容」の下に以下の内容を記載お願いいたします。
●店舗で判断できなかった理由")</f>
        <v>
※お伝え漏れ、お伝え間違いなどがあった場合も、必ず記入をお願いします。
※「お客様⇄CS」「お客様⇄コーディネーター」のやり取りで、すれ違いがあると、お客様にブランド自体に不信感を抱かせてしまったり、二次クレームにもなってしまいます。すべて記録をお願いします。
※CS確認依頼は、毎朝10時以降に確認をしています。大急ぎの要件の場合はslackまたはTELでご連絡ください。
!!!重要!!!
・CSに対応してほしいこと、顧客要望、店舗から顧客に伝えたことの3点を抑えて書いていただくようお願いいたします！！
・既存である確認依頼のテンプレ以外の内容で、店舗で判断できずにCS確認依頼する際は、「CSに対応してほしい内容」の下に以下の内容を記載お願いいたします。
●店舗で判断できなかった理由</v>
      </c>
      <c r="E2" s="273" t="str">
        <f>IFERROR(__xludf.DUMMYFUNCTION("""COMPUTED_VALUE"""),"■CS確認依頼
来店日時：
店舗：
対応者：
内容：簡潔に記載
【顧客要望】
①
②
③
・連絡方法：メール／電話
（基本はメールで連絡で連絡だが、どちらかへの強い要望があれば）
【店頭からお客様に伝えた内容】
①
②
③
【店頭対応内部処理】
・ex.発注書作成・再鑑済み
【顧客温度感】
・
・
・
【CSに対応してほしい内容】
①
②
③
")</f>
        <v>■CS確認依頼
来店日時：
店舗：
対応者：
内容：簡潔に記載
【顧客要望】
①
②
③
・連絡方法：メール／電話
（基本はメールで連絡で連絡だが、どちらかへの強い要望があれば）
【店頭からお客様に伝えた内容】
①
②
③
【店頭対応内部処理】
・ex.発注書作成・再鑑済み
【顧客温度感】
・
・
・
【CSに対応してほしい内容】
①
②
③
</v>
      </c>
    </row>
    <row r="3">
      <c r="A3" s="273" t="str">
        <f>IFERROR(__xludf.DUMMYFUNCTION("""COMPUTED_VALUE"""),"修理品納期短縮依頼")</f>
        <v>修理品納期短縮依頼</v>
      </c>
      <c r="B3" s="273" t="str">
        <f>IFERROR(__xludf.DUMMYFUNCTION("""COMPUTED_VALUE"""),"■修理品納期短縮の結果報告依頼
来店日時：
店舗：
対応者：
【確認依頼の前に店舗UXが行うこと】
・#op_productionのワークフローでSCMに納期短縮可否を確認
・確認結果を顧客へ架電でご案内
※繋がらない場合は3回ほど架電お願いします
【CS確認依頼の経緯】
・納期短縮可否の結果を架電したが、3回とも不通のため
【顧客への連絡依頼内容】
・以下お届け予定をメール連絡お願いします
お届け予定：⚪︎⚪︎⚪︎⚪︎年⚪︎月⚪︎日前後
【対象商品】
・対象商品名：
・注文詳細ID：
【顧客要"&amp;"望】
①元々の納期：
②着用予定日：
③希望納期：
④納期短縮希望理由：
・連絡方法：メールのみ
【店頭対応内部処理】
・SCMへ納期確認済み
・発注書作成再鑑・納期入力済み
・TB発送済み
【テーラーバンク到着予定日／追跡番号】
◯月◯日／0000-0000-0000")</f>
        <v>■修理品納期短縮の結果報告依頼
来店日時：
店舗：
対応者：
【確認依頼の前に店舗UXが行うこと】
・#op_productionのワークフローでSCMに納期短縮可否を確認
・確認結果を顧客へ架電でご案内
※繋がらない場合は3回ほど架電お願いします
【CS確認依頼の経緯】
・納期短縮可否の結果を架電したが、3回とも不通のため
【顧客への連絡依頼内容】
・以下お届け予定をメール連絡お願いします
お届け予定：⚪︎⚪︎⚪︎⚪︎年⚪︎月⚪︎日前後
【対象商品】
・対象商品名：
・注文詳細ID：
【顧客要望】
①元々の納期：
②着用予定日：
③希望納期：
④納期短縮希望理由：
・連絡方法：メールのみ
【店頭対応内部処理】
・SCMへ納期確認済み
・発注書作成再鑑・納期入力済み
・TB発送済み
【テーラーバンク到着予定日／追跡番号】
◯月◯日／0000-0000-0000</v>
      </c>
      <c r="C3" s="273" t="str">
        <f>IFERROR(__xludf.DUMMYFUNCTION("""COMPUTED_VALUE"""),"■修理品納期短縮の結果報告依頼
来店日時：
店舗：
対応者：
【確認依頼の前に店舗UXが行うこと】
・#op_productionのワークフローでSCMに納期短縮可否を確認
・確認結果を顧客へ架電でご案内
※繋がらない場合は3回ほど架電お願いします
【CS確認依頼の経緯】
・納期短縮可否の結果を架電したが、3回とも不通のため
【顧客への連絡依頼内容】
・以下お届け予定をメール連絡お願いします
お届け予定：⚪︎⚪︎⚪︎⚪︎年⚪︎月⚪︎日前後
【対象商品】
・対象商品名：
・注文詳細ID：
【顧客要"&amp;"望】
①元々の納期：
②着用予定日：
③希望納期：
④納期短縮希望理由：
・連絡方法：メールのみ
【店頭対応内部処理】
・SCMへ納期確認済み
・発注書作成再鑑・納期入力済み
・TB発送済み
【テーラーバンク到着予定日／追跡番号】
◯月◯日／0000-0000-0000")</f>
        <v>■修理品納期短縮の結果報告依頼
来店日時：
店舗：
対応者：
【確認依頼の前に店舗UXが行うこと】
・#op_productionのワークフローでSCMに納期短縮可否を確認
・確認結果を顧客へ架電でご案内
※繋がらない場合は3回ほど架電お願いします
【CS確認依頼の経緯】
・納期短縮可否の結果を架電したが、3回とも不通のため
【顧客への連絡依頼内容】
・以下お届け予定をメール連絡お願いします
お届け予定：⚪︎⚪︎⚪︎⚪︎年⚪︎月⚪︎日前後
【対象商品】
・対象商品名：
・注文詳細ID：
【顧客要望】
①元々の納期：
②着用予定日：
③希望納期：
④納期短縮希望理由：
・連絡方法：メールのみ
【店頭対応内部処理】
・SCMへ納期確認済み
・発注書作成再鑑・納期入力済み
・TB発送済み
【テーラーバンク到着予定日／追跡番号】
◯月◯日／0000-0000-0000</v>
      </c>
      <c r="D3" s="274" t="str">
        <f>IFERROR(__xludf.DUMMYFUNCTION("""COMPUTED_VALUE"""),"
店舗UX完結のフローへ変更済み
マニュアル：https://www.notion.so/fabric-tokyo/4-21-13b49967a235807d829cc708f45de19a")</f>
        <v>
店舗UX完結のフローへ変更済み
マニュアル：https://www.notion.so/fabric-tokyo/4-21-13b49967a235807d829cc708f45de19a</v>
      </c>
      <c r="E3" s="273" t="str">
        <f>IFERROR(__xludf.DUMMYFUNCTION("""COMPUTED_VALUE"""),"■修理品納期短縮依頼
来店日時：
店舗：
対応者：
【対象商品】
・（オーダーディティールID）
【顧客要望】
①着用予定日：
②希望納期：
③納期短縮希望理由：
・連絡方法：メール
【店頭からお客様に伝えた内容】
①店舗お伝え通常納期：
②CS連絡日時：基本的に3営業日以内、確認に時間がかかる場合は、3営業日超える可能性があることお伝え済み
③ご要望に添えない可能性が高いことをお伝え済み
【店頭対応内部処理】
発注書作成・再鑑済み
TB発送済み
【テーラーバンク到着予定日／追跡番号】
◯月◯日"&amp;"／0000-0000-0000
【顧客温度感】
・
・
・
【CSに対応してほしい内容】
①納期短縮手配
②納期短縮可否/納期連絡")</f>
        <v>■修理品納期短縮依頼
来店日時：
店舗：
対応者：
【対象商品】
・（オーダーディティールID）
【顧客要望】
①着用予定日：
②希望納期：
③納期短縮希望理由：
・連絡方法：メール
【店頭からお客様に伝えた内容】
①店舗お伝え通常納期：
②CS連絡日時：基本的に3営業日以内、確認に時間がかかる場合は、3営業日超える可能性があることお伝え済み
③ご要望に添えない可能性が高いことをお伝え済み
【店頭対応内部処理】
発注書作成・再鑑済み
TB発送済み
【テーラーバンク到着予定日／追跡番号】
◯月◯日／0000-0000-0000
【顧客温度感】
・
・
・
【CSに対応してほしい内容】
①納期短縮手配
②納期短縮可否/納期連絡</v>
      </c>
    </row>
    <row r="4">
      <c r="A4" s="273" t="str">
        <f>IFERROR(__xludf.DUMMYFUNCTION("""COMPUTED_VALUE"""),"縫製クレーム
（※店舗判断不可の場合のみ）")</f>
        <v>縫製クレーム
（※店舗判断不可の場合のみ）</v>
      </c>
      <c r="B4" s="273" t="str">
        <f>IFERROR(__xludf.DUMMYFUNCTION("""COMPUTED_VALUE"""),"■縫製クレーム
来店⽇時：
来店店舗：
担当者：
お直し内容：縫製
お直し保証：適用・適用外
理由：（＊お直し期間外で、お直し保証が適用される場合のみ理由を記載）
残布：有・無（＊破れ・穴あきの場合のみお客様へ要ヒアリング）
【対象商品】※不要項目は削除
商品名：　（注文詳細ID：　）
〈アイテム〉
■縫製①（＊複数ある場合は番号を付ける）
内容：
箇所：
破損要因：
〈アイテム〉
■縫製②（＊複数ある場合は番号を付ける）
内容：
箇所：
破損要因：
■サイズ（変更があれば記載）
サイズ変更した理由："&amp;"
箇所：±○○cm（○○cm仕上がり）
箇所：±○○cm（○○cm仕上がり）
■着用頻度
【顧客要望】
着用予定日：　月　日 or なし
連絡方法：メール
【店頭からお客様に伝えた内容】※不要項目は削除
・3営業日程度でCSから一次連絡、その後、商品が届いてから状態の確認＆対応内容の確定、納期報告に1週間程度かかることをお伝え済み
・CSからご連絡後、3営業日以内に入金をしていただくようお伝え済み
【内部処理】
縫製クレームのため、商品をテーラーバンクに発送いたします
【CSに対応してほしい内容"&amp;"】※不要項目は削除
①修理か再製作か
②決定納期
③費用負担額
上記を顧客へ連絡
※写真あり URL：
#cs確認依頼_縫製関連で投稿したslackのURLを記載
CSからの連絡日目安伝え済み（当日を除く3営業日後の日付）：mm/dd
【顧客温度感】
・
・
【テーラーバンク到着予定日／追跡番号】
　月　日／0000-0000-0000")</f>
        <v>■縫製クレーム
来店⽇時：
来店店舗：
担当者：
お直し内容：縫製
お直し保証：適用・適用外
理由：（＊お直し期間外で、お直し保証が適用される場合のみ理由を記載）
残布：有・無（＊破れ・穴あきの場合のみお客様へ要ヒアリング）
【対象商品】※不要項目は削除
商品名：　（注文詳細ID：　）
〈アイテム〉
■縫製①（＊複数ある場合は番号を付ける）
内容：
箇所：
破損要因：
〈アイテム〉
■縫製②（＊複数ある場合は番号を付ける）
内容：
箇所：
破損要因：
■サイズ（変更があれば記載）
サイズ変更した理由：
箇所：±○○cm（○○cm仕上がり）
箇所：±○○cm（○○cm仕上がり）
■着用頻度
【顧客要望】
着用予定日：　月　日 or なし
連絡方法：メール
【店頭からお客様に伝えた内容】※不要項目は削除
・3営業日程度でCSから一次連絡、その後、商品が届いてから状態の確認＆対応内容の確定、納期報告に1週間程度かかることをお伝え済み
・CSからご連絡後、3営業日以内に入金をしていただくようお伝え済み
【内部処理】
縫製クレームのため、商品をテーラーバンクに発送いたします
【CSに対応してほしい内容】※不要項目は削除
①修理か再製作か
②決定納期
③費用負担額
上記を顧客へ連絡
※写真あり URL：
#cs確認依頼_縫製関連で投稿したslackのURLを記載
CSからの連絡日目安伝え済み（当日を除く3営業日後の日付）：mm/dd
【顧客温度感】
・
・
【テーラーバンク到着予定日／追跡番号】
　月　日／0000-0000-0000</v>
      </c>
      <c r="C4" s="273" t="str">
        <f>IFERROR(__xludf.DUMMYFUNCTION("""COMPUTED_VALUE"""),"■縫製クレーム
来店⽇時：
来店店舗：
担当者：
お直し内容：縫製
お直し保証：適用・適用外
理由：（＊お直し期間外で、お直し保証が適用される場合のみ理由を記載）
残布：有・無（＊破れ・穴あきの場合のみお客様へ要ヒアリング）
【対象商品】※不要項目は削除
商品名：　（注文詳細ID：　）
〈アイテム〉
■縫製①（＊複数ある場合は番号を付ける）
内容：
箇所：
破損要因：
〈アイテム〉
■縫製②（＊複数ある場合は番号を付ける）
内容：
箇所：
破損要因：
■サイズ（変更があれば記載）
サイズ変更した理由："&amp;"
箇所：±○○cm（○○cm仕上がり）
箇所：±○○cm（○○cm仕上がり）
■着用頻度
【顧客要望】
着用予定日：　月　日 or なし
連絡方法：メール
【店頭からお客様に伝えた内容】※不要項目は削除
・3営業日程度でCSから一次連絡、その後、商品が届いてから状態の確認＆対応内容の確定、納期報告に1週間程度かかることをお伝え済み
・CSからご連絡後、3営業日以内に入金をしていただくようお伝え済み
【内部処理】
縫製クレームのため、商品をテーラーバンクに発送いたします
【CSに対応してほしい内容"&amp;"】※不要項目は削除
①修理か再製作か
②決定納期
③費用負担額
上記を顧客へ連絡
※写真あり URL：
#cs確認依頼_縫製関連で投稿したslackのURLを記載
CSからの連絡日目安伝え済み（当日を除く3営業日後の日付）：mm/dd
【顧客温度感】
・
・
【テーラーバンク到着予定日／追跡番号】
　月　日／0000-0000-0000")</f>
        <v>■縫製クレーム
来店⽇時：
来店店舗：
担当者：
お直し内容：縫製
お直し保証：適用・適用外
理由：（＊お直し期間外で、お直し保証が適用される場合のみ理由を記載）
残布：有・無（＊破れ・穴あきの場合のみお客様へ要ヒアリング）
【対象商品】※不要項目は削除
商品名：　（注文詳細ID：　）
〈アイテム〉
■縫製①（＊複数ある場合は番号を付ける）
内容：
箇所：
破損要因：
〈アイテム〉
■縫製②（＊複数ある場合は番号を付ける）
内容：
箇所：
破損要因：
■サイズ（変更があれば記載）
サイズ変更した理由：
箇所：±○○cm（○○cm仕上がり）
箇所：±○○cm（○○cm仕上がり）
■着用頻度
【顧客要望】
着用予定日：　月　日 or なし
連絡方法：メール
【店頭からお客様に伝えた内容】※不要項目は削除
・3営業日程度でCSから一次連絡、その後、商品が届いてから状態の確認＆対応内容の確定、納期報告に1週間程度かかることをお伝え済み
・CSからご連絡後、3営業日以内に入金をしていただくようお伝え済み
【内部処理】
縫製クレームのため、商品をテーラーバンクに発送いたします
【CSに対応してほしい内容】※不要項目は削除
①修理か再製作か
②決定納期
③費用負担額
上記を顧客へ連絡
※写真あり URL：
#cs確認依頼_縫製関連で投稿したslackのURLを記載
CSからの連絡日目安伝え済み（当日を除く3営業日後の日付）：mm/dd
【顧客温度感】
・
・
【テーラーバンク到着予定日／追跡番号】
　月　日／0000-0000-0000</v>
      </c>
      <c r="D4" s="273" t="str">
        <f>IFERROR(__xludf.DUMMYFUNCTION("""COMPUTED_VALUE"""),"#cs確認依頼_縫製関連スラックに下記内容を送る
お客様詳細URL：
Order_detail_ID：
＋写真
↑こちらを送った後にリンクと共にCS確認依頼テンプレを作成してください
※縫製＋サイズ修正があった場合、
　OPEX上では修正サイズの登録が出来ない（未確定で入力の為）
　ので、管理メモに修正サイズを入れる
※縫製のお直しの場合、サポート内でも破損要因が顧客にある場合、納期短縮を依頼されても受けられないです。
そのため、要因の記載をお願いしたいです。")</f>
        <v>#cs確認依頼_縫製関連スラックに下記内容を送る
お客様詳細URL：
Order_detail_ID：
＋写真
↑こちらを送った後にリンクと共にCS確認依頼テンプレを作成してください
※縫製＋サイズ修正があった場合、
　OPEX上では修正サイズの登録が出来ない（未確定で入力の為）
　ので、管理メモに修正サイズを入れる
※縫製のお直しの場合、サポート内でも破損要因が顧客にある場合、納期短縮を依頼されても受けられないです。
そのため、要因の記載をお願いしたいです。</v>
      </c>
      <c r="E4" s="273"/>
    </row>
    <row r="5">
      <c r="A5" s="273" t="str">
        <f>IFERROR(__xludf.DUMMYFUNCTION("""COMPUTED_VALUE"""),"後から配送・スペアスラックス/2本目を完成後にお直ししたい場合")</f>
        <v>後から配送・スペアスラックス/2本目を完成後にお直ししたい場合</v>
      </c>
      <c r="B5" s="273" t="str">
        <f>IFERROR(__xludf.DUMMYFUNCTION("""COMPUTED_VALUE"""),"※お直し来店済み※
来店日時：
店舗：
対応者：
【CSに対応してほしい内容】
・返送フォロー
・決定納期連絡
・2本目（スペアスラックス）のOPEX作成再鑑
・対応方法：再製作／お直し※当てはまるものだけ残してください
理由：商品お預かりなしのため
・お預かりなし理由：　
（例：着用していた為、〇/〇着用予定有の為）
・返送予定：〇/〇以降
【対象商品】
・(注文詳細ID：)
【顧客要望】
・連絡方法：メールのみ
【配送先住所の確認】
■お届け先：ご登録住所／新住所
※注文履歴の住所と異な"&amp;"る場合、配送先住所を以下に記入。変更がない場合は、こちら削除
・〒
・住所
・氏名
・TEL
【お直し内容】※1本目のお直し内容を記載
箇所：±○○cm（○○cm仕上がり）
箇所：±○○cm（○○cm仕上がり）
【店頭からお客様に伝えた内容】
・納期は商品が届き次第確定することをお伝え済み
・『2本目を返送する際はCSにご連絡ください』とお伝え済み
・配送伝票お渡し済み
CSからの連絡日目安伝え済み（当日を除く3営業日後の日付）：mm/dd
【内部処理】
・1本目のOPEX作成再鑑済み
※不要の場"&amp;"合は以下削除
【スペアスラックス/２本目を完成後にお直ししたい場合、1本目のお直し受付IDを記載すること】
・お直し受付ID： ")</f>
        <v>※お直し来店済み※
来店日時：
店舗：
対応者：
【CSに対応してほしい内容】
・返送フォロー
・決定納期連絡
・2本目（スペアスラックス）のOPEX作成再鑑
・対応方法：再製作／お直し※当てはまるものだけ残してください
理由：商品お預かりなしのため
・お預かりなし理由：　
（例：着用していた為、〇/〇着用予定有の為）
・返送予定：〇/〇以降
【対象商品】
・(注文詳細ID：)
【顧客要望】
・連絡方法：メールのみ
【配送先住所の確認】
■お届け先：ご登録住所／新住所
※注文履歴の住所と異なる場合、配送先住所を以下に記入。変更がない場合は、こちら削除
・〒
・住所
・氏名
・TEL
【お直し内容】※1本目のお直し内容を記載
箇所：±○○cm（○○cm仕上がり）
箇所：±○○cm（○○cm仕上がり）
【店頭からお客様に伝えた内容】
・納期は商品が届き次第確定することをお伝え済み
・『2本目を返送する際はCSにご連絡ください』とお伝え済み
・配送伝票お渡し済み
CSからの連絡日目安伝え済み（当日を除く3営業日後の日付）：mm/dd
【内部処理】
・1本目のOPEX作成再鑑済み
※不要の場合は以下削除
【スペアスラックス/２本目を完成後にお直ししたい場合、1本目のお直し受付IDを記載すること】
・お直し受付ID： </v>
      </c>
      <c r="C5" s="273" t="str">
        <f>IFERROR(__xludf.DUMMYFUNCTION("""COMPUTED_VALUE"""),"※お直し来店済み※
来店日時：
店舗：
対応者：
【CSに対応してほしい内容】
・返送フォロー
・決定納期連絡
・2本目（スペアスラックス）のOPEX作成再鑑
・対応方法：再製作／お直し※当てはまるものだけ残してください
理由：商品お預かりなしのため
・お預かりなし理由：　
（例：着用していた為、〇/〇着用予定有の為）
・返送予定：〇/〇以降
【対象商品】
・(注文詳細ID：)
【顧客要望】
・連絡方法：メールのみ
【配送先住所の確認】
■お届け先：ご登録住所／新住所
※注文履歴の住所と異な"&amp;"る場合、配送先住所を以下に記入。変更がない場合は、こちら削除
・〒
・住所
・氏名
・TEL
【お直し内容】※1本目のお直し内容を記載
箇所：±○○cm（○○cm仕上がり）
箇所：±○○cm（○○cm仕上がり）
【店頭からお客様に伝えた内容】
・納期は商品が届き次第確定することをお伝え済み
・『2本目を返送する際はCSにご連絡ください』とお伝え済み
・配送伝票お渡し済み
CSからの連絡日目安伝え済み（当日を除く3営業日後の日付）：mm/dd
【内部処理】
・1本目のOPEX作成再鑑済み
※不要の場"&amp;"合は以下削除
【スペアスラックス/２本目を完成後にお直ししたい場合、1本目のお直し受付IDを記載すること】
・お直し受付ID： ")</f>
        <v>※お直し来店済み※
来店日時：
店舗：
対応者：
【CSに対応してほしい内容】
・返送フォロー
・決定納期連絡
・2本目（スペアスラックス）のOPEX作成再鑑
・対応方法：再製作／お直し※当てはまるものだけ残してください
理由：商品お預かりなしのため
・お預かりなし理由：　
（例：着用していた為、〇/〇着用予定有の為）
・返送予定：〇/〇以降
【対象商品】
・(注文詳細ID：)
【顧客要望】
・連絡方法：メールのみ
【配送先住所の確認】
■お届け先：ご登録住所／新住所
※注文履歴の住所と異なる場合、配送先住所を以下に記入。変更がない場合は、こちら削除
・〒
・住所
・氏名
・TEL
【お直し内容】※1本目のお直し内容を記載
箇所：±○○cm（○○cm仕上がり）
箇所：±○○cm（○○cm仕上がり）
【店頭からお客様に伝えた内容】
・納期は商品が届き次第確定することをお伝え済み
・『2本目を返送する際はCSにご連絡ください』とお伝え済み
・配送伝票お渡し済み
CSからの連絡日目安伝え済み（当日を除く3営業日後の日付）：mm/dd
【内部処理】
・1本目のOPEX作成再鑑済み
※不要の場合は以下削除
【スペアスラックス/２本目を完成後にお直ししたい場合、1本目のお直し受付IDを記載すること】
・お直し受付ID： </v>
      </c>
      <c r="D5" s="273" t="str">
        <f>IFERROR(__xludf.DUMMYFUNCTION("""COMPUTED_VALUE"""),"
【CS対応】
・返送フォローメール
・商品着荷確認後、納期連絡
※発注データの作成再鑑を忘れずに！")</f>
        <v>
【CS対応】
・返送フォローメール
・商品着荷確認後、納期連絡
※発注データの作成再鑑を忘れずに！</v>
      </c>
      <c r="E5" s="273"/>
    </row>
    <row r="6">
      <c r="A6" s="273" t="str">
        <f>IFERROR(__xludf.DUMMYFUNCTION("""COMPUTED_VALUE"""),"返品・返金要望")</f>
        <v>返品・返金要望</v>
      </c>
      <c r="B6" s="273" t="str">
        <f>IFERROR(__xludf.DUMMYFUNCTION("""COMPUTED_VALUE"""),"【返品・返金要望】
来店日時：
店舗：
対応者：
【CSに対応してほしい内容】
・対応方法を顧客へ連絡
【対象商品】
・(注文詳細ID：)
【顧客要望】
・お客様連絡方法：メールのみ
【返金方法について】（※不要な項目は削除）
店舗決済、コンビニ決済の場合：一律口座返金
└口座情報はCSから確認のメールをお送りすることお伝え済
＊EC決済のクレジット・PayPayの場合はベリトランス返金となるため、ご登録のクレジットカード宛／PayPay宛に返金することお伝え済み
【経緯（時系列）/店頭からお"&amp;"客様に伝えた内容】
（１）
（２）
（３）
・CSより対応方法について連絡する旨お伝え
・CS連絡日時：3営業日以内にCSよりご連絡することお伝え済み
【商品預かり有無】
あり/なし
【内部処理】
クレームのため、商品をテーラーバンクに配送いたします
※お直し入庫処理伝票のキャンセル品に丸とリフィルをつけて返送   
伝票番号：
TB到着予定日：
CSからの連絡日目安伝え済み（当日を除く3営業日後の日付）：mm/dd
【補足情報（返品返金でしか対応できない理由・温度感）】
①
②
③")</f>
        <v>【返品・返金要望】
来店日時：
店舗：
対応者：
【CSに対応してほしい内容】
・対応方法を顧客へ連絡
【対象商品】
・(注文詳細ID：)
【顧客要望】
・お客様連絡方法：メールのみ
【返金方法について】（※不要な項目は削除）
店舗決済、コンビニ決済の場合：一律口座返金
└口座情報はCSから確認のメールをお送りすることお伝え済
＊EC決済のクレジット・PayPayの場合はベリトランス返金となるため、ご登録のクレジットカード宛／PayPay宛に返金することお伝え済み
【経緯（時系列）/店頭からお客様に伝えた内容】
（１）
（２）
（３）
・CSより対応方法について連絡する旨お伝え
・CS連絡日時：3営業日以内にCSよりご連絡することお伝え済み
【商品預かり有無】
あり/なし
【内部処理】
クレームのため、商品をテーラーバンクに配送いたします
※お直し入庫処理伝票のキャンセル品に丸とリフィルをつけて返送   
伝票番号：
TB到着予定日：
CSからの連絡日目安伝え済み（当日を除く3営業日後の日付）：mm/dd
【補足情報（返品返金でしか対応できない理由・温度感）】
①
②
③</v>
      </c>
      <c r="C6" s="273" t="str">
        <f>IFERROR(__xludf.DUMMYFUNCTION("""COMPUTED_VALUE"""),"【返品・返金要望】
来店日時：
店舗：
対応者：
【CSに対応してほしい内容】
・対応方法を顧客へ連絡
【対象商品】
・(注文詳細ID：)
【顧客要望】
・お客様連絡方法：メールのみ
【返金方法について】（※不要な項目は削除）
店舗決済、コンビニ決済の場合：一律口座返金
└口座情報はCSから確認のメールをお送りすることお伝え済
＊EC決済のクレジット・PayPayの場合はベリトランス返金となるため、ご登録のクレジットカード宛／PayPay宛に返金することお伝え済み
【経緯（時系列）/店頭からお"&amp;"客様に伝えた内容】
（１）
（２）
（３）
・CSより対応方法について連絡する旨お伝え
・CS連絡日時：3営業日以内にCSよりご連絡することお伝え済み
【商品預かり有無】
あり/なし
【内部処理】
クレームのため、商品をテーラーバンクに配送いたします
※お直し入庫処理伝票のキャンセル品に丸とリフィルをつけて返送   
伝票番号：
TB到着予定日：
CSからの連絡日目安伝え済み（当日を除く3営業日後の日付）：mm/dd
【補足情報（返品返金でしか対応できない理由・温度感）】
①
②
③
")</f>
        <v>【返品・返金要望】
来店日時：
店舗：
対応者：
【CSに対応してほしい内容】
・対応方法を顧客へ連絡
【対象商品】
・(注文詳細ID：)
【顧客要望】
・お客様連絡方法：メールのみ
【返金方法について】（※不要な項目は削除）
店舗決済、コンビニ決済の場合：一律口座返金
└口座情報はCSから確認のメールをお送りすることお伝え済
＊EC決済のクレジット・PayPayの場合はベリトランス返金となるため、ご登録のクレジットカード宛／PayPay宛に返金することお伝え済み
【経緯（時系列）/店頭からお客様に伝えた内容】
（１）
（２）
（３）
・CSより対応方法について連絡する旨お伝え
・CS連絡日時：3営業日以内にCSよりご連絡することお伝え済み
【商品預かり有無】
あり/なし
【内部処理】
クレームのため、商品をテーラーバンクに配送いたします
※お直し入庫処理伝票のキャンセル品に丸とリフィルをつけて返送   
伝票番号：
TB到着予定日：
CSからの連絡日目安伝え済み（当日を除く3営業日後の日付）：mm/dd
【補足情報（返品返金でしか対応できない理由・温度感）】
①
②
③
</v>
      </c>
      <c r="D6" s="273" t="str">
        <f>IFERROR(__xludf.DUMMYFUNCTION("""COMPUTED_VALUE"""),"・サイズが合わない
・縫製が悪い（ほつれやシミなど）
上記の理由で返品・返金を希望された場合は、一度お直しを提案してください
※お直しを提案してもお怒りで顧客が了承しない場合は、CSに対応法確認依頼をお願いします
・ギフトカードの返品・返金希望について
注文から24時間以上経過している場合は、返品・返金できない旨伝えてください
")</f>
        <v>・サイズが合わない
・縫製が悪い（ほつれやシミなど）
上記の理由で返品・返金を希望された場合は、一度お直しを提案してください
※お直しを提案してもお怒りで顧客が了承しない場合は、CSに対応法確認依頼をお願いします
・ギフトカードの返品・返金希望について
注文から24時間以上経過している場合は、返品・返金できない旨伝えてください
</v>
      </c>
      <c r="E6" s="273"/>
    </row>
    <row r="7">
      <c r="A7" s="273" t="str">
        <f>IFERROR(__xludf.DUMMYFUNCTION("""COMPUTED_VALUE"""),"差額ありのお直し・返金版
（生地変更・カスタマイズ変更）")</f>
        <v>差額ありのお直し・返金版
（生地変更・カスタマイズ変更）</v>
      </c>
      <c r="B7" s="273" t="str">
        <f>IFERROR(__xludf.DUMMYFUNCTION("""COMPUTED_VALUE"""),"差額ありのお直し・返金版（生地変更・カスタマイズ変更）※お直し来店済み※
来店日時：
店舗：
対応者：
【CSに対応してほしい内容】
以下より案内内容選択
・返金先口座ヒアリング案内（店舗決済時）/クレジットカードへ返金完了案内（EC決済時）
【変更内容】
カスタマイズ変更あり（無しの場合削除）
品切れのため生地変更（無しの場合削除）
【カスタマイズ変更】
変更前：生地ID・商品名（生地の金額）
変更後：生地ID・商品名（生地の金額）
【対象商品】
カスタマイズ：　　　→　　（±◯◯◯◯円）
カス"&amp;"タマイズ：　　　→　　（±◯◯◯◯円）
返金金額合計：◯◯円
※他注文番号でお直しがある場合は、注文番号の記載をお願いします。
CSからの連絡日目安伝え済み（当日を除く3営業日後の日付）：mm/dd
【顧客要望】
・連絡方法：メール
【店頭からお客様に伝えた内容】
以下①〜③から概要項目を選択
①店舗決済返金の場合
・お客様のご指定の口座へ返金になる旨お伝え済み
・CSよりご返金口座について確認のメール／電話をする旨伝え済み
②ECカード決済返金の場合
・ご登録のクレジットカードに返金
③E"&amp;"Cコンビニ決済返金場合
・CSよりご返金口座について確認のメール／電話をする旨伝え済み
・納期は店頭でお伝え済み
・お直し内容設定に納期、生地、カスタマイズ変更を入力し、発注データ作成・再鑑済み")</f>
        <v>差額ありのお直し・返金版（生地変更・カスタマイズ変更）※お直し来店済み※
来店日時：
店舗：
対応者：
【CSに対応してほしい内容】
以下より案内内容選択
・返金先口座ヒアリング案内（店舗決済時）/クレジットカードへ返金完了案内（EC決済時）
【変更内容】
カスタマイズ変更あり（無しの場合削除）
品切れのため生地変更（無しの場合削除）
【カスタマイズ変更】
変更前：生地ID・商品名（生地の金額）
変更後：生地ID・商品名（生地の金額）
【対象商品】
カスタマイズ：　　　→　　（±◯◯◯◯円）
カスタマイズ：　　　→　　（±◯◯◯◯円）
返金金額合計：◯◯円
※他注文番号でお直しがある場合は、注文番号の記載をお願いします。
CSからの連絡日目安伝え済み（当日を除く3営業日後の日付）：mm/dd
【顧客要望】
・連絡方法：メール
【店頭からお客様に伝えた内容】
以下①〜③から概要項目を選択
①店舗決済返金の場合
・お客様のご指定の口座へ返金になる旨お伝え済み
・CSよりご返金口座について確認のメール／電話をする旨伝え済み
②ECカード決済返金の場合
・ご登録のクレジットカードに返金
③ECコンビニ決済返金場合
・CSよりご返金口座について確認のメール／電話をする旨伝え済み
・納期は店頭でお伝え済み
・お直し内容設定に納期、生地、カスタマイズ変更を入力し、発注データ作成・再鑑済み</v>
      </c>
      <c r="C7" s="273" t="str">
        <f>IFERROR(__xludf.DUMMYFUNCTION("""COMPUTED_VALUE"""),"差額ありのお直し・返金版（生地変更・カスタマイズ変更）※お直し来店済み※
来店日時：
店舗：
対応者：
【CSに対応してほしい内容】
以下より案内内容選択
・返金先口座ヒアリング案内（店舗決済時）/クレジットカードへ返金完了案内（EC決済時）
【変更内容】
カスタマイズ変更あり（無しの場合削除）
品切れのため生地変更（無しの場合削除）
【カスタマイズ変更】
変更前：生地ID・商品名（生地の金額）
変更後：生地ID・商品名（生地の金額）
【対象商品】
カスタマイズ：　　　→　　（±◯◯◯◯円）
カス"&amp;"タマイズ：　　　→　　（±◯◯◯◯円）
返金金額合計：◯◯円
※他注文番号でお直しがある場合は、注文番号の記載をお願いします。
CSからの連絡日目安伝え済み（当日を除く3営業日後の日付）：mm/dd
【顧客要望】
・連絡方法：メール
【店頭からお客様に伝えた内容】
以下①〜③から概要項目を選択
①店舗決済返金の場合
・お客様のご指定の口座へ返金になる旨お伝え済み
・CSよりご返金口座について確認のメール／電話をする旨伝え済み
②ECカード決済返金の場合
・ご登録のクレジットカードに返金
③E"&amp;"Cコンビニ決済返金場合
・CSよりご返金口座について確認のメール／電話をする旨伝え済み
・納期は店頭でお伝え済み
・お直し内容設定に納期、生地、カスタマイズ変更を入力し、発注データ作成・再鑑済み")</f>
        <v>差額ありのお直し・返金版（生地変更・カスタマイズ変更）※お直し来店済み※
来店日時：
店舗：
対応者：
【CSに対応してほしい内容】
以下より案内内容選択
・返金先口座ヒアリング案内（店舗決済時）/クレジットカードへ返金完了案内（EC決済時）
【変更内容】
カスタマイズ変更あり（無しの場合削除）
品切れのため生地変更（無しの場合削除）
【カスタマイズ変更】
変更前：生地ID・商品名（生地の金額）
変更後：生地ID・商品名（生地の金額）
【対象商品】
カスタマイズ：　　　→　　（±◯◯◯◯円）
カスタマイズ：　　　→　　（±◯◯◯◯円）
返金金額合計：◯◯円
※他注文番号でお直しがある場合は、注文番号の記載をお願いします。
CSからの連絡日目安伝え済み（当日を除く3営業日後の日付）：mm/dd
【顧客要望】
・連絡方法：メール
【店頭からお客様に伝えた内容】
以下①〜③から概要項目を選択
①店舗決済返金の場合
・お客様のご指定の口座へ返金になる旨お伝え済み
・CSよりご返金口座について確認のメール／電話をする旨伝え済み
②ECカード決済返金の場合
・ご登録のクレジットカードに返金
③ECコンビニ決済返金場合
・CSよりご返金口座について確認のメール／電話をする旨伝え済み
・納期は店頭でお伝え済み
・お直し内容設定に納期、生地、カスタマイズ変更を入力し、発注データ作成・再鑑済み</v>
      </c>
      <c r="D7" s="273" t="str">
        <f>IFERROR(__xludf.DUMMYFUNCTION("""COMPUTED_VALUE"""),"
")</f>
        <v>
</v>
      </c>
      <c r="E7" s="273"/>
    </row>
    <row r="8">
      <c r="A8" s="273" t="str">
        <f>IFERROR(__xludf.DUMMYFUNCTION("""COMPUTED_VALUE"""),"差額ありのお直し・請求版
（生地変更・カスタマイズ変更）")</f>
        <v>差額ありのお直し・請求版
（生地変更・カスタマイズ変更）</v>
      </c>
      <c r="B8" s="273" t="str">
        <f>IFERROR(__xludf.DUMMYFUNCTION("""COMPUTED_VALUE"""),"店舗で対応可能")</f>
        <v>店舗で対応可能</v>
      </c>
      <c r="C8" s="273" t="str">
        <f>IFERROR(__xludf.DUMMYFUNCTION("""COMPUTED_VALUE"""),"店舗で対応可能")</f>
        <v>店舗で対応可能</v>
      </c>
      <c r="D8" s="274" t="str">
        <f>IFERROR(__xludf.DUMMYFUNCTION("""COMPUTED_VALUE"""),"
店舗で管理ツールより請求ができます
https://www.notion.so/fabric-tokyo/1d549967a23580108c1fc2db165ab179")</f>
        <v>
店舗で管理ツールより請求ができます
https://www.notion.so/fabric-tokyo/1d549967a23580108c1fc2db165ab179</v>
      </c>
      <c r="E8" s="273"/>
    </row>
    <row r="9">
      <c r="A9" s="273" t="str">
        <f>IFERROR(__xludf.DUMMYFUNCTION("""COMPUTED_VALUE"""),"既製品返品返金・交換希望")</f>
        <v>既製品返品返金・交換希望</v>
      </c>
      <c r="B9" s="273" t="str">
        <f>IFERROR(__xludf.DUMMYFUNCTION("""COMPUTED_VALUE"""),"【既製品返品返金・交換要望】　　※不要な項目は削除
来店日時：
店舗：
対応者：
【CSに対応してほしい内容】
・対応方法を顧客へ連絡
【再注文状況】
「ご注文番号：〇〇〇〇」で再注文済／再注文なし←　※不要な項目は削除
【対象商品】
・(注文詳細ID：)
【顧客要望】
・サイズを◯から◯に交換したい
・◯◯なので返品したい
・お客様連絡方法：メール
【経緯（時系列）/店頭からお客様に伝えた内容】
（１）
（２）
（３）
・CSより対応方法について連絡する旨お伝え
・CS連絡日時：3営業日以内"&amp;"にCSよりご連絡することお伝え済み
CSからの連絡日目安伝え済み（当日を除く3営業日後の日付）：mm/dd
【商品預かり有無】
【補足情報（返品返金でしか対応できない理由・温度感）】
①
②
③")</f>
        <v>【既製品返品返金・交換要望】　　※不要な項目は削除
来店日時：
店舗：
対応者：
【CSに対応してほしい内容】
・対応方法を顧客へ連絡
【再注文状況】
「ご注文番号：〇〇〇〇」で再注文済／再注文なし←　※不要な項目は削除
【対象商品】
・(注文詳細ID：)
【顧客要望】
・サイズを◯から◯に交換したい
・◯◯なので返品したい
・お客様連絡方法：メール
【経緯（時系列）/店頭からお客様に伝えた内容】
（１）
（２）
（３）
・CSより対応方法について連絡する旨お伝え
・CS連絡日時：3営業日以内にCSよりご連絡することお伝え済み
CSからの連絡日目安伝え済み（当日を除く3営業日後の日付）：mm/dd
【商品預かり有無】
【補足情報（返品返金でしか対応できない理由・温度感）】
①
②
③</v>
      </c>
      <c r="C9" s="273" t="str">
        <f>IFERROR(__xludf.DUMMYFUNCTION("""COMPUTED_VALUE"""),"【既製品返品返金・交換要望】　　※不要な項目は削除
来店日時：
店舗：
対応者：
【CSに対応してほしい内容】
・対応方法を顧客へ連絡
【再注文状況】
「ご注文番号：〇〇〇〇」で再注文済／再注文なし←　※不要な項目は削除
【対象商品】
・(注文詳細ID：)
【顧客要望】
・サイズを◯から◯に交換したい
・◯◯なので返品したい
・お客様連絡方法：メール
【経緯（時系列）/店頭からお客様に伝えた内容】
（１）
（２）
（３）
・CSより対応方法について連絡する旨お伝え
・CS連絡日時：3営業日以内"&amp;"にCSよりご連絡することお伝え済み
CSからの連絡日目安伝え済み（当日を除く3営業日後の日付）：mm/dd
【商品預かり有無】
【補足情報（返品返金でしか対応できない理由・温度感）】
①
②
③")</f>
        <v>【既製品返品返金・交換要望】　　※不要な項目は削除
来店日時：
店舗：
対応者：
【CSに対応してほしい内容】
・対応方法を顧客へ連絡
【再注文状況】
「ご注文番号：〇〇〇〇」で再注文済／再注文なし←　※不要な項目は削除
【対象商品】
・(注文詳細ID：)
【顧客要望】
・サイズを◯から◯に交換したい
・◯◯なので返品したい
・お客様連絡方法：メール
【経緯（時系列）/店頭からお客様に伝えた内容】
（１）
（２）
（３）
・CSより対応方法について連絡する旨お伝え
・CS連絡日時：3営業日以内にCSよりご連絡することお伝え済み
CSからの連絡日目安伝え済み（当日を除く3営業日後の日付）：mm/dd
【商品預かり有無】
【補足情報（返品返金でしか対応できない理由・温度感）】
①
②
③</v>
      </c>
      <c r="D9" s="273"/>
      <c r="E9" s="273"/>
    </row>
    <row r="10">
      <c r="A10" s="273" t="str">
        <f>IFERROR(__xludf.DUMMYFUNCTION("""COMPUTED_VALUE"""),"個人情報削除依頼")</f>
        <v>個人情報削除依頼</v>
      </c>
      <c r="B10" s="273" t="str">
        <f>IFERROR(__xludf.DUMMYFUNCTION("""COMPUTED_VALUE"""),"※ストアマネージャー在籍時に使用※
【個人情報削除依頼】
来店日：
店舗：
担当者：
＜顧客要望＞
削除希望に至った経緯を記入
＜本人確認項目＞
本人確認項目に使用した情報を記入（2つ）
①
②
＜対応依頼＞
・個人情報削除
＜連絡方法＞
・メールのみ
＜店頭対応＞
・CSより3営業日以内に個人情報の削除完了のご連絡をする旨お伝えしました。
・確認に時間がかかる場合は、3営業日超える可能性があることお伝え済み。
CSからの連絡日目安伝え済み（当日を除く3営業日後の日付）：mm/dd
======"&amp;"==========================
※ストアマネージャー不在時に使用※
【個人情報削除依頼】
来店日：
店舗：
担当者：
＜理由＞
・削除希望に至った経緯を記入
＜本人確認項目＞
・ストアマネージャー不在のため未確認
＜対応依頼＞
・本人確認依頼
・個人情報削除
＜連絡方法＞
メールのみ
＜店頭対応＞
・CSより3営業日以内に個人情報の削除完了のご連絡をする旨お伝えしました。
・確認に時間がかかる場合は、3営業日超える可能性があることお伝え済み。")</f>
        <v>※ストアマネージャー在籍時に使用※
【個人情報削除依頼】
来店日：
店舗：
担当者：
＜顧客要望＞
削除希望に至った経緯を記入
＜本人確認項目＞
本人確認項目に使用した情報を記入（2つ）
①
②
＜対応依頼＞
・個人情報削除
＜連絡方法＞
・メールのみ
＜店頭対応＞
・CSより3営業日以内に個人情報の削除完了のご連絡をする旨お伝えしました。
・確認に時間がかかる場合は、3営業日超える可能性があることお伝え済み。
CSからの連絡日目安伝え済み（当日を除く3営業日後の日付）：mm/dd
================================
※ストアマネージャー不在時に使用※
【個人情報削除依頼】
来店日：
店舗：
担当者：
＜理由＞
・削除希望に至った経緯を記入
＜本人確認項目＞
・ストアマネージャー不在のため未確認
＜対応依頼＞
・本人確認依頼
・個人情報削除
＜連絡方法＞
メールのみ
＜店頭対応＞
・CSより3営業日以内に個人情報の削除完了のご連絡をする旨お伝えしました。
・確認に時間がかかる場合は、3営業日超える可能性があることお伝え済み。</v>
      </c>
      <c r="C10" s="273" t="str">
        <f>IFERROR(__xludf.DUMMYFUNCTION("""COMPUTED_VALUE"""),"※ストアマネージャー在籍時に使用※
【個人情報削除依頼】
来店日：
店舗：
担当者：
＜顧客要望＞
削除希望に至った経緯を記入
＜本人確認項目＞
本人確認項目に使用した情報を記入（2つ）
①
②
＜対応依頼＞
・個人情報削除
＜連絡方法＞
・メールのみ
＜店頭対応＞
・CSより3営業日以内に個人情報の削除完了のご連絡をする旨お伝えしました。
・確認に時間がかかる場合は、3営業日超える可能性があることお伝え済み。
CSからの連絡日目安伝え済み（当日を除く3営業日後の日付）：mm/dd
======"&amp;"==========================
※ストアマネージャー不在時に使用※
【個人情報削除依頼】
来店日：
店舗：
担当者：
＜理由＞
・削除希望に至った経緯を記入
＜本人確認項目＞
・ストアマネージャー不在のため未確認
＜対応依頼＞
・本人確認依頼
・個人情報削除
＜連絡方法＞
メールのみ
＜店頭対応＞
・CSより3営業日以内に個人情報の削除完了のご連絡をする旨お伝えしました。
・確認に時間がかかる場合は、3営業日超える可能性があることお伝え済み。")</f>
        <v>※ストアマネージャー在籍時に使用※
【個人情報削除依頼】
来店日：
店舗：
担当者：
＜顧客要望＞
削除希望に至った経緯を記入
＜本人確認項目＞
本人確認項目に使用した情報を記入（2つ）
①
②
＜対応依頼＞
・個人情報削除
＜連絡方法＞
・メールのみ
＜店頭対応＞
・CSより3営業日以内に個人情報の削除完了のご連絡をする旨お伝えしました。
・確認に時間がかかる場合は、3営業日超える可能性があることお伝え済み。
CSからの連絡日目安伝え済み（当日を除く3営業日後の日付）：mm/dd
================================
※ストアマネージャー不在時に使用※
【個人情報削除依頼】
来店日：
店舗：
担当者：
＜理由＞
・削除希望に至った経緯を記入
＜本人確認項目＞
・ストアマネージャー不在のため未確認
＜対応依頼＞
・本人確認依頼
・個人情報削除
＜連絡方法＞
メールのみ
＜店頭対応＞
・CSより3営業日以内に個人情報の削除完了のご連絡をする旨お伝えしました。
・確認に時間がかかる場合は、3営業日超える可能性があることお伝え済み。</v>
      </c>
      <c r="D10" s="274" t="str">
        <f>IFERROR(__xludf.DUMMYFUNCTION("""COMPUTED_VALUE"""),"基本サポデスでワークフローにて対応依頼をしてもらうフローです。
「CS対応中」のお客様は直接CSに依頼をお願いします。
https://www.notion.so/fabric-tokyo/2-6-ed200d10da8f4e74ade340b9c0af31aa")</f>
        <v>基本サポデスでワークフローにて対応依頼をしてもらうフローです。
「CS対応中」のお客様は直接CSに依頼をお願いします。
https://www.notion.so/fabric-tokyo/2-6-ed200d10da8f4e74ade340b9c0af31aa</v>
      </c>
      <c r="E10" s="273"/>
    </row>
    <row r="11">
      <c r="A11" s="273" t="str">
        <f>IFERROR(__xludf.DUMMYFUNCTION("""COMPUTED_VALUE"""),"後から配送 / 商品未預かりで再製作を進行する場合")</f>
        <v>後から配送 / 商品未預かりで再製作を進行する場合</v>
      </c>
      <c r="B11" s="273" t="str">
        <f>IFERROR(__xludf.DUMMYFUNCTION("""COMPUTED_VALUE"""),"◾️商品未預かり再製作
来店日時：
店舗：
対応者：
【内容】
・商品未預かりでの再製作
・お預かりなし理由：
【対象商品】
〇〇〇〇(注文詳細ID：)
【店頭からお客様に伝えた内容】
・再製作品がご自宅に到着次第、2週間以内に必ず未回収商品をテーラーバンクへ返送していただくようにお伝え済み
・2週間以内にお直し前の商品の着荷が確認出来ない場合、今後お直しの要望にご対応出来ない場合があること
・納期はWEB表示納期でご案内済み
・複数点受付の場合、仕上がったものから随時発送されること、お伝え済
"&amp;"【内部処理】
・商品預かり無しで、再製作の発注書の作成再鑑済
・納期入力も完了（WEB表示納期：◯月◯日）")</f>
        <v>◾️商品未預かり再製作
来店日時：
店舗：
対応者：
【内容】
・商品未預かりでの再製作
・お預かりなし理由：
【対象商品】
〇〇〇〇(注文詳細ID：)
【店頭からお客様に伝えた内容】
・再製作品がご自宅に到着次第、2週間以内に必ず未回収商品をテーラーバンクへ返送していただくようにお伝え済み
・2週間以内にお直し前の商品の着荷が確認出来ない場合、今後お直しの要望にご対応出来ない場合があること
・納期はWEB表示納期でご案内済み
・複数点受付の場合、仕上がったものから随時発送されること、お伝え済
【内部処理】
・商品預かり無しで、再製作の発注書の作成再鑑済
・納期入力も完了（WEB表示納期：◯月◯日）</v>
      </c>
      <c r="C11" s="273" t="str">
        <f>IFERROR(__xludf.DUMMYFUNCTION("""COMPUTED_VALUE"""),"◾️商品未預かり再製作
来店日時：
店舗：
対応者：
【内容】
・商品未預かりでの再製作
・お預かりなし理由：
【対象商品】
〇〇〇〇(注文詳細ID：)
【店頭からお客様に伝えた内容】
・再製作品がご自宅に到着次第、2週間以内に必ず未回収商品をテーラーバンクへ返送していただくようにお伝え済み
・2週間以内にお直し前の商品の着荷が確認出来ない場合、今後お直しの要望にご対応出来ない場合があること
・納期はWEB表示納期でご案内済み
・複数点受付の場合、仕上がったものから随時発送されること、お伝え済
"&amp;"【内部処理】
・商品預かり無しで、再製作の発注書の作成再鑑済
・納期入力も完了（WEB表示納期：◯月◯日）")</f>
        <v>◾️商品未預かり再製作
来店日時：
店舗：
対応者：
【内容】
・商品未預かりでの再製作
・お預かりなし理由：
【対象商品】
〇〇〇〇(注文詳細ID：)
【店頭からお客様に伝えた内容】
・再製作品がご自宅に到着次第、2週間以内に必ず未回収商品をテーラーバンクへ返送していただくようにお伝え済み
・2週間以内にお直し前の商品の着荷が確認出来ない場合、今後お直しの要望にご対応出来ない場合があること
・納期はWEB表示納期でご案内済み
・複数点受付の場合、仕上がったものから随時発送されること、お伝え済
【内部処理】
・商品預かり無しで、再製作の発注書の作成再鑑済
・納期入力も完了（WEB表示納期：◯月◯日）</v>
      </c>
      <c r="D11" s="273"/>
      <c r="E11" s="273"/>
    </row>
    <row r="12">
      <c r="A12" s="273" t="str">
        <f>IFERROR(__xludf.DUMMYFUNCTION("""COMPUTED_VALUE"""),"後から配送（未入荷のお直しが決まっている場合）※お客様に返送してもらってから進行パターン")</f>
        <v>後から配送（未入荷のお直しが決まっている場合）※お客様に返送してもらってから進行パターン</v>
      </c>
      <c r="B12" s="273" t="str">
        <f>IFERROR(__xludf.DUMMYFUNCTION("""COMPUTED_VALUE"""),"■未入荷商品のお直し
来店日時：
店舗：
対応者：
【CS依頼内容】
・商品お届け後のOPEX登録
・着荷確認と納期入力
・対応方法：再製作／お直し
理由：既にお直しが決まっている未入荷の商品の為
【対象商品】
・商品名（注文詳細ID：）
【お直し内容】※不要な項目は削除
■お直し内容：再製作／お直し
■お直し数値：
＜ジャケット／スラックス／ベスト／シャツ＞
箇所：±　cm（ cm仕上がり）
■生地替え有り（不要であれば削除）
・変更前生地： （SKU：　）
・変更後生地： （SKU：　）　"&amp;"
【配送先住所の確認】
■お届け先：ご登録住所／新住所
※注文履歴の住所と異なる場合、配送先住所を以下に記入。変更がない場合は、こちら削除
・〒
・住所
・氏名
・TEL
【店頭対応】※不要な項目は削除
・納期はTBに商品が届き次第確定することをお伝え済み
・複数点受付の場合、仕上がったものから随時発送されること、お伝え済
・商品お届け日から2週間以内に発送してもらうようお伝え
・納期は商品が所管工場へ着荷し、お直し開始次第、メールでご連絡をお伝え済み
・2週間以内に発送なければ、お直しキャンセルに"&amp;"なることをお伝え済み
・キャンセル後に再度お直し希望の場合は、来店又はwebから申込が必要
・キャンセル後にお届けから50日以上経過している場合は有償となること
・商品お届け日から2週間以降に連絡せず商品を送っても何も対応出来ないこと
【補足情報】
・商品お届け予定日（WEB表示納期）：
※CSから基本的にメール対応しない方針です
※納期報告以外にメール対応が必要な場合は詳細を記載お願いします")</f>
        <v>■未入荷商品のお直し
来店日時：
店舗：
対応者：
【CS依頼内容】
・商品お届け後のOPEX登録
・着荷確認と納期入力
・対応方法：再製作／お直し
理由：既にお直しが決まっている未入荷の商品の為
【対象商品】
・商品名（注文詳細ID：）
【お直し内容】※不要な項目は削除
■お直し内容：再製作／お直し
■お直し数値：
＜ジャケット／スラックス／ベスト／シャツ＞
箇所：±　cm（ cm仕上がり）
■生地替え有り（不要であれば削除）
・変更前生地： （SKU：　）
・変更後生地： （SKU：　）　
【配送先住所の確認】
■お届け先：ご登録住所／新住所
※注文履歴の住所と異なる場合、配送先住所を以下に記入。変更がない場合は、こちら削除
・〒
・住所
・氏名
・TEL
【店頭対応】※不要な項目は削除
・納期はTBに商品が届き次第確定することをお伝え済み
・複数点受付の場合、仕上がったものから随時発送されること、お伝え済
・商品お届け日から2週間以内に発送してもらうようお伝え
・納期は商品が所管工場へ着荷し、お直し開始次第、メールでご連絡をお伝え済み
・2週間以内に発送なければ、お直しキャンセルになることをお伝え済み
・キャンセル後に再度お直し希望の場合は、来店又はwebから申込が必要
・キャンセル後にお届けから50日以上経過している場合は有償となること
・商品お届け日から2週間以降に連絡せず商品を送っても何も対応出来ないこと
【補足情報】
・商品お届け予定日（WEB表示納期）：
※CSから基本的にメール対応しない方針です
※納期報告以外にメール対応が必要な場合は詳細を記載お願いします</v>
      </c>
      <c r="C12" s="273" t="str">
        <f>IFERROR(__xludf.DUMMYFUNCTION("""COMPUTED_VALUE"""),"■未入荷商品のお直し
来店日時：
店舗：
対応者：
【CS依頼内容】
・商品お届け後のOPEX登録
・着荷確認と納期入力
・対応方法：再製作／お直し
理由：既にお直しが決まっている未入荷の商品の為
【対象商品】
・商品名（注文詳細ID：）
【お直し内容】※不要な項目は削除
■お直し内容：再製作／お直し
■お直し数値：
＜ジャケット／スラックス／ベスト／シャツ＞
箇所：±　cm（ cm仕上がり）
■生地替え有り（不要であれば削除）
・変更前生地： （SKU：　）
・変更後生地： （SKU：　）　"&amp;"
【配送先住所の確認】
■お届け先：ご登録住所／新住所
※注文履歴の住所と異なる場合、配送先住所を以下に記入。変更がない場合は、こちら削除
・〒
・住所
・氏名
・TEL
【店頭対応】※不要な項目は削除
・納期はTBに商品が届き次第確定することをお伝え済み
・複数点受付の場合、仕上がったものから随時発送されること、お伝え済
・商品お届け日から2週間以内に発送してもらうようお伝え
・納期は商品が所管工場へ着荷し、お直し開始次第、メールでご連絡をお伝え済み
・2週間以内に発送なければ、お直しキャンセルに"&amp;"なることをお伝え済み
・キャンセル後に再度お直し希望の場合は、来店又はwebから申込が必要
・キャンセル後にお届けから50日以上経過している場合は有償となること
・商品お届け日から2週間以降に連絡せず商品を送っても何も対応出来ないこと
【補足情報】
・商品お届け予定日（WEB表示納期）：
※CSから基本的にメール対応しない方針です
※納期報告以外にメール対応が必要な場合は詳細を記載お願いします")</f>
        <v>■未入荷商品のお直し
来店日時：
店舗：
対応者：
【CS依頼内容】
・商品お届け後のOPEX登録
・着荷確認と納期入力
・対応方法：再製作／お直し
理由：既にお直しが決まっている未入荷の商品の為
【対象商品】
・商品名（注文詳細ID：）
【お直し内容】※不要な項目は削除
■お直し内容：再製作／お直し
■お直し数値：
＜ジャケット／スラックス／ベスト／シャツ＞
箇所：±　cm（ cm仕上がり）
■生地替え有り（不要であれば削除）
・変更前生地： （SKU：　）
・変更後生地： （SKU：　）　
【配送先住所の確認】
■お届け先：ご登録住所／新住所
※注文履歴の住所と異なる場合、配送先住所を以下に記入。変更がない場合は、こちら削除
・〒
・住所
・氏名
・TEL
【店頭対応】※不要な項目は削除
・納期はTBに商品が届き次第確定することをお伝え済み
・複数点受付の場合、仕上がったものから随時発送されること、お伝え済
・商品お届け日から2週間以内に発送してもらうようお伝え
・納期は商品が所管工場へ着荷し、お直し開始次第、メールでご連絡をお伝え済み
・2週間以内に発送なければ、お直しキャンセルになることをお伝え済み
・キャンセル後に再度お直し希望の場合は、来店又はwebから申込が必要
・キャンセル後にお届けから50日以上経過している場合は有償となること
・商品お届け日から2週間以降に連絡せず商品を送っても何も対応出来ないこと
【補足情報】
・商品お届け予定日（WEB表示納期）：
※CSから基本的にメール対応しない方針です
※納期報告以外にメール対応が必要な場合は詳細を記載お願いします</v>
      </c>
      <c r="D12" s="273"/>
      <c r="E12" s="273"/>
    </row>
    <row r="13">
      <c r="A13" s="273" t="str">
        <f>IFERROR(__xludf.DUMMYFUNCTION("""COMPUTED_VALUE"""),"後から配送（基本フロー）")</f>
        <v>後から配送（基本フロー）</v>
      </c>
      <c r="B13" s="273" t="str">
        <f>IFERROR(__xludf.DUMMYFUNCTION("""COMPUTED_VALUE"""),"■後から配送
来店日時：
店舗：
対応者：
内容：後から配送の返送フォロー
理由：例：着用していた為／〇/〇着用予定有の為
返送予定：〇/〇以降
【対象商品】
・(注文詳細ID：)
【配送先住所の確認】
■お届け先：ご登録住所／新住所
※注文履歴の住所と異なる場合、配送先住所を以下に記入。変更がない場合は、こちら削除
・〒
・住所
・氏名
・TEL
【店頭からお客様に伝えた内容】
・配送伝票お渡し済み
・来店日から2週間以内に発送してもらうようお伝え
・納期は商品が所管工場へ着荷し、お直し開始次第"&amp;"、メールでご連絡をお伝え済み
・2週間以内に発送なければ、お直しキャンセルになることをお伝え済み
・キャンセル後に再度お直し希望の場合は、来店又はwebから申込が必要
・キャンセル後にお届けから50日以上経過している場合は有償となること
・来店から2週間以降に連絡せず商品を送っても何も対応出来ないこと
・対応方法：再製作／お直し ※当てはまるものだけ残してください
・複数点受付の場合、仕上がったものから随時発送されること、お伝え済
【CSに対応してほしい内容】
・着荷確認と納期入力
※CSから基本的に"&amp;"メール対応しない方針です
※納期報告以外にメール対応が必要な場合は詳細を記載お願いします")</f>
        <v>■後から配送
来店日時：
店舗：
対応者：
内容：後から配送の返送フォロー
理由：例：着用していた為／〇/〇着用予定有の為
返送予定：〇/〇以降
【対象商品】
・(注文詳細ID：)
【配送先住所の確認】
■お届け先：ご登録住所／新住所
※注文履歴の住所と異なる場合、配送先住所を以下に記入。変更がない場合は、こちら削除
・〒
・住所
・氏名
・TEL
【店頭からお客様に伝えた内容】
・配送伝票お渡し済み
・来店日から2週間以内に発送してもらうようお伝え
・納期は商品が所管工場へ着荷し、お直し開始次第、メールでご連絡をお伝え済み
・2週間以内に発送なければ、お直しキャンセルになることをお伝え済み
・キャンセル後に再度お直し希望の場合は、来店又はwebから申込が必要
・キャンセル後にお届けから50日以上経過している場合は有償となること
・来店から2週間以降に連絡せず商品を送っても何も対応出来ないこと
・対応方法：再製作／お直し ※当てはまるものだけ残してください
・複数点受付の場合、仕上がったものから随時発送されること、お伝え済
【CSに対応してほしい内容】
・着荷確認と納期入力
※CSから基本的にメール対応しない方針です
※納期報告以外にメール対応が必要な場合は詳細を記載お願いします</v>
      </c>
      <c r="C13" s="273" t="str">
        <f>IFERROR(__xludf.DUMMYFUNCTION("""COMPUTED_VALUE"""),"■後から配送
来店日時：
店舗：
対応者：
内容：後から配送の返送フォロー
理由：例：着用していた為／〇/〇着用予定有の為
返送予定：〇/〇以降
【対象商品】
・(注文詳細ID：)
【配送先住所の確認】
■お届け先：ご登録住所／新住所
※注文履歴の住所と異なる場合、配送先住所を以下に記入。変更がない場合は、こちら削除
・〒
・住所
・氏名
・TEL
【店頭からお客様に伝えた内容】
・配送伝票お渡し済み
・来店日から2週間以内に発送してもらうようお伝え
・納期は商品が所管工場へ着荷し、お直し開始次第"&amp;"、メールでご連絡をお伝え済み
・2週間以内に発送なければ、お直しキャンセルになることをお伝え済み
・キャンセル後に再度お直し希望の場合は、来店又はwebから申込が必要
・キャンセル後にお届けから50日以上経過している場合は有償となること
・来店から2週間以降に連絡せず商品を送っても何も対応出来ないこと
・対応方法：再製作／お直し ※当てはまるものだけ残してください
・複数点受付の場合、仕上がったものから随時発送されること、お伝え済
【CSに対応してほしい内容】
・着荷確認と納期入力
※CSから基本的に"&amp;"メール対応しない方針です
※納期報告以外にメール対応が必要な場合は詳細を記載お願いします")</f>
        <v>■後から配送
来店日時：
店舗：
対応者：
内容：後から配送の返送フォロー
理由：例：着用していた為／〇/〇着用予定有の為
返送予定：〇/〇以降
【対象商品】
・(注文詳細ID：)
【配送先住所の確認】
■お届け先：ご登録住所／新住所
※注文履歴の住所と異なる場合、配送先住所を以下に記入。変更がない場合は、こちら削除
・〒
・住所
・氏名
・TEL
【店頭からお客様に伝えた内容】
・配送伝票お渡し済み
・来店日から2週間以内に発送してもらうようお伝え
・納期は商品が所管工場へ着荷し、お直し開始次第、メールでご連絡をお伝え済み
・2週間以内に発送なければ、お直しキャンセルになることをお伝え済み
・キャンセル後に再度お直し希望の場合は、来店又はwebから申込が必要
・キャンセル後にお届けから50日以上経過している場合は有償となること
・来店から2週間以降に連絡せず商品を送っても何も対応出来ないこと
・対応方法：再製作／お直し ※当てはまるものだけ残してください
・複数点受付の場合、仕上がったものから随時発送されること、お伝え済
【CSに対応してほしい内容】
・着荷確認と納期入力
※CSから基本的にメール対応しない方針です
※納期報告以外にメール対応が必要な場合は詳細を記載お願いします</v>
      </c>
      <c r="D13" s="273"/>
      <c r="E13" s="273"/>
    </row>
    <row r="14">
      <c r="A14" s="273" t="str">
        <f>IFERROR(__xludf.DUMMYFUNCTION("""COMPUTED_VALUE"""),"サイズ確認・再採寸依頼（工場NG）")</f>
        <v>サイズ確認・再採寸依頼（工場NG）</v>
      </c>
      <c r="B14" s="273" t="str">
        <f>IFERROR(__xludf.DUMMYFUNCTION("""COMPUTED_VALUE"""),"■CS確認依頼/サイズ確認・再採寸依頼（工場NG）
店舗：
対応者：
【状況】
工場製作段階でのサイズ製作不可
【CSに対応してほしい内容】
・現状来店予約がない為店舗で再採寸するか、それともそれ以外の対応がご希望かについての意志の確認をよろしくお願いします。
・来店の際は予約推奨提案お願い致します。
【CS→SCM】
・サイズが確定したらSCMに共有お願いします
CSからの連絡日目安伝え済み（当日を除く3営業日後の日付）：mm/dd")</f>
        <v>■CS確認依頼/サイズ確認・再採寸依頼（工場NG）
店舗：
対応者：
【状況】
工場製作段階でのサイズ製作不可
【CSに対応してほしい内容】
・現状来店予約がない為店舗で再採寸するか、それともそれ以外の対応がご希望かについての意志の確認をよろしくお願いします。
・来店の際は予約推奨提案お願い致します。
【CS→SCM】
・サイズが確定したらSCMに共有お願いします
CSからの連絡日目安伝え済み（当日を除く3営業日後の日付）：mm/dd</v>
      </c>
      <c r="C14" s="273" t="str">
        <f>IFERROR(__xludf.DUMMYFUNCTION("""COMPUTED_VALUE"""),"■CS確認依頼/サイズ確認・再採寸依頼（工場NG）
店舗：
対応者：
【状況】
工場製作段階でのサイズ製作不可
【CSに対応してほしい内容】
・現状来店予約がない為店舗で再採寸するか、それともそれ以外の対応がご希望かについての意志の確認をよろしくお願いします。
・来店の際は予約推奨提案お願い致します。
【CS→SCM】
・サイズが確定したらSCMに共有お願いします
CSからの連絡日目安伝え済み（当日を除く3営業日後の日付）：mm/dd")</f>
        <v>■CS確認依頼/サイズ確認・再採寸依頼（工場NG）
店舗：
対応者：
【状況】
工場製作段階でのサイズ製作不可
【CSに対応してほしい内容】
・現状来店予約がない為店舗で再採寸するか、それともそれ以外の対応がご希望かについての意志の確認をよろしくお願いします。
・来店の際は予約推奨提案お願い致します。
【CS→SCM】
・サイズが確定したらSCMに共有お願いします
CSからの連絡日目安伝え済み（当日を除く3営業日後の日付）：mm/dd</v>
      </c>
      <c r="D14" s="273" t="str">
        <f>IFERROR(__xludf.DUMMYFUNCTION("""COMPUTED_VALUE"""),"サイズ確定後、CS→SCMへの連携が必要なので、必ずテンプレを使用してください。
万が一、お客様が来店しサイズを更新した場合には、サイズ適用、管理メモの記入し、改めてCS確認依頼をしてください。")</f>
        <v>サイズ確定後、CS→SCMへの連携が必要なので、必ずテンプレを使用してください。
万が一、お客様が来店しサイズを更新した場合には、サイズ適用、管理メモの記入し、改めてCS確認依頼をしてください。</v>
      </c>
      <c r="E14" s="273"/>
    </row>
    <row r="15">
      <c r="A15" s="273" t="str">
        <f>IFERROR(__xludf.DUMMYFUNCTION("""COMPUTED_VALUE"""),"靴下返品返金・交換要望")</f>
        <v>靴下返品返金・交換要望</v>
      </c>
      <c r="B15" s="273" t="str">
        <f>IFERROR(__xludf.DUMMYFUNCTION("""COMPUTED_VALUE"""),"■靴下返品返金・交換要望
※不要な項目は削除
来店日時：
店舗：
対応者：
【靴下の返品返金、交換についての対応可否】
①商品に不良・欠陥があった場合のみ「可」
②未着用でサイズ選択ミスであれば「可」
③着用ありのサイズ交換は、問答無料で「不可」
【CSに対応してほしい内容】
・対応方法を顧客へ連絡
【対象商品】
・
CSからの連絡日目安伝え済み（当日を除く3営業日後の日付）：mm/dd
【顧客要望】
・サイズを◯から◯に交換したい
・◯◯なので返品したい
・お客様連絡方法：メールのみ
【経"&amp;"緯（時系列）/店頭からお客様に伝えた内容】
（１）
（２）
（３）
・CSより対応方法について連絡する旨お伝え
・CS連絡日時：3営業日以内にCSよりご連絡することお伝え済み
【商品預かり有無】
【補足情報（交換or返品返金でしか対応できない理由・温度感）】
①
②
③")</f>
        <v>■靴下返品返金・交換要望
※不要な項目は削除
来店日時：
店舗：
対応者：
【靴下の返品返金、交換についての対応可否】
①商品に不良・欠陥があった場合のみ「可」
②未着用でサイズ選択ミスであれば「可」
③着用ありのサイズ交換は、問答無料で「不可」
【CSに対応してほしい内容】
・対応方法を顧客へ連絡
【対象商品】
・
CSからの連絡日目安伝え済み（当日を除く3営業日後の日付）：mm/dd
【顧客要望】
・サイズを◯から◯に交換したい
・◯◯なので返品したい
・お客様連絡方法：メールのみ
【経緯（時系列）/店頭からお客様に伝えた内容】
（１）
（２）
（３）
・CSより対応方法について連絡する旨お伝え
・CS連絡日時：3営業日以内にCSよりご連絡することお伝え済み
【商品預かり有無】
【補足情報（交換or返品返金でしか対応できない理由・温度感）】
①
②
③</v>
      </c>
      <c r="C15" s="273" t="str">
        <f>IFERROR(__xludf.DUMMYFUNCTION("""COMPUTED_VALUE"""),"■靴下返品返金・交換要望
※不要な項目は削除
来店日時：
店舗：
対応者：
【靴下の返品返金、交換についての対応可否】
①商品に不良・欠陥があった場合のみ「可」
②未着用でサイズ選択ミスであれば「可」
③着用ありのサイズ交換は、問答無料で「不可」
【CSに対応してほしい内容】
・対応方法を顧客へ連絡
【対象商品】
・商品名（注文詳細ID：）
CSからの連絡日目安伝え済み（当日を除く3営業日後の日付）：mm/dd
【顧客要望】
・サイズを◯から◯に交換したい
・◯◯なので返品したい
・お客様連絡"&amp;"方法：メールのみ
【経緯（時系列）/店頭からお客様に伝えた内容】
（１）
（２）
（３）
・CSより対応方法について連絡する旨お伝え
・CS連絡日時：3営業日以内にCSよりご連絡することお伝え済み
【商品預かり有無】
【補足情報（交換or返品返金でしか対応できない理由・温度感）】
①
②
③")</f>
        <v>■靴下返品返金・交換要望
※不要な項目は削除
来店日時：
店舗：
対応者：
【靴下の返品返金、交換についての対応可否】
①商品に不良・欠陥があった場合のみ「可」
②未着用でサイズ選択ミスであれば「可」
③着用ありのサイズ交換は、問答無料で「不可」
【CSに対応してほしい内容】
・対応方法を顧客へ連絡
【対象商品】
・商品名（注文詳細ID：）
CSからの連絡日目安伝え済み（当日を除く3営業日後の日付）：mm/dd
【顧客要望】
・サイズを◯から◯に交換したい
・◯◯なので返品したい
・お客様連絡方法：メールのみ
【経緯（時系列）/店頭からお客様に伝えた内容】
（１）
（２）
（３）
・CSより対応方法について連絡する旨お伝え
・CS連絡日時：3営業日以内にCSよりご連絡することお伝え済み
【商品預かり有無】
【補足情報（交換or返品返金でしか対応できない理由・温度感）】
①
②
③</v>
      </c>
      <c r="D15" s="273"/>
      <c r="E15" s="273"/>
    </row>
    <row r="16">
      <c r="A16" s="273" t="str">
        <f>IFERROR(__xludf.DUMMYFUNCTION("""COMPUTED_VALUE"""),"ボタン購入のみ（サポート内）")</f>
        <v>ボタン購入のみ（サポート内）</v>
      </c>
      <c r="B16" s="273" t="str">
        <f>IFERROR(__xludf.DUMMYFUNCTION("""COMPUTED_VALUE"""),"■サポート内/ボタン購入のみ
来店日時：
店舗：
対応者：
【顧客要望】
・内容：ボタン購入
・連絡方法：メール
【付け替え箇所】
・アイテム：ex) ジャケット／スラックス　等
・ボタンの種類：ex) 水牛ボタン、ナットボタン　等
・場所：ex) ジャケット前ボタン　等
・個数：〇個
【配送先住所の確認】
■お届け先：ご登録住所／新住所
※注文履歴の住所と異なる場合、配送先住所を以下に記入。変更がない場合は、こちら削除
・〒
・住所
・氏名
・TEL
【CSに対応してほしい内容】
①ボタン送付に"&amp;"ついての連絡
【店頭でのお伝え金額】
無料
【店頭からお客様に伝えた内容】
①ボタン送付は、7営業日前後とお伝え済み
②ボタンの送付方法：郵送　であることをお伝え済み
CSからの連絡日目安伝え済み（当日を除く3営業日後の日付）：mm/dd
【顧客温度感】
・")</f>
        <v>■サポート内/ボタン購入のみ
来店日時：
店舗：
対応者：
【顧客要望】
・内容：ボタン購入
・連絡方法：メール
【付け替え箇所】
・アイテム：ex) ジャケット／スラックス　等
・ボタンの種類：ex) 水牛ボタン、ナットボタン　等
・場所：ex) ジャケット前ボタン　等
・個数：〇個
【配送先住所の確認】
■お届け先：ご登録住所／新住所
※注文履歴の住所と異なる場合、配送先住所を以下に記入。変更がない場合は、こちら削除
・〒
・住所
・氏名
・TEL
【CSに対応してほしい内容】
①ボタン送付についての連絡
【店頭でのお伝え金額】
無料
【店頭からお客様に伝えた内容】
①ボタン送付は、7営業日前後とお伝え済み
②ボタンの送付方法：郵送　であることをお伝え済み
CSからの連絡日目安伝え済み（当日を除く3営業日後の日付）：mm/dd
【顧客温度感】
・</v>
      </c>
      <c r="C16" s="273" t="str">
        <f>IFERROR(__xludf.DUMMYFUNCTION("""COMPUTED_VALUE"""),"■サポート内/ボタン購入のみ
来店日時：
店舗：
対応者：
【顧客要望】
・内容：ボタン購入
・連絡方法：メール
【付け替え箇所】
・アイテム：ex) ジャケット／スラックス　等
・ボタンの種類：ex) 水牛ボタン、ナットボタン　等
・場所：ex) ジャケット前ボタン　等
・個数：〇個
【配送先住所の確認】
■お届け先：ご登録住所／新住所
※注文履歴の住所と異なる場合、配送先住所を以下に記入。変更がない場合は、こちら削除
・〒
・住所
・氏名
・TEL
【CSに対応してほしい内容】
①ボタン送付に"&amp;"ついての連絡
【店頭でのお伝え金額】
無料
【店頭からお客様に伝えた内容】
①ボタン送付は、7営業日前後とお伝え済み
②ボタンの送付方法：郵送　であることをお伝え済み
CSからの連絡日目安伝え済み（当日を除く3営業日後の日付）：mm/dd
【顧客温度感】
・")</f>
        <v>■サポート内/ボタン購入のみ
来店日時：
店舗：
対応者：
【顧客要望】
・内容：ボタン購入
・連絡方法：メール
【付け替え箇所】
・アイテム：ex) ジャケット／スラックス　等
・ボタンの種類：ex) 水牛ボタン、ナットボタン　等
・場所：ex) ジャケット前ボタン　等
・個数：〇個
【配送先住所の確認】
■お届け先：ご登録住所／新住所
※注文履歴の住所と異なる場合、配送先住所を以下に記入。変更がない場合は、こちら削除
・〒
・住所
・氏名
・TEL
【CSに対応してほしい内容】
①ボタン送付についての連絡
【店頭でのお伝え金額】
無料
【店頭からお客様に伝えた内容】
①ボタン送付は、7営業日前後とお伝え済み
②ボタンの送付方法：郵送　であることをお伝え済み
CSからの連絡日目安伝え済み（当日を除く3営業日後の日付）：mm/dd
【顧客温度感】
・</v>
      </c>
      <c r="D16" s="273"/>
      <c r="E16" s="273"/>
    </row>
    <row r="17">
      <c r="A17" s="273" t="str">
        <f>IFERROR(__xludf.DUMMYFUNCTION("""COMPUTED_VALUE"""),"ボタン購入のみ（サポート外）")</f>
        <v>ボタン購入のみ（サポート外）</v>
      </c>
      <c r="B17" s="273" t="str">
        <f>IFERROR(__xludf.DUMMYFUNCTION("""COMPUTED_VALUE"""),"■サポート外/ボタン購入のみ
来店日時：
店舗：
対応者：
【顧客要望】
・内容：ボタン購入
・連絡方法：メールのみ
【付け替え箇所】
・アイテム：ex) ジャケット／スラックス　等
・ボタンの種類：ex) 水牛ボタン、ナットボタン　等
・場所：ex) ジャケット前ボタン　等
・個数：〇個
【配送先住所の確認】
■お届け先：ご登録住所／新住所
※注文履歴の住所と異なる場合、配送先住所を以下に記入。変更がない場合は、こちら削除
・〒
・住所
・氏名
・TEL
【CSに対応してほしい内容】
①確定のお"&amp;"直し料金1,000円の入金方法案内
②お直し料金請求後、ボタン送付
理由：50日無料版サポート適用外のため
【店頭でのお伝え金額】
1,000円
【店頭からお客様に伝えた内容】
①お直し料金請求方法をCSからメールで連絡する旨お伝え済み
②お直し料金の請求完了後、ボタン送付を行うことをお伝え済み
③ボタン送付は入金確認後、7営業日前後とお伝え済み
④ボタンの送付方法：郵送　であることをお伝え済み
⑤CSからご連絡後、3営業日以内に入金をしていただくようお伝え済み
CSからの連絡日目安伝え済み（当日"&amp;"を除く3営業日後の日付）：mm/dd")</f>
        <v>■サポート外/ボタン購入のみ
来店日時：
店舗：
対応者：
【顧客要望】
・内容：ボタン購入
・連絡方法：メールのみ
【付け替え箇所】
・アイテム：ex) ジャケット／スラックス　等
・ボタンの種類：ex) 水牛ボタン、ナットボタン　等
・場所：ex) ジャケット前ボタン　等
・個数：〇個
【配送先住所の確認】
■お届け先：ご登録住所／新住所
※注文履歴の住所と異なる場合、配送先住所を以下に記入。変更がない場合は、こちら削除
・〒
・住所
・氏名
・TEL
【CSに対応してほしい内容】
①確定のお直し料金1,000円の入金方法案内
②お直し料金請求後、ボタン送付
理由：50日無料版サポート適用外のため
【店頭でのお伝え金額】
1,000円
【店頭からお客様に伝えた内容】
①お直し料金請求方法をCSからメールで連絡する旨お伝え済み
②お直し料金の請求完了後、ボタン送付を行うことをお伝え済み
③ボタン送付は入金確認後、7営業日前後とお伝え済み
④ボタンの送付方法：郵送　であることをお伝え済み
⑤CSからご連絡後、3営業日以内に入金をしていただくようお伝え済み
CSからの連絡日目安伝え済み（当日を除く3営業日後の日付）：mm/dd</v>
      </c>
      <c r="C17" s="273" t="str">
        <f>IFERROR(__xludf.DUMMYFUNCTION("""COMPUTED_VALUE"""),"■サポート外/ボタン購入のみ
来店日時：
店舗：
対応者：
【顧客要望】
・内容：ボタン購入
・連絡方法：メールのみ
【付け替え箇所】
・アイテム：ex) ジャケット／スラックス　等
・ボタンの種類：ex) 水牛ボタン、ナットボタン　等
・場所：ex) ジャケット前ボタン　等
・個数：〇個
【配送先住所の確認】
■お届け先：ご登録住所／新住所
※注文履歴の住所と異なる場合、配送先住所を以下に記入。変更がない場合は、こちら削除
・〒
・住所
・氏名
・TEL
【CSに対応してほしい内容】
①確定のお"&amp;"直し料金1,000円の入金方法案内
②お直し料金請求後、ボタン送付
理由：50日無料版サポート適用外のため
【店頭でのお伝え金額】
1,000円
【店頭からお客様に伝えた内容】
①お直し料金請求方法をCSからメールで連絡する旨お伝え済み
②お直し料金の請求完了後、ボタン送付を行うことをお伝え済み
③ボタン送付は入金確認後、7営業日前後とお伝え済み
④ボタンの送付方法：郵送　であることをお伝え済み
⑤CSからご連絡後、3営業日以内に入金をしていただくようお伝え済み
CSからの連絡日目安伝え済み（当日"&amp;"を除く3営業日後の日付）：mm/dd")</f>
        <v>■サポート外/ボタン購入のみ
来店日時：
店舗：
対応者：
【顧客要望】
・内容：ボタン購入
・連絡方法：メールのみ
【付け替え箇所】
・アイテム：ex) ジャケット／スラックス　等
・ボタンの種類：ex) 水牛ボタン、ナットボタン　等
・場所：ex) ジャケット前ボタン　等
・個数：〇個
【配送先住所の確認】
■お届け先：ご登録住所／新住所
※注文履歴の住所と異なる場合、配送先住所を以下に記入。変更がない場合は、こちら削除
・〒
・住所
・氏名
・TEL
【CSに対応してほしい内容】
①確定のお直し料金1,000円の入金方法案内
②お直し料金請求後、ボタン送付
理由：50日無料版サポート適用外のため
【店頭でのお伝え金額】
1,000円
【店頭からお客様に伝えた内容】
①お直し料金請求方法をCSからメールで連絡する旨お伝え済み
②お直し料金の請求完了後、ボタン送付を行うことをお伝え済み
③ボタン送付は入金確認後、7営業日前後とお伝え済み
④ボタンの送付方法：郵送　であることをお伝え済み
⑤CSからご連絡後、3営業日以内に入金をしていただくようお伝え済み
CSからの連絡日目安伝え済み（当日を除く3営業日後の日付）：mm/dd</v>
      </c>
      <c r="D17" s="273" t="str">
        <f>IFERROR(__xludf.DUMMYFUNCTION("""COMPUTED_VALUE"""),"※「#cs確認依頼_縫製関連」への投稿は不要です
※「別シリーズのボタンに付け替えたい」など、カスタマイズ変更の対応はできません
※サポ外の場合、注文履歴の住所から引っ越されている場合があります。必ずお届け先住所の確認をお願いします。")</f>
        <v>※「#cs確認依頼_縫製関連」への投稿は不要です
※「別シリーズのボタンに付け替えたい」など、カスタマイズ変更の対応はできません
※サポ外の場合、注文履歴の住所から引っ越されている場合があります。必ずお届け先住所の確認をお願いします。</v>
      </c>
      <c r="E17" s="273"/>
    </row>
    <row r="18">
      <c r="A18" s="273" t="str">
        <f>IFERROR(__xludf.DUMMYFUNCTION("""COMPUTED_VALUE"""),"ボタン付け直し（サポート外）")</f>
        <v>ボタン付け直し（サポート外）</v>
      </c>
      <c r="B18" s="273" t="str">
        <f>IFERROR(__xludf.DUMMYFUNCTION("""COMPUTED_VALUE"""),"■サポート外/ボタン付け直し
来店日時：
店舗：
対応者：
【顧客要望】
・内容：ボタン購入（在庫ある場合は削除）＋つけ直し
・連絡方法：メールのみ
【付け替え箇所】
・アイテム：ex) ジャケット／スラックス　等
・ボタンの種類：ex) 水牛ボタン、ナットボタン　等
・場所：ex) ジャケット前ボタン　等
・個数：〇個
【ボタン在庫有無】
・お手元にボタン在庫：有 or 無
・店舗でのボタンのお預かり：有 or 無
【配送先住所の確認】
■お届け先：ご登録住所／新住所
※注文履歴の住所と異なる場"&amp;"合、配送先住所を以下に記入。変更がない場合は、こちら削除
・〒
・住所
・氏名
・TEL
【CSに対応してほしい内容】
①確定のお直し料金確認/連絡
②お直し料金請求後、決定納期連絡
理由：50日無料版サポート外のため
【店頭でのお伝え金額】
○○○○○円 ※お直し費用計算シートで、正確な金額をお伝え済
預かり方法：【店舗 or 配送】
お渡し方法：【店舗 or 配送】
【店頭からお客様に伝えた内容】
①お直し料金請求方法をCSからメールで連絡する旨お伝え済み
②お直し料金の請求完了後、お直し開始"&amp;"になる旨お伝え済み
③修理期間はご入金確認後、約2週間前後とお伝え済み
④CSからご連絡後、3営業日以内に入金をしていただくようお伝え済み
【店頭対応内部処理】
・ex.OPEX内容設定登録済み
CSからの連絡日目安伝え済み（当日を除く3営業日後の日付）：mm/dd
【テーラーバンク到着予定日／追跡番号】
　月　日／0000-0000-0000")</f>
        <v>■サポート外/ボタン付け直し
来店日時：
店舗：
対応者：
【顧客要望】
・内容：ボタン購入（在庫ある場合は削除）＋つけ直し
・連絡方法：メールのみ
【付け替え箇所】
・アイテム：ex) ジャケット／スラックス　等
・ボタンの種類：ex) 水牛ボタン、ナットボタン　等
・場所：ex) ジャケット前ボタン　等
・個数：〇個
【ボタン在庫有無】
・お手元にボタン在庫：有 or 無
・店舗でのボタンのお預かり：有 or 無
【配送先住所の確認】
■お届け先：ご登録住所／新住所
※注文履歴の住所と異なる場合、配送先住所を以下に記入。変更がない場合は、こちら削除
・〒
・住所
・氏名
・TEL
【CSに対応してほしい内容】
①確定のお直し料金確認/連絡
②お直し料金請求後、決定納期連絡
理由：50日無料版サポート外のため
【店頭でのお伝え金額】
○○○○○円 ※お直し費用計算シートで、正確な金額をお伝え済
預かり方法：【店舗 or 配送】
お渡し方法：【店舗 or 配送】
【店頭からお客様に伝えた内容】
①お直し料金請求方法をCSからメールで連絡する旨お伝え済み
②お直し料金の請求完了後、お直し開始になる旨お伝え済み
③修理期間はご入金確認後、約2週間前後とお伝え済み
④CSからご連絡後、3営業日以内に入金をしていただくようお伝え済み
【店頭対応内部処理】
・ex.OPEX内容設定登録済み
CSからの連絡日目安伝え済み（当日を除く3営業日後の日付）：mm/dd
【テーラーバンク到着予定日／追跡番号】
　月　日／0000-0000-0000</v>
      </c>
      <c r="C18" s="273" t="str">
        <f>IFERROR(__xludf.DUMMYFUNCTION("""COMPUTED_VALUE"""),"■サポート外/ボタン付け直し
来店日時：
店舗：
対応者：
【顧客要望】
・内容：ボタン購入（在庫ある場合は削除）＋つけ直し
・連絡方法：メールのみ
【付け替え箇所】
・アイテム：ex) ジャケット／スラックス　等
・ボタンの種類：ex) 水牛ボタン、ナットボタン　等
・場所：ex) ジャケット前ボタン　等
・個数：〇個
【ボタン在庫有無】
・お手元にボタン在庫：有 or 無
・店舗でのボタンのお預かり：有 or 無
【配送先住所の確認】
■お届け先：ご登録住所／新住所
※注文履歴の住所と異なる場"&amp;"合、配送先住所を以下に記入。変更がない場合は、こちら削除
・〒
・住所
・氏名
・TEL
【CSに対応してほしい内容】
①確定のお直し料金確認/連絡
②お直し料金請求後、決定納期連絡
理由：50日無料版サポート外のため
【店頭でのお伝え金額】
○○○○○円 ※お直し費用計算シートで、正確な金額をお伝え済
預かり方法：【店舗 or 配送】
お渡し方法：【店舗 or 配送】
【店頭からお客様に伝えた内容】
①お直し料金請求方法をCSからメールで連絡する旨お伝え済み
②お直し料金の請求完了後、お直し開始"&amp;"になる旨お伝え済み
③修理期間はご入金確認後、約2週間前後とお伝え済み
④CSからご連絡後、3営業日以内に入金をしていただくようお伝え済み
【店頭対応内部処理】
・ex.OPEX内容設定登録済み
CSからの連絡日目安伝え済み（当日を除く3営業日後の日付）：mm/dd
【テーラーバンク到着予定日／追跡番号】
　月　日／0000-0000-0000")</f>
        <v>■サポート外/ボタン付け直し
来店日時：
店舗：
対応者：
【顧客要望】
・内容：ボタン購入（在庫ある場合は削除）＋つけ直し
・連絡方法：メールのみ
【付け替え箇所】
・アイテム：ex) ジャケット／スラックス　等
・ボタンの種類：ex) 水牛ボタン、ナットボタン　等
・場所：ex) ジャケット前ボタン　等
・個数：〇個
【ボタン在庫有無】
・お手元にボタン在庫：有 or 無
・店舗でのボタンのお預かり：有 or 無
【配送先住所の確認】
■お届け先：ご登録住所／新住所
※注文履歴の住所と異なる場合、配送先住所を以下に記入。変更がない場合は、こちら削除
・〒
・住所
・氏名
・TEL
【CSに対応してほしい内容】
①確定のお直し料金確認/連絡
②お直し料金請求後、決定納期連絡
理由：50日無料版サポート外のため
【店頭でのお伝え金額】
○○○○○円 ※お直し費用計算シートで、正確な金額をお伝え済
預かり方法：【店舗 or 配送】
お渡し方法：【店舗 or 配送】
【店頭からお客様に伝えた内容】
①お直し料金請求方法をCSからメールで連絡する旨お伝え済み
②お直し料金の請求完了後、お直し開始になる旨お伝え済み
③修理期間はご入金確認後、約2週間前後とお伝え済み
④CSからご連絡後、3営業日以内に入金をしていただくようお伝え済み
【店頭対応内部処理】
・ex.OPEX内容設定登録済み
CSからの連絡日目安伝え済み（当日を除く3営業日後の日付）：mm/dd
【テーラーバンク到着予定日／追跡番号】
　月　日／0000-0000-0000</v>
      </c>
      <c r="D18" s="273" t="str">
        <f>IFERROR(__xludf.DUMMYFUNCTION("""COMPUTED_VALUE"""),"※「#cs確認依頼_縫製関連」への投稿は不要です
※「別シリーズのボタンに付け替えたい」など、カスタマイズ変更の対応はできません")</f>
        <v>※「#cs確認依頼_縫製関連」への投稿は不要です
※「別シリーズのボタンに付け替えたい」など、カスタマイズ変更の対応はできません</v>
      </c>
      <c r="E18" s="273"/>
    </row>
    <row r="19">
      <c r="A19" s="273" t="str">
        <f>IFERROR(__xludf.DUMMYFUNCTION("""COMPUTED_VALUE"""),"注文後にクーポンを適用したいとご要望があった場合")</f>
        <v>注文後にクーポンを適用したいとご要望があった場合</v>
      </c>
      <c r="B19" s="273" t="str">
        <f>IFERROR(__xludf.DUMMYFUNCTION("""COMPUTED_VALUE"""),"■CS確認依頼
来店日時：
店舗：
対応者：
【CSに対応してほしい内容】
・お客さまへクーポン適用の対応可否をご連絡
・DB修正にてクーポンを適用
・返金先口座ヒアリング案内/クレジットカードへ返金完了案内
【顧客要望】
・注文後にクーポンを利用したいと強くご希望（キャンセル再購入はしたくない）
連絡方法：メールのみ
【適用希望クーポン】
クーポンコード（〇〇円分）：
【店頭対応内部処理】※紹介コードのご利用をご希望の場合のみ記載
・紹介コードより、クーポン有効化完了
紹介コード：AMB-〇〇〇"&amp;"〇
【店頭からお客様に伝えた内容】
①原則、キャンセル後に再購入をしていただく必要があるため、対応不可の可能性がある
②対応可否と可能だった場合の返金方法は、CSよりご連絡する")</f>
        <v>■CS確認依頼
来店日時：
店舗：
対応者：
【CSに対応してほしい内容】
・お客さまへクーポン適用の対応可否をご連絡
・DB修正にてクーポンを適用
・返金先口座ヒアリング案内/クレジットカードへ返金完了案内
【顧客要望】
・注文後にクーポンを利用したいと強くご希望（キャンセル再購入はしたくない）
連絡方法：メールのみ
【適用希望クーポン】
クーポンコード（〇〇円分）：
【店頭対応内部処理】※紹介コードのご利用をご希望の場合のみ記載
・紹介コードより、クーポン有効化完了
紹介コード：AMB-〇〇〇〇
【店頭からお客様に伝えた内容】
①原則、キャンセル後に再購入をしていただく必要があるため、対応不可の可能性がある
②対応可否と可能だった場合の返金方法は、CSよりご連絡する</v>
      </c>
      <c r="C19" s="273" t="str">
        <f>IFERROR(__xludf.DUMMYFUNCTION("""COMPUTED_VALUE"""),"■CS確認依頼
来店日時：
店舗：
対応者：
【CSに対応してほしい内容】
・お客さまへクーポン適用の対応可否をご連絡
・DB修正にてクーポンを適用
・返金先口座ヒアリング案内/クレジットカードへ返金完了案内
【顧客要望】
・注文後にクーポンを利用したいと強くご希望（キャンセル再購入はしたくない）
連絡方法：メールのみ
【適用希望クーポン】
クーポンコード（〇〇円分）：
【店頭対応内部処理】※紹介コードのご利用をご希望の場合のみ記載
・紹介コードより、クーポン有効化完了
紹介コード：AMB-〇〇〇"&amp;"〇
【店頭からお客様に伝えた内容】
①原則、キャンセル後に再購入をしていただく必要があるため、対応不可の可能性がある
②対応可否と可能だった場合の返金方法は、CSよりご連絡する")</f>
        <v>■CS確認依頼
来店日時：
店舗：
対応者：
【CSに対応してほしい内容】
・お客さまへクーポン適用の対応可否をご連絡
・DB修正にてクーポンを適用
・返金先口座ヒアリング案内/クレジットカードへ返金完了案内
【顧客要望】
・注文後にクーポンを利用したいと強くご希望（キャンセル再購入はしたくない）
連絡方法：メールのみ
【適用希望クーポン】
クーポンコード（〇〇円分）：
【店頭対応内部処理】※紹介コードのご利用をご希望の場合のみ記載
・紹介コードより、クーポン有効化完了
紹介コード：AMB-〇〇〇〇
【店頭からお客様に伝えた内容】
①原則、キャンセル後に再購入をしていただく必要があるため、対応不可の可能性がある
②対応可否と可能だった場合の返金方法は、CSよりご連絡する</v>
      </c>
      <c r="D19" s="273"/>
      <c r="E19" s="273"/>
    </row>
    <row r="20">
      <c r="A20" s="273" t="str">
        <f>IFERROR(__xludf.DUMMYFUNCTION("""COMPUTED_VALUE"""),"商品未発送お直し（未入荷のお直しが決まっている場合／ステータスが入荷待ち前の商品でTBで出荷を止めるパターン")</f>
        <v>商品未発送お直し（未入荷のお直しが決まっている場合／ステータスが入荷待ち前の商品でTBで出荷を止めるパターン</v>
      </c>
      <c r="B20" s="273" t="str">
        <f>IFERROR(__xludf.DUMMYFUNCTION("""COMPUTED_VALUE"""),"■商品未発送お直し
来店日時：
店舗：
対応者：
【CS依頼内容】
・商品未発送お直しの対応
・商品お届け後のOPEX登録
・決定納期連絡
【対象商品】
・商品名（注文詳細ID）
【配送先住所の確認】
■お届け先：ご登録住所／新住所
※注文履歴の住所と異なる場合、配送先住所を以下に記入。変更がない場合は、こちら削除
・〒
・住所
・氏名
・TEL
【お直し内容】※不要な項目は削除
■お直し内容：再製作／お直し
■お直し数値：
＜ジャケット／スラックス／ベスト／シャツ＞
箇所：±　cm（　　cm仕"&amp;"上がり）
■生地替え有り（不要であれば削除）
・変更前生地：　　　　　　（SKU：　）
・変更後生地：　　　　　　（SKU：　）　
【顧客要望】
・連絡方法：メールのみ
【店頭からお客様に伝えた内容】※不要な項目は削除
・納期は製作中の商品が納品され次第確定することをお伝え済み
・複数点受付の場合、仕上がったものから随時発送されること、お伝え済
・送付を停止する注文詳細IDを停止くんにて処理済み　※わからない場合、業務チーム相談
【CSに対応してほしい内容】
・商品完成後のOPEX内容設定、納期"&amp;"入力〜発注書作成再鑑
・商品完成後の納期連絡
【補足情報】
")</f>
        <v>■商品未発送お直し
来店日時：
店舗：
対応者：
【CS依頼内容】
・商品未発送お直しの対応
・商品お届け後のOPEX登録
・決定納期連絡
【対象商品】
・商品名（注文詳細ID）
【配送先住所の確認】
■お届け先：ご登録住所／新住所
※注文履歴の住所と異なる場合、配送先住所を以下に記入。変更がない場合は、こちら削除
・〒
・住所
・氏名
・TEL
【お直し内容】※不要な項目は削除
■お直し内容：再製作／お直し
■お直し数値：
＜ジャケット／スラックス／ベスト／シャツ＞
箇所：±　cm（　　cm仕上がり）
■生地替え有り（不要であれば削除）
・変更前生地：　　　　　　（SKU：　）
・変更後生地：　　　　　　（SKU：　）　
【顧客要望】
・連絡方法：メールのみ
【店頭からお客様に伝えた内容】※不要な項目は削除
・納期は製作中の商品が納品され次第確定することをお伝え済み
・複数点受付の場合、仕上がったものから随時発送されること、お伝え済
・送付を停止する注文詳細IDを停止くんにて処理済み　※わからない場合、業務チーム相談
【CSに対応してほしい内容】
・商品完成後のOPEX内容設定、納期入力〜発注書作成再鑑
・商品完成後の納期連絡
【補足情報】
</v>
      </c>
      <c r="C20" s="273" t="str">
        <f>IFERROR(__xludf.DUMMYFUNCTION("""COMPUTED_VALUE"""),"■商品未発送お直し
来店日時：
店舗：
対応者：
【CS依頼内容】
・商品未発送お直しの対応
・商品お届け後のOPEX登録
・決定納期連絡
【対象商品】
・商品名（注文詳細ID）
【配送先住所の確認】
■お届け先：ご登録住所／新住所
※注文履歴の住所と異なる場合、配送先住所を以下に記入。変更がない場合は、こちら削除
・〒
・住所
・氏名
・TEL
【お直し内容】※不要な項目は削除
■お直し内容：再製作／お直し
■お直し数値：
＜ジャケット／スラックス／ベスト／シャツ＞
箇所：±　cm（　　cm仕"&amp;"上がり）
■生地替え有り（不要であれば削除）
・変更前生地：　　　　　　（SKU：　）
・変更後生地：　　　　　　（SKU：　）　
【顧客要望】
・連絡方法：メールのみ
【店頭からお客様に伝えた内容】※不要な項目は削除
・納期は製作中の商品が納品され次第確定することをお伝え済み
・複数点受付の場合、仕上がったものから随時発送されること、お伝え済
・送付を停止する注文詳細IDを停止くんにて処理済み　※わからない場合、業務チーム相談
【CSに対応してほしい内容】
・商品完成後のOPEX内容設定、納期"&amp;"入力〜発注書作成再鑑
・商品完成後の納期連絡
【補足情報】
")</f>
        <v>■商品未発送お直し
来店日時：
店舗：
対応者：
【CS依頼内容】
・商品未発送お直しの対応
・商品お届け後のOPEX登録
・決定納期連絡
【対象商品】
・商品名（注文詳細ID）
【配送先住所の確認】
■お届け先：ご登録住所／新住所
※注文履歴の住所と異なる場合、配送先住所を以下に記入。変更がない場合は、こちら削除
・〒
・住所
・氏名
・TEL
【お直し内容】※不要な項目は削除
■お直し内容：再製作／お直し
■お直し数値：
＜ジャケット／スラックス／ベスト／シャツ＞
箇所：±　cm（　　cm仕上がり）
■生地替え有り（不要であれば削除）
・変更前生地：　　　　　　（SKU：　）
・変更後生地：　　　　　　（SKU：　）　
【顧客要望】
・連絡方法：メールのみ
【店頭からお客様に伝えた内容】※不要な項目は削除
・納期は製作中の商品が納品され次第確定することをお伝え済み
・複数点受付の場合、仕上がったものから随時発送されること、お伝え済
・送付を停止する注文詳細IDを停止くんにて処理済み　※わからない場合、業務チーム相談
【CSに対応してほしい内容】
・商品完成後のOPEX内容設定、納期入力〜発注書作成再鑑
・商品完成後の納期連絡
【補足情報】
</v>
      </c>
      <c r="D20" s="273"/>
      <c r="E20" s="273"/>
    </row>
    <row r="21">
      <c r="A21" s="273" t="str">
        <f>IFERROR(__xludf.DUMMYFUNCTION("""COMPUTED_VALUE"""),"破損証明書が欲しいという問い合わせがあった場合")</f>
        <v>破損証明書が欲しいという問い合わせがあった場合</v>
      </c>
      <c r="B21" s="273" t="str">
        <f>IFERROR(__xludf.DUMMYFUNCTION("""COMPUTED_VALUE"""),"■破損証明書発行
日時：
店舗：
対応者：
【CSに対応してほしい内容】
・対応についてメール送付
【顧客要望】
①
②
③
・連絡方法：メール
【店頭からお客様に伝えた内容】
①破損証明書は発行していない
②対応についてのメールを送付することは可
③
CSからの連絡日目安伝え済み（当日を除く3営業日後の日付）：mm/dd")</f>
        <v>■破損証明書発行
日時：
店舗：
対応者：
【CSに対応してほしい内容】
・対応についてメール送付
【顧客要望】
①
②
③
・連絡方法：メール
【店頭からお客様に伝えた内容】
①破損証明書は発行していない
②対応についてのメールを送付することは可
③
CSからの連絡日目安伝え済み（当日を除く3営業日後の日付）：mm/dd</v>
      </c>
      <c r="C21" s="273" t="str">
        <f>IFERROR(__xludf.DUMMYFUNCTION("""COMPUTED_VALUE"""),"■破損証明書発行
日時：
店舗：
対応者：
【CSに対応してほしい内容】
・対応についてメール送付
【顧客要望】
①
②
③
・連絡方法：メール
【店頭からお客様に伝えた内容】
①破損証明書は発行していない
②対応についてのメールを送付することは可
③
CSからの連絡日目安伝え済み（当日を除く3営業日後の日付）：mm/dd")</f>
        <v>■破損証明書発行
日時：
店舗：
対応者：
【CSに対応してほしい内容】
・対応についてメール送付
【顧客要望】
①
②
③
・連絡方法：メール
【店頭からお客様に伝えた内容】
①破損証明書は発行していない
②対応についてのメールを送付することは可
③
CSからの連絡日目安伝え済み（当日を除く3営業日後の日付）：mm/dd</v>
      </c>
      <c r="D21" s="273"/>
      <c r="E21" s="273"/>
    </row>
    <row r="22">
      <c r="A22" s="273" t="str">
        <f>IFERROR(__xludf.DUMMYFUNCTION("""COMPUTED_VALUE"""),"検寸依頼")</f>
        <v>検寸依頼</v>
      </c>
      <c r="B22" s="273" t="str">
        <f>IFERROR(__xludf.DUMMYFUNCTION("""COMPUTED_VALUE"""),"■検寸依頼
来店⽇時： 月 日（）
来店店舗：
担当者：
お直し保証：適用・適用外
理由：（＊お直し期間外で、お直し保証が適用される場合のみ理由を記載）
【対象商品】※不要項目は削除
商品名：　（注文詳細ID：　）
〈アイテム〉
■検寸して欲しい箇所
・製作サイズ：箇所：±○○cm（○○cm仕上がり）
・店頭検寸結果：箇所：±○○cm（○○cm仕上がり）
※ジャケットのバスト、シャツのアームホールのみ確認依頼となります。
※上記以外の箇所は店頭検寸で対応お願いします。
■検寸前のサイズからのお直し"&amp;"内容
・箇所：±○○cm（○○cm仕上がり）
■着用回数
【顧客要望】
着用予定日：　月　日 or なし
連絡方法：メール
【店頭からお客様に伝えた内容】※不要項目は削除
・3営業日くらいでCSから一次連絡、その後、商品が届いてから状態の確認＆対応内容の確定、納期報告に1週間程度かかることをお伝えずみ
【内部処理】
・検寸クレームのため、商品をテーラーバンクに発送いたします
・OPEXのお直し内容設定に関しては、未確定にしています。
【CSに対応してほしい内容】※不要項目は削除
①修理か再製作か"&amp;"
②決定納期
③費用負担額
上記を顧客へ連絡
CSからの連絡日目安伝え済み（当日を除く3営業日後の日付）：mm/dd
【テーラーバンク到着予定日／追跡番号】
　月　日／0000-0000-0000
""")</f>
        <v>■検寸依頼
来店⽇時： 月 日（）
来店店舗：
担当者：
お直し保証：適用・適用外
理由：（＊お直し期間外で、お直し保証が適用される場合のみ理由を記載）
【対象商品】※不要項目は削除
商品名：　（注文詳細ID：　）
〈アイテム〉
■検寸して欲しい箇所
・製作サイズ：箇所：±○○cm（○○cm仕上がり）
・店頭検寸結果：箇所：±○○cm（○○cm仕上がり）
※ジャケットのバスト、シャツのアームホールのみ確認依頼となります。
※上記以外の箇所は店頭検寸で対応お願いします。
■検寸前のサイズからのお直し内容
・箇所：±○○cm（○○cm仕上がり）
■着用回数
【顧客要望】
着用予定日：　月　日 or なし
連絡方法：メール
【店頭からお客様に伝えた内容】※不要項目は削除
・3営業日くらいでCSから一次連絡、その後、商品が届いてから状態の確認＆対応内容の確定、納期報告に1週間程度かかることをお伝えずみ
【内部処理】
・検寸クレームのため、商品をテーラーバンクに発送いたします
・OPEXのお直し内容設定に関しては、未確定にしています。
【CSに対応してほしい内容】※不要項目は削除
①修理か再製作か
②決定納期
③費用負担額
上記を顧客へ連絡
CSからの連絡日目安伝え済み（当日を除く3営業日後の日付）：mm/dd
【テーラーバンク到着予定日／追跡番号】
　月　日／0000-0000-0000
"</v>
      </c>
      <c r="C22" s="273" t="str">
        <f>IFERROR(__xludf.DUMMYFUNCTION("""COMPUTED_VALUE"""),"■検寸依頼
来店⽇時： 月 日（）
来店店舗：
担当者：
お直し保証：適用・適用外
理由：（＊お直し期間外で、お直し保証が適用される場合のみ理由を記載）
【対象商品】※不要項目は削除
商品名：　（注文詳細ID：　）
〈アイテム〉
■検寸して欲しい箇所
・製作サイズ：箇所：±○○cm（○○cm仕上がり）
・店頭検寸結果：箇所：±○○cm（○○cm仕上がり）
※ジャケットのバスト、シャツのアームホールのみ確認依頼となります。
※上記以外の箇所は店頭検寸で対応お願いします。
■検寸前のサイズからのお直し"&amp;"内容
・箇所：±○○cm（○○cm仕上がり）
■着用回数
【顧客要望】
着用予定日：　月　日 or なし
連絡方法：メール
【店頭からお客様に伝えた内容】※不要項目は削除
・3営業日くらいでCSから一次連絡、その後、商品が届いてから状態の確認＆対応内容の確定、納期報告に1週間程度かかることをお伝えずみ
【内部処理】
・検寸クレームのため、商品をテーラーバンクに発送いたします
・OPEXのお直し内容設定に関しては、未確定にしています。
【CSに対応してほしい内容】※不要項目は削除
①修理か再製作か"&amp;"
②決定納期
③費用負担額
上記を顧客へ連絡
CSからの連絡日目安伝え済み（当日を除く3営業日後の日付）：mm/dd
【テーラーバンク到着予定日／追跡番号】
　月　日／0000-0000-0000
""")</f>
        <v>■検寸依頼
来店⽇時： 月 日（）
来店店舗：
担当者：
お直し保証：適用・適用外
理由：（＊お直し期間外で、お直し保証が適用される場合のみ理由を記載）
【対象商品】※不要項目は削除
商品名：　（注文詳細ID：　）
〈アイテム〉
■検寸して欲しい箇所
・製作サイズ：箇所：±○○cm（○○cm仕上がり）
・店頭検寸結果：箇所：±○○cm（○○cm仕上がり）
※ジャケットのバスト、シャツのアームホールのみ確認依頼となります。
※上記以外の箇所は店頭検寸で対応お願いします。
■検寸前のサイズからのお直し内容
・箇所：±○○cm（○○cm仕上がり）
■着用回数
【顧客要望】
着用予定日：　月　日 or なし
連絡方法：メール
【店頭からお客様に伝えた内容】※不要項目は削除
・3営業日くらいでCSから一次連絡、その後、商品が届いてから状態の確認＆対応内容の確定、納期報告に1週間程度かかることをお伝えずみ
【内部処理】
・検寸クレームのため、商品をテーラーバンクに発送いたします
・OPEXのお直し内容設定に関しては、未確定にしています。
【CSに対応してほしい内容】※不要項目は削除
①修理か再製作か
②決定納期
③費用負担額
上記を顧客へ連絡
CSからの連絡日目安伝え済み（当日を除く3営業日後の日付）：mm/dd
【テーラーバンク到着予定日／追跡番号】
　月　日／0000-0000-0000
"</v>
      </c>
      <c r="D22" s="273"/>
      <c r="E22" s="273"/>
    </row>
    <row r="23">
      <c r="A23" s="273" t="str">
        <f>IFERROR(__xludf.DUMMYFUNCTION("""COMPUTED_VALUE"""),"洗濯・クリーニング縮みのCS確認依頼（通常品ver）")</f>
        <v>洗濯・クリーニング縮みのCS確認依頼（通常品ver）</v>
      </c>
      <c r="B23" s="273" t="str">
        <f>IFERROR(__xludf.DUMMYFUNCTION("""COMPUTED_VALUE"""),"■洗濯・クリーニング縮みのCS確認依頼（通常品ver）
来店⽇時： 
来店店舗：
担当者：
お直し保証：適用・適用外
理由：（＊お直し期間外で、お直し保証が適用される場合のみ理由を記載）
【対象商品】※不要項目は削除
商品名：　（注文詳細ID：　）
〈アイテム〉
■検寸して欲しい箇所
・製作サイズ：箇所：±○○cm（○○cm仕上がり）
・店頭検寸結果：箇所：±○○cm（○○cm仕上がり）
■検寸前のサイズからのお直し内容（サイズ要因のお直しがある場合記載）
・箇所：±○○cm（○○cm仕上がり）
"&amp;"■洗濯方法1：自宅　or クリーニング店
■洗濯方法2（わかれば）：
・自宅の場合：手洗い　or 洗濯機の（通常モード／ドライ　手洗いモード）
・クリーニング店の場合：通常洗い／ドライクリーニング
■乾燥機の使用有無：
■洗濯回数／クリーニング回数：
■着用回数：
■洗濯する前からサイズが小さいと感じていたかどうか：
■クリーニングに出した後に直ぐにクリーニング店に問い合わせているか：確認済み／未確認
【顧客要望】
着用予定日：　月　日 or なし
連絡方法：メール
【店頭からお客様に伝えた内容】※"&amp;"不要項目は削除
・3営業日くらいでCSから一次連絡、その後、商品が届いてから状態の確認＆対応内容の確定、納期報告に1週間程度かかることをお伝えずみ
【内部処理】
・縮みクレームのため、商品をテーラーバンクに発送いたします
・OPEXのお直し内容設定に関しては、未確定にしています。
【CSに対応してほしい内容】※不要項目は削除
①修理か再製作か
②決定納期
③費用負担額
上記を顧客へ連絡
CSからの連絡日目安伝え済み（当日を除く3営業日後の日付）：mm/dd
【顧客温度感】
・
・
【到着予定日／"&amp;"追跡番号】
　月　日／0000-0000-0000")</f>
        <v>■洗濯・クリーニング縮みのCS確認依頼（通常品ver）
来店⽇時： 
来店店舗：
担当者：
お直し保証：適用・適用外
理由：（＊お直し期間外で、お直し保証が適用される場合のみ理由を記載）
【対象商品】※不要項目は削除
商品名：　（注文詳細ID：　）
〈アイテム〉
■検寸して欲しい箇所
・製作サイズ：箇所：±○○cm（○○cm仕上がり）
・店頭検寸結果：箇所：±○○cm（○○cm仕上がり）
■検寸前のサイズからのお直し内容（サイズ要因のお直しがある場合記載）
・箇所：±○○cm（○○cm仕上がり）
■洗濯方法1：自宅　or クリーニング店
■洗濯方法2（わかれば）：
・自宅の場合：手洗い　or 洗濯機の（通常モード／ドライ　手洗いモード）
・クリーニング店の場合：通常洗い／ドライクリーニング
■乾燥機の使用有無：
■洗濯回数／クリーニング回数：
■着用回数：
■洗濯する前からサイズが小さいと感じていたかどうか：
■クリーニングに出した後に直ぐにクリーニング店に問い合わせているか：確認済み／未確認
【顧客要望】
着用予定日：　月　日 or なし
連絡方法：メール
【店頭からお客様に伝えた内容】※不要項目は削除
・3営業日くらいでCSから一次連絡、その後、商品が届いてから状態の確認＆対応内容の確定、納期報告に1週間程度かかることをお伝えずみ
【内部処理】
・縮みクレームのため、商品をテーラーバンクに発送いたします
・OPEXのお直し内容設定に関しては、未確定にしています。
【CSに対応してほしい内容】※不要項目は削除
①修理か再製作か
②決定納期
③費用負担額
上記を顧客へ連絡
CSからの連絡日目安伝え済み（当日を除く3営業日後の日付）：mm/dd
【顧客温度感】
・
・
【到着予定日／追跡番号】
　月　日／0000-0000-0000</v>
      </c>
      <c r="C23" s="273" t="str">
        <f>IFERROR(__xludf.DUMMYFUNCTION("""COMPUTED_VALUE"""),"■洗濯・クリーニング縮みのCS確認依頼（通常品ver）
来店⽇時： 
来店店舗：
担当者：
お直し保証：適用・適用外
理由：（＊お直し期間外で、お直し保証が適用される場合のみ理由を記載）
【対象商品】※不要項目は削除
商品名：　（注文詳細ID：　）
〈アイテム〉
■検寸して欲しい箇所
・製作サイズ：箇所：±○○cm（○○cm仕上がり）
・店頭検寸結果：箇所：±○○cm（○○cm仕上がり）
■検寸前のサイズからのお直し内容（サイズ要因のお直しがある場合記載）
・箇所：±○○cm（○○cm仕上がり）
"&amp;"■洗濯方法1：自宅　or クリーニング店
■洗濯方法2（わかれば）：
・自宅の場合：手洗い　or 洗濯機の（通常モード／ドライ　手洗いモード）
・クリーニング店の場合：通常洗い／ドライクリーニング
■乾燥機の使用有無：
■洗濯回数／クリーニング回数：
■着用回数：
■洗濯する前からサイズが小さいと感じていたかどうか：
■クリーニングに出した後に直ぐにクリーニング店に問い合わせているか：確認済み／未確認
【顧客要望】
着用予定日：　月　日 or なし
連絡方法：メール
【店頭からお客様に伝えた内容】※"&amp;"不要項目は削除
・3営業日くらいでCSから一次連絡、その後、商品が届いてから状態の確認＆対応内容の確定、納期報告に1週間程度かかることをお伝えずみ
【内部処理】
・縮みクレームのため、商品をテーラーバンクに発送いたします
・OPEXのお直し内容設定に関しては、未確定にしています。
【CSに対応してほしい内容】※不要項目は削除
①修理か再製作か
②決定納期
③費用負担額
上記を顧客へ連絡
CSからの連絡日目安伝え済み（当日を除く3営業日後の日付）：mm/dd
【顧客温度感】
・
・
【到着予定日／"&amp;"追跡番号】
　月　日／0000-0000-0000")</f>
        <v>■洗濯・クリーニング縮みのCS確認依頼（通常品ver）
来店⽇時： 
来店店舗：
担当者：
お直し保証：適用・適用外
理由：（＊お直し期間外で、お直し保証が適用される場合のみ理由を記載）
【対象商品】※不要項目は削除
商品名：　（注文詳細ID：　）
〈アイテム〉
■検寸して欲しい箇所
・製作サイズ：箇所：±○○cm（○○cm仕上がり）
・店頭検寸結果：箇所：±○○cm（○○cm仕上がり）
■検寸前のサイズからのお直し内容（サイズ要因のお直しがある場合記載）
・箇所：±○○cm（○○cm仕上がり）
■洗濯方法1：自宅　or クリーニング店
■洗濯方法2（わかれば）：
・自宅の場合：手洗い　or 洗濯機の（通常モード／ドライ　手洗いモード）
・クリーニング店の場合：通常洗い／ドライクリーニング
■乾燥機の使用有無：
■洗濯回数／クリーニング回数：
■着用回数：
■洗濯する前からサイズが小さいと感じていたかどうか：
■クリーニングに出した後に直ぐにクリーニング店に問い合わせているか：確認済み／未確認
【顧客要望】
着用予定日：　月　日 or なし
連絡方法：メール
【店頭からお客様に伝えた内容】※不要項目は削除
・3営業日くらいでCSから一次連絡、その後、商品が届いてから状態の確認＆対応内容の確定、納期報告に1週間程度かかることをお伝えずみ
【内部処理】
・縮みクレームのため、商品をテーラーバンクに発送いたします
・OPEXのお直し内容設定に関しては、未確定にしています。
【CSに対応してほしい内容】※不要項目は削除
①修理か再製作か
②決定納期
③費用負担額
上記を顧客へ連絡
CSからの連絡日目安伝え済み（当日を除く3営業日後の日付）：mm/dd
【顧客温度感】
・
・
【到着予定日／追跡番号】
　月　日／0000-0000-0000</v>
      </c>
      <c r="D23" s="273"/>
      <c r="E23" s="273"/>
    </row>
    <row r="24">
      <c r="A24" s="273" t="str">
        <f>IFERROR(__xludf.DUMMYFUNCTION("""COMPUTED_VALUE"""),"転居・長期不在での再配達依頼")</f>
        <v>転居・長期不在での再配達依頼</v>
      </c>
      <c r="B24" s="273" t="str">
        <f>IFERROR(__xludf.DUMMYFUNCTION("""COMPUTED_VALUE"""),"※転居・長期不在での再配達依頼※
来店日時：
店舗：
対応者：
【内容】
・転居／長期不在　での再配達依頼
・再配達理由：（ex.引越しをしたため／自宅を不在にしていて受け取れなかったため）
【配送先住所の確認】
■お届け先：ご登録住所／新住所
※注文履歴の住所と異なる場合、配送先住所を以下に記入。変更がない場合は、こちら削除
・〒
・住所
・氏名
・TEL
【対象商品】
〇〇〇〇(注文詳細ID：)
【CSに対応してほしい内容】
・商品の再配達手配とお客さまへご連絡
CSからの連絡日目安伝え済"&amp;"み（当日を除く3営業日後の日付）：mm/dd
【顧客要望】
・連絡方法：メールのみ
【店頭からお客様に伝えた内容】※不要な項目は削除
・再配達先を確認（住所変更あった場合、変更先の住所の確認をする）
・再配達の際は、別途着払いで配送料がかかる旨お伝え
・弊社工場にて着荷を確認次第、再配達の手配を行い、CSから連絡させていただく旨をお伝え")</f>
        <v>※転居・長期不在での再配達依頼※
来店日時：
店舗：
対応者：
【内容】
・転居／長期不在　での再配達依頼
・再配達理由：（ex.引越しをしたため／自宅を不在にしていて受け取れなかったため）
【配送先住所の確認】
■お届け先：ご登録住所／新住所
※注文履歴の住所と異なる場合、配送先住所を以下に記入。変更がない場合は、こちら削除
・〒
・住所
・氏名
・TEL
【対象商品】
〇〇〇〇(注文詳細ID：)
【CSに対応してほしい内容】
・商品の再配達手配とお客さまへご連絡
CSからの連絡日目安伝え済み（当日を除く3営業日後の日付）：mm/dd
【顧客要望】
・連絡方法：メールのみ
【店頭からお客様に伝えた内容】※不要な項目は削除
・再配達先を確認（住所変更あった場合、変更先の住所の確認をする）
・再配達の際は、別途着払いで配送料がかかる旨お伝え
・弊社工場にて着荷を確認次第、再配達の手配を行い、CSから連絡させていただく旨をお伝え</v>
      </c>
      <c r="C24" s="273" t="str">
        <f>IFERROR(__xludf.DUMMYFUNCTION("""COMPUTED_VALUE"""),"※転居・長期不在での再配達依頼※
来店日時：
店舗：
対応者：
【内容】
・転居／長期不在　での再配達依頼
・再配達理由：（ex.引越しをしたため／自宅を不在にしていて受け取れなかったため）
【配送先住所の確認】
■お届け先：ご登録住所／新住所
※注文履歴の住所と異なる場合、配送先住所を以下に記入。変更がない場合は、こちら削除
・〒
・住所
・氏名
・TEL
【対象商品】
〇〇〇〇(注文詳細ID：)
【CSに対応してほしい内容】
・商品の再配達手配とお客さまへご連絡
CSからの連絡日目安伝え済"&amp;"み（当日を除く3営業日後の日付）：mm/dd
【顧客要望】
・連絡方法：メールのみ
【店頭からお客様に伝えた内容】※不要な項目は削除
・再配達先を確認（住所変更あった場合、変更先の住所の確認をする）
・再配達の際は、別途着払いで配送料がかかる旨お伝え
・弊社工場にて着荷を確認次第、再配達の手配を行い、CSから連絡させていただく旨をお伝え")</f>
        <v>※転居・長期不在での再配達依頼※
来店日時：
店舗：
対応者：
【内容】
・転居／長期不在　での再配達依頼
・再配達理由：（ex.引越しをしたため／自宅を不在にしていて受け取れなかったため）
【配送先住所の確認】
■お届け先：ご登録住所／新住所
※注文履歴の住所と異なる場合、配送先住所を以下に記入。変更がない場合は、こちら削除
・〒
・住所
・氏名
・TEL
【対象商品】
〇〇〇〇(注文詳細ID：)
【CSに対応してほしい内容】
・商品の再配達手配とお客さまへご連絡
CSからの連絡日目安伝え済み（当日を除く3営業日後の日付）：mm/dd
【顧客要望】
・連絡方法：メールのみ
【店頭からお客様に伝えた内容】※不要な項目は削除
・再配達先を確認（住所変更あった場合、変更先の住所の確認をする）
・再配達の際は、別途着払いで配送料がかかる旨お伝え
・弊社工場にて着荷を確認次第、再配達の手配を行い、CSから連絡させていただく旨をお伝え</v>
      </c>
      <c r="D24" s="273"/>
      <c r="E24" s="273"/>
    </row>
    <row r="25">
      <c r="A25" s="273" t="str">
        <f>IFERROR(__xludf.DUMMYFUNCTION("""COMPUTED_VALUE"""),"複数点口で待機品を預かった場合のCS確認依頼")</f>
        <v>複数点口で待機品を預かった場合のCS確認依頼</v>
      </c>
      <c r="B25" s="273" t="str">
        <f>IFERROR(__xludf.DUMMYFUNCTION("""COMPUTED_VALUE"""),"■複数点口で待機品を預かった場合のCS確認依頼【イレギュラー】
※大前提、待機品のお預かりはお断りしてください。
※お直し来店済み※
来店日時：
店舗：
対応者：
【CS依頼内容】
・複数点口のお直しで待機品が発生した為、SCM経由でTBに同梱指示をして欲しい
理由：例）お直しをしない商品は預かれない為、店舗から返送すると伝えたが、同梱して欲しいと強く希望を受けた為。
【対象商品】
・商品名（注文詳細ID：）
【お直し内容】
■お届け先：ご登録住所／新住所
※注文履歴の住所と異なる場合、配送先住"&amp;"所を以下に記入。変更がない場合は、こちら削除
・〒
・住所
・氏名
・TEL
■保証内容：自社全額負担／お客様負担
CSからの連絡日目安伝え済み（当日を除く3営業日後の日付）：mm/dd
【顧客要望】
・連絡方法：メール
【店頭からお客様に伝えた内容】
・
・
【補足情報】
・")</f>
        <v>■複数点口で待機品を預かった場合のCS確認依頼【イレギュラー】
※大前提、待機品のお預かりはお断りしてください。
※お直し来店済み※
来店日時：
店舗：
対応者：
【CS依頼内容】
・複数点口のお直しで待機品が発生した為、SCM経由でTBに同梱指示をして欲しい
理由：例）お直しをしない商品は預かれない為、店舗から返送すると伝えたが、同梱して欲しいと強く希望を受けた為。
【対象商品】
・商品名（注文詳細ID：）
【お直し内容】
■お届け先：ご登録住所／新住所
※注文履歴の住所と異なる場合、配送先住所を以下に記入。変更がない場合は、こちら削除
・〒
・住所
・氏名
・TEL
■保証内容：自社全額負担／お客様負担
CSからの連絡日目安伝え済み（当日を除く3営業日後の日付）：mm/dd
【顧客要望】
・連絡方法：メール
【店頭からお客様に伝えた内容】
・
・
【補足情報】
・</v>
      </c>
      <c r="C25" s="273" t="str">
        <f>IFERROR(__xludf.DUMMYFUNCTION("""COMPUTED_VALUE"""),"■複数点口で待機品を預かった場合のCS確認依頼【イレギュラー】
※大前提、待機品のお預かりはお断りしてください。
※お直し来店済み※
来店日時：
店舗：
対応者：
【CS依頼内容】
・複数点口のお直しで待機品が発生した為、SCM経由でTBに同梱指示をして欲しい
理由：例）お直しをしない商品は預かれない為、店舗から返送すると伝えたが、同梱して欲しいと強く希望を受けた為。
【対象商品】
・商品名（注文詳細ID：）
【お直し内容】
■お届け先：ご登録住所／新住所
※注文履歴の住所と異なる場合、配送先住"&amp;"所を以下に記入。変更がない場合は、こちら削除
・〒
・住所
・氏名
・TEL
■保証内容：自社全額負担／お客様負担
CSからの連絡日目安伝え済み（当日を除く3営業日後の日付）：mm/dd
【顧客要望】
・連絡方法：メール
【店頭からお客様に伝えた内容】
・
・
【補足情報】
・")</f>
        <v>■複数点口で待機品を預かった場合のCS確認依頼【イレギュラー】
※大前提、待機品のお預かりはお断りしてください。
※お直し来店済み※
来店日時：
店舗：
対応者：
【CS依頼内容】
・複数点口のお直しで待機品が発生した為、SCM経由でTBに同梱指示をして欲しい
理由：例）お直しをしない商品は預かれない為、店舗から返送すると伝えたが、同梱して欲しいと強く希望を受けた為。
【対象商品】
・商品名（注文詳細ID：）
【お直し内容】
■お届け先：ご登録住所／新住所
※注文履歴の住所と異なる場合、配送先住所を以下に記入。変更がない場合は、こちら削除
・〒
・住所
・氏名
・TEL
■保証内容：自社全額負担／お客様負担
CSからの連絡日目安伝え済み（当日を除く3営業日後の日付）：mm/dd
【顧客要望】
・連絡方法：メール
【店頭からお客様に伝えた内容】
・
・
【補足情報】
・</v>
      </c>
      <c r="D25" s="273"/>
      <c r="E25" s="273"/>
    </row>
    <row r="26">
      <c r="A26" s="273" t="str">
        <f>IFERROR(__xludf.DUMMYFUNCTION("""COMPUTED_VALUE"""),"決済金額を間違えた場合のCS確認依頼")</f>
        <v>決済金額を間違えた場合のCS確認依頼</v>
      </c>
      <c r="B26" s="273" t="str">
        <f>IFERROR(__xludf.DUMMYFUNCTION("""COMPUTED_VALUE"""),"決済金額を間違えた場合のCS確認依頼
■CS確認依頼
来店日時：
店舗：
対応者：
【決済ミスについて】
店舗決済金額：¥
本来決済すべき金額：¥
差額：¥
【店舗決済した金種内訳】
EC決済：¥
現金：¥
電子マネー：¥
コード決済：¥
商品券：¥
ポイント：¥
その他：
※併用の場合は、詳細に記載してください。
※クレジットは、館のルールに従って、金額修正を店舗で行ってください。
※クレジットの場合は、CS確認依頼不要です。
【口座情報について】
・お問い合わせフォームにて、返金先の口座情報を店"&amp;"頭で送信完了済み
お問い合わせフォームは、ECサイトの”サポート⇨お直し→カスタマーサポートに連絡　にあります
【CSに対応してほしい内容】
①
②
【顧客要望】
①
②
・連絡方法：メールのみ
【店頭からお客様に伝えた内容】
①
②
CSからの連絡日目安伝え済み（当日を除く3営業日後の日付）：mm/dd
")</f>
        <v>決済金額を間違えた場合のCS確認依頼
■CS確認依頼
来店日時：
店舗：
対応者：
【決済ミスについて】
店舗決済金額：¥
本来決済すべき金額：¥
差額：¥
【店舗決済した金種内訳】
EC決済：¥
現金：¥
電子マネー：¥
コード決済：¥
商品券：¥
ポイント：¥
その他：
※併用の場合は、詳細に記載してください。
※クレジットは、館のルールに従って、金額修正を店舗で行ってください。
※クレジットの場合は、CS確認依頼不要です。
【口座情報について】
・お問い合わせフォームにて、返金先の口座情報を店頭で送信完了済み
お問い合わせフォームは、ECサイトの”サポート⇨お直し→カスタマーサポートに連絡　にあります
【CSに対応してほしい内容】
①
②
【顧客要望】
①
②
・連絡方法：メールのみ
【店頭からお客様に伝えた内容】
①
②
CSからの連絡日目安伝え済み（当日を除く3営業日後の日付）：mm/dd
</v>
      </c>
      <c r="C26" s="273" t="str">
        <f>IFERROR(__xludf.DUMMYFUNCTION("""COMPUTED_VALUE"""),"決済金額を間違えた場合のCS確認依頼
■CS確認依頼
来店日時：
店舗：
対応者：
【決済ミスについて】
店舗決済金額：¥
本来決済すべき金額：¥
差額：¥
【店舗決済した金種内訳】
EC決済：¥
現金：¥
電子マネー：¥
コード決済：¥
商品券：¥
ポイント：¥
その他：
※併用の場合は、詳細に記載してください。
※クレジットは、館のルールに従って、金額修正を店舗で行ってください。
※クレジットの場合は、CS確認依頼不要です。
【口座情報について】
・お問い合わせフォームにて、返金先の口座情報を店"&amp;"頭で送信完了済み
お問い合わせフォームは、ECサイトの”サポート⇨お直し→カスタマーサポートに連絡　にあります
【CSに対応してほしい内容】
①
②
【顧客要望】
①
②
・連絡方法：メールのみ
【店頭からお客様に伝えた内容】
①
②
CSからの連絡日目安伝え済み（当日を除く3営業日後の日付）：mm/dd")</f>
        <v>決済金額を間違えた場合のCS確認依頼
■CS確認依頼
来店日時：
店舗：
対応者：
【決済ミスについて】
店舗決済金額：¥
本来決済すべき金額：¥
差額：¥
【店舗決済した金種内訳】
EC決済：¥
現金：¥
電子マネー：¥
コード決済：¥
商品券：¥
ポイント：¥
その他：
※併用の場合は、詳細に記載してください。
※クレジットは、館のルールに従って、金額修正を店舗で行ってください。
※クレジットの場合は、CS確認依頼不要です。
【口座情報について】
・お問い合わせフォームにて、返金先の口座情報を店頭で送信完了済み
お問い合わせフォームは、ECサイトの”サポート⇨お直し→カスタマーサポートに連絡　にあります
【CSに対応してほしい内容】
①
②
【顧客要望】
①
②
・連絡方法：メールのみ
【店頭からお客様に伝えた内容】
①
②
CSからの連絡日目安伝え済み（当日を除く3営業日後の日付）：mm/dd</v>
      </c>
      <c r="D26" s="273" t="str">
        <f>IFERROR(__xludf.DUMMYFUNCTION("""COMPUTED_VALUE"""),"【口座情報】
銀行名：
支店名：
口座種別：
口座番号：
受取人名（カナ）:")</f>
        <v>【口座情報】
銀行名：
支店名：
口座種別：
口座番号：
受取人名（カナ）:</v>
      </c>
      <c r="E26" s="273"/>
    </row>
    <row r="27">
      <c r="A27" s="273" t="str">
        <f>IFERROR(__xludf.DUMMYFUNCTION("""COMPUTED_VALUE"""),"ウィメンズお直し/再製作")</f>
        <v>ウィメンズお直し/再製作</v>
      </c>
      <c r="B27" s="273" t="str">
        <f>IFERROR(__xludf.DUMMYFUNCTION("""COMPUTED_VALUE"""),"ウィメンズお直し/再制作
※お直し来店済み※
来店日時：
店舗：
対応者：
【確認依頼の経緯】
ex)店頭での対応に苦慮など、時系列順に詳しく
【CS依頼内容】
・お直し出荷時の追跡番号の送付
・出荷シートの確認
・対応方法：再製作／お直し
【対象商品】
・商品名（注文詳細ID）
【お直し内容】※不要な項目は削除
■お直し内容：再製作／お直し
■修理理由：採寸ミス／体型変動／仕上がり寸違い／お好み
■お直し数値：
＜ジャケット／スラックス／ベスト／シャツ＞
箇所：±　cm（　　cm仕上がり）
■生"&amp;"地替え有り
・変更前生地：　　　　　　（SKU：　）
・変更後生地：　　　　　　（SKU：　）　
■お届け先：〇〇店／ご登録住所／新住所
■保証内容：自社全額負担／お客様負担
【対応目安】
次のルールで優先度を設定してください。
いつでも (5営業日以内)・・・低
通常 (2営業日中)・・・中
なるはや (翌営業日中)・・・高
CSからの連絡日目安伝え済み（当日を除く3営業日後の日付）：mm/dd
【顧客要望】
・連絡方法：メールのみ
※電話希望の場合は担当店舗から架電お願いします。
【店頭対応】"&amp;"※不要な項目は削除
・納期はTBに商品が届き次第確定することをお伝え済み
【補足情報】")</f>
        <v>ウィメンズお直し/再制作
※お直し来店済み※
来店日時：
店舗：
対応者：
【確認依頼の経緯】
ex)店頭での対応に苦慮など、時系列順に詳しく
【CS依頼内容】
・お直し出荷時の追跡番号の送付
・出荷シートの確認
・対応方法：再製作／お直し
【対象商品】
・商品名（注文詳細ID）
【お直し内容】※不要な項目は削除
■お直し内容：再製作／お直し
■修理理由：採寸ミス／体型変動／仕上がり寸違い／お好み
■お直し数値：
＜ジャケット／スラックス／ベスト／シャツ＞
箇所：±　cm（　　cm仕上がり）
■生地替え有り
・変更前生地：　　　　　　（SKU：　）
・変更後生地：　　　　　　（SKU：　）　
■お届け先：〇〇店／ご登録住所／新住所
■保証内容：自社全額負担／お客様負担
【対応目安】
次のルールで優先度を設定してください。
いつでも (5営業日以内)・・・低
通常 (2営業日中)・・・中
なるはや (翌営業日中)・・・高
CSからの連絡日目安伝え済み（当日を除く3営業日後の日付）：mm/dd
【顧客要望】
・連絡方法：メールのみ
※電話希望の場合は担当店舗から架電お願いします。
【店頭対応】※不要な項目は削除
・納期はTBに商品が届き次第確定することをお伝え済み
【補足情報】</v>
      </c>
      <c r="C27" s="273" t="str">
        <f>IFERROR(__xludf.DUMMYFUNCTION("""COMPUTED_VALUE"""),"ウィメンズお直し/再製作
※お直し来店済み※
来店日時：
店舗：
対応者：
【CS依頼内容】
・お直し出荷時の追跡番号の送付
・出荷シートの確認
・対応方法：再製作／お直し
【対象商品】
・商品名（注文詳細ID）
【お直し内容】※不要な項目は削除
■お直し内容：再製作／お直し
■修理理由：採寸ミス／体型変動／仕上がり寸違い／お好み
■お直し数値：
＜ジャケット／スラックス／ベスト／シャツ＞
箇所：±　cm（　　cm仕上がり）
■生地替え有り
・変更前生地：　　　　　　（SKU：　）
・変更後生地：　"&amp;"　　　　　（SKU：　）　
■お届け先：〇〇店／ご登録住所／新住所
■保証内容：自社全額負担／お客様負担
CSからの連絡日目安伝え済み（当日を除く3営業日後の日付）：mm/dd
【顧客要望】
・連絡方法：メール
【店頭対応】※不要な項目は削除
・納期はTBに商品が届き次第確定することをお伝え済み
【補足情報】")</f>
        <v>ウィメンズお直し/再製作
※お直し来店済み※
来店日時：
店舗：
対応者：
【CS依頼内容】
・お直し出荷時の追跡番号の送付
・出荷シートの確認
・対応方法：再製作／お直し
【対象商品】
・商品名（注文詳細ID）
【お直し内容】※不要な項目は削除
■お直し内容：再製作／お直し
■修理理由：採寸ミス／体型変動／仕上がり寸違い／お好み
■お直し数値：
＜ジャケット／スラックス／ベスト／シャツ＞
箇所：±　cm（　　cm仕上がり）
■生地替え有り
・変更前生地：　　　　　　（SKU：　）
・変更後生地：　　　　　　（SKU：　）　
■お届け先：〇〇店／ご登録住所／新住所
■保証内容：自社全額負担／お客様負担
CSからの連絡日目安伝え済み（当日を除く3営業日後の日付）：mm/dd
【顧客要望】
・連絡方法：メール
【店頭対応】※不要な項目は削除
・納期はTBに商品が届き次第確定することをお伝え済み
【補足情報】</v>
      </c>
      <c r="D27" s="273"/>
      <c r="E27" s="273"/>
    </row>
    <row r="28">
      <c r="A28" s="273" t="str">
        <f>IFERROR(__xludf.DUMMYFUNCTION("""COMPUTED_VALUE"""),"サイドアジャスターのお直し（サポート外）")</f>
        <v>サイドアジャスターのお直し（サポート外）</v>
      </c>
      <c r="B28" s="273" t="str">
        <f>IFERROR(__xludf.DUMMYFUNCTION("""COMPUTED_VALUE"""),"【（サポート外）サイドアジャスターのお直し】
来店日時：
店舗：
対応者：
【顧客要望】
・内容：サイドアジャスターのお直し
・連絡方法：メール
【CSに対応してほしい内容】
①お直し可能かどうか確認
②（お直し可能な場合）確定のお直し料金確認/連絡
③お直し料金請求後、決定納期連絡
理由：50日無料版サポート外のため
※写真あり URL：
#cs確認依頼_縫製関連で投稿したslackのURLを記載
【店頭でのお伝え金額】
※お直しできた場合の費用目安：6,500円前後
預かり方法：【店舗 or"&amp;" 配送】
お渡し方法：【店舗 or 配送】
【店頭からお客様に伝えた内容】
①お直し可能かどうか確認、お直しできない可能性もあることはお伝え済み
②（お直し可能な場合）お直し料金請求方法をCSからメールで連絡する旨お伝え済み
③お直し料金の請求完了後、お直し開始になる旨お伝え済み
④修理期間はご入金確認後、約3週間前後とお伝え済み
⑤CSからご連絡後、3営業日以内に入金をしていただくようお伝え済み
【店頭対応内部処理】
・ex.OPEX内容設定登録済み
CSからの連絡日目安伝え済み（当日を除く3営業"&amp;"日後の日付）：mm/dd
【顧客温度感】
・
【テーラーバンク到着予定日／追跡番号】
　月　日／0000-0000-0000")</f>
        <v>【（サポート外）サイドアジャスターのお直し】
来店日時：
店舗：
対応者：
【顧客要望】
・内容：サイドアジャスターのお直し
・連絡方法：メール
【CSに対応してほしい内容】
①お直し可能かどうか確認
②（お直し可能な場合）確定のお直し料金確認/連絡
③お直し料金請求後、決定納期連絡
理由：50日無料版サポート外のため
※写真あり URL：
#cs確認依頼_縫製関連で投稿したslackのURLを記載
【店頭でのお伝え金額】
※お直しできた場合の費用目安：6,500円前後
預かり方法：【店舗 or 配送】
お渡し方法：【店舗 or 配送】
【店頭からお客様に伝えた内容】
①お直し可能かどうか確認、お直しできない可能性もあることはお伝え済み
②（お直し可能な場合）お直し料金請求方法をCSからメールで連絡する旨お伝え済み
③お直し料金の請求完了後、お直し開始になる旨お伝え済み
④修理期間はご入金確認後、約3週間前後とお伝え済み
⑤CSからご連絡後、3営業日以内に入金をしていただくようお伝え済み
【店頭対応内部処理】
・ex.OPEX内容設定登録済み
CSからの連絡日目安伝え済み（当日を除く3営業日後の日付）：mm/dd
【顧客温度感】
・
【テーラーバンク到着予定日／追跡番号】
　月　日／0000-0000-0000</v>
      </c>
      <c r="C28" s="273" t="str">
        <f>IFERROR(__xludf.DUMMYFUNCTION("""COMPUTED_VALUE"""),"【（サポート外）サイドアジャスターのお直し】
来店日時：
店舗：
対応者：
【顧客要望】
・内容：サイドアジャスターのお直し
・連絡方法：メール
【CSに対応してほしい内容】
①お直し可能かどうか確認
②（お直し可能な場合）確定のお直し料金確認/連絡
③お直し料金請求後、決定納期連絡
理由：50日無料版サポート外のため
※写真あり URL：
#cs確認依頼_縫製関連で投稿したslackのURLを記載
【店頭でのお伝え金額】
※お直しできた場合の費用目安：6,500円前後
預かり方法：【店舗 or"&amp;" 配送】
お渡し方法：【店舗 or 配送】
【店頭からお客様に伝えた内容】
①お直し可能かどうか確認、お直しできない可能性もあることはお伝え済み
②（お直し可能な場合）お直し料金請求方法をCSからメールで連絡する旨お伝え済み
③お直し料金の請求完了後、お直し開始になる旨お伝え済み
④修理期間はご入金確認後、約3週間前後とお伝え済み
⑤CSからご連絡後、3営業日以内に入金をしていただくようお伝え済み
【店頭対応内部処理】
・ex.OPEX内容設定登録済み
CSからの連絡日目安伝え済み（当日を除く3営業"&amp;"日後の日付）：mm/dd
【顧客温度感】
・
【テーラーバンク到着予定日／追跡番号】
　月　日／0000-0000-0000")</f>
        <v>【（サポート外）サイドアジャスターのお直し】
来店日時：
店舗：
対応者：
【顧客要望】
・内容：サイドアジャスターのお直し
・連絡方法：メール
【CSに対応してほしい内容】
①お直し可能かどうか確認
②（お直し可能な場合）確定のお直し料金確認/連絡
③お直し料金請求後、決定納期連絡
理由：50日無料版サポート外のため
※写真あり URL：
#cs確認依頼_縫製関連で投稿したslackのURLを記載
【店頭でのお伝え金額】
※お直しできた場合の費用目安：6,500円前後
預かり方法：【店舗 or 配送】
お渡し方法：【店舗 or 配送】
【店頭からお客様に伝えた内容】
①お直し可能かどうか確認、お直しできない可能性もあることはお伝え済み
②（お直し可能な場合）お直し料金請求方法をCSからメールで連絡する旨お伝え済み
③お直し料金の請求完了後、お直し開始になる旨お伝え済み
④修理期間はご入金確認後、約3週間前後とお伝え済み
⑤CSからご連絡後、3営業日以内に入金をしていただくようお伝え済み
【店頭対応内部処理】
・ex.OPEX内容設定登録済み
CSからの連絡日目安伝え済み（当日を除く3営業日後の日付）：mm/dd
【顧客温度感】
・
【テーラーバンク到着予定日／追跡番号】
　月　日／0000-0000-0000</v>
      </c>
      <c r="D28" s="273"/>
      <c r="E28" s="273"/>
    </row>
    <row r="29">
      <c r="A29" s="273" t="str">
        <f>IFERROR(__xludf.DUMMYFUNCTION("""COMPUTED_VALUE"""),"サイドアジャスターのお直し（サポート内）")</f>
        <v>サイドアジャスターのお直し（サポート内）</v>
      </c>
      <c r="B29" s="273" t="str">
        <f>IFERROR(__xludf.DUMMYFUNCTION("""COMPUTED_VALUE"""),"【（サポート内）サイドアジャスターのお直し】
来店日時：
店舗：
対応者：
【顧客要望】
・内容：サイドアジャスターのお直し
・連絡方法：メール
【CSに対応してほしい内容】
・決定納期連絡
※写真あり URL：
#cs確認依頼_縫製関連で投稿したslackのURLを記載
【店頭からお客様に伝えた内容】
・修理期間は約3週間前後とお伝え済み
・お届け納期をCSから連絡する旨お伝え済み
【店頭対応内部処理】
・ex.OPEX内容設定登録済み
CSからの連絡日目安伝え済み（当日を除く3営業日後の日"&amp;"付）：mm/dd
【顧客温度感】
・
【テーラーバンク到着予定日／追跡番号】
　月　日／0000-0000-0000")</f>
        <v>【（サポート内）サイドアジャスターのお直し】
来店日時：
店舗：
対応者：
【顧客要望】
・内容：サイドアジャスターのお直し
・連絡方法：メール
【CSに対応してほしい内容】
・決定納期連絡
※写真あり URL：
#cs確認依頼_縫製関連で投稿したslackのURLを記載
【店頭からお客様に伝えた内容】
・修理期間は約3週間前後とお伝え済み
・お届け納期をCSから連絡する旨お伝え済み
【店頭対応内部処理】
・ex.OPEX内容設定登録済み
CSからの連絡日目安伝え済み（当日を除く3営業日後の日付）：mm/dd
【顧客温度感】
・
【テーラーバンク到着予定日／追跡番号】
　月　日／0000-0000-0000</v>
      </c>
      <c r="C29" s="273" t="str">
        <f>IFERROR(__xludf.DUMMYFUNCTION("""COMPUTED_VALUE"""),"【（サポート内）サイドアジャスターのお直し】
来店日時：
店舗：
対応者：
【顧客要望】
・内容：サイドアジャスターのお直し
・連絡方法：メール
【CSに対応してほしい内容】
・決定納期連絡
※写真あり URL：
#cs確認依頼_縫製関連で投稿したslackのURLを記載
【店頭からお客様に伝えた内容】
・修理期間は約3週間前後とお伝え済み
・お届け納期をCSから連絡する旨お伝え済み
【店頭対応内部処理】
・ex.OPEX内容設定登録済み
CSからの連絡日目安伝え済み（当日を除く3営業日後の日"&amp;"付）：mm/dd
【顧客温度感】
・
【テーラーバンク到着予定日／追跡番号】
　月　日／0000-0000-0000")</f>
        <v>【（サポート内）サイドアジャスターのお直し】
来店日時：
店舗：
対応者：
【顧客要望】
・内容：サイドアジャスターのお直し
・連絡方法：メール
【CSに対応してほしい内容】
・決定納期連絡
※写真あり URL：
#cs確認依頼_縫製関連で投稿したslackのURLを記載
【店頭からお客様に伝えた内容】
・修理期間は約3週間前後とお伝え済み
・お届け納期をCSから連絡する旨お伝え済み
【店頭対応内部処理】
・ex.OPEX内容設定登録済み
CSからの連絡日目安伝え済み（当日を除く3営業日後の日付）：mm/dd
【顧客温度感】
・
【テーラーバンク到着予定日／追跡番号】
　月　日／0000-0000-0000</v>
      </c>
      <c r="D29" s="273"/>
      <c r="E29" s="273"/>
    </row>
    <row r="30">
      <c r="A30" s="273" t="str">
        <f>IFERROR(__xludf.DUMMYFUNCTION("""COMPUTED_VALUE"""),"領収書発行依頼")</f>
        <v>領収書発行依頼</v>
      </c>
      <c r="B30" s="273" t="str">
        <f>IFERROR(__xludf.DUMMYFUNCTION("""COMPUTED_VALUE"""),"■領収書発行依頼
日時：
店舗：
対応者：
【CSに対応してほしい内容】
①手書き領収書の発送
②
③
【顧客要望】
①
②
③
【領収書記載内容】
宛名：
但し書き：
金額によって分けて欲しい等
※混乱を生むため、基本的には、総額で発行
・連絡方法：メールのみ
（基本はメールで連絡で連絡だが、強いご要望があれば電話も可）
【店頭からお客様に伝えた内容】
①基本的には領収書の再発行は不可。
②領収書発送には、5営業日ほどいただいています。
CSからの連絡日目安伝え済み（当日を除く3営業日後の"&amp;"日付）：mm/dd
【顧客温度感】
・
・
・")</f>
        <v>■領収書発行依頼
日時：
店舗：
対応者：
【CSに対応してほしい内容】
①手書き領収書の発送
②
③
【顧客要望】
①
②
③
【領収書記載内容】
宛名：
但し書き：
金額によって分けて欲しい等
※混乱を生むため、基本的には、総額で発行
・連絡方法：メールのみ
（基本はメールで連絡で連絡だが、強いご要望があれば電話も可）
【店頭からお客様に伝えた内容】
①基本的には領収書の再発行は不可。
②領収書発送には、5営業日ほどいただいています。
CSからの連絡日目安伝え済み（当日を除く3営業日後の日付）：mm/dd
【顧客温度感】
・
・
・</v>
      </c>
      <c r="C30" s="273" t="str">
        <f>IFERROR(__xludf.DUMMYFUNCTION("""COMPUTED_VALUE"""),"■領収書発行依頼
日時：
店舗：
対応者：
【CSに対応してほしい内容】
①手書き領収書の発送
②
③
【顧客要望】
①
②
③
【領収書記載内容】
宛名：
但し書き：
金額によって分けて欲しい等
※混乱を生むため、基本的には、総額で発行
・連絡方法：メールのみ
（基本はメールで連絡で連絡だが、強いご要望があれば電話も可）
【店頭からお客様に伝えた内容】
①基本的には領収書の再発行は不可。
②領収書発送には、5営業日ほどいただいています。
CSからの連絡日目安伝え済み（当日を除く3営業日後の"&amp;"日付）：mm/dd
【顧客温度感】
・
・
・")</f>
        <v>■領収書発行依頼
日時：
店舗：
対応者：
【CSに対応してほしい内容】
①手書き領収書の発送
②
③
【顧客要望】
①
②
③
【領収書記載内容】
宛名：
但し書き：
金額によって分けて欲しい等
※混乱を生むため、基本的には、総額で発行
・連絡方法：メールのみ
（基本はメールで連絡で連絡だが、強いご要望があれば電話も可）
【店頭からお客様に伝えた内容】
①基本的には領収書の再発行は不可。
②領収書発送には、5営業日ほどいただいています。
CSからの連絡日目安伝え済み（当日を除く3営業日後の日付）：mm/dd
【顧客温度感】
・
・
・</v>
      </c>
      <c r="D30" s="273"/>
      <c r="E30" s="273"/>
    </row>
    <row r="31">
      <c r="A31" s="273" t="str">
        <f>IFERROR(__xludf.DUMMYFUNCTION("""COMPUTED_VALUE"""),"費用負担")</f>
        <v>費用負担</v>
      </c>
      <c r="B31" s="273" t="str">
        <f>IFERROR(__xludf.DUMMYFUNCTION("""COMPUTED_VALUE"""),"■CS確認依頼
来店日時：
店舗：
対応者：
【CSに対応してほしい内容】
①領収書を写真にて提出して欲しい
②返金先口座ヒアリング案内
③返金完了案内
【確認依頼の経緯】
※時系列順に記載
ex)来店時から温度感高で店頭での対応に苦慮など
【顧客要望】（※該当項目以外は削除、その他自由表記）
①お直しだと予定に間に合わない（近隣のお直し屋では間に合うので費用を負担してほしい）
②交通費を請求された場合（交通手段と交通費 　◯駅〜◯駅までの利用で往復◯円）
③シワクレーム（おかしな位置に強いシワ"&amp;"が入っている、アイロンでも取れないとお申し出で、クリーニング店の費用を代替え希望）
・連絡方法：メール
（基本はメールで連絡で連絡だが、強いご要望があれば電話も可）
【店頭からお客様に伝えた内容】
①必須で領収書を保管すること
②3営業日でCSから領収書の写真の提出依頼の連絡がある
【顧客温度感】
・
・
・ ")</f>
        <v>■CS確認依頼
来店日時：
店舗：
対応者：
【CSに対応してほしい内容】
①領収書を写真にて提出して欲しい
②返金先口座ヒアリング案内
③返金完了案内
【確認依頼の経緯】
※時系列順に記載
ex)来店時から温度感高で店頭での対応に苦慮など
【顧客要望】（※該当項目以外は削除、その他自由表記）
①お直しだと予定に間に合わない（近隣のお直し屋では間に合うので費用を負担してほしい）
②交通費を請求された場合（交通手段と交通費 　◯駅〜◯駅までの利用で往復◯円）
③シワクレーム（おかしな位置に強いシワが入っている、アイロンでも取れないとお申し出で、クリーニング店の費用を代替え希望）
・連絡方法：メール
（基本はメールで連絡で連絡だが、強いご要望があれば電話も可）
【店頭からお客様に伝えた内容】
①必須で領収書を保管すること
②3営業日でCSから領収書の写真の提出依頼の連絡がある
【顧客温度感】
・
・
・ </v>
      </c>
      <c r="C31" s="273" t="str">
        <f>IFERROR(__xludf.DUMMYFUNCTION("""COMPUTED_VALUE"""),"■CS確認依頼
来店日時：
店舗：
対応者：
【CSに対応してほしい内容】
①領収書を写真にて提出して欲しい
②返金先口座ヒアリング案内
③返金完了案内
【確認依頼の経緯】
※時系列順に記載
ex)来店時から温度感高で店頭での対応に苦慮など
【顧客要望】（※該当項目以外は削除、その他自由表記）
①お直しだと予定に間に合わない（近隣のお直し屋では間に合うので費用を負担してほしい）
②交通費を請求された場合（交通手段と交通費 　◯駅〜◯駅までの利用で往復◯円）
③シワクレーム（おかしな位置に強いシワ"&amp;"が入っている、アイロンでも取れないとお申し出で、クリーニング店の費用を代替え希望）
・連絡方法：メール
（基本はメールで連絡で連絡だが、強いご要望があれば電話も可）
【店頭からお客様に伝えた内容】
①必須で領収書を保管すること
②3営業日でCSから領収書の写真の提出依頼の連絡がある
【顧客温度感】
・
・
・ ")</f>
        <v>■CS確認依頼
来店日時：
店舗：
対応者：
【CSに対応してほしい内容】
①領収書を写真にて提出して欲しい
②返金先口座ヒアリング案内
③返金完了案内
【確認依頼の経緯】
※時系列順に記載
ex)来店時から温度感高で店頭での対応に苦慮など
【顧客要望】（※該当項目以外は削除、その他自由表記）
①お直しだと予定に間に合わない（近隣のお直し屋では間に合うので費用を負担してほしい）
②交通費を請求された場合（交通手段と交通費 　◯駅〜◯駅までの利用で往復◯円）
③シワクレーム（おかしな位置に強いシワが入っている、アイロンでも取れないとお申し出で、クリーニング店の費用を代替え希望）
・連絡方法：メール
（基本はメールで連絡で連絡だが、強いご要望があれば電話も可）
【店頭からお客様に伝えた内容】
①必須で領収書を保管すること
②3営業日でCSから領収書の写真の提出依頼の連絡がある
【顧客温度感】
・
・
・ </v>
      </c>
      <c r="D31" s="273"/>
      <c r="E31" s="273"/>
    </row>
    <row r="32">
      <c r="A32" s="273"/>
      <c r="B32" s="273"/>
      <c r="C32" s="273"/>
      <c r="D32" s="273"/>
      <c r="E32" s="273"/>
    </row>
    <row r="33">
      <c r="A33" s="273"/>
      <c r="B33" s="273"/>
      <c r="C33" s="273"/>
      <c r="D33" s="273"/>
      <c r="E33" s="273"/>
    </row>
    <row r="34">
      <c r="A34" s="273"/>
      <c r="B34" s="273"/>
      <c r="C34" s="273"/>
      <c r="D34" s="273"/>
      <c r="E34" s="273"/>
    </row>
    <row r="35">
      <c r="A35" s="273"/>
      <c r="B35" s="273"/>
      <c r="C35" s="273"/>
      <c r="D35" s="273"/>
      <c r="E35" s="273"/>
    </row>
    <row r="36">
      <c r="A36" s="273"/>
      <c r="B36" s="273"/>
      <c r="C36" s="273"/>
      <c r="D36" s="273"/>
      <c r="E36" s="273"/>
    </row>
    <row r="37">
      <c r="A37" s="273"/>
      <c r="B37" s="273"/>
      <c r="C37" s="273"/>
      <c r="D37" s="273"/>
      <c r="E37" s="273"/>
    </row>
    <row r="38">
      <c r="A38" s="273"/>
      <c r="B38" s="273"/>
      <c r="C38" s="273"/>
      <c r="D38" s="273"/>
      <c r="E38" s="273"/>
    </row>
    <row r="39">
      <c r="A39" s="273"/>
      <c r="B39" s="273"/>
      <c r="C39" s="273"/>
      <c r="D39" s="273"/>
      <c r="E39" s="273"/>
    </row>
    <row r="40">
      <c r="A40" s="273"/>
      <c r="B40" s="273"/>
      <c r="C40" s="273"/>
      <c r="D40" s="273"/>
      <c r="E40" s="273"/>
    </row>
    <row r="41">
      <c r="A41" s="273"/>
      <c r="B41" s="273"/>
      <c r="C41" s="273"/>
      <c r="D41" s="273"/>
      <c r="E41" s="273"/>
    </row>
    <row r="42">
      <c r="A42" s="273"/>
      <c r="B42" s="273"/>
      <c r="C42" s="273"/>
      <c r="D42" s="273"/>
      <c r="E42" s="273"/>
    </row>
    <row r="43">
      <c r="A43" s="273"/>
      <c r="B43" s="273"/>
      <c r="C43" s="273"/>
      <c r="D43" s="273"/>
      <c r="E43" s="273"/>
    </row>
    <row r="44">
      <c r="A44" s="273"/>
      <c r="B44" s="273"/>
      <c r="C44" s="273"/>
      <c r="D44" s="273"/>
      <c r="E44" s="273"/>
    </row>
    <row r="45">
      <c r="A45" s="273"/>
      <c r="B45" s="273"/>
      <c r="C45" s="273"/>
      <c r="D45" s="273"/>
      <c r="E45" s="273"/>
    </row>
    <row r="46">
      <c r="A46" s="273"/>
      <c r="B46" s="273"/>
      <c r="C46" s="273"/>
      <c r="D46" s="273"/>
      <c r="E46" s="273"/>
    </row>
    <row r="47">
      <c r="A47" s="273"/>
      <c r="B47" s="273"/>
      <c r="C47" s="273"/>
      <c r="D47" s="273"/>
      <c r="E47" s="273"/>
    </row>
    <row r="48">
      <c r="A48" s="273"/>
      <c r="B48" s="273"/>
      <c r="C48" s="273"/>
      <c r="D48" s="273"/>
      <c r="E48" s="273"/>
    </row>
    <row r="49">
      <c r="A49" s="273"/>
      <c r="B49" s="273"/>
      <c r="C49" s="273"/>
      <c r="D49" s="273"/>
      <c r="E49" s="273"/>
    </row>
    <row r="50">
      <c r="A50" s="273"/>
      <c r="B50" s="273"/>
      <c r="C50" s="273"/>
      <c r="D50" s="273"/>
      <c r="E50" s="273"/>
    </row>
    <row r="51">
      <c r="A51" s="273"/>
      <c r="B51" s="273"/>
      <c r="C51" s="273"/>
      <c r="D51" s="273"/>
      <c r="E51" s="273"/>
    </row>
    <row r="52">
      <c r="A52" s="273"/>
      <c r="B52" s="273"/>
      <c r="C52" s="273"/>
      <c r="D52" s="273"/>
      <c r="E52" s="273"/>
    </row>
    <row r="53">
      <c r="A53" s="273"/>
      <c r="B53" s="273"/>
      <c r="C53" s="273"/>
      <c r="D53" s="273"/>
      <c r="E53" s="273"/>
    </row>
    <row r="54">
      <c r="A54" s="273"/>
      <c r="B54" s="273"/>
      <c r="C54" s="273"/>
      <c r="D54" s="273"/>
      <c r="E54" s="273"/>
    </row>
    <row r="55">
      <c r="A55" s="273"/>
      <c r="B55" s="273"/>
      <c r="C55" s="273"/>
      <c r="D55" s="273"/>
      <c r="E55" s="273"/>
    </row>
    <row r="56">
      <c r="A56" s="273"/>
      <c r="B56" s="273"/>
      <c r="C56" s="273"/>
      <c r="D56" s="273"/>
      <c r="E56" s="273"/>
    </row>
    <row r="57">
      <c r="A57" s="273"/>
      <c r="B57" s="273"/>
      <c r="C57" s="273"/>
      <c r="D57" s="273"/>
      <c r="E57" s="273"/>
    </row>
    <row r="58">
      <c r="A58" s="273"/>
      <c r="B58" s="273"/>
      <c r="C58" s="273"/>
      <c r="D58" s="273"/>
      <c r="E58" s="273"/>
    </row>
    <row r="59">
      <c r="A59" s="273"/>
      <c r="B59" s="273"/>
      <c r="C59" s="273"/>
      <c r="D59" s="273"/>
      <c r="E59" s="273"/>
    </row>
    <row r="60">
      <c r="A60" s="273"/>
      <c r="B60" s="273"/>
      <c r="C60" s="273"/>
      <c r="D60" s="273"/>
      <c r="E60" s="273"/>
    </row>
    <row r="61">
      <c r="A61" s="273"/>
      <c r="B61" s="273"/>
      <c r="C61" s="273"/>
      <c r="D61" s="273"/>
      <c r="E61" s="273"/>
    </row>
    <row r="62">
      <c r="A62" s="273"/>
      <c r="B62" s="273"/>
      <c r="C62" s="273"/>
      <c r="D62" s="273"/>
      <c r="E62" s="273"/>
    </row>
    <row r="63">
      <c r="A63" s="273"/>
      <c r="B63" s="273"/>
      <c r="C63" s="273"/>
      <c r="D63" s="273"/>
      <c r="E63" s="273"/>
    </row>
    <row r="64">
      <c r="A64" s="273"/>
      <c r="B64" s="273"/>
      <c r="C64" s="273"/>
      <c r="D64" s="273"/>
      <c r="E64" s="273"/>
    </row>
    <row r="65">
      <c r="A65" s="273"/>
      <c r="B65" s="273"/>
      <c r="C65" s="273"/>
      <c r="D65" s="273"/>
      <c r="E65" s="273"/>
    </row>
    <row r="66">
      <c r="A66" s="273"/>
      <c r="B66" s="273"/>
      <c r="C66" s="273"/>
      <c r="D66" s="273"/>
      <c r="E66" s="273"/>
    </row>
    <row r="67">
      <c r="A67" s="273"/>
      <c r="B67" s="273"/>
      <c r="C67" s="273"/>
      <c r="D67" s="273"/>
      <c r="E67" s="273"/>
    </row>
    <row r="68">
      <c r="A68" s="273"/>
      <c r="B68" s="273"/>
      <c r="C68" s="273"/>
      <c r="D68" s="273"/>
      <c r="E68" s="273"/>
    </row>
    <row r="69">
      <c r="A69" s="273"/>
      <c r="B69" s="273"/>
      <c r="C69" s="273"/>
      <c r="D69" s="273"/>
      <c r="E69" s="273"/>
    </row>
    <row r="70">
      <c r="A70" s="273"/>
      <c r="B70" s="273"/>
      <c r="C70" s="273"/>
      <c r="D70" s="273"/>
      <c r="E70" s="273"/>
    </row>
    <row r="71">
      <c r="A71" s="273"/>
      <c r="B71" s="273"/>
      <c r="C71" s="273"/>
      <c r="D71" s="273"/>
      <c r="E71" s="273"/>
    </row>
    <row r="72">
      <c r="A72" s="273"/>
      <c r="B72" s="273"/>
      <c r="C72" s="273"/>
      <c r="D72" s="273"/>
      <c r="E72" s="273"/>
    </row>
    <row r="73">
      <c r="A73" s="273"/>
      <c r="B73" s="273"/>
      <c r="C73" s="273"/>
      <c r="D73" s="273"/>
      <c r="E73" s="273"/>
    </row>
    <row r="74">
      <c r="A74" s="273"/>
      <c r="B74" s="273"/>
      <c r="C74" s="273"/>
      <c r="D74" s="273"/>
      <c r="E74" s="273"/>
    </row>
    <row r="75">
      <c r="A75" s="273"/>
      <c r="B75" s="273"/>
      <c r="C75" s="273"/>
      <c r="D75" s="273"/>
      <c r="E75" s="273"/>
    </row>
    <row r="76">
      <c r="A76" s="273"/>
      <c r="B76" s="273"/>
      <c r="C76" s="273"/>
      <c r="D76" s="273"/>
      <c r="E76" s="273"/>
    </row>
    <row r="77">
      <c r="A77" s="273"/>
      <c r="B77" s="273"/>
      <c r="C77" s="273"/>
      <c r="D77" s="273"/>
      <c r="E77" s="273"/>
    </row>
    <row r="78">
      <c r="A78" s="273"/>
      <c r="B78" s="273"/>
      <c r="C78" s="273"/>
      <c r="D78" s="273"/>
      <c r="E78" s="273"/>
    </row>
    <row r="79">
      <c r="A79" s="273"/>
      <c r="B79" s="273"/>
      <c r="C79" s="273"/>
      <c r="D79" s="273"/>
      <c r="E79" s="273"/>
    </row>
    <row r="80">
      <c r="A80" s="273"/>
      <c r="B80" s="273"/>
      <c r="C80" s="273"/>
      <c r="D80" s="273"/>
      <c r="E80" s="273"/>
    </row>
    <row r="81">
      <c r="A81" s="273"/>
      <c r="B81" s="273"/>
      <c r="C81" s="273"/>
      <c r="D81" s="273"/>
      <c r="E81" s="273"/>
    </row>
    <row r="82">
      <c r="A82" s="273"/>
      <c r="B82" s="273"/>
      <c r="C82" s="273"/>
      <c r="D82" s="273"/>
      <c r="E82" s="273"/>
    </row>
    <row r="83">
      <c r="A83" s="273"/>
      <c r="B83" s="273"/>
      <c r="C83" s="273"/>
      <c r="D83" s="273"/>
      <c r="E83" s="273"/>
    </row>
    <row r="84">
      <c r="A84" s="273"/>
      <c r="B84" s="273"/>
      <c r="C84" s="273"/>
      <c r="D84" s="273"/>
      <c r="E84" s="273"/>
    </row>
    <row r="85">
      <c r="A85" s="273"/>
      <c r="B85" s="273"/>
      <c r="C85" s="273"/>
      <c r="D85" s="273"/>
      <c r="E85" s="273"/>
    </row>
    <row r="86">
      <c r="A86" s="273"/>
      <c r="B86" s="273"/>
      <c r="C86" s="273"/>
      <c r="D86" s="273"/>
      <c r="E86" s="273"/>
    </row>
    <row r="87">
      <c r="A87" s="273"/>
      <c r="B87" s="273"/>
      <c r="C87" s="273"/>
      <c r="D87" s="273"/>
      <c r="E87" s="273"/>
    </row>
    <row r="88">
      <c r="A88" s="273"/>
      <c r="B88" s="273"/>
      <c r="C88" s="273"/>
      <c r="D88" s="273"/>
      <c r="E88" s="273"/>
    </row>
    <row r="89">
      <c r="A89" s="273"/>
      <c r="B89" s="273"/>
      <c r="C89" s="273"/>
      <c r="D89" s="273"/>
      <c r="E89" s="273"/>
    </row>
    <row r="90">
      <c r="A90" s="273"/>
      <c r="B90" s="273"/>
      <c r="C90" s="273"/>
      <c r="D90" s="273"/>
      <c r="E90" s="273"/>
    </row>
    <row r="91">
      <c r="A91" s="273"/>
      <c r="B91" s="273"/>
      <c r="C91" s="273"/>
      <c r="D91" s="273"/>
      <c r="E91" s="273"/>
    </row>
    <row r="92">
      <c r="A92" s="273"/>
      <c r="B92" s="273"/>
      <c r="C92" s="273"/>
      <c r="D92" s="273"/>
      <c r="E92" s="273"/>
    </row>
    <row r="93">
      <c r="A93" s="273"/>
      <c r="B93" s="273"/>
      <c r="C93" s="273"/>
      <c r="D93" s="273"/>
      <c r="E93" s="273"/>
    </row>
    <row r="94">
      <c r="A94" s="273"/>
      <c r="B94" s="273"/>
      <c r="C94" s="273"/>
      <c r="D94" s="273"/>
      <c r="E94" s="273"/>
    </row>
    <row r="95">
      <c r="A95" s="273"/>
      <c r="B95" s="273"/>
      <c r="C95" s="273"/>
      <c r="D95" s="273"/>
      <c r="E95" s="273"/>
    </row>
    <row r="96">
      <c r="A96" s="273"/>
      <c r="B96" s="273"/>
      <c r="C96" s="273"/>
      <c r="D96" s="273"/>
      <c r="E96" s="273"/>
    </row>
    <row r="97">
      <c r="A97" s="273"/>
      <c r="B97" s="273"/>
      <c r="C97" s="273"/>
      <c r="D97" s="273"/>
      <c r="E97" s="273"/>
    </row>
    <row r="98">
      <c r="A98" s="273"/>
      <c r="B98" s="273"/>
      <c r="C98" s="273"/>
      <c r="D98" s="273"/>
      <c r="E98" s="273"/>
    </row>
    <row r="99">
      <c r="A99" s="273"/>
      <c r="B99" s="273"/>
      <c r="C99" s="273"/>
      <c r="D99" s="273"/>
      <c r="E99" s="273"/>
    </row>
    <row r="100">
      <c r="A100" s="273"/>
      <c r="B100" s="273"/>
      <c r="C100" s="273"/>
      <c r="D100" s="273"/>
      <c r="E100" s="273"/>
    </row>
    <row r="101">
      <c r="A101" s="273"/>
      <c r="B101" s="273"/>
      <c r="C101" s="273"/>
      <c r="D101" s="273"/>
      <c r="E101" s="273"/>
    </row>
    <row r="102">
      <c r="A102" s="273"/>
      <c r="B102" s="273"/>
      <c r="C102" s="273"/>
      <c r="D102" s="273"/>
      <c r="E102" s="273"/>
    </row>
    <row r="103">
      <c r="A103" s="273"/>
      <c r="B103" s="273"/>
      <c r="C103" s="273"/>
      <c r="D103" s="273"/>
      <c r="E103" s="273"/>
    </row>
    <row r="104">
      <c r="A104" s="273"/>
      <c r="B104" s="273"/>
      <c r="C104" s="273"/>
      <c r="D104" s="273"/>
      <c r="E104" s="273"/>
    </row>
    <row r="105">
      <c r="A105" s="273"/>
      <c r="B105" s="273"/>
      <c r="C105" s="273"/>
      <c r="D105" s="273"/>
      <c r="E105" s="273"/>
    </row>
    <row r="106">
      <c r="A106" s="273"/>
      <c r="B106" s="273"/>
      <c r="C106" s="273"/>
      <c r="D106" s="273"/>
      <c r="E106" s="273"/>
    </row>
    <row r="107">
      <c r="A107" s="273"/>
      <c r="B107" s="273"/>
      <c r="C107" s="273"/>
      <c r="D107" s="273"/>
      <c r="E107" s="273"/>
    </row>
    <row r="108">
      <c r="A108" s="273"/>
      <c r="B108" s="273"/>
      <c r="C108" s="273"/>
      <c r="D108" s="273"/>
      <c r="E108" s="273"/>
    </row>
    <row r="109">
      <c r="A109" s="273"/>
      <c r="B109" s="273"/>
      <c r="C109" s="273"/>
      <c r="D109" s="273"/>
      <c r="E109" s="273"/>
    </row>
    <row r="110">
      <c r="A110" s="273"/>
      <c r="B110" s="273"/>
      <c r="C110" s="273"/>
      <c r="D110" s="273"/>
      <c r="E110" s="273"/>
    </row>
    <row r="111">
      <c r="A111" s="273"/>
      <c r="B111" s="273"/>
      <c r="C111" s="273"/>
      <c r="D111" s="273"/>
      <c r="E111" s="273"/>
    </row>
    <row r="112">
      <c r="A112" s="273"/>
      <c r="B112" s="273"/>
      <c r="C112" s="273"/>
      <c r="D112" s="273"/>
      <c r="E112" s="273"/>
    </row>
    <row r="113">
      <c r="A113" s="273"/>
      <c r="B113" s="273"/>
      <c r="C113" s="273"/>
      <c r="D113" s="273"/>
      <c r="E113" s="273"/>
    </row>
    <row r="114">
      <c r="A114" s="273"/>
      <c r="B114" s="273"/>
      <c r="C114" s="273"/>
      <c r="D114" s="273"/>
      <c r="E114" s="273"/>
    </row>
    <row r="115">
      <c r="A115" s="273"/>
      <c r="B115" s="273"/>
      <c r="C115" s="273"/>
      <c r="D115" s="273"/>
      <c r="E115" s="273"/>
    </row>
    <row r="116">
      <c r="A116" s="273"/>
      <c r="B116" s="273"/>
      <c r="C116" s="273"/>
      <c r="D116" s="273"/>
      <c r="E116" s="273"/>
    </row>
    <row r="117">
      <c r="A117" s="273"/>
      <c r="B117" s="273"/>
      <c r="C117" s="273"/>
      <c r="D117" s="273"/>
      <c r="E117" s="273"/>
    </row>
    <row r="118">
      <c r="A118" s="273"/>
      <c r="B118" s="273"/>
      <c r="C118" s="273"/>
      <c r="D118" s="273"/>
      <c r="E118" s="273"/>
    </row>
    <row r="119">
      <c r="A119" s="273"/>
      <c r="B119" s="273"/>
      <c r="C119" s="273"/>
      <c r="D119" s="273"/>
      <c r="E119" s="273"/>
    </row>
    <row r="120">
      <c r="A120" s="273"/>
      <c r="B120" s="273"/>
      <c r="C120" s="273"/>
      <c r="D120" s="273"/>
      <c r="E120" s="273"/>
    </row>
    <row r="121">
      <c r="A121" s="273"/>
      <c r="B121" s="273"/>
      <c r="C121" s="273"/>
      <c r="D121" s="273"/>
      <c r="E121" s="273"/>
    </row>
    <row r="122">
      <c r="A122" s="273"/>
      <c r="B122" s="273"/>
      <c r="C122" s="273"/>
      <c r="D122" s="273"/>
      <c r="E122" s="273"/>
    </row>
    <row r="123">
      <c r="A123" s="273"/>
      <c r="B123" s="273"/>
      <c r="C123" s="273"/>
      <c r="D123" s="273"/>
      <c r="E123" s="273"/>
    </row>
    <row r="124">
      <c r="A124" s="273"/>
      <c r="B124" s="273"/>
      <c r="C124" s="273"/>
      <c r="D124" s="273"/>
      <c r="E124" s="273"/>
    </row>
    <row r="125">
      <c r="A125" s="273"/>
      <c r="B125" s="273"/>
      <c r="C125" s="273"/>
      <c r="D125" s="273"/>
      <c r="E125" s="273"/>
    </row>
    <row r="126">
      <c r="A126" s="273"/>
      <c r="B126" s="273"/>
      <c r="C126" s="273"/>
      <c r="D126" s="273"/>
      <c r="E126" s="273"/>
    </row>
    <row r="127">
      <c r="A127" s="273"/>
      <c r="B127" s="273"/>
      <c r="C127" s="273"/>
      <c r="D127" s="273"/>
      <c r="E127" s="273"/>
    </row>
    <row r="128">
      <c r="A128" s="273"/>
      <c r="B128" s="273"/>
      <c r="C128" s="273"/>
      <c r="D128" s="273"/>
      <c r="E128" s="273"/>
    </row>
    <row r="129">
      <c r="A129" s="273"/>
      <c r="B129" s="273"/>
      <c r="C129" s="273"/>
      <c r="D129" s="273"/>
      <c r="E129" s="273"/>
    </row>
    <row r="130">
      <c r="A130" s="273"/>
      <c r="B130" s="273"/>
      <c r="C130" s="273"/>
      <c r="D130" s="273"/>
      <c r="E130" s="273"/>
    </row>
    <row r="131">
      <c r="A131" s="273"/>
      <c r="B131" s="273"/>
      <c r="C131" s="273"/>
      <c r="D131" s="273"/>
      <c r="E131" s="273"/>
    </row>
    <row r="132">
      <c r="A132" s="273"/>
      <c r="B132" s="273"/>
      <c r="C132" s="273"/>
      <c r="D132" s="273"/>
      <c r="E132" s="273"/>
    </row>
    <row r="133">
      <c r="A133" s="273"/>
      <c r="B133" s="273"/>
      <c r="C133" s="273"/>
      <c r="D133" s="273"/>
      <c r="E133" s="273"/>
    </row>
    <row r="134">
      <c r="A134" s="273"/>
      <c r="B134" s="273"/>
      <c r="C134" s="273"/>
      <c r="D134" s="273"/>
      <c r="E134" s="273"/>
    </row>
    <row r="135">
      <c r="A135" s="273"/>
      <c r="B135" s="273"/>
      <c r="C135" s="273"/>
      <c r="D135" s="273"/>
      <c r="E135" s="273"/>
    </row>
    <row r="136">
      <c r="A136" s="273"/>
      <c r="B136" s="273"/>
      <c r="C136" s="273"/>
      <c r="D136" s="273"/>
      <c r="E136" s="273"/>
    </row>
    <row r="137">
      <c r="A137" s="273"/>
      <c r="B137" s="273"/>
      <c r="C137" s="273"/>
      <c r="D137" s="273"/>
      <c r="E137" s="273"/>
    </row>
    <row r="138">
      <c r="A138" s="273"/>
      <c r="B138" s="273"/>
      <c r="C138" s="273"/>
      <c r="D138" s="273"/>
      <c r="E138" s="273"/>
    </row>
    <row r="139">
      <c r="A139" s="273"/>
      <c r="B139" s="273"/>
      <c r="C139" s="273"/>
      <c r="D139" s="273"/>
      <c r="E139" s="273"/>
    </row>
    <row r="140">
      <c r="A140" s="273"/>
      <c r="B140" s="273"/>
      <c r="C140" s="273"/>
      <c r="D140" s="273"/>
      <c r="E140" s="273"/>
    </row>
    <row r="141">
      <c r="A141" s="273"/>
      <c r="B141" s="273"/>
      <c r="C141" s="273"/>
      <c r="D141" s="273"/>
      <c r="E141" s="273"/>
    </row>
    <row r="142">
      <c r="A142" s="273"/>
      <c r="B142" s="273"/>
      <c r="C142" s="273"/>
      <c r="D142" s="273"/>
      <c r="E142" s="273"/>
    </row>
    <row r="143">
      <c r="A143" s="273"/>
      <c r="B143" s="273"/>
      <c r="C143" s="273"/>
      <c r="D143" s="273"/>
      <c r="E143" s="273"/>
    </row>
    <row r="144">
      <c r="A144" s="273"/>
      <c r="B144" s="273"/>
      <c r="C144" s="273"/>
      <c r="D144" s="273"/>
      <c r="E144" s="273"/>
    </row>
    <row r="145">
      <c r="A145" s="273"/>
      <c r="B145" s="273"/>
      <c r="C145" s="273"/>
      <c r="D145" s="273"/>
      <c r="E145" s="273"/>
    </row>
    <row r="146">
      <c r="A146" s="273"/>
      <c r="B146" s="273"/>
      <c r="C146" s="273"/>
      <c r="D146" s="273"/>
      <c r="E146" s="273"/>
    </row>
    <row r="147">
      <c r="A147" s="273"/>
      <c r="B147" s="273"/>
      <c r="C147" s="273"/>
      <c r="D147" s="273"/>
      <c r="E147" s="273"/>
    </row>
    <row r="148">
      <c r="A148" s="273"/>
      <c r="B148" s="273"/>
      <c r="C148" s="273"/>
      <c r="D148" s="273"/>
      <c r="E148" s="273"/>
    </row>
    <row r="149">
      <c r="A149" s="273"/>
      <c r="B149" s="273"/>
      <c r="C149" s="273"/>
      <c r="D149" s="273"/>
      <c r="E149" s="273"/>
    </row>
    <row r="150">
      <c r="A150" s="273"/>
      <c r="B150" s="273"/>
      <c r="C150" s="273"/>
      <c r="D150" s="273"/>
      <c r="E150" s="273"/>
    </row>
    <row r="151">
      <c r="A151" s="273"/>
      <c r="B151" s="273"/>
      <c r="C151" s="273"/>
      <c r="D151" s="273"/>
      <c r="E151" s="273"/>
    </row>
    <row r="152">
      <c r="A152" s="273"/>
      <c r="B152" s="273"/>
      <c r="C152" s="273"/>
      <c r="D152" s="273"/>
      <c r="E152" s="273"/>
    </row>
    <row r="153">
      <c r="A153" s="273"/>
      <c r="B153" s="273"/>
      <c r="C153" s="273"/>
      <c r="D153" s="273"/>
      <c r="E153" s="273"/>
    </row>
    <row r="154">
      <c r="A154" s="273"/>
      <c r="B154" s="273"/>
      <c r="C154" s="273"/>
      <c r="D154" s="273"/>
      <c r="E154" s="273"/>
    </row>
    <row r="155">
      <c r="A155" s="273"/>
      <c r="B155" s="273"/>
      <c r="C155" s="273"/>
      <c r="D155" s="273"/>
      <c r="E155" s="273"/>
    </row>
    <row r="156">
      <c r="A156" s="273"/>
      <c r="B156" s="273"/>
      <c r="C156" s="273"/>
      <c r="D156" s="273"/>
      <c r="E156" s="273"/>
    </row>
    <row r="157">
      <c r="A157" s="273"/>
      <c r="B157" s="273"/>
      <c r="C157" s="273"/>
      <c r="D157" s="273"/>
      <c r="E157" s="273"/>
    </row>
    <row r="158">
      <c r="A158" s="273"/>
      <c r="B158" s="273"/>
      <c r="C158" s="273"/>
      <c r="D158" s="273"/>
      <c r="E158" s="273"/>
    </row>
    <row r="159">
      <c r="A159" s="273"/>
      <c r="B159" s="273"/>
      <c r="C159" s="273"/>
      <c r="D159" s="273"/>
      <c r="E159" s="273"/>
    </row>
    <row r="160">
      <c r="A160" s="273"/>
      <c r="B160" s="273"/>
      <c r="C160" s="273"/>
      <c r="D160" s="273"/>
      <c r="E160" s="273"/>
    </row>
    <row r="161">
      <c r="A161" s="273"/>
      <c r="B161" s="273"/>
      <c r="C161" s="273"/>
      <c r="D161" s="273"/>
      <c r="E161" s="273"/>
    </row>
    <row r="162">
      <c r="A162" s="273"/>
      <c r="B162" s="273"/>
      <c r="C162" s="273"/>
      <c r="D162" s="273"/>
      <c r="E162" s="273"/>
    </row>
    <row r="163">
      <c r="A163" s="273"/>
      <c r="B163" s="273"/>
      <c r="C163" s="273"/>
      <c r="D163" s="273"/>
      <c r="E163" s="273"/>
    </row>
    <row r="164">
      <c r="A164" s="273"/>
      <c r="B164" s="273"/>
      <c r="C164" s="273"/>
      <c r="D164" s="273"/>
      <c r="E164" s="273"/>
    </row>
    <row r="165">
      <c r="A165" s="273"/>
      <c r="B165" s="273"/>
      <c r="C165" s="273"/>
      <c r="D165" s="273"/>
      <c r="E165" s="273"/>
    </row>
    <row r="166">
      <c r="A166" s="273"/>
      <c r="B166" s="273"/>
      <c r="C166" s="273"/>
      <c r="D166" s="273"/>
      <c r="E166" s="273"/>
    </row>
    <row r="167">
      <c r="A167" s="273"/>
      <c r="B167" s="273"/>
      <c r="C167" s="273"/>
      <c r="D167" s="273"/>
      <c r="E167" s="273"/>
    </row>
    <row r="168">
      <c r="A168" s="273"/>
      <c r="B168" s="273"/>
      <c r="C168" s="273"/>
      <c r="D168" s="273"/>
      <c r="E168" s="273"/>
    </row>
    <row r="169">
      <c r="A169" s="273"/>
      <c r="B169" s="273"/>
      <c r="C169" s="273"/>
      <c r="D169" s="273"/>
      <c r="E169" s="273"/>
    </row>
    <row r="170">
      <c r="A170" s="273"/>
      <c r="B170" s="273"/>
      <c r="C170" s="273"/>
      <c r="D170" s="273"/>
      <c r="E170" s="273"/>
    </row>
    <row r="171">
      <c r="A171" s="273"/>
      <c r="B171" s="273"/>
      <c r="C171" s="273"/>
      <c r="D171" s="273"/>
      <c r="E171" s="273"/>
    </row>
    <row r="172">
      <c r="A172" s="273"/>
      <c r="B172" s="273"/>
      <c r="C172" s="273"/>
      <c r="D172" s="273"/>
      <c r="E172" s="273"/>
    </row>
    <row r="173">
      <c r="A173" s="273"/>
      <c r="B173" s="273"/>
      <c r="C173" s="273"/>
      <c r="D173" s="273"/>
      <c r="E173" s="273"/>
    </row>
    <row r="174">
      <c r="A174" s="273"/>
      <c r="B174" s="273"/>
      <c r="C174" s="273"/>
      <c r="D174" s="273"/>
      <c r="E174" s="273"/>
    </row>
    <row r="175">
      <c r="A175" s="273"/>
      <c r="B175" s="273"/>
      <c r="C175" s="273"/>
      <c r="D175" s="273"/>
      <c r="E175" s="273"/>
    </row>
    <row r="176">
      <c r="A176" s="273"/>
      <c r="B176" s="273"/>
      <c r="C176" s="273"/>
      <c r="D176" s="273"/>
      <c r="E176" s="273"/>
    </row>
    <row r="177">
      <c r="A177" s="273"/>
      <c r="B177" s="273"/>
      <c r="C177" s="273"/>
      <c r="D177" s="273"/>
      <c r="E177" s="273"/>
    </row>
    <row r="178">
      <c r="A178" s="273"/>
      <c r="B178" s="273"/>
      <c r="C178" s="273"/>
      <c r="D178" s="273"/>
      <c r="E178" s="273"/>
    </row>
    <row r="179">
      <c r="A179" s="273"/>
      <c r="B179" s="273"/>
      <c r="C179" s="273"/>
      <c r="D179" s="273"/>
      <c r="E179" s="273"/>
    </row>
    <row r="180">
      <c r="A180" s="273"/>
      <c r="B180" s="273"/>
      <c r="C180" s="273"/>
      <c r="D180" s="273"/>
      <c r="E180" s="273"/>
    </row>
    <row r="181">
      <c r="A181" s="273"/>
      <c r="B181" s="273"/>
      <c r="C181" s="273"/>
      <c r="D181" s="273"/>
      <c r="E181" s="273"/>
    </row>
    <row r="182">
      <c r="A182" s="273"/>
      <c r="B182" s="273"/>
      <c r="C182" s="273"/>
      <c r="D182" s="273"/>
      <c r="E182" s="273"/>
    </row>
    <row r="183">
      <c r="A183" s="273"/>
      <c r="B183" s="273"/>
      <c r="C183" s="273"/>
      <c r="D183" s="273"/>
      <c r="E183" s="273"/>
    </row>
    <row r="184">
      <c r="A184" s="273"/>
      <c r="B184" s="273"/>
      <c r="C184" s="273"/>
      <c r="D184" s="273"/>
      <c r="E184" s="273"/>
    </row>
    <row r="185">
      <c r="A185" s="273"/>
      <c r="B185" s="273"/>
      <c r="C185" s="273"/>
      <c r="D185" s="273"/>
      <c r="E185" s="273"/>
    </row>
    <row r="186">
      <c r="A186" s="273"/>
      <c r="B186" s="273"/>
      <c r="C186" s="273"/>
      <c r="D186" s="273"/>
      <c r="E186" s="273"/>
    </row>
    <row r="187">
      <c r="A187" s="273"/>
      <c r="B187" s="273"/>
      <c r="C187" s="273"/>
      <c r="D187" s="273"/>
      <c r="E187" s="273"/>
    </row>
    <row r="188">
      <c r="A188" s="273"/>
      <c r="B188" s="273"/>
      <c r="C188" s="273"/>
      <c r="D188" s="273"/>
      <c r="E188" s="273"/>
    </row>
    <row r="189">
      <c r="A189" s="273"/>
      <c r="B189" s="273"/>
      <c r="C189" s="273"/>
      <c r="D189" s="273"/>
      <c r="E189" s="273"/>
    </row>
    <row r="190">
      <c r="A190" s="273"/>
      <c r="B190" s="273"/>
      <c r="C190" s="273"/>
      <c r="D190" s="273"/>
      <c r="E190" s="273"/>
    </row>
    <row r="191">
      <c r="A191" s="273"/>
      <c r="B191" s="273"/>
      <c r="C191" s="273"/>
      <c r="D191" s="273"/>
      <c r="E191" s="273"/>
    </row>
    <row r="192">
      <c r="A192" s="273"/>
      <c r="B192" s="273"/>
      <c r="C192" s="273"/>
      <c r="D192" s="273"/>
      <c r="E192" s="273"/>
    </row>
    <row r="193">
      <c r="A193" s="273"/>
      <c r="B193" s="273"/>
      <c r="C193" s="273"/>
      <c r="D193" s="273"/>
      <c r="E193" s="273"/>
    </row>
    <row r="194">
      <c r="A194" s="273"/>
      <c r="B194" s="273"/>
      <c r="C194" s="273"/>
      <c r="D194" s="273"/>
      <c r="E194" s="273"/>
    </row>
    <row r="195">
      <c r="A195" s="273"/>
      <c r="B195" s="273"/>
      <c r="C195" s="273"/>
      <c r="D195" s="273"/>
      <c r="E195" s="273"/>
    </row>
    <row r="196">
      <c r="A196" s="273"/>
      <c r="B196" s="273"/>
      <c r="C196" s="273"/>
      <c r="D196" s="273"/>
      <c r="E196" s="273"/>
    </row>
    <row r="197">
      <c r="A197" s="273"/>
      <c r="B197" s="273"/>
      <c r="C197" s="273"/>
      <c r="D197" s="273"/>
      <c r="E197" s="273"/>
    </row>
    <row r="198">
      <c r="A198" s="273"/>
      <c r="B198" s="273"/>
      <c r="C198" s="273"/>
      <c r="D198" s="273"/>
      <c r="E198" s="273"/>
    </row>
    <row r="199">
      <c r="A199" s="273"/>
      <c r="B199" s="273"/>
      <c r="C199" s="273"/>
      <c r="D199" s="273"/>
      <c r="E199" s="273"/>
    </row>
    <row r="200">
      <c r="A200" s="273"/>
      <c r="B200" s="273"/>
      <c r="C200" s="273"/>
      <c r="D200" s="273"/>
      <c r="E200" s="273"/>
    </row>
    <row r="201">
      <c r="A201" s="273"/>
      <c r="B201" s="273"/>
      <c r="C201" s="273"/>
      <c r="D201" s="273"/>
      <c r="E201" s="273"/>
    </row>
    <row r="202">
      <c r="A202" s="273"/>
      <c r="B202" s="273"/>
      <c r="C202" s="273"/>
      <c r="D202" s="273"/>
      <c r="E202" s="273"/>
    </row>
    <row r="203">
      <c r="A203" s="273"/>
      <c r="B203" s="273"/>
      <c r="C203" s="273"/>
      <c r="D203" s="273"/>
      <c r="E203" s="273"/>
    </row>
    <row r="204">
      <c r="A204" s="273"/>
      <c r="B204" s="273"/>
      <c r="C204" s="273"/>
      <c r="D204" s="273"/>
      <c r="E204" s="273"/>
    </row>
    <row r="205">
      <c r="A205" s="273"/>
      <c r="B205" s="273"/>
      <c r="C205" s="273"/>
      <c r="D205" s="273"/>
      <c r="E205" s="273"/>
    </row>
    <row r="206">
      <c r="A206" s="273"/>
      <c r="B206" s="273"/>
      <c r="C206" s="273"/>
      <c r="D206" s="273"/>
      <c r="E206" s="273"/>
    </row>
    <row r="207">
      <c r="A207" s="273"/>
      <c r="B207" s="273"/>
      <c r="C207" s="273"/>
      <c r="D207" s="273"/>
      <c r="E207" s="273"/>
    </row>
    <row r="208">
      <c r="A208" s="273"/>
      <c r="B208" s="273"/>
      <c r="C208" s="273"/>
      <c r="D208" s="273"/>
      <c r="E208" s="273"/>
    </row>
    <row r="209">
      <c r="A209" s="273"/>
      <c r="B209" s="273"/>
      <c r="C209" s="273"/>
      <c r="D209" s="273"/>
      <c r="E209" s="273"/>
    </row>
    <row r="210">
      <c r="A210" s="273"/>
      <c r="B210" s="273"/>
      <c r="C210" s="273"/>
      <c r="D210" s="273"/>
      <c r="E210" s="273"/>
    </row>
    <row r="211">
      <c r="A211" s="273"/>
      <c r="B211" s="273"/>
      <c r="C211" s="273"/>
      <c r="D211" s="273"/>
      <c r="E211" s="273"/>
    </row>
    <row r="212">
      <c r="A212" s="273"/>
      <c r="B212" s="273"/>
      <c r="C212" s="273"/>
      <c r="D212" s="273"/>
      <c r="E212" s="273"/>
    </row>
    <row r="213">
      <c r="A213" s="273"/>
      <c r="B213" s="273"/>
      <c r="C213" s="273"/>
      <c r="D213" s="273"/>
      <c r="E213" s="273"/>
    </row>
    <row r="214">
      <c r="A214" s="273"/>
      <c r="B214" s="273"/>
      <c r="C214" s="273"/>
      <c r="D214" s="273"/>
      <c r="E214" s="273"/>
    </row>
    <row r="215">
      <c r="A215" s="273"/>
      <c r="B215" s="273"/>
      <c r="C215" s="273"/>
      <c r="D215" s="273"/>
      <c r="E215" s="273"/>
    </row>
    <row r="216">
      <c r="A216" s="273"/>
      <c r="B216" s="273"/>
      <c r="C216" s="273"/>
      <c r="D216" s="273"/>
      <c r="E216" s="273"/>
    </row>
    <row r="217">
      <c r="A217" s="273"/>
      <c r="B217" s="273"/>
      <c r="C217" s="273"/>
      <c r="D217" s="273"/>
      <c r="E217" s="273"/>
    </row>
    <row r="218">
      <c r="A218" s="273"/>
      <c r="B218" s="273"/>
      <c r="C218" s="273"/>
      <c r="D218" s="273"/>
      <c r="E218" s="273"/>
    </row>
    <row r="219">
      <c r="A219" s="273"/>
      <c r="B219" s="273"/>
      <c r="C219" s="273"/>
      <c r="D219" s="273"/>
      <c r="E219" s="273"/>
    </row>
    <row r="220">
      <c r="A220" s="273"/>
      <c r="B220" s="273"/>
      <c r="C220" s="273"/>
      <c r="D220" s="273"/>
      <c r="E220" s="273"/>
    </row>
    <row r="221">
      <c r="A221" s="273"/>
      <c r="B221" s="273"/>
      <c r="C221" s="273"/>
      <c r="D221" s="273"/>
      <c r="E221" s="273"/>
    </row>
    <row r="222">
      <c r="A222" s="273"/>
      <c r="B222" s="273"/>
      <c r="C222" s="273"/>
      <c r="D222" s="273"/>
      <c r="E222" s="273"/>
    </row>
    <row r="223">
      <c r="A223" s="273"/>
      <c r="B223" s="273"/>
      <c r="C223" s="273"/>
      <c r="D223" s="273"/>
      <c r="E223" s="273"/>
    </row>
    <row r="224">
      <c r="A224" s="273"/>
      <c r="B224" s="273"/>
      <c r="C224" s="273"/>
      <c r="D224" s="273"/>
      <c r="E224" s="273"/>
    </row>
    <row r="225">
      <c r="A225" s="273"/>
      <c r="B225" s="273"/>
      <c r="C225" s="273"/>
      <c r="D225" s="273"/>
      <c r="E225" s="273"/>
    </row>
    <row r="226">
      <c r="A226" s="273"/>
      <c r="B226" s="273"/>
      <c r="C226" s="273"/>
      <c r="D226" s="273"/>
      <c r="E226" s="273"/>
    </row>
    <row r="227">
      <c r="A227" s="273"/>
      <c r="B227" s="273"/>
      <c r="C227" s="273"/>
      <c r="D227" s="273"/>
      <c r="E227" s="273"/>
    </row>
    <row r="228">
      <c r="A228" s="273"/>
      <c r="B228" s="273"/>
      <c r="C228" s="273"/>
      <c r="D228" s="273"/>
      <c r="E228" s="273"/>
    </row>
    <row r="229">
      <c r="A229" s="273"/>
      <c r="B229" s="273"/>
      <c r="C229" s="273"/>
      <c r="D229" s="273"/>
      <c r="E229" s="273"/>
    </row>
    <row r="230">
      <c r="A230" s="273"/>
      <c r="B230" s="273"/>
      <c r="C230" s="273"/>
      <c r="D230" s="273"/>
      <c r="E230" s="273"/>
    </row>
    <row r="231">
      <c r="A231" s="273"/>
      <c r="B231" s="273"/>
      <c r="C231" s="273"/>
      <c r="D231" s="273"/>
      <c r="E231" s="273"/>
    </row>
    <row r="232">
      <c r="A232" s="273"/>
      <c r="B232" s="273"/>
      <c r="C232" s="273"/>
      <c r="D232" s="273"/>
      <c r="E232" s="273"/>
    </row>
    <row r="233">
      <c r="A233" s="273"/>
      <c r="B233" s="273"/>
      <c r="C233" s="273"/>
      <c r="D233" s="273"/>
      <c r="E233" s="273"/>
    </row>
    <row r="234">
      <c r="A234" s="273"/>
      <c r="B234" s="273"/>
      <c r="C234" s="273"/>
      <c r="D234" s="273"/>
      <c r="E234" s="273"/>
    </row>
    <row r="235">
      <c r="A235" s="273"/>
      <c r="B235" s="273"/>
      <c r="C235" s="273"/>
      <c r="D235" s="273"/>
      <c r="E235" s="273"/>
    </row>
    <row r="236">
      <c r="A236" s="273"/>
      <c r="B236" s="273"/>
      <c r="C236" s="273"/>
      <c r="D236" s="273"/>
      <c r="E236" s="273"/>
    </row>
    <row r="237">
      <c r="A237" s="273"/>
      <c r="B237" s="273"/>
      <c r="C237" s="273"/>
      <c r="D237" s="273"/>
      <c r="E237" s="273"/>
    </row>
    <row r="238">
      <c r="A238" s="273"/>
      <c r="B238" s="273"/>
      <c r="C238" s="273"/>
      <c r="D238" s="273"/>
      <c r="E238" s="273"/>
    </row>
    <row r="239">
      <c r="A239" s="273"/>
      <c r="B239" s="273"/>
      <c r="C239" s="273"/>
      <c r="D239" s="273"/>
      <c r="E239" s="273"/>
    </row>
    <row r="240">
      <c r="A240" s="273"/>
      <c r="B240" s="273"/>
      <c r="C240" s="273"/>
      <c r="D240" s="273"/>
      <c r="E240" s="273"/>
    </row>
    <row r="241">
      <c r="A241" s="273"/>
      <c r="B241" s="273"/>
      <c r="C241" s="273"/>
      <c r="D241" s="273"/>
      <c r="E241" s="273"/>
    </row>
    <row r="242">
      <c r="A242" s="273"/>
      <c r="B242" s="273"/>
      <c r="C242" s="273"/>
      <c r="D242" s="273"/>
      <c r="E242" s="273"/>
    </row>
    <row r="243">
      <c r="A243" s="273"/>
      <c r="B243" s="273"/>
      <c r="C243" s="273"/>
      <c r="D243" s="273"/>
      <c r="E243" s="273"/>
    </row>
    <row r="244">
      <c r="A244" s="273"/>
      <c r="B244" s="273"/>
      <c r="C244" s="273"/>
      <c r="D244" s="273"/>
      <c r="E244" s="273"/>
    </row>
    <row r="245">
      <c r="A245" s="273"/>
      <c r="B245" s="273"/>
      <c r="C245" s="273"/>
      <c r="D245" s="273"/>
      <c r="E245" s="273"/>
    </row>
    <row r="246">
      <c r="A246" s="273"/>
      <c r="B246" s="273"/>
      <c r="C246" s="273"/>
      <c r="D246" s="273"/>
      <c r="E246" s="273"/>
    </row>
    <row r="247">
      <c r="A247" s="273"/>
      <c r="B247" s="273"/>
      <c r="C247" s="273"/>
      <c r="D247" s="273"/>
      <c r="E247" s="273"/>
    </row>
    <row r="248">
      <c r="A248" s="273"/>
      <c r="B248" s="273"/>
      <c r="C248" s="273"/>
      <c r="D248" s="273"/>
      <c r="E248" s="273"/>
    </row>
    <row r="249">
      <c r="A249" s="273"/>
      <c r="B249" s="273"/>
      <c r="C249" s="273"/>
      <c r="D249" s="273"/>
      <c r="E249" s="273"/>
    </row>
    <row r="250">
      <c r="A250" s="273"/>
      <c r="B250" s="273"/>
      <c r="C250" s="273"/>
      <c r="D250" s="273"/>
      <c r="E250" s="273"/>
    </row>
    <row r="251">
      <c r="A251" s="273"/>
      <c r="B251" s="273"/>
      <c r="C251" s="273"/>
      <c r="D251" s="273"/>
      <c r="E251" s="273"/>
    </row>
    <row r="252">
      <c r="A252" s="273"/>
      <c r="B252" s="273"/>
      <c r="C252" s="273"/>
      <c r="D252" s="273"/>
      <c r="E252" s="273"/>
    </row>
    <row r="253">
      <c r="A253" s="273"/>
      <c r="B253" s="273"/>
      <c r="C253" s="273"/>
      <c r="D253" s="273"/>
      <c r="E253" s="273"/>
    </row>
    <row r="254">
      <c r="A254" s="273"/>
      <c r="B254" s="273"/>
      <c r="C254" s="273"/>
      <c r="D254" s="273"/>
      <c r="E254" s="273"/>
    </row>
    <row r="255">
      <c r="A255" s="273"/>
      <c r="B255" s="273"/>
      <c r="C255" s="273"/>
      <c r="D255" s="273"/>
      <c r="E255" s="273"/>
    </row>
    <row r="256">
      <c r="A256" s="273"/>
      <c r="B256" s="273"/>
      <c r="C256" s="273"/>
      <c r="D256" s="273"/>
      <c r="E256" s="273"/>
    </row>
    <row r="257">
      <c r="A257" s="273"/>
      <c r="B257" s="273"/>
      <c r="C257" s="273"/>
      <c r="D257" s="273"/>
      <c r="E257" s="273"/>
    </row>
    <row r="258">
      <c r="A258" s="273"/>
      <c r="B258" s="273"/>
      <c r="C258" s="273"/>
      <c r="D258" s="273"/>
      <c r="E258" s="273"/>
    </row>
    <row r="259">
      <c r="A259" s="273"/>
      <c r="B259" s="273"/>
      <c r="C259" s="273"/>
      <c r="D259" s="273"/>
      <c r="E259" s="273"/>
    </row>
    <row r="260">
      <c r="A260" s="273"/>
      <c r="B260" s="273"/>
      <c r="C260" s="273"/>
      <c r="D260" s="273"/>
      <c r="E260" s="273"/>
    </row>
    <row r="261">
      <c r="A261" s="273"/>
      <c r="B261" s="273"/>
      <c r="C261" s="273"/>
      <c r="D261" s="273"/>
      <c r="E261" s="273"/>
    </row>
    <row r="262">
      <c r="A262" s="273"/>
      <c r="B262" s="273"/>
      <c r="C262" s="273"/>
      <c r="D262" s="273"/>
      <c r="E262" s="273"/>
    </row>
    <row r="263">
      <c r="A263" s="273"/>
      <c r="B263" s="273"/>
      <c r="C263" s="273"/>
      <c r="D263" s="273"/>
      <c r="E263" s="273"/>
    </row>
    <row r="264">
      <c r="A264" s="273"/>
      <c r="B264" s="273"/>
      <c r="C264" s="273"/>
      <c r="D264" s="273"/>
      <c r="E264" s="273"/>
    </row>
    <row r="265">
      <c r="A265" s="273"/>
      <c r="B265" s="273"/>
      <c r="C265" s="273"/>
      <c r="D265" s="273"/>
      <c r="E265" s="273"/>
    </row>
    <row r="266">
      <c r="A266" s="273"/>
      <c r="B266" s="273"/>
      <c r="C266" s="273"/>
      <c r="D266" s="273"/>
      <c r="E266" s="273"/>
    </row>
    <row r="267">
      <c r="A267" s="273"/>
      <c r="B267" s="273"/>
      <c r="C267" s="273"/>
      <c r="D267" s="273"/>
      <c r="E267" s="273"/>
    </row>
    <row r="268">
      <c r="A268" s="273"/>
      <c r="B268" s="273"/>
      <c r="C268" s="273"/>
      <c r="D268" s="273"/>
      <c r="E268" s="273"/>
    </row>
    <row r="269">
      <c r="A269" s="273"/>
      <c r="B269" s="273"/>
      <c r="C269" s="273"/>
      <c r="D269" s="273"/>
      <c r="E269" s="273"/>
    </row>
    <row r="270">
      <c r="A270" s="273"/>
      <c r="B270" s="273"/>
      <c r="C270" s="273"/>
      <c r="D270" s="273"/>
      <c r="E270" s="273"/>
    </row>
    <row r="271">
      <c r="A271" s="273"/>
      <c r="B271" s="273"/>
      <c r="C271" s="273"/>
      <c r="D271" s="273"/>
      <c r="E271" s="273"/>
    </row>
    <row r="272">
      <c r="A272" s="273"/>
      <c r="B272" s="273"/>
      <c r="C272" s="273"/>
      <c r="D272" s="273"/>
      <c r="E272" s="273"/>
    </row>
    <row r="273">
      <c r="A273" s="273"/>
      <c r="B273" s="273"/>
      <c r="C273" s="273"/>
      <c r="D273" s="273"/>
      <c r="E273" s="273"/>
    </row>
    <row r="274">
      <c r="A274" s="273"/>
      <c r="B274" s="273"/>
      <c r="C274" s="273"/>
      <c r="D274" s="273"/>
      <c r="E274" s="273"/>
    </row>
    <row r="275">
      <c r="A275" s="273"/>
      <c r="B275" s="273"/>
      <c r="C275" s="273"/>
      <c r="D275" s="273"/>
      <c r="E275" s="273"/>
    </row>
    <row r="276">
      <c r="A276" s="273"/>
      <c r="B276" s="273"/>
      <c r="C276" s="273"/>
      <c r="D276" s="273"/>
      <c r="E276" s="273"/>
    </row>
    <row r="277">
      <c r="A277" s="273"/>
      <c r="B277" s="273"/>
      <c r="C277" s="273"/>
      <c r="D277" s="273"/>
      <c r="E277" s="273"/>
    </row>
    <row r="278">
      <c r="A278" s="273"/>
      <c r="B278" s="273"/>
      <c r="C278" s="273"/>
      <c r="D278" s="273"/>
      <c r="E278" s="273"/>
    </row>
    <row r="279">
      <c r="A279" s="273"/>
      <c r="B279" s="273"/>
      <c r="C279" s="273"/>
      <c r="D279" s="273"/>
      <c r="E279" s="273"/>
    </row>
    <row r="280">
      <c r="A280" s="273"/>
      <c r="B280" s="273"/>
      <c r="C280" s="273"/>
      <c r="D280" s="273"/>
      <c r="E280" s="273"/>
    </row>
    <row r="281">
      <c r="A281" s="273"/>
      <c r="B281" s="273"/>
      <c r="C281" s="273"/>
      <c r="D281" s="273"/>
      <c r="E281" s="273"/>
    </row>
    <row r="282">
      <c r="A282" s="273"/>
      <c r="B282" s="273"/>
      <c r="C282" s="273"/>
      <c r="D282" s="273"/>
      <c r="E282" s="273"/>
    </row>
    <row r="283">
      <c r="A283" s="273"/>
      <c r="B283" s="273"/>
      <c r="C283" s="273"/>
      <c r="D283" s="273"/>
      <c r="E283" s="273"/>
    </row>
    <row r="284">
      <c r="A284" s="273"/>
      <c r="B284" s="273"/>
      <c r="C284" s="273"/>
      <c r="D284" s="273"/>
      <c r="E284" s="273"/>
    </row>
    <row r="285">
      <c r="A285" s="273"/>
      <c r="B285" s="273"/>
      <c r="C285" s="273"/>
      <c r="D285" s="273"/>
      <c r="E285" s="273"/>
    </row>
    <row r="286">
      <c r="A286" s="273"/>
      <c r="B286" s="273"/>
      <c r="C286" s="273"/>
      <c r="D286" s="273"/>
      <c r="E286" s="273"/>
    </row>
    <row r="287">
      <c r="A287" s="273"/>
      <c r="B287" s="273"/>
      <c r="C287" s="273"/>
      <c r="D287" s="273"/>
      <c r="E287" s="273"/>
    </row>
    <row r="288">
      <c r="A288" s="273"/>
      <c r="B288" s="273"/>
      <c r="C288" s="273"/>
      <c r="D288" s="273"/>
      <c r="E288" s="273"/>
    </row>
    <row r="289">
      <c r="A289" s="273"/>
      <c r="B289" s="273"/>
      <c r="C289" s="273"/>
      <c r="D289" s="273"/>
      <c r="E289" s="273"/>
    </row>
    <row r="290">
      <c r="A290" s="273"/>
      <c r="B290" s="273"/>
      <c r="C290" s="273"/>
      <c r="D290" s="273"/>
      <c r="E290" s="273"/>
    </row>
    <row r="291">
      <c r="A291" s="273"/>
      <c r="B291" s="273"/>
      <c r="C291" s="273"/>
      <c r="D291" s="273"/>
      <c r="E291" s="273"/>
    </row>
    <row r="292">
      <c r="A292" s="273"/>
      <c r="B292" s="273"/>
      <c r="C292" s="273"/>
      <c r="D292" s="273"/>
      <c r="E292" s="273"/>
    </row>
    <row r="293">
      <c r="A293" s="273"/>
      <c r="B293" s="273"/>
      <c r="C293" s="273"/>
      <c r="D293" s="273"/>
      <c r="E293" s="273"/>
    </row>
    <row r="294">
      <c r="A294" s="273"/>
      <c r="B294" s="273"/>
      <c r="C294" s="273"/>
      <c r="D294" s="273"/>
      <c r="E294" s="273"/>
    </row>
    <row r="295">
      <c r="A295" s="273"/>
      <c r="B295" s="273"/>
      <c r="C295" s="273"/>
      <c r="D295" s="273"/>
      <c r="E295" s="273"/>
    </row>
    <row r="296">
      <c r="A296" s="273"/>
      <c r="B296" s="273"/>
      <c r="C296" s="273"/>
      <c r="D296" s="273"/>
      <c r="E296" s="273"/>
    </row>
    <row r="297">
      <c r="A297" s="273"/>
      <c r="B297" s="273"/>
      <c r="C297" s="273"/>
      <c r="D297" s="273"/>
      <c r="E297" s="273"/>
    </row>
    <row r="298">
      <c r="A298" s="273"/>
      <c r="B298" s="273"/>
      <c r="C298" s="273"/>
      <c r="D298" s="273"/>
      <c r="E298" s="273"/>
    </row>
    <row r="299">
      <c r="A299" s="273"/>
      <c r="B299" s="273"/>
      <c r="C299" s="273"/>
      <c r="D299" s="273"/>
      <c r="E299" s="273"/>
    </row>
    <row r="300">
      <c r="A300" s="273"/>
      <c r="B300" s="273"/>
      <c r="C300" s="273"/>
      <c r="D300" s="273"/>
      <c r="E300" s="273"/>
    </row>
    <row r="301">
      <c r="A301" s="273"/>
      <c r="B301" s="273"/>
      <c r="C301" s="273"/>
      <c r="D301" s="273"/>
      <c r="E301" s="273"/>
    </row>
    <row r="302">
      <c r="A302" s="273"/>
      <c r="B302" s="273"/>
      <c r="C302" s="273"/>
      <c r="D302" s="273"/>
      <c r="E302" s="273"/>
    </row>
    <row r="303">
      <c r="A303" s="273"/>
      <c r="B303" s="273"/>
      <c r="C303" s="273"/>
      <c r="D303" s="273"/>
      <c r="E303" s="273"/>
    </row>
    <row r="304">
      <c r="A304" s="273"/>
      <c r="B304" s="273"/>
      <c r="C304" s="273"/>
      <c r="D304" s="273"/>
      <c r="E304" s="273"/>
    </row>
    <row r="305">
      <c r="A305" s="273"/>
      <c r="B305" s="273"/>
      <c r="C305" s="273"/>
      <c r="D305" s="273"/>
      <c r="E305" s="273"/>
    </row>
    <row r="306">
      <c r="A306" s="273"/>
      <c r="B306" s="273"/>
      <c r="C306" s="273"/>
      <c r="D306" s="273"/>
      <c r="E306" s="273"/>
    </row>
    <row r="307">
      <c r="A307" s="273"/>
      <c r="B307" s="273"/>
      <c r="C307" s="273"/>
      <c r="D307" s="273"/>
      <c r="E307" s="273"/>
    </row>
    <row r="308">
      <c r="A308" s="273"/>
      <c r="B308" s="273"/>
      <c r="C308" s="273"/>
      <c r="D308" s="273"/>
      <c r="E308" s="273"/>
    </row>
    <row r="309">
      <c r="A309" s="273"/>
      <c r="B309" s="273"/>
      <c r="C309" s="273"/>
      <c r="D309" s="273"/>
      <c r="E309" s="273"/>
    </row>
    <row r="310">
      <c r="A310" s="273"/>
      <c r="B310" s="273"/>
      <c r="C310" s="273"/>
      <c r="D310" s="273"/>
      <c r="E310" s="273"/>
    </row>
    <row r="311">
      <c r="A311" s="273"/>
      <c r="B311" s="273"/>
      <c r="C311" s="273"/>
      <c r="D311" s="273"/>
      <c r="E311" s="273"/>
    </row>
    <row r="312">
      <c r="A312" s="273"/>
      <c r="B312" s="273"/>
      <c r="C312" s="273"/>
      <c r="D312" s="273"/>
      <c r="E312" s="273"/>
    </row>
    <row r="313">
      <c r="A313" s="273"/>
      <c r="B313" s="273"/>
      <c r="C313" s="273"/>
      <c r="D313" s="273"/>
      <c r="E313" s="273"/>
    </row>
    <row r="314">
      <c r="A314" s="273"/>
      <c r="B314" s="273"/>
      <c r="C314" s="273"/>
      <c r="D314" s="273"/>
      <c r="E314" s="273"/>
    </row>
    <row r="315">
      <c r="A315" s="273"/>
      <c r="B315" s="273"/>
      <c r="C315" s="273"/>
      <c r="D315" s="273"/>
      <c r="E315" s="273"/>
    </row>
    <row r="316">
      <c r="A316" s="273"/>
      <c r="B316" s="273"/>
      <c r="C316" s="273"/>
      <c r="D316" s="273"/>
      <c r="E316" s="273"/>
    </row>
    <row r="317">
      <c r="A317" s="273"/>
      <c r="B317" s="273"/>
      <c r="C317" s="273"/>
      <c r="D317" s="273"/>
      <c r="E317" s="273"/>
    </row>
    <row r="318">
      <c r="A318" s="273"/>
      <c r="B318" s="273"/>
      <c r="C318" s="273"/>
      <c r="D318" s="273"/>
      <c r="E318" s="273"/>
    </row>
    <row r="319">
      <c r="A319" s="273"/>
      <c r="B319" s="273"/>
      <c r="C319" s="273"/>
      <c r="D319" s="273"/>
      <c r="E319" s="273"/>
    </row>
    <row r="320">
      <c r="A320" s="273"/>
      <c r="B320" s="273"/>
      <c r="C320" s="273"/>
      <c r="D320" s="273"/>
      <c r="E320" s="273"/>
    </row>
    <row r="321">
      <c r="A321" s="273"/>
      <c r="B321" s="273"/>
      <c r="C321" s="273"/>
      <c r="D321" s="273"/>
      <c r="E321" s="273"/>
    </row>
    <row r="322">
      <c r="A322" s="273"/>
      <c r="B322" s="273"/>
      <c r="C322" s="273"/>
      <c r="D322" s="273"/>
      <c r="E322" s="273"/>
    </row>
    <row r="323">
      <c r="A323" s="273"/>
      <c r="B323" s="273"/>
      <c r="C323" s="273"/>
      <c r="D323" s="273"/>
      <c r="E323" s="273"/>
    </row>
    <row r="324">
      <c r="A324" s="273"/>
      <c r="B324" s="273"/>
      <c r="C324" s="273"/>
      <c r="D324" s="273"/>
      <c r="E324" s="273"/>
    </row>
    <row r="325">
      <c r="A325" s="273"/>
      <c r="B325" s="273"/>
      <c r="C325" s="273"/>
      <c r="D325" s="273"/>
      <c r="E325" s="273"/>
    </row>
    <row r="326">
      <c r="A326" s="273"/>
      <c r="B326" s="273"/>
      <c r="C326" s="273"/>
      <c r="D326" s="273"/>
      <c r="E326" s="273"/>
    </row>
    <row r="327">
      <c r="A327" s="273"/>
      <c r="B327" s="273"/>
      <c r="C327" s="273"/>
      <c r="D327" s="273"/>
      <c r="E327" s="273"/>
    </row>
    <row r="328">
      <c r="A328" s="273"/>
      <c r="B328" s="273"/>
      <c r="C328" s="273"/>
      <c r="D328" s="273"/>
      <c r="E328" s="273"/>
    </row>
    <row r="329">
      <c r="A329" s="273"/>
      <c r="B329" s="273"/>
      <c r="C329" s="273"/>
      <c r="D329" s="273"/>
      <c r="E329" s="273"/>
    </row>
    <row r="330">
      <c r="A330" s="273"/>
      <c r="B330" s="273"/>
      <c r="C330" s="273"/>
      <c r="D330" s="273"/>
      <c r="E330" s="273"/>
    </row>
    <row r="331">
      <c r="A331" s="273"/>
      <c r="B331" s="273"/>
      <c r="C331" s="273"/>
      <c r="D331" s="273"/>
      <c r="E331" s="273"/>
    </row>
    <row r="332">
      <c r="A332" s="273"/>
      <c r="B332" s="273"/>
      <c r="C332" s="273"/>
      <c r="D332" s="273"/>
      <c r="E332" s="273"/>
    </row>
    <row r="333">
      <c r="A333" s="273"/>
      <c r="B333" s="273"/>
      <c r="C333" s="273"/>
      <c r="D333" s="273"/>
      <c r="E333" s="273"/>
    </row>
    <row r="334">
      <c r="A334" s="273"/>
      <c r="B334" s="273"/>
      <c r="C334" s="273"/>
      <c r="D334" s="273"/>
      <c r="E334" s="273"/>
    </row>
    <row r="335">
      <c r="A335" s="273"/>
      <c r="B335" s="273"/>
      <c r="C335" s="273"/>
      <c r="D335" s="273"/>
      <c r="E335" s="273"/>
    </row>
    <row r="336">
      <c r="A336" s="273"/>
      <c r="B336" s="273"/>
      <c r="C336" s="273"/>
      <c r="D336" s="273"/>
      <c r="E336" s="273"/>
    </row>
    <row r="337">
      <c r="A337" s="273"/>
      <c r="B337" s="273"/>
      <c r="C337" s="273"/>
      <c r="D337" s="273"/>
      <c r="E337" s="273"/>
    </row>
    <row r="338">
      <c r="A338" s="273"/>
      <c r="B338" s="273"/>
      <c r="C338" s="273"/>
      <c r="D338" s="273"/>
      <c r="E338" s="273"/>
    </row>
    <row r="339">
      <c r="A339" s="273"/>
      <c r="B339" s="273"/>
      <c r="C339" s="273"/>
      <c r="D339" s="273"/>
      <c r="E339" s="273"/>
    </row>
    <row r="340">
      <c r="A340" s="273"/>
      <c r="B340" s="273"/>
      <c r="C340" s="273"/>
      <c r="D340" s="273"/>
      <c r="E340" s="273"/>
    </row>
    <row r="341">
      <c r="A341" s="273"/>
      <c r="B341" s="273"/>
      <c r="C341" s="273"/>
      <c r="D341" s="273"/>
      <c r="E341" s="273"/>
    </row>
    <row r="342">
      <c r="A342" s="273"/>
      <c r="B342" s="273"/>
      <c r="C342" s="273"/>
      <c r="D342" s="273"/>
      <c r="E342" s="273"/>
    </row>
    <row r="343">
      <c r="A343" s="273"/>
      <c r="B343" s="273"/>
      <c r="C343" s="273"/>
      <c r="D343" s="273"/>
      <c r="E343" s="273"/>
    </row>
    <row r="344">
      <c r="A344" s="273"/>
      <c r="B344" s="273"/>
      <c r="C344" s="273"/>
      <c r="D344" s="273"/>
      <c r="E344" s="273"/>
    </row>
    <row r="345">
      <c r="A345" s="273"/>
      <c r="B345" s="273"/>
      <c r="C345" s="273"/>
      <c r="D345" s="273"/>
      <c r="E345" s="273"/>
    </row>
    <row r="346">
      <c r="A346" s="273"/>
      <c r="B346" s="273"/>
      <c r="C346" s="273"/>
      <c r="D346" s="273"/>
      <c r="E346" s="273"/>
    </row>
    <row r="347">
      <c r="A347" s="273"/>
      <c r="B347" s="273"/>
      <c r="C347" s="273"/>
      <c r="D347" s="273"/>
      <c r="E347" s="273"/>
    </row>
    <row r="348">
      <c r="A348" s="273"/>
      <c r="B348" s="273"/>
      <c r="C348" s="273"/>
      <c r="D348" s="273"/>
      <c r="E348" s="273"/>
    </row>
    <row r="349">
      <c r="A349" s="273"/>
      <c r="B349" s="273"/>
      <c r="C349" s="273"/>
      <c r="D349" s="273"/>
      <c r="E349" s="273"/>
    </row>
    <row r="350">
      <c r="A350" s="273"/>
      <c r="B350" s="273"/>
      <c r="C350" s="273"/>
      <c r="D350" s="273"/>
      <c r="E350" s="273"/>
    </row>
    <row r="351">
      <c r="A351" s="273"/>
      <c r="B351" s="273"/>
      <c r="C351" s="273"/>
      <c r="D351" s="273"/>
      <c r="E351" s="273"/>
    </row>
    <row r="352">
      <c r="A352" s="273"/>
      <c r="B352" s="273"/>
      <c r="C352" s="273"/>
      <c r="D352" s="273"/>
      <c r="E352" s="273"/>
    </row>
    <row r="353">
      <c r="A353" s="273"/>
      <c r="B353" s="273"/>
      <c r="C353" s="273"/>
      <c r="D353" s="273"/>
      <c r="E353" s="273"/>
    </row>
    <row r="354">
      <c r="A354" s="273"/>
      <c r="B354" s="273"/>
      <c r="C354" s="273"/>
      <c r="D354" s="273"/>
      <c r="E354" s="273"/>
    </row>
    <row r="355">
      <c r="A355" s="273"/>
      <c r="B355" s="273"/>
      <c r="C355" s="273"/>
      <c r="D355" s="273"/>
      <c r="E355" s="273"/>
    </row>
    <row r="356">
      <c r="A356" s="273"/>
      <c r="B356" s="273"/>
      <c r="C356" s="273"/>
      <c r="D356" s="273"/>
      <c r="E356" s="273"/>
    </row>
    <row r="357">
      <c r="A357" s="273"/>
      <c r="B357" s="273"/>
      <c r="C357" s="273"/>
      <c r="D357" s="273"/>
      <c r="E357" s="273"/>
    </row>
    <row r="358">
      <c r="A358" s="273"/>
      <c r="B358" s="273"/>
      <c r="C358" s="273"/>
      <c r="D358" s="273"/>
      <c r="E358" s="273"/>
    </row>
    <row r="359">
      <c r="A359" s="273"/>
      <c r="B359" s="273"/>
      <c r="C359" s="273"/>
      <c r="D359" s="273"/>
      <c r="E359" s="273"/>
    </row>
    <row r="360">
      <c r="A360" s="273"/>
      <c r="B360" s="273"/>
      <c r="C360" s="273"/>
      <c r="D360" s="273"/>
      <c r="E360" s="273"/>
    </row>
    <row r="361">
      <c r="A361" s="273"/>
      <c r="B361" s="273"/>
      <c r="C361" s="273"/>
      <c r="D361" s="273"/>
      <c r="E361" s="273"/>
    </row>
    <row r="362">
      <c r="A362" s="273"/>
      <c r="B362" s="273"/>
      <c r="C362" s="273"/>
      <c r="D362" s="273"/>
      <c r="E362" s="273"/>
    </row>
    <row r="363">
      <c r="A363" s="273"/>
      <c r="B363" s="273"/>
      <c r="C363" s="273"/>
      <c r="D363" s="273"/>
      <c r="E363" s="273"/>
    </row>
    <row r="364">
      <c r="A364" s="273"/>
      <c r="B364" s="273"/>
      <c r="C364" s="273"/>
      <c r="D364" s="273"/>
      <c r="E364" s="273"/>
    </row>
    <row r="365">
      <c r="A365" s="273"/>
      <c r="B365" s="273"/>
      <c r="C365" s="273"/>
      <c r="D365" s="273"/>
      <c r="E365" s="273"/>
    </row>
    <row r="366">
      <c r="A366" s="273"/>
      <c r="B366" s="273"/>
      <c r="C366" s="273"/>
      <c r="D366" s="273"/>
      <c r="E366" s="273"/>
    </row>
    <row r="367">
      <c r="A367" s="273"/>
      <c r="B367" s="273"/>
      <c r="C367" s="273"/>
      <c r="D367" s="273"/>
      <c r="E367" s="273"/>
    </row>
    <row r="368">
      <c r="A368" s="273"/>
      <c r="B368" s="273"/>
      <c r="C368" s="273"/>
      <c r="D368" s="273"/>
      <c r="E368" s="273"/>
    </row>
    <row r="369">
      <c r="A369" s="273"/>
      <c r="B369" s="273"/>
      <c r="C369" s="273"/>
      <c r="D369" s="273"/>
      <c r="E369" s="273"/>
    </row>
    <row r="370">
      <c r="A370" s="273"/>
      <c r="B370" s="273"/>
      <c r="C370" s="273"/>
      <c r="D370" s="273"/>
      <c r="E370" s="273"/>
    </row>
    <row r="371">
      <c r="A371" s="273"/>
      <c r="B371" s="273"/>
      <c r="C371" s="273"/>
      <c r="D371" s="273"/>
      <c r="E371" s="273"/>
    </row>
    <row r="372">
      <c r="A372" s="273"/>
      <c r="B372" s="273"/>
      <c r="C372" s="273"/>
      <c r="D372" s="273"/>
      <c r="E372" s="273"/>
    </row>
    <row r="373">
      <c r="A373" s="273"/>
      <c r="B373" s="273"/>
      <c r="C373" s="273"/>
      <c r="D373" s="273"/>
      <c r="E373" s="273"/>
    </row>
    <row r="374">
      <c r="A374" s="273"/>
      <c r="B374" s="273"/>
      <c r="C374" s="273"/>
      <c r="D374" s="273"/>
      <c r="E374" s="273"/>
    </row>
    <row r="375">
      <c r="A375" s="273"/>
      <c r="B375" s="273"/>
      <c r="C375" s="273"/>
      <c r="D375" s="273"/>
      <c r="E375" s="273"/>
    </row>
    <row r="376">
      <c r="A376" s="273"/>
      <c r="B376" s="273"/>
      <c r="C376" s="273"/>
      <c r="D376" s="273"/>
      <c r="E376" s="273"/>
    </row>
    <row r="377">
      <c r="A377" s="273"/>
      <c r="B377" s="273"/>
      <c r="C377" s="273"/>
      <c r="D377" s="273"/>
      <c r="E377" s="273"/>
    </row>
    <row r="378">
      <c r="A378" s="273"/>
      <c r="B378" s="273"/>
      <c r="C378" s="273"/>
      <c r="D378" s="273"/>
      <c r="E378" s="273"/>
    </row>
    <row r="379">
      <c r="A379" s="273"/>
      <c r="B379" s="273"/>
      <c r="C379" s="273"/>
      <c r="D379" s="273"/>
      <c r="E379" s="273"/>
    </row>
    <row r="380">
      <c r="A380" s="273"/>
      <c r="B380" s="273"/>
      <c r="C380" s="273"/>
      <c r="D380" s="273"/>
      <c r="E380" s="273"/>
    </row>
    <row r="381">
      <c r="A381" s="273"/>
      <c r="B381" s="273"/>
      <c r="C381" s="273"/>
      <c r="D381" s="273"/>
      <c r="E381" s="273"/>
    </row>
    <row r="382">
      <c r="A382" s="273"/>
      <c r="B382" s="273"/>
      <c r="C382" s="273"/>
      <c r="D382" s="273"/>
      <c r="E382" s="273"/>
    </row>
    <row r="383">
      <c r="A383" s="273"/>
      <c r="B383" s="273"/>
      <c r="C383" s="273"/>
      <c r="D383" s="273"/>
      <c r="E383" s="273"/>
    </row>
    <row r="384">
      <c r="A384" s="273"/>
      <c r="B384" s="273"/>
      <c r="C384" s="273"/>
      <c r="D384" s="273"/>
      <c r="E384" s="273"/>
    </row>
    <row r="385">
      <c r="A385" s="273"/>
      <c r="B385" s="273"/>
      <c r="C385" s="273"/>
      <c r="D385" s="273"/>
      <c r="E385" s="273"/>
    </row>
    <row r="386">
      <c r="A386" s="273"/>
      <c r="B386" s="273"/>
      <c r="C386" s="273"/>
      <c r="D386" s="273"/>
      <c r="E386" s="273"/>
    </row>
    <row r="387">
      <c r="A387" s="273"/>
      <c r="B387" s="273"/>
      <c r="C387" s="273"/>
      <c r="D387" s="273"/>
      <c r="E387" s="273"/>
    </row>
    <row r="388">
      <c r="A388" s="273"/>
      <c r="B388" s="273"/>
      <c r="C388" s="273"/>
      <c r="D388" s="273"/>
      <c r="E388" s="273"/>
    </row>
    <row r="389">
      <c r="A389" s="273"/>
      <c r="B389" s="273"/>
      <c r="C389" s="273"/>
      <c r="D389" s="273"/>
      <c r="E389" s="273"/>
    </row>
    <row r="390">
      <c r="A390" s="273"/>
      <c r="B390" s="273"/>
      <c r="C390" s="273"/>
      <c r="D390" s="273"/>
      <c r="E390" s="273"/>
    </row>
    <row r="391">
      <c r="A391" s="273"/>
      <c r="B391" s="273"/>
      <c r="C391" s="273"/>
      <c r="D391" s="273"/>
      <c r="E391" s="273"/>
    </row>
    <row r="392">
      <c r="A392" s="273"/>
      <c r="B392" s="273"/>
      <c r="C392" s="273"/>
      <c r="D392" s="273"/>
      <c r="E392" s="273"/>
    </row>
    <row r="393">
      <c r="A393" s="273"/>
      <c r="B393" s="273"/>
      <c r="C393" s="273"/>
      <c r="D393" s="273"/>
      <c r="E393" s="273"/>
    </row>
    <row r="394">
      <c r="A394" s="273"/>
      <c r="B394" s="273"/>
      <c r="C394" s="273"/>
      <c r="D394" s="273"/>
      <c r="E394" s="273"/>
    </row>
    <row r="395">
      <c r="A395" s="273"/>
      <c r="B395" s="273"/>
      <c r="C395" s="273"/>
      <c r="D395" s="273"/>
      <c r="E395" s="273"/>
    </row>
    <row r="396">
      <c r="A396" s="273"/>
      <c r="B396" s="273"/>
      <c r="C396" s="273"/>
      <c r="D396" s="273"/>
      <c r="E396" s="273"/>
    </row>
    <row r="397">
      <c r="A397" s="273"/>
      <c r="B397" s="273"/>
      <c r="C397" s="273"/>
      <c r="D397" s="273"/>
      <c r="E397" s="273"/>
    </row>
    <row r="398">
      <c r="A398" s="273"/>
      <c r="B398" s="273"/>
      <c r="C398" s="273"/>
      <c r="D398" s="273"/>
      <c r="E398" s="273"/>
    </row>
    <row r="399">
      <c r="A399" s="273"/>
      <c r="B399" s="273"/>
      <c r="C399" s="273"/>
      <c r="D399" s="273"/>
      <c r="E399" s="273"/>
    </row>
    <row r="400">
      <c r="A400" s="273"/>
      <c r="B400" s="273"/>
      <c r="C400" s="273"/>
      <c r="D400" s="273"/>
      <c r="E400" s="273"/>
    </row>
    <row r="401">
      <c r="A401" s="273"/>
      <c r="B401" s="273"/>
      <c r="C401" s="273"/>
      <c r="D401" s="273"/>
      <c r="E401" s="273"/>
    </row>
    <row r="402">
      <c r="A402" s="273"/>
      <c r="B402" s="273"/>
      <c r="C402" s="273"/>
      <c r="D402" s="273"/>
      <c r="E402" s="273"/>
    </row>
    <row r="403">
      <c r="A403" s="273"/>
      <c r="B403" s="273"/>
      <c r="C403" s="273"/>
      <c r="D403" s="273"/>
      <c r="E403" s="273"/>
    </row>
    <row r="404">
      <c r="A404" s="273"/>
      <c r="B404" s="273"/>
      <c r="C404" s="273"/>
      <c r="D404" s="273"/>
      <c r="E404" s="273"/>
    </row>
    <row r="405">
      <c r="A405" s="273"/>
      <c r="B405" s="273"/>
      <c r="C405" s="273"/>
      <c r="D405" s="273"/>
      <c r="E405" s="273"/>
    </row>
    <row r="406">
      <c r="A406" s="273"/>
      <c r="B406" s="273"/>
      <c r="C406" s="273"/>
      <c r="D406" s="273"/>
      <c r="E406" s="273"/>
    </row>
    <row r="407">
      <c r="A407" s="273"/>
      <c r="B407" s="273"/>
      <c r="C407" s="273"/>
      <c r="D407" s="273"/>
      <c r="E407" s="273"/>
    </row>
    <row r="408">
      <c r="A408" s="273"/>
      <c r="B408" s="273"/>
      <c r="C408" s="273"/>
      <c r="D408" s="273"/>
      <c r="E408" s="273"/>
    </row>
    <row r="409">
      <c r="A409" s="273"/>
      <c r="B409" s="273"/>
      <c r="C409" s="273"/>
      <c r="D409" s="273"/>
      <c r="E409" s="273"/>
    </row>
    <row r="410">
      <c r="A410" s="273"/>
      <c r="B410" s="273"/>
      <c r="C410" s="273"/>
      <c r="D410" s="273"/>
      <c r="E410" s="273"/>
    </row>
    <row r="411">
      <c r="A411" s="273"/>
      <c r="B411" s="273"/>
      <c r="C411" s="273"/>
      <c r="D411" s="273"/>
      <c r="E411" s="273"/>
    </row>
    <row r="412">
      <c r="A412" s="273"/>
      <c r="B412" s="273"/>
      <c r="C412" s="273"/>
      <c r="D412" s="273"/>
      <c r="E412" s="273"/>
    </row>
    <row r="413">
      <c r="A413" s="273"/>
      <c r="B413" s="273"/>
      <c r="C413" s="273"/>
      <c r="D413" s="273"/>
      <c r="E413" s="273"/>
    </row>
    <row r="414">
      <c r="A414" s="273"/>
      <c r="B414" s="273"/>
      <c r="C414" s="273"/>
      <c r="D414" s="273"/>
      <c r="E414" s="273"/>
    </row>
    <row r="415">
      <c r="A415" s="273"/>
      <c r="B415" s="273"/>
      <c r="C415" s="273"/>
      <c r="D415" s="273"/>
      <c r="E415" s="273"/>
    </row>
    <row r="416">
      <c r="A416" s="273"/>
      <c r="B416" s="273"/>
      <c r="C416" s="273"/>
      <c r="D416" s="273"/>
      <c r="E416" s="273"/>
    </row>
    <row r="417">
      <c r="A417" s="273"/>
      <c r="B417" s="273"/>
      <c r="C417" s="273"/>
      <c r="D417" s="273"/>
      <c r="E417" s="273"/>
    </row>
    <row r="418">
      <c r="A418" s="273"/>
      <c r="B418" s="273"/>
      <c r="C418" s="273"/>
      <c r="D418" s="273"/>
      <c r="E418" s="273"/>
    </row>
    <row r="419">
      <c r="A419" s="273"/>
      <c r="B419" s="273"/>
      <c r="C419" s="273"/>
      <c r="D419" s="273"/>
      <c r="E419" s="273"/>
    </row>
    <row r="420">
      <c r="A420" s="273"/>
      <c r="B420" s="273"/>
      <c r="C420" s="273"/>
      <c r="D420" s="273"/>
      <c r="E420" s="273"/>
    </row>
    <row r="421">
      <c r="A421" s="273"/>
      <c r="B421" s="273"/>
      <c r="C421" s="273"/>
      <c r="D421" s="273"/>
      <c r="E421" s="273"/>
    </row>
    <row r="422">
      <c r="A422" s="273"/>
      <c r="B422" s="273"/>
      <c r="C422" s="273"/>
      <c r="D422" s="273"/>
      <c r="E422" s="273"/>
    </row>
    <row r="423">
      <c r="A423" s="273"/>
      <c r="B423" s="273"/>
      <c r="C423" s="273"/>
      <c r="D423" s="273"/>
      <c r="E423" s="273"/>
    </row>
    <row r="424">
      <c r="A424" s="273"/>
      <c r="B424" s="273"/>
      <c r="C424" s="273"/>
      <c r="D424" s="273"/>
      <c r="E424" s="273"/>
    </row>
    <row r="425">
      <c r="A425" s="273"/>
      <c r="B425" s="273"/>
      <c r="C425" s="273"/>
      <c r="D425" s="273"/>
      <c r="E425" s="273"/>
    </row>
    <row r="426">
      <c r="A426" s="273"/>
      <c r="B426" s="273"/>
      <c r="C426" s="273"/>
      <c r="D426" s="273"/>
      <c r="E426" s="273"/>
    </row>
    <row r="427">
      <c r="A427" s="273"/>
      <c r="B427" s="273"/>
      <c r="C427" s="273"/>
      <c r="D427" s="273"/>
      <c r="E427" s="273"/>
    </row>
    <row r="428">
      <c r="A428" s="273"/>
      <c r="B428" s="273"/>
      <c r="C428" s="273"/>
      <c r="D428" s="273"/>
      <c r="E428" s="273"/>
    </row>
    <row r="429">
      <c r="A429" s="273"/>
      <c r="B429" s="273"/>
      <c r="C429" s="273"/>
      <c r="D429" s="273"/>
      <c r="E429" s="273"/>
    </row>
    <row r="430">
      <c r="A430" s="273"/>
      <c r="B430" s="273"/>
      <c r="C430" s="273"/>
      <c r="D430" s="273"/>
      <c r="E430" s="273"/>
    </row>
    <row r="431">
      <c r="A431" s="273"/>
      <c r="B431" s="273"/>
      <c r="C431" s="273"/>
      <c r="D431" s="273"/>
      <c r="E431" s="273"/>
    </row>
    <row r="432">
      <c r="A432" s="273"/>
      <c r="B432" s="273"/>
      <c r="C432" s="273"/>
      <c r="D432" s="273"/>
      <c r="E432" s="273"/>
    </row>
    <row r="433">
      <c r="A433" s="273"/>
      <c r="B433" s="273"/>
      <c r="C433" s="273"/>
      <c r="D433" s="273"/>
      <c r="E433" s="273"/>
    </row>
    <row r="434">
      <c r="A434" s="273"/>
      <c r="B434" s="273"/>
      <c r="C434" s="273"/>
      <c r="D434" s="273"/>
      <c r="E434" s="273"/>
    </row>
    <row r="435">
      <c r="A435" s="273"/>
      <c r="B435" s="273"/>
      <c r="C435" s="273"/>
      <c r="D435" s="273"/>
      <c r="E435" s="273"/>
    </row>
    <row r="436">
      <c r="A436" s="273"/>
      <c r="B436" s="273"/>
      <c r="C436" s="273"/>
      <c r="D436" s="273"/>
      <c r="E436" s="273"/>
    </row>
    <row r="437">
      <c r="A437" s="273"/>
      <c r="B437" s="273"/>
      <c r="C437" s="273"/>
      <c r="D437" s="273"/>
      <c r="E437" s="273"/>
    </row>
    <row r="438">
      <c r="A438" s="273"/>
      <c r="B438" s="273"/>
      <c r="C438" s="273"/>
      <c r="D438" s="273"/>
      <c r="E438" s="273"/>
    </row>
    <row r="439">
      <c r="A439" s="273"/>
      <c r="B439" s="273"/>
      <c r="C439" s="273"/>
      <c r="D439" s="273"/>
      <c r="E439" s="273"/>
    </row>
    <row r="440">
      <c r="A440" s="273"/>
      <c r="B440" s="273"/>
      <c r="C440" s="273"/>
      <c r="D440" s="273"/>
      <c r="E440" s="273"/>
    </row>
    <row r="441">
      <c r="A441" s="273"/>
      <c r="B441" s="273"/>
      <c r="C441" s="273"/>
      <c r="D441" s="273"/>
      <c r="E441" s="273"/>
    </row>
    <row r="442">
      <c r="A442" s="273"/>
      <c r="B442" s="273"/>
      <c r="C442" s="273"/>
      <c r="D442" s="273"/>
      <c r="E442" s="273"/>
    </row>
    <row r="443">
      <c r="A443" s="273"/>
      <c r="B443" s="273"/>
      <c r="C443" s="273"/>
      <c r="D443" s="273"/>
      <c r="E443" s="273"/>
    </row>
    <row r="444">
      <c r="A444" s="273"/>
      <c r="B444" s="273"/>
      <c r="C444" s="273"/>
      <c r="D444" s="273"/>
      <c r="E444" s="273"/>
    </row>
    <row r="445">
      <c r="A445" s="273"/>
      <c r="B445" s="273"/>
      <c r="C445" s="273"/>
      <c r="D445" s="273"/>
      <c r="E445" s="273"/>
    </row>
    <row r="446">
      <c r="A446" s="273"/>
      <c r="B446" s="273"/>
      <c r="C446" s="273"/>
      <c r="D446" s="273"/>
      <c r="E446" s="273"/>
    </row>
    <row r="447">
      <c r="A447" s="273"/>
      <c r="B447" s="273"/>
      <c r="C447" s="273"/>
      <c r="D447" s="273"/>
      <c r="E447" s="273"/>
    </row>
    <row r="448">
      <c r="A448" s="273"/>
      <c r="B448" s="273"/>
      <c r="C448" s="273"/>
      <c r="D448" s="273"/>
      <c r="E448" s="273"/>
    </row>
    <row r="449">
      <c r="A449" s="273"/>
      <c r="B449" s="273"/>
      <c r="C449" s="273"/>
      <c r="D449" s="273"/>
      <c r="E449" s="273"/>
    </row>
    <row r="450">
      <c r="A450" s="273"/>
      <c r="B450" s="273"/>
      <c r="C450" s="273"/>
      <c r="D450" s="273"/>
      <c r="E450" s="273"/>
    </row>
    <row r="451">
      <c r="A451" s="273"/>
      <c r="B451" s="273"/>
      <c r="C451" s="273"/>
      <c r="D451" s="273"/>
      <c r="E451" s="273"/>
    </row>
    <row r="452">
      <c r="A452" s="273"/>
      <c r="B452" s="273"/>
      <c r="C452" s="273"/>
      <c r="D452" s="273"/>
      <c r="E452" s="273"/>
    </row>
    <row r="453">
      <c r="A453" s="273"/>
      <c r="B453" s="273"/>
      <c r="C453" s="273"/>
      <c r="D453" s="273"/>
      <c r="E453" s="273"/>
    </row>
    <row r="454">
      <c r="A454" s="273"/>
      <c r="B454" s="273"/>
      <c r="C454" s="273"/>
      <c r="D454" s="273"/>
      <c r="E454" s="273"/>
    </row>
    <row r="455">
      <c r="A455" s="273"/>
      <c r="B455" s="273"/>
      <c r="C455" s="273"/>
      <c r="D455" s="273"/>
      <c r="E455" s="273"/>
    </row>
    <row r="456">
      <c r="A456" s="273"/>
      <c r="B456" s="273"/>
      <c r="C456" s="273"/>
      <c r="D456" s="273"/>
      <c r="E456" s="273"/>
    </row>
    <row r="457">
      <c r="A457" s="273"/>
      <c r="B457" s="273"/>
      <c r="C457" s="273"/>
      <c r="D457" s="273"/>
      <c r="E457" s="273"/>
    </row>
    <row r="458">
      <c r="A458" s="273"/>
      <c r="B458" s="273"/>
      <c r="C458" s="273"/>
      <c r="D458" s="273"/>
      <c r="E458" s="273"/>
    </row>
    <row r="459">
      <c r="A459" s="273"/>
      <c r="B459" s="273"/>
      <c r="C459" s="273"/>
      <c r="D459" s="273"/>
      <c r="E459" s="273"/>
    </row>
    <row r="460">
      <c r="A460" s="273"/>
      <c r="B460" s="273"/>
      <c r="C460" s="273"/>
      <c r="D460" s="273"/>
      <c r="E460" s="273"/>
    </row>
    <row r="461">
      <c r="A461" s="273"/>
      <c r="B461" s="273"/>
      <c r="C461" s="273"/>
      <c r="D461" s="273"/>
      <c r="E461" s="273"/>
    </row>
    <row r="462">
      <c r="A462" s="273"/>
      <c r="B462" s="273"/>
      <c r="C462" s="273"/>
      <c r="D462" s="273"/>
      <c r="E462" s="273"/>
    </row>
    <row r="463">
      <c r="A463" s="273"/>
      <c r="B463" s="273"/>
      <c r="C463" s="273"/>
      <c r="D463" s="273"/>
      <c r="E463" s="273"/>
    </row>
    <row r="464">
      <c r="A464" s="273"/>
      <c r="B464" s="273"/>
      <c r="C464" s="273"/>
      <c r="D464" s="273"/>
      <c r="E464" s="273"/>
    </row>
    <row r="465">
      <c r="A465" s="273"/>
      <c r="B465" s="273"/>
      <c r="C465" s="273"/>
      <c r="D465" s="273"/>
      <c r="E465" s="273"/>
    </row>
    <row r="466">
      <c r="A466" s="273"/>
      <c r="B466" s="273"/>
      <c r="C466" s="273"/>
      <c r="D466" s="273"/>
      <c r="E466" s="273"/>
    </row>
    <row r="467">
      <c r="A467" s="273"/>
      <c r="B467" s="273"/>
      <c r="C467" s="273"/>
      <c r="D467" s="273"/>
      <c r="E467" s="273"/>
    </row>
    <row r="468">
      <c r="A468" s="273"/>
      <c r="B468" s="273"/>
      <c r="C468" s="273"/>
      <c r="D468" s="273"/>
      <c r="E468" s="273"/>
    </row>
    <row r="469">
      <c r="A469" s="273"/>
      <c r="B469" s="273"/>
      <c r="C469" s="273"/>
      <c r="D469" s="273"/>
      <c r="E469" s="273"/>
    </row>
    <row r="470">
      <c r="A470" s="273"/>
      <c r="B470" s="273"/>
      <c r="C470" s="273"/>
      <c r="D470" s="273"/>
      <c r="E470" s="273"/>
    </row>
    <row r="471">
      <c r="A471" s="273"/>
      <c r="B471" s="273"/>
      <c r="C471" s="273"/>
      <c r="D471" s="273"/>
      <c r="E471" s="273"/>
    </row>
    <row r="472">
      <c r="A472" s="273"/>
      <c r="B472" s="273"/>
      <c r="C472" s="273"/>
      <c r="D472" s="273"/>
      <c r="E472" s="273"/>
    </row>
    <row r="473">
      <c r="A473" s="273"/>
      <c r="B473" s="273"/>
      <c r="C473" s="273"/>
      <c r="D473" s="273"/>
      <c r="E473" s="273"/>
    </row>
    <row r="474">
      <c r="A474" s="273"/>
      <c r="B474" s="273"/>
      <c r="C474" s="273"/>
      <c r="D474" s="273"/>
      <c r="E474" s="273"/>
    </row>
    <row r="475">
      <c r="A475" s="273"/>
      <c r="B475" s="273"/>
      <c r="C475" s="273"/>
      <c r="D475" s="273"/>
      <c r="E475" s="273"/>
    </row>
    <row r="476">
      <c r="A476" s="273"/>
      <c r="B476" s="273"/>
      <c r="C476" s="273"/>
      <c r="D476" s="273"/>
      <c r="E476" s="273"/>
    </row>
    <row r="477">
      <c r="A477" s="273"/>
      <c r="B477" s="273"/>
      <c r="C477" s="273"/>
      <c r="D477" s="273"/>
      <c r="E477" s="273"/>
    </row>
    <row r="478">
      <c r="A478" s="273"/>
      <c r="B478" s="273"/>
      <c r="C478" s="273"/>
      <c r="D478" s="273"/>
      <c r="E478" s="273"/>
    </row>
    <row r="479">
      <c r="A479" s="273"/>
      <c r="B479" s="273"/>
      <c r="C479" s="273"/>
      <c r="D479" s="273"/>
      <c r="E479" s="273"/>
    </row>
    <row r="480">
      <c r="A480" s="273"/>
      <c r="B480" s="273"/>
      <c r="C480" s="273"/>
      <c r="D480" s="273"/>
      <c r="E480" s="273"/>
    </row>
    <row r="481">
      <c r="A481" s="273"/>
      <c r="B481" s="273"/>
      <c r="C481" s="273"/>
      <c r="D481" s="273"/>
      <c r="E481" s="273"/>
    </row>
    <row r="482">
      <c r="A482" s="273"/>
      <c r="B482" s="273"/>
      <c r="C482" s="273"/>
      <c r="D482" s="273"/>
      <c r="E482" s="273"/>
    </row>
    <row r="483">
      <c r="A483" s="273"/>
      <c r="B483" s="273"/>
      <c r="C483" s="273"/>
      <c r="D483" s="273"/>
      <c r="E483" s="273"/>
    </row>
    <row r="484">
      <c r="A484" s="273"/>
      <c r="B484" s="273"/>
      <c r="C484" s="273"/>
      <c r="D484" s="273"/>
      <c r="E484" s="273"/>
    </row>
    <row r="485">
      <c r="A485" s="273"/>
      <c r="B485" s="273"/>
      <c r="C485" s="273"/>
      <c r="D485" s="273"/>
      <c r="E485" s="273"/>
    </row>
    <row r="486">
      <c r="A486" s="273"/>
      <c r="B486" s="273"/>
      <c r="C486" s="273"/>
      <c r="D486" s="273"/>
      <c r="E486" s="273"/>
    </row>
    <row r="487">
      <c r="A487" s="273"/>
      <c r="B487" s="273"/>
      <c r="C487" s="273"/>
      <c r="D487" s="273"/>
      <c r="E487" s="273"/>
    </row>
    <row r="488">
      <c r="A488" s="273"/>
      <c r="B488" s="273"/>
      <c r="C488" s="273"/>
      <c r="D488" s="273"/>
      <c r="E488" s="273"/>
    </row>
    <row r="489">
      <c r="A489" s="273"/>
      <c r="B489" s="273"/>
      <c r="C489" s="273"/>
      <c r="D489" s="273"/>
      <c r="E489" s="273"/>
    </row>
    <row r="490">
      <c r="A490" s="273"/>
      <c r="B490" s="273"/>
      <c r="C490" s="273"/>
      <c r="D490" s="273"/>
      <c r="E490" s="273"/>
    </row>
    <row r="491">
      <c r="A491" s="273"/>
      <c r="B491" s="273"/>
      <c r="C491" s="273"/>
      <c r="D491" s="273"/>
      <c r="E491" s="273"/>
    </row>
    <row r="492">
      <c r="A492" s="273"/>
      <c r="B492" s="273"/>
      <c r="C492" s="273"/>
      <c r="D492" s="273"/>
      <c r="E492" s="273"/>
    </row>
    <row r="493">
      <c r="A493" s="273"/>
      <c r="B493" s="273"/>
      <c r="C493" s="273"/>
      <c r="D493" s="273"/>
      <c r="E493" s="273"/>
    </row>
    <row r="494">
      <c r="A494" s="273"/>
      <c r="B494" s="273"/>
      <c r="C494" s="273"/>
      <c r="D494" s="273"/>
      <c r="E494" s="273"/>
    </row>
    <row r="495">
      <c r="A495" s="273"/>
      <c r="B495" s="273"/>
      <c r="C495" s="273"/>
      <c r="D495" s="273"/>
      <c r="E495" s="273"/>
    </row>
    <row r="496">
      <c r="A496" s="273"/>
      <c r="B496" s="273"/>
      <c r="C496" s="273"/>
      <c r="D496" s="273"/>
      <c r="E496" s="273"/>
    </row>
    <row r="497">
      <c r="A497" s="273"/>
      <c r="B497" s="273"/>
      <c r="C497" s="273"/>
      <c r="D497" s="273"/>
      <c r="E497" s="273"/>
    </row>
    <row r="498">
      <c r="A498" s="273"/>
      <c r="B498" s="273"/>
      <c r="C498" s="273"/>
      <c r="D498" s="273"/>
      <c r="E498" s="273"/>
    </row>
    <row r="499">
      <c r="A499" s="273"/>
      <c r="B499" s="273"/>
      <c r="C499" s="273"/>
      <c r="D499" s="273"/>
      <c r="E499" s="273"/>
    </row>
    <row r="500">
      <c r="A500" s="273"/>
      <c r="B500" s="273"/>
      <c r="C500" s="273"/>
      <c r="D500" s="273"/>
      <c r="E500" s="273"/>
    </row>
    <row r="501">
      <c r="A501" s="273"/>
      <c r="B501" s="273"/>
      <c r="C501" s="273"/>
      <c r="D501" s="273"/>
      <c r="E501" s="273"/>
    </row>
    <row r="502">
      <c r="A502" s="273"/>
      <c r="B502" s="273"/>
      <c r="C502" s="273"/>
      <c r="D502" s="273"/>
      <c r="E502" s="273"/>
    </row>
    <row r="503">
      <c r="A503" s="273"/>
      <c r="B503" s="273"/>
      <c r="C503" s="273"/>
      <c r="D503" s="273"/>
      <c r="E503" s="273"/>
    </row>
    <row r="504">
      <c r="A504" s="273"/>
      <c r="B504" s="273"/>
      <c r="C504" s="273"/>
      <c r="D504" s="273"/>
      <c r="E504" s="273"/>
    </row>
    <row r="505">
      <c r="A505" s="273"/>
      <c r="B505" s="273"/>
      <c r="C505" s="273"/>
      <c r="D505" s="273"/>
      <c r="E505" s="273"/>
    </row>
    <row r="506">
      <c r="A506" s="273"/>
      <c r="B506" s="273"/>
      <c r="C506" s="273"/>
      <c r="D506" s="273"/>
      <c r="E506" s="273"/>
    </row>
    <row r="507">
      <c r="A507" s="273"/>
      <c r="B507" s="273"/>
      <c r="C507" s="273"/>
      <c r="D507" s="273"/>
      <c r="E507" s="273"/>
    </row>
    <row r="508">
      <c r="A508" s="273"/>
      <c r="B508" s="273"/>
      <c r="C508" s="273"/>
      <c r="D508" s="273"/>
      <c r="E508" s="273"/>
    </row>
    <row r="509">
      <c r="A509" s="273"/>
      <c r="B509" s="273"/>
      <c r="C509" s="273"/>
      <c r="D509" s="273"/>
      <c r="E509" s="273"/>
    </row>
    <row r="510">
      <c r="A510" s="273"/>
      <c r="B510" s="273"/>
      <c r="C510" s="273"/>
      <c r="D510" s="273"/>
      <c r="E510" s="273"/>
    </row>
    <row r="511">
      <c r="A511" s="273"/>
      <c r="B511" s="273"/>
      <c r="C511" s="273"/>
      <c r="D511" s="273"/>
      <c r="E511" s="273"/>
    </row>
    <row r="512">
      <c r="A512" s="273"/>
      <c r="B512" s="273"/>
      <c r="C512" s="273"/>
      <c r="D512" s="273"/>
      <c r="E512" s="273"/>
    </row>
    <row r="513">
      <c r="A513" s="273"/>
      <c r="B513" s="273"/>
      <c r="C513" s="273"/>
      <c r="D513" s="273"/>
      <c r="E513" s="273"/>
    </row>
    <row r="514">
      <c r="A514" s="273"/>
      <c r="B514" s="273"/>
      <c r="C514" s="273"/>
      <c r="D514" s="273"/>
      <c r="E514" s="273"/>
    </row>
    <row r="515">
      <c r="A515" s="273"/>
      <c r="B515" s="273"/>
      <c r="C515" s="273"/>
      <c r="D515" s="273"/>
      <c r="E515" s="273"/>
    </row>
    <row r="516">
      <c r="A516" s="273"/>
      <c r="B516" s="273"/>
      <c r="C516" s="273"/>
      <c r="D516" s="273"/>
      <c r="E516" s="273"/>
    </row>
    <row r="517">
      <c r="A517" s="273"/>
      <c r="B517" s="273"/>
      <c r="C517" s="273"/>
      <c r="D517" s="273"/>
      <c r="E517" s="273"/>
    </row>
    <row r="518">
      <c r="A518" s="273"/>
      <c r="B518" s="273"/>
      <c r="C518" s="273"/>
      <c r="D518" s="273"/>
      <c r="E518" s="273"/>
    </row>
    <row r="519">
      <c r="A519" s="273"/>
      <c r="B519" s="273"/>
      <c r="C519" s="273"/>
      <c r="D519" s="273"/>
      <c r="E519" s="273"/>
    </row>
    <row r="520">
      <c r="A520" s="273"/>
      <c r="B520" s="273"/>
      <c r="C520" s="273"/>
      <c r="D520" s="273"/>
      <c r="E520" s="273"/>
    </row>
    <row r="521">
      <c r="A521" s="273"/>
      <c r="B521" s="273"/>
      <c r="C521" s="273"/>
      <c r="D521" s="273"/>
      <c r="E521" s="273"/>
    </row>
    <row r="522">
      <c r="A522" s="273"/>
      <c r="B522" s="273"/>
      <c r="C522" s="273"/>
      <c r="D522" s="273"/>
      <c r="E522" s="273"/>
    </row>
    <row r="523">
      <c r="A523" s="273"/>
      <c r="B523" s="273"/>
      <c r="C523" s="273"/>
      <c r="D523" s="273"/>
      <c r="E523" s="273"/>
    </row>
    <row r="524">
      <c r="A524" s="273"/>
      <c r="B524" s="273"/>
      <c r="C524" s="273"/>
      <c r="D524" s="273"/>
      <c r="E524" s="273"/>
    </row>
    <row r="525">
      <c r="A525" s="273"/>
      <c r="B525" s="273"/>
      <c r="C525" s="273"/>
      <c r="D525" s="273"/>
      <c r="E525" s="273"/>
    </row>
    <row r="526">
      <c r="A526" s="273"/>
      <c r="B526" s="273"/>
      <c r="C526" s="273"/>
      <c r="D526" s="273"/>
      <c r="E526" s="273"/>
    </row>
    <row r="527">
      <c r="A527" s="273"/>
      <c r="B527" s="273"/>
      <c r="C527" s="273"/>
      <c r="D527" s="273"/>
      <c r="E527" s="273"/>
    </row>
    <row r="528">
      <c r="A528" s="273"/>
      <c r="B528" s="273"/>
      <c r="C528" s="273"/>
      <c r="D528" s="273"/>
      <c r="E528" s="273"/>
    </row>
    <row r="529">
      <c r="A529" s="273"/>
      <c r="B529" s="273"/>
      <c r="C529" s="273"/>
      <c r="D529" s="273"/>
      <c r="E529" s="273"/>
    </row>
    <row r="530">
      <c r="A530" s="273"/>
      <c r="B530" s="273"/>
      <c r="C530" s="273"/>
      <c r="D530" s="273"/>
      <c r="E530" s="273"/>
    </row>
    <row r="531">
      <c r="A531" s="273"/>
      <c r="B531" s="273"/>
      <c r="C531" s="273"/>
      <c r="D531" s="273"/>
      <c r="E531" s="273"/>
    </row>
    <row r="532">
      <c r="A532" s="273"/>
      <c r="B532" s="273"/>
      <c r="C532" s="273"/>
      <c r="D532" s="273"/>
      <c r="E532" s="273"/>
    </row>
    <row r="533">
      <c r="A533" s="273"/>
      <c r="B533" s="273"/>
      <c r="C533" s="273"/>
      <c r="D533" s="273"/>
      <c r="E533" s="273"/>
    </row>
    <row r="534">
      <c r="A534" s="273"/>
      <c r="B534" s="273"/>
      <c r="C534" s="273"/>
      <c r="D534" s="273"/>
      <c r="E534" s="273"/>
    </row>
    <row r="535">
      <c r="A535" s="273"/>
      <c r="B535" s="273"/>
      <c r="C535" s="273"/>
      <c r="D535" s="273"/>
      <c r="E535" s="273"/>
    </row>
    <row r="536">
      <c r="A536" s="273"/>
      <c r="B536" s="273"/>
      <c r="C536" s="273"/>
      <c r="D536" s="273"/>
      <c r="E536" s="273"/>
    </row>
    <row r="537">
      <c r="A537" s="273"/>
      <c r="B537" s="273"/>
      <c r="C537" s="273"/>
      <c r="D537" s="273"/>
      <c r="E537" s="273"/>
    </row>
    <row r="538">
      <c r="A538" s="273"/>
      <c r="B538" s="273"/>
      <c r="C538" s="273"/>
      <c r="D538" s="273"/>
      <c r="E538" s="273"/>
    </row>
    <row r="539">
      <c r="A539" s="273"/>
      <c r="B539" s="273"/>
      <c r="C539" s="273"/>
      <c r="D539" s="273"/>
      <c r="E539" s="273"/>
    </row>
    <row r="540">
      <c r="A540" s="273"/>
      <c r="B540" s="273"/>
      <c r="C540" s="273"/>
      <c r="D540" s="273"/>
      <c r="E540" s="273"/>
    </row>
    <row r="541">
      <c r="A541" s="273"/>
      <c r="B541" s="273"/>
      <c r="C541" s="273"/>
      <c r="D541" s="273"/>
      <c r="E541" s="273"/>
    </row>
    <row r="542">
      <c r="A542" s="273"/>
      <c r="B542" s="273"/>
      <c r="C542" s="273"/>
      <c r="D542" s="273"/>
      <c r="E542" s="273"/>
    </row>
    <row r="543">
      <c r="A543" s="273"/>
      <c r="B543" s="273"/>
      <c r="C543" s="273"/>
      <c r="D543" s="273"/>
      <c r="E543" s="273"/>
    </row>
    <row r="544">
      <c r="A544" s="273"/>
      <c r="B544" s="273"/>
      <c r="C544" s="273"/>
      <c r="D544" s="273"/>
      <c r="E544" s="273"/>
    </row>
    <row r="545">
      <c r="A545" s="273"/>
      <c r="B545" s="273"/>
      <c r="C545" s="273"/>
      <c r="D545" s="273"/>
      <c r="E545" s="273"/>
    </row>
    <row r="546">
      <c r="A546" s="273"/>
      <c r="B546" s="273"/>
      <c r="C546" s="273"/>
      <c r="D546" s="273"/>
      <c r="E546" s="273"/>
    </row>
    <row r="547">
      <c r="A547" s="273"/>
      <c r="B547" s="273"/>
      <c r="C547" s="273"/>
      <c r="D547" s="273"/>
      <c r="E547" s="273"/>
    </row>
    <row r="548">
      <c r="A548" s="273"/>
      <c r="B548" s="273"/>
      <c r="C548" s="273"/>
      <c r="D548" s="273"/>
      <c r="E548" s="273"/>
    </row>
    <row r="549">
      <c r="A549" s="273"/>
      <c r="B549" s="273"/>
      <c r="C549" s="273"/>
      <c r="D549" s="273"/>
      <c r="E549" s="273"/>
    </row>
    <row r="550">
      <c r="A550" s="273"/>
      <c r="B550" s="273"/>
      <c r="C550" s="273"/>
      <c r="D550" s="273"/>
      <c r="E550" s="273"/>
    </row>
    <row r="551">
      <c r="A551" s="273"/>
      <c r="B551" s="273"/>
      <c r="C551" s="273"/>
      <c r="D551" s="273"/>
      <c r="E551" s="273"/>
    </row>
    <row r="552">
      <c r="A552" s="273"/>
      <c r="B552" s="273"/>
      <c r="C552" s="273"/>
      <c r="D552" s="273"/>
      <c r="E552" s="273"/>
    </row>
    <row r="553">
      <c r="A553" s="273"/>
      <c r="B553" s="273"/>
      <c r="C553" s="273"/>
      <c r="D553" s="273"/>
      <c r="E553" s="273"/>
    </row>
    <row r="554">
      <c r="A554" s="273"/>
      <c r="B554" s="273"/>
      <c r="C554" s="273"/>
      <c r="D554" s="273"/>
      <c r="E554" s="273"/>
    </row>
    <row r="555">
      <c r="A555" s="273"/>
      <c r="B555" s="273"/>
      <c r="C555" s="273"/>
      <c r="D555" s="273"/>
      <c r="E555" s="273"/>
    </row>
    <row r="556">
      <c r="A556" s="273"/>
      <c r="B556" s="273"/>
      <c r="C556" s="273"/>
      <c r="D556" s="273"/>
      <c r="E556" s="273"/>
    </row>
    <row r="557">
      <c r="A557" s="273"/>
      <c r="B557" s="273"/>
      <c r="C557" s="273"/>
      <c r="D557" s="273"/>
      <c r="E557" s="273"/>
    </row>
    <row r="558">
      <c r="A558" s="273"/>
      <c r="B558" s="273"/>
      <c r="C558" s="273"/>
      <c r="D558" s="273"/>
      <c r="E558" s="273"/>
    </row>
    <row r="559">
      <c r="A559" s="273"/>
      <c r="B559" s="273"/>
      <c r="C559" s="273"/>
      <c r="D559" s="273"/>
      <c r="E559" s="273"/>
    </row>
    <row r="560">
      <c r="A560" s="273"/>
      <c r="B560" s="273"/>
      <c r="C560" s="273"/>
      <c r="D560" s="273"/>
      <c r="E560" s="273"/>
    </row>
    <row r="561">
      <c r="A561" s="273"/>
      <c r="B561" s="273"/>
      <c r="C561" s="273"/>
      <c r="D561" s="273"/>
      <c r="E561" s="273"/>
    </row>
    <row r="562">
      <c r="A562" s="273"/>
      <c r="B562" s="273"/>
      <c r="C562" s="273"/>
      <c r="D562" s="273"/>
      <c r="E562" s="273"/>
    </row>
    <row r="563">
      <c r="A563" s="273"/>
      <c r="B563" s="273"/>
      <c r="C563" s="273"/>
      <c r="D563" s="273"/>
      <c r="E563" s="273"/>
    </row>
    <row r="564">
      <c r="A564" s="273"/>
      <c r="B564" s="273"/>
      <c r="C564" s="273"/>
      <c r="D564" s="273"/>
      <c r="E564" s="273"/>
    </row>
    <row r="565">
      <c r="A565" s="273"/>
      <c r="B565" s="273"/>
      <c r="C565" s="273"/>
      <c r="D565" s="273"/>
      <c r="E565" s="273"/>
    </row>
    <row r="566">
      <c r="A566" s="273"/>
      <c r="B566" s="273"/>
      <c r="C566" s="273"/>
      <c r="D566" s="273"/>
      <c r="E566" s="273"/>
    </row>
    <row r="567">
      <c r="A567" s="273"/>
      <c r="B567" s="273"/>
      <c r="C567" s="273"/>
      <c r="D567" s="273"/>
      <c r="E567" s="273"/>
    </row>
    <row r="568">
      <c r="A568" s="273"/>
      <c r="B568" s="273"/>
      <c r="C568" s="273"/>
      <c r="D568" s="273"/>
      <c r="E568" s="273"/>
    </row>
    <row r="569">
      <c r="A569" s="273"/>
      <c r="B569" s="273"/>
      <c r="C569" s="273"/>
      <c r="D569" s="273"/>
      <c r="E569" s="273"/>
    </row>
    <row r="570">
      <c r="A570" s="273"/>
      <c r="B570" s="273"/>
      <c r="C570" s="273"/>
      <c r="D570" s="273"/>
      <c r="E570" s="273"/>
    </row>
    <row r="571">
      <c r="A571" s="273"/>
      <c r="B571" s="273"/>
      <c r="C571" s="273"/>
      <c r="D571" s="273"/>
      <c r="E571" s="273"/>
    </row>
    <row r="572">
      <c r="A572" s="273"/>
      <c r="B572" s="273"/>
      <c r="C572" s="273"/>
      <c r="D572" s="273"/>
      <c r="E572" s="273"/>
    </row>
    <row r="573">
      <c r="A573" s="273"/>
      <c r="B573" s="273"/>
      <c r="C573" s="273"/>
      <c r="D573" s="273"/>
      <c r="E573" s="273"/>
    </row>
    <row r="574">
      <c r="A574" s="273"/>
      <c r="B574" s="273"/>
      <c r="C574" s="273"/>
      <c r="D574" s="273"/>
      <c r="E574" s="273"/>
    </row>
    <row r="575">
      <c r="A575" s="273"/>
      <c r="B575" s="273"/>
      <c r="C575" s="273"/>
      <c r="D575" s="273"/>
      <c r="E575" s="273"/>
    </row>
    <row r="576">
      <c r="A576" s="273"/>
      <c r="B576" s="273"/>
      <c r="C576" s="273"/>
      <c r="D576" s="273"/>
      <c r="E576" s="273"/>
    </row>
    <row r="577">
      <c r="A577" s="273"/>
      <c r="B577" s="273"/>
      <c r="C577" s="273"/>
      <c r="D577" s="273"/>
      <c r="E577" s="273"/>
    </row>
    <row r="578">
      <c r="A578" s="273"/>
      <c r="B578" s="273"/>
      <c r="C578" s="273"/>
      <c r="D578" s="273"/>
      <c r="E578" s="273"/>
    </row>
    <row r="579">
      <c r="A579" s="273"/>
      <c r="B579" s="273"/>
      <c r="C579" s="273"/>
      <c r="D579" s="273"/>
      <c r="E579" s="273"/>
    </row>
    <row r="580">
      <c r="A580" s="273"/>
      <c r="B580" s="273"/>
      <c r="C580" s="273"/>
      <c r="D580" s="273"/>
      <c r="E580" s="273"/>
    </row>
    <row r="581">
      <c r="A581" s="273"/>
      <c r="B581" s="273"/>
      <c r="C581" s="273"/>
      <c r="D581" s="273"/>
      <c r="E581" s="273"/>
    </row>
    <row r="582">
      <c r="A582" s="273"/>
      <c r="B582" s="273"/>
      <c r="C582" s="273"/>
      <c r="D582" s="273"/>
      <c r="E582" s="273"/>
    </row>
    <row r="583">
      <c r="A583" s="273"/>
      <c r="B583" s="273"/>
      <c r="C583" s="273"/>
      <c r="D583" s="273"/>
      <c r="E583" s="273"/>
    </row>
    <row r="584">
      <c r="A584" s="273"/>
      <c r="B584" s="273"/>
      <c r="C584" s="273"/>
      <c r="D584" s="273"/>
      <c r="E584" s="273"/>
    </row>
    <row r="585">
      <c r="A585" s="273"/>
      <c r="B585" s="273"/>
      <c r="C585" s="273"/>
      <c r="D585" s="273"/>
      <c r="E585" s="273"/>
    </row>
    <row r="586">
      <c r="A586" s="273"/>
      <c r="B586" s="273"/>
      <c r="C586" s="273"/>
      <c r="D586" s="273"/>
      <c r="E586" s="273"/>
    </row>
    <row r="587">
      <c r="A587" s="273"/>
      <c r="B587" s="273"/>
      <c r="C587" s="273"/>
      <c r="D587" s="273"/>
      <c r="E587" s="273"/>
    </row>
    <row r="588">
      <c r="A588" s="273"/>
      <c r="B588" s="273"/>
      <c r="C588" s="273"/>
      <c r="D588" s="273"/>
      <c r="E588" s="273"/>
    </row>
    <row r="589">
      <c r="A589" s="273"/>
      <c r="B589" s="273"/>
      <c r="C589" s="273"/>
      <c r="D589" s="273"/>
      <c r="E589" s="273"/>
    </row>
    <row r="590">
      <c r="A590" s="273"/>
      <c r="B590" s="273"/>
      <c r="C590" s="273"/>
      <c r="D590" s="273"/>
      <c r="E590" s="273"/>
    </row>
    <row r="591">
      <c r="A591" s="273"/>
      <c r="B591" s="273"/>
      <c r="C591" s="273"/>
      <c r="D591" s="273"/>
      <c r="E591" s="273"/>
    </row>
    <row r="592">
      <c r="A592" s="273"/>
      <c r="B592" s="273"/>
      <c r="C592" s="273"/>
      <c r="D592" s="273"/>
      <c r="E592" s="273"/>
    </row>
    <row r="593">
      <c r="A593" s="273"/>
      <c r="B593" s="273"/>
      <c r="C593" s="273"/>
      <c r="D593" s="273"/>
      <c r="E593" s="273"/>
    </row>
    <row r="594">
      <c r="A594" s="273"/>
      <c r="B594" s="273"/>
      <c r="C594" s="273"/>
      <c r="D594" s="273"/>
      <c r="E594" s="273"/>
    </row>
    <row r="595">
      <c r="A595" s="273"/>
      <c r="B595" s="273"/>
      <c r="C595" s="273"/>
      <c r="D595" s="273"/>
      <c r="E595" s="273"/>
    </row>
    <row r="596">
      <c r="A596" s="273"/>
      <c r="B596" s="273"/>
      <c r="C596" s="273"/>
      <c r="D596" s="273"/>
      <c r="E596" s="273"/>
    </row>
    <row r="597">
      <c r="A597" s="273"/>
      <c r="B597" s="273"/>
      <c r="C597" s="273"/>
      <c r="D597" s="273"/>
      <c r="E597" s="273"/>
    </row>
    <row r="598">
      <c r="A598" s="273"/>
      <c r="B598" s="273"/>
      <c r="C598" s="273"/>
      <c r="D598" s="273"/>
      <c r="E598" s="273"/>
    </row>
    <row r="599">
      <c r="A599" s="273"/>
      <c r="B599" s="273"/>
      <c r="C599" s="273"/>
      <c r="D599" s="273"/>
      <c r="E599" s="273"/>
    </row>
    <row r="600">
      <c r="A600" s="273"/>
      <c r="B600" s="273"/>
      <c r="C600" s="273"/>
      <c r="D600" s="273"/>
      <c r="E600" s="273"/>
    </row>
    <row r="601">
      <c r="A601" s="273"/>
      <c r="B601" s="273"/>
      <c r="C601" s="273"/>
      <c r="D601" s="273"/>
      <c r="E601" s="273"/>
    </row>
    <row r="602">
      <c r="A602" s="273"/>
      <c r="B602" s="273"/>
      <c r="C602" s="273"/>
      <c r="D602" s="273"/>
      <c r="E602" s="273"/>
    </row>
    <row r="603">
      <c r="A603" s="273"/>
      <c r="B603" s="273"/>
      <c r="C603" s="273"/>
      <c r="D603" s="273"/>
      <c r="E603" s="273"/>
    </row>
    <row r="604">
      <c r="A604" s="273"/>
      <c r="B604" s="273"/>
      <c r="C604" s="273"/>
      <c r="D604" s="273"/>
      <c r="E604" s="273"/>
    </row>
    <row r="605">
      <c r="A605" s="273"/>
      <c r="B605" s="273"/>
      <c r="C605" s="273"/>
      <c r="D605" s="273"/>
      <c r="E605" s="273"/>
    </row>
    <row r="606">
      <c r="A606" s="273"/>
      <c r="B606" s="273"/>
      <c r="C606" s="273"/>
      <c r="D606" s="273"/>
      <c r="E606" s="273"/>
    </row>
    <row r="607">
      <c r="A607" s="273"/>
      <c r="B607" s="273"/>
      <c r="C607" s="273"/>
      <c r="D607" s="273"/>
      <c r="E607" s="273"/>
    </row>
    <row r="608">
      <c r="A608" s="273"/>
      <c r="B608" s="273"/>
      <c r="C608" s="273"/>
      <c r="D608" s="273"/>
      <c r="E608" s="273"/>
    </row>
    <row r="609">
      <c r="A609" s="273"/>
      <c r="B609" s="273"/>
      <c r="C609" s="273"/>
      <c r="D609" s="273"/>
      <c r="E609" s="273"/>
    </row>
    <row r="610">
      <c r="A610" s="273"/>
      <c r="B610" s="273"/>
      <c r="C610" s="273"/>
      <c r="D610" s="273"/>
      <c r="E610" s="273"/>
    </row>
    <row r="611">
      <c r="A611" s="273"/>
      <c r="B611" s="273"/>
      <c r="C611" s="273"/>
      <c r="D611" s="273"/>
      <c r="E611" s="273"/>
    </row>
    <row r="612">
      <c r="A612" s="273"/>
      <c r="B612" s="273"/>
      <c r="C612" s="273"/>
      <c r="D612" s="273"/>
      <c r="E612" s="273"/>
    </row>
    <row r="613">
      <c r="A613" s="273"/>
      <c r="B613" s="273"/>
      <c r="C613" s="273"/>
      <c r="D613" s="273"/>
      <c r="E613" s="273"/>
    </row>
    <row r="614">
      <c r="A614" s="273"/>
      <c r="B614" s="273"/>
      <c r="C614" s="273"/>
      <c r="D614" s="273"/>
      <c r="E614" s="273"/>
    </row>
    <row r="615">
      <c r="A615" s="273"/>
      <c r="B615" s="273"/>
      <c r="C615" s="273"/>
      <c r="D615" s="273"/>
      <c r="E615" s="273"/>
    </row>
    <row r="616">
      <c r="A616" s="273"/>
      <c r="B616" s="273"/>
      <c r="C616" s="273"/>
      <c r="D616" s="273"/>
      <c r="E616" s="273"/>
    </row>
    <row r="617">
      <c r="A617" s="273"/>
      <c r="B617" s="273"/>
      <c r="C617" s="273"/>
      <c r="D617" s="273"/>
      <c r="E617" s="273"/>
    </row>
    <row r="618">
      <c r="A618" s="273"/>
      <c r="B618" s="273"/>
      <c r="C618" s="273"/>
      <c r="D618" s="273"/>
      <c r="E618" s="273"/>
    </row>
    <row r="619">
      <c r="A619" s="273"/>
      <c r="B619" s="273"/>
      <c r="C619" s="273"/>
      <c r="D619" s="273"/>
      <c r="E619" s="273"/>
    </row>
    <row r="620">
      <c r="A620" s="273"/>
      <c r="B620" s="273"/>
      <c r="C620" s="273"/>
      <c r="D620" s="273"/>
      <c r="E620" s="273"/>
    </row>
    <row r="621">
      <c r="A621" s="273"/>
      <c r="B621" s="273"/>
      <c r="C621" s="273"/>
      <c r="D621" s="273"/>
      <c r="E621" s="273"/>
    </row>
    <row r="622">
      <c r="A622" s="273"/>
      <c r="B622" s="273"/>
      <c r="C622" s="273"/>
      <c r="D622" s="273"/>
      <c r="E622" s="273"/>
    </row>
    <row r="623">
      <c r="A623" s="273"/>
      <c r="B623" s="273"/>
      <c r="C623" s="273"/>
      <c r="D623" s="273"/>
      <c r="E623" s="273"/>
    </row>
    <row r="624">
      <c r="A624" s="273"/>
      <c r="B624" s="273"/>
      <c r="C624" s="273"/>
      <c r="D624" s="273"/>
      <c r="E624" s="273"/>
    </row>
    <row r="625">
      <c r="A625" s="273"/>
      <c r="B625" s="273"/>
      <c r="C625" s="273"/>
      <c r="D625" s="273"/>
      <c r="E625" s="273"/>
    </row>
    <row r="626">
      <c r="A626" s="273"/>
      <c r="B626" s="273"/>
      <c r="C626" s="273"/>
      <c r="D626" s="273"/>
      <c r="E626" s="273"/>
    </row>
    <row r="627">
      <c r="A627" s="273"/>
      <c r="B627" s="273"/>
      <c r="C627" s="273"/>
      <c r="D627" s="273"/>
      <c r="E627" s="273"/>
    </row>
    <row r="628">
      <c r="A628" s="273"/>
      <c r="B628" s="273"/>
      <c r="C628" s="273"/>
      <c r="D628" s="273"/>
      <c r="E628" s="273"/>
    </row>
    <row r="629">
      <c r="A629" s="273"/>
      <c r="B629" s="273"/>
      <c r="C629" s="273"/>
      <c r="D629" s="273"/>
      <c r="E629" s="273"/>
    </row>
    <row r="630">
      <c r="A630" s="273"/>
      <c r="B630" s="273"/>
      <c r="C630" s="273"/>
      <c r="D630" s="273"/>
      <c r="E630" s="273"/>
    </row>
    <row r="631">
      <c r="A631" s="273"/>
      <c r="B631" s="273"/>
      <c r="C631" s="273"/>
      <c r="D631" s="273"/>
      <c r="E631" s="273"/>
    </row>
    <row r="632">
      <c r="A632" s="273"/>
      <c r="B632" s="273"/>
      <c r="C632" s="273"/>
      <c r="D632" s="273"/>
      <c r="E632" s="273"/>
    </row>
    <row r="633">
      <c r="A633" s="273"/>
      <c r="B633" s="273"/>
      <c r="C633" s="273"/>
      <c r="D633" s="273"/>
      <c r="E633" s="273"/>
    </row>
    <row r="634">
      <c r="A634" s="273"/>
      <c r="B634" s="273"/>
      <c r="C634" s="273"/>
      <c r="D634" s="273"/>
      <c r="E634" s="273"/>
    </row>
    <row r="635">
      <c r="A635" s="273"/>
      <c r="B635" s="273"/>
      <c r="C635" s="273"/>
      <c r="D635" s="273"/>
      <c r="E635" s="273"/>
    </row>
    <row r="636">
      <c r="A636" s="273"/>
      <c r="B636" s="273"/>
      <c r="C636" s="273"/>
      <c r="D636" s="273"/>
      <c r="E636" s="273"/>
    </row>
    <row r="637">
      <c r="A637" s="273"/>
      <c r="B637" s="273"/>
      <c r="C637" s="273"/>
      <c r="D637" s="273"/>
      <c r="E637" s="273"/>
    </row>
    <row r="638">
      <c r="A638" s="273"/>
      <c r="B638" s="273"/>
      <c r="C638" s="273"/>
      <c r="D638" s="273"/>
      <c r="E638" s="273"/>
    </row>
    <row r="639">
      <c r="A639" s="273"/>
      <c r="B639" s="273"/>
      <c r="C639" s="273"/>
      <c r="D639" s="273"/>
      <c r="E639" s="273"/>
    </row>
    <row r="640">
      <c r="A640" s="273"/>
      <c r="B640" s="273"/>
      <c r="C640" s="273"/>
      <c r="D640" s="273"/>
      <c r="E640" s="273"/>
    </row>
    <row r="641">
      <c r="A641" s="273"/>
      <c r="B641" s="273"/>
      <c r="C641" s="273"/>
      <c r="D641" s="273"/>
      <c r="E641" s="273"/>
    </row>
    <row r="642">
      <c r="A642" s="273"/>
      <c r="B642" s="273"/>
      <c r="C642" s="273"/>
      <c r="D642" s="273"/>
      <c r="E642" s="273"/>
    </row>
    <row r="643">
      <c r="A643" s="273"/>
      <c r="B643" s="273"/>
      <c r="C643" s="273"/>
      <c r="D643" s="273"/>
      <c r="E643" s="273"/>
    </row>
    <row r="644">
      <c r="A644" s="273"/>
      <c r="B644" s="273"/>
      <c r="C644" s="273"/>
      <c r="D644" s="273"/>
      <c r="E644" s="273"/>
    </row>
    <row r="645">
      <c r="A645" s="273"/>
      <c r="B645" s="273"/>
      <c r="C645" s="273"/>
      <c r="D645" s="273"/>
      <c r="E645" s="273"/>
    </row>
    <row r="646">
      <c r="A646" s="273"/>
      <c r="B646" s="273"/>
      <c r="C646" s="273"/>
      <c r="D646" s="273"/>
      <c r="E646" s="273"/>
    </row>
    <row r="647">
      <c r="A647" s="273"/>
      <c r="B647" s="273"/>
      <c r="C647" s="273"/>
      <c r="D647" s="273"/>
      <c r="E647" s="273"/>
    </row>
    <row r="648">
      <c r="A648" s="273"/>
      <c r="B648" s="273"/>
      <c r="C648" s="273"/>
      <c r="D648" s="273"/>
      <c r="E648" s="273"/>
    </row>
    <row r="649">
      <c r="A649" s="273"/>
      <c r="B649" s="273"/>
      <c r="C649" s="273"/>
      <c r="D649" s="273"/>
      <c r="E649" s="273"/>
    </row>
    <row r="650">
      <c r="A650" s="273"/>
      <c r="B650" s="273"/>
      <c r="C650" s="273"/>
      <c r="D650" s="273"/>
      <c r="E650" s="273"/>
    </row>
    <row r="651">
      <c r="A651" s="273"/>
      <c r="B651" s="273"/>
      <c r="C651" s="273"/>
      <c r="D651" s="273"/>
      <c r="E651" s="273"/>
    </row>
    <row r="652">
      <c r="A652" s="273"/>
      <c r="B652" s="273"/>
      <c r="C652" s="273"/>
      <c r="D652" s="273"/>
      <c r="E652" s="273"/>
    </row>
    <row r="653">
      <c r="A653" s="273"/>
      <c r="B653" s="273"/>
      <c r="C653" s="273"/>
      <c r="D653" s="273"/>
      <c r="E653" s="273"/>
    </row>
    <row r="654">
      <c r="A654" s="273"/>
      <c r="B654" s="273"/>
      <c r="C654" s="273"/>
      <c r="D654" s="273"/>
      <c r="E654" s="273"/>
    </row>
    <row r="655">
      <c r="A655" s="273"/>
      <c r="B655" s="273"/>
      <c r="C655" s="273"/>
      <c r="D655" s="273"/>
      <c r="E655" s="273"/>
    </row>
    <row r="656">
      <c r="A656" s="273"/>
      <c r="B656" s="273"/>
      <c r="C656" s="273"/>
      <c r="D656" s="273"/>
      <c r="E656" s="273"/>
    </row>
    <row r="657">
      <c r="A657" s="273"/>
      <c r="B657" s="273"/>
      <c r="C657" s="273"/>
      <c r="D657" s="273"/>
      <c r="E657" s="273"/>
    </row>
    <row r="658">
      <c r="A658" s="273"/>
      <c r="B658" s="273"/>
      <c r="C658" s="273"/>
      <c r="D658" s="273"/>
      <c r="E658" s="273"/>
    </row>
    <row r="659">
      <c r="A659" s="273"/>
      <c r="B659" s="273"/>
      <c r="C659" s="273"/>
      <c r="D659" s="273"/>
      <c r="E659" s="273"/>
    </row>
    <row r="660">
      <c r="A660" s="273"/>
      <c r="B660" s="273"/>
      <c r="C660" s="273"/>
      <c r="D660" s="273"/>
      <c r="E660" s="273"/>
    </row>
    <row r="661">
      <c r="A661" s="273"/>
      <c r="B661" s="273"/>
      <c r="C661" s="273"/>
      <c r="D661" s="273"/>
      <c r="E661" s="273"/>
    </row>
    <row r="662">
      <c r="A662" s="273"/>
      <c r="B662" s="273"/>
      <c r="C662" s="273"/>
      <c r="D662" s="273"/>
      <c r="E662" s="273"/>
    </row>
    <row r="663">
      <c r="A663" s="273"/>
      <c r="B663" s="273"/>
      <c r="C663" s="273"/>
      <c r="D663" s="273"/>
      <c r="E663" s="273"/>
    </row>
    <row r="664">
      <c r="A664" s="273"/>
      <c r="B664" s="273"/>
      <c r="C664" s="273"/>
      <c r="D664" s="273"/>
      <c r="E664" s="273"/>
    </row>
    <row r="665">
      <c r="A665" s="273"/>
      <c r="B665" s="273"/>
      <c r="C665" s="273"/>
      <c r="D665" s="273"/>
      <c r="E665" s="273"/>
    </row>
    <row r="666">
      <c r="A666" s="273"/>
      <c r="B666" s="273"/>
      <c r="C666" s="273"/>
      <c r="D666" s="273"/>
      <c r="E666" s="273"/>
    </row>
    <row r="667">
      <c r="A667" s="273"/>
      <c r="B667" s="273"/>
      <c r="C667" s="273"/>
      <c r="D667" s="273"/>
      <c r="E667" s="273"/>
    </row>
    <row r="668">
      <c r="A668" s="273"/>
      <c r="B668" s="273"/>
      <c r="C668" s="273"/>
      <c r="D668" s="273"/>
      <c r="E668" s="273"/>
    </row>
    <row r="669">
      <c r="A669" s="273"/>
      <c r="B669" s="273"/>
      <c r="C669" s="273"/>
      <c r="D669" s="273"/>
      <c r="E669" s="273"/>
    </row>
    <row r="670">
      <c r="A670" s="273"/>
      <c r="B670" s="273"/>
      <c r="C670" s="273"/>
      <c r="D670" s="273"/>
      <c r="E670" s="273"/>
    </row>
    <row r="671">
      <c r="A671" s="273"/>
      <c r="B671" s="273"/>
      <c r="C671" s="273"/>
      <c r="D671" s="273"/>
      <c r="E671" s="273"/>
    </row>
    <row r="672">
      <c r="A672" s="273"/>
      <c r="B672" s="273"/>
      <c r="C672" s="273"/>
      <c r="D672" s="273"/>
      <c r="E672" s="273"/>
    </row>
    <row r="673">
      <c r="A673" s="273"/>
      <c r="B673" s="273"/>
      <c r="C673" s="273"/>
      <c r="D673" s="273"/>
      <c r="E673" s="273"/>
    </row>
    <row r="674">
      <c r="A674" s="273"/>
      <c r="B674" s="273"/>
      <c r="C674" s="273"/>
      <c r="D674" s="273"/>
      <c r="E674" s="273"/>
    </row>
    <row r="675">
      <c r="A675" s="273"/>
      <c r="B675" s="273"/>
      <c r="C675" s="273"/>
      <c r="D675" s="273"/>
      <c r="E675" s="273"/>
    </row>
    <row r="676">
      <c r="A676" s="273"/>
      <c r="B676" s="273"/>
      <c r="C676" s="273"/>
      <c r="D676" s="273"/>
      <c r="E676" s="273"/>
    </row>
    <row r="677">
      <c r="A677" s="273"/>
      <c r="B677" s="273"/>
      <c r="C677" s="273"/>
      <c r="D677" s="273"/>
      <c r="E677" s="273"/>
    </row>
    <row r="678">
      <c r="A678" s="273"/>
      <c r="B678" s="273"/>
      <c r="C678" s="273"/>
      <c r="D678" s="273"/>
      <c r="E678" s="273"/>
    </row>
    <row r="679">
      <c r="A679" s="273"/>
      <c r="B679" s="273"/>
      <c r="C679" s="273"/>
      <c r="D679" s="273"/>
      <c r="E679" s="273"/>
    </row>
    <row r="680">
      <c r="A680" s="273"/>
      <c r="B680" s="273"/>
      <c r="C680" s="273"/>
      <c r="D680" s="273"/>
      <c r="E680" s="273"/>
    </row>
    <row r="681">
      <c r="A681" s="273"/>
      <c r="B681" s="273"/>
      <c r="C681" s="273"/>
      <c r="D681" s="273"/>
      <c r="E681" s="273"/>
    </row>
    <row r="682">
      <c r="A682" s="273"/>
      <c r="B682" s="273"/>
      <c r="C682" s="273"/>
      <c r="D682" s="273"/>
      <c r="E682" s="273"/>
    </row>
    <row r="683">
      <c r="A683" s="273"/>
      <c r="B683" s="273"/>
      <c r="C683" s="273"/>
      <c r="D683" s="273"/>
      <c r="E683" s="273"/>
    </row>
    <row r="684">
      <c r="A684" s="273"/>
      <c r="B684" s="273"/>
      <c r="C684" s="273"/>
      <c r="D684" s="273"/>
      <c r="E684" s="273"/>
    </row>
    <row r="685">
      <c r="A685" s="273"/>
      <c r="B685" s="273"/>
      <c r="C685" s="273"/>
      <c r="D685" s="273"/>
      <c r="E685" s="273"/>
    </row>
    <row r="686">
      <c r="A686" s="273"/>
      <c r="B686" s="273"/>
      <c r="C686" s="273"/>
      <c r="D686" s="273"/>
      <c r="E686" s="273"/>
    </row>
    <row r="687">
      <c r="A687" s="273"/>
      <c r="B687" s="273"/>
      <c r="C687" s="273"/>
      <c r="D687" s="273"/>
      <c r="E687" s="273"/>
    </row>
    <row r="688">
      <c r="A688" s="273"/>
      <c r="B688" s="273"/>
      <c r="C688" s="273"/>
      <c r="D688" s="273"/>
      <c r="E688" s="273"/>
    </row>
    <row r="689">
      <c r="A689" s="273"/>
      <c r="B689" s="273"/>
      <c r="C689" s="273"/>
      <c r="D689" s="273"/>
      <c r="E689" s="273"/>
    </row>
    <row r="690">
      <c r="A690" s="273"/>
      <c r="B690" s="273"/>
      <c r="C690" s="273"/>
      <c r="D690" s="273"/>
      <c r="E690" s="273"/>
    </row>
    <row r="691">
      <c r="A691" s="273"/>
      <c r="B691" s="273"/>
      <c r="C691" s="273"/>
      <c r="D691" s="273"/>
      <c r="E691" s="273"/>
    </row>
    <row r="692">
      <c r="A692" s="273"/>
      <c r="B692" s="273"/>
      <c r="C692" s="273"/>
      <c r="D692" s="273"/>
      <c r="E692" s="273"/>
    </row>
    <row r="693">
      <c r="A693" s="273"/>
      <c r="B693" s="273"/>
      <c r="C693" s="273"/>
      <c r="D693" s="273"/>
      <c r="E693" s="273"/>
    </row>
    <row r="694">
      <c r="A694" s="273"/>
      <c r="B694" s="273"/>
      <c r="C694" s="273"/>
      <c r="D694" s="273"/>
      <c r="E694" s="273"/>
    </row>
    <row r="695">
      <c r="A695" s="273"/>
      <c r="B695" s="273"/>
      <c r="C695" s="273"/>
      <c r="D695" s="273"/>
      <c r="E695" s="273"/>
    </row>
    <row r="696">
      <c r="A696" s="273"/>
      <c r="B696" s="273"/>
      <c r="C696" s="273"/>
      <c r="D696" s="273"/>
      <c r="E696" s="273"/>
    </row>
    <row r="697">
      <c r="A697" s="273"/>
      <c r="B697" s="273"/>
      <c r="C697" s="273"/>
      <c r="D697" s="273"/>
      <c r="E697" s="273"/>
    </row>
    <row r="698">
      <c r="A698" s="273"/>
      <c r="B698" s="273"/>
      <c r="C698" s="273"/>
      <c r="D698" s="273"/>
      <c r="E698" s="273"/>
    </row>
    <row r="699">
      <c r="A699" s="273"/>
      <c r="B699" s="273"/>
      <c r="C699" s="273"/>
      <c r="D699" s="273"/>
      <c r="E699" s="273"/>
    </row>
    <row r="700">
      <c r="A700" s="273"/>
      <c r="B700" s="273"/>
      <c r="C700" s="273"/>
      <c r="D700" s="273"/>
      <c r="E700" s="273"/>
    </row>
    <row r="701">
      <c r="A701" s="273"/>
      <c r="B701" s="273"/>
      <c r="C701" s="273"/>
      <c r="D701" s="273"/>
      <c r="E701" s="273"/>
    </row>
    <row r="702">
      <c r="A702" s="273"/>
      <c r="B702" s="273"/>
      <c r="C702" s="273"/>
      <c r="D702" s="273"/>
      <c r="E702" s="273"/>
    </row>
    <row r="703">
      <c r="A703" s="273"/>
      <c r="B703" s="273"/>
      <c r="C703" s="273"/>
      <c r="D703" s="273"/>
      <c r="E703" s="273"/>
    </row>
    <row r="704">
      <c r="A704" s="273"/>
      <c r="B704" s="273"/>
      <c r="C704" s="273"/>
      <c r="D704" s="273"/>
      <c r="E704" s="273"/>
    </row>
    <row r="705">
      <c r="A705" s="273"/>
      <c r="B705" s="273"/>
      <c r="C705" s="273"/>
      <c r="D705" s="273"/>
      <c r="E705" s="273"/>
    </row>
    <row r="706">
      <c r="A706" s="273"/>
      <c r="B706" s="273"/>
      <c r="C706" s="273"/>
      <c r="D706" s="273"/>
      <c r="E706" s="273"/>
    </row>
    <row r="707">
      <c r="A707" s="273"/>
      <c r="B707" s="273"/>
      <c r="C707" s="273"/>
      <c r="D707" s="273"/>
      <c r="E707" s="273"/>
    </row>
    <row r="708">
      <c r="A708" s="273"/>
      <c r="B708" s="273"/>
      <c r="C708" s="273"/>
      <c r="D708" s="273"/>
      <c r="E708" s="273"/>
    </row>
    <row r="709">
      <c r="A709" s="273"/>
      <c r="B709" s="273"/>
      <c r="C709" s="273"/>
      <c r="D709" s="273"/>
      <c r="E709" s="273"/>
    </row>
    <row r="710">
      <c r="A710" s="273"/>
      <c r="B710" s="273"/>
      <c r="C710" s="273"/>
      <c r="D710" s="273"/>
      <c r="E710" s="273"/>
    </row>
    <row r="711">
      <c r="A711" s="273"/>
      <c r="B711" s="273"/>
      <c r="C711" s="273"/>
      <c r="D711" s="273"/>
      <c r="E711" s="273"/>
    </row>
    <row r="712">
      <c r="A712" s="273"/>
      <c r="B712" s="273"/>
      <c r="C712" s="273"/>
      <c r="D712" s="273"/>
      <c r="E712" s="273"/>
    </row>
    <row r="713">
      <c r="A713" s="273"/>
      <c r="B713" s="273"/>
      <c r="C713" s="273"/>
      <c r="D713" s="273"/>
      <c r="E713" s="273"/>
    </row>
    <row r="714">
      <c r="A714" s="273"/>
      <c r="B714" s="273"/>
      <c r="C714" s="273"/>
      <c r="D714" s="273"/>
      <c r="E714" s="273"/>
    </row>
    <row r="715">
      <c r="A715" s="273"/>
      <c r="B715" s="273"/>
      <c r="C715" s="273"/>
      <c r="D715" s="273"/>
      <c r="E715" s="273"/>
    </row>
    <row r="716">
      <c r="A716" s="273"/>
      <c r="B716" s="273"/>
      <c r="C716" s="273"/>
      <c r="D716" s="273"/>
      <c r="E716" s="273"/>
    </row>
    <row r="717">
      <c r="A717" s="273"/>
      <c r="B717" s="273"/>
      <c r="C717" s="273"/>
      <c r="D717" s="273"/>
      <c r="E717" s="273"/>
    </row>
    <row r="718">
      <c r="A718" s="273"/>
      <c r="B718" s="273"/>
      <c r="C718" s="273"/>
      <c r="D718" s="273"/>
      <c r="E718" s="273"/>
    </row>
    <row r="719">
      <c r="A719" s="273"/>
      <c r="B719" s="273"/>
      <c r="C719" s="273"/>
      <c r="D719" s="273"/>
      <c r="E719" s="273"/>
    </row>
    <row r="720">
      <c r="A720" s="273"/>
      <c r="B720" s="273"/>
      <c r="C720" s="273"/>
      <c r="D720" s="273"/>
      <c r="E720" s="273"/>
    </row>
    <row r="721">
      <c r="A721" s="273"/>
      <c r="B721" s="273"/>
      <c r="C721" s="273"/>
      <c r="D721" s="273"/>
      <c r="E721" s="273"/>
    </row>
    <row r="722">
      <c r="A722" s="273"/>
      <c r="B722" s="273"/>
      <c r="C722" s="273"/>
      <c r="D722" s="273"/>
      <c r="E722" s="273"/>
    </row>
    <row r="723">
      <c r="A723" s="273"/>
      <c r="B723" s="273"/>
      <c r="C723" s="273"/>
      <c r="D723" s="273"/>
      <c r="E723" s="273"/>
    </row>
    <row r="724">
      <c r="A724" s="273"/>
      <c r="B724" s="273"/>
      <c r="C724" s="273"/>
      <c r="D724" s="273"/>
      <c r="E724" s="273"/>
    </row>
    <row r="725">
      <c r="A725" s="273"/>
      <c r="B725" s="273"/>
      <c r="C725" s="273"/>
      <c r="D725" s="273"/>
      <c r="E725" s="273"/>
    </row>
    <row r="726">
      <c r="A726" s="273"/>
      <c r="B726" s="273"/>
      <c r="C726" s="273"/>
      <c r="D726" s="273"/>
      <c r="E726" s="273"/>
    </row>
    <row r="727">
      <c r="A727" s="273"/>
      <c r="B727" s="273"/>
      <c r="C727" s="273"/>
      <c r="D727" s="273"/>
      <c r="E727" s="273"/>
    </row>
    <row r="728">
      <c r="A728" s="273"/>
      <c r="B728" s="273"/>
      <c r="C728" s="273"/>
      <c r="D728" s="273"/>
      <c r="E728" s="273"/>
    </row>
    <row r="729">
      <c r="A729" s="273"/>
      <c r="B729" s="273"/>
      <c r="C729" s="273"/>
      <c r="D729" s="273"/>
      <c r="E729" s="273"/>
    </row>
    <row r="730">
      <c r="A730" s="273"/>
      <c r="B730" s="273"/>
      <c r="C730" s="273"/>
      <c r="D730" s="273"/>
      <c r="E730" s="273"/>
    </row>
    <row r="731">
      <c r="A731" s="273"/>
      <c r="B731" s="273"/>
      <c r="C731" s="273"/>
      <c r="D731" s="273"/>
      <c r="E731" s="273"/>
    </row>
    <row r="732">
      <c r="A732" s="273"/>
      <c r="B732" s="273"/>
      <c r="C732" s="273"/>
      <c r="D732" s="273"/>
      <c r="E732" s="273"/>
    </row>
    <row r="733">
      <c r="A733" s="273"/>
      <c r="B733" s="273"/>
      <c r="C733" s="273"/>
      <c r="D733" s="273"/>
      <c r="E733" s="273"/>
    </row>
    <row r="734">
      <c r="A734" s="273"/>
      <c r="B734" s="273"/>
      <c r="C734" s="273"/>
      <c r="D734" s="273"/>
      <c r="E734" s="273"/>
    </row>
    <row r="735">
      <c r="A735" s="273"/>
      <c r="B735" s="273"/>
      <c r="C735" s="273"/>
      <c r="D735" s="273"/>
      <c r="E735" s="273"/>
    </row>
    <row r="736">
      <c r="A736" s="273"/>
      <c r="B736" s="273"/>
      <c r="C736" s="273"/>
      <c r="D736" s="273"/>
      <c r="E736" s="273"/>
    </row>
    <row r="737">
      <c r="A737" s="273"/>
      <c r="B737" s="273"/>
      <c r="C737" s="273"/>
      <c r="D737" s="273"/>
      <c r="E737" s="273"/>
    </row>
    <row r="738">
      <c r="A738" s="273"/>
      <c r="B738" s="273"/>
      <c r="C738" s="273"/>
      <c r="D738" s="273"/>
      <c r="E738" s="273"/>
    </row>
    <row r="739">
      <c r="A739" s="273"/>
      <c r="B739" s="273"/>
      <c r="C739" s="273"/>
      <c r="D739" s="273"/>
      <c r="E739" s="273"/>
    </row>
    <row r="740">
      <c r="A740" s="273"/>
      <c r="B740" s="273"/>
      <c r="C740" s="273"/>
      <c r="D740" s="273"/>
      <c r="E740" s="273"/>
    </row>
    <row r="741">
      <c r="A741" s="273"/>
      <c r="B741" s="273"/>
      <c r="C741" s="273"/>
      <c r="D741" s="273"/>
      <c r="E741" s="273"/>
    </row>
    <row r="742">
      <c r="A742" s="273"/>
      <c r="B742" s="273"/>
      <c r="C742" s="273"/>
      <c r="D742" s="273"/>
      <c r="E742" s="273"/>
    </row>
    <row r="743">
      <c r="A743" s="273"/>
      <c r="B743" s="273"/>
      <c r="C743" s="273"/>
      <c r="D743" s="273"/>
      <c r="E743" s="273"/>
    </row>
    <row r="744">
      <c r="A744" s="273"/>
      <c r="B744" s="273"/>
      <c r="C744" s="273"/>
      <c r="D744" s="273"/>
      <c r="E744" s="273"/>
    </row>
    <row r="745">
      <c r="A745" s="273"/>
      <c r="B745" s="273"/>
      <c r="C745" s="273"/>
      <c r="D745" s="273"/>
      <c r="E745" s="273"/>
    </row>
    <row r="746">
      <c r="A746" s="273"/>
      <c r="B746" s="273"/>
      <c r="C746" s="273"/>
      <c r="D746" s="273"/>
      <c r="E746" s="273"/>
    </row>
    <row r="747">
      <c r="A747" s="273"/>
      <c r="B747" s="273"/>
      <c r="C747" s="273"/>
      <c r="D747" s="273"/>
      <c r="E747" s="273"/>
    </row>
    <row r="748">
      <c r="A748" s="273"/>
      <c r="B748" s="273"/>
      <c r="C748" s="273"/>
      <c r="D748" s="273"/>
      <c r="E748" s="273"/>
    </row>
    <row r="749">
      <c r="A749" s="273"/>
      <c r="B749" s="273"/>
      <c r="C749" s="273"/>
      <c r="D749" s="273"/>
      <c r="E749" s="273"/>
    </row>
    <row r="750">
      <c r="A750" s="273"/>
      <c r="B750" s="273"/>
      <c r="C750" s="273"/>
      <c r="D750" s="273"/>
      <c r="E750" s="273"/>
    </row>
    <row r="751">
      <c r="A751" s="273"/>
      <c r="B751" s="273"/>
      <c r="C751" s="273"/>
      <c r="D751" s="273"/>
      <c r="E751" s="273"/>
    </row>
    <row r="752">
      <c r="A752" s="273"/>
      <c r="B752" s="273"/>
      <c r="C752" s="273"/>
      <c r="D752" s="273"/>
      <c r="E752" s="273"/>
    </row>
    <row r="753">
      <c r="A753" s="273"/>
      <c r="B753" s="273"/>
      <c r="C753" s="273"/>
      <c r="D753" s="273"/>
      <c r="E753" s="273"/>
    </row>
    <row r="754">
      <c r="A754" s="273"/>
      <c r="B754" s="273"/>
      <c r="C754" s="273"/>
      <c r="D754" s="273"/>
      <c r="E754" s="273"/>
    </row>
    <row r="755">
      <c r="A755" s="273"/>
      <c r="B755" s="273"/>
      <c r="C755" s="273"/>
      <c r="D755" s="273"/>
      <c r="E755" s="273"/>
    </row>
    <row r="756">
      <c r="A756" s="273"/>
      <c r="B756" s="273"/>
      <c r="C756" s="273"/>
      <c r="D756" s="273"/>
      <c r="E756" s="273"/>
    </row>
    <row r="757">
      <c r="A757" s="273"/>
      <c r="B757" s="273"/>
      <c r="C757" s="273"/>
      <c r="D757" s="273"/>
      <c r="E757" s="273"/>
    </row>
    <row r="758">
      <c r="A758" s="273"/>
      <c r="B758" s="273"/>
      <c r="C758" s="273"/>
      <c r="D758" s="273"/>
      <c r="E758" s="273"/>
    </row>
    <row r="759">
      <c r="A759" s="273"/>
      <c r="B759" s="273"/>
      <c r="C759" s="273"/>
      <c r="D759" s="273"/>
      <c r="E759" s="273"/>
    </row>
    <row r="760">
      <c r="A760" s="273"/>
      <c r="B760" s="273"/>
      <c r="C760" s="273"/>
      <c r="D760" s="273"/>
      <c r="E760" s="273"/>
    </row>
    <row r="761">
      <c r="A761" s="273"/>
      <c r="B761" s="273"/>
      <c r="C761" s="273"/>
      <c r="D761" s="273"/>
      <c r="E761" s="273"/>
    </row>
    <row r="762">
      <c r="A762" s="273"/>
      <c r="B762" s="273"/>
      <c r="C762" s="273"/>
      <c r="D762" s="273"/>
      <c r="E762" s="273"/>
    </row>
    <row r="763">
      <c r="A763" s="273"/>
      <c r="B763" s="273"/>
      <c r="C763" s="273"/>
      <c r="D763" s="273"/>
      <c r="E763" s="273"/>
    </row>
    <row r="764">
      <c r="A764" s="273"/>
      <c r="B764" s="273"/>
      <c r="C764" s="273"/>
      <c r="D764" s="273"/>
      <c r="E764" s="273"/>
    </row>
    <row r="765">
      <c r="A765" s="273"/>
      <c r="B765" s="273"/>
      <c r="C765" s="273"/>
      <c r="D765" s="273"/>
      <c r="E765" s="273"/>
    </row>
    <row r="766">
      <c r="A766" s="273"/>
      <c r="B766" s="273"/>
      <c r="C766" s="273"/>
      <c r="D766" s="273"/>
      <c r="E766" s="273"/>
    </row>
    <row r="767">
      <c r="A767" s="273"/>
      <c r="B767" s="273"/>
      <c r="C767" s="273"/>
      <c r="D767" s="273"/>
      <c r="E767" s="273"/>
    </row>
    <row r="768">
      <c r="A768" s="273"/>
      <c r="B768" s="273"/>
      <c r="C768" s="273"/>
      <c r="D768" s="273"/>
      <c r="E768" s="273"/>
    </row>
    <row r="769">
      <c r="A769" s="273"/>
      <c r="B769" s="273"/>
      <c r="C769" s="273"/>
      <c r="D769" s="273"/>
      <c r="E769" s="273"/>
    </row>
    <row r="770">
      <c r="A770" s="273"/>
      <c r="B770" s="273"/>
      <c r="C770" s="273"/>
      <c r="D770" s="273"/>
      <c r="E770" s="273"/>
    </row>
    <row r="771">
      <c r="A771" s="273"/>
      <c r="B771" s="273"/>
      <c r="C771" s="273"/>
      <c r="D771" s="273"/>
      <c r="E771" s="273"/>
    </row>
    <row r="772">
      <c r="A772" s="273"/>
      <c r="B772" s="273"/>
      <c r="C772" s="273"/>
      <c r="D772" s="273"/>
      <c r="E772" s="273"/>
    </row>
    <row r="773">
      <c r="A773" s="273"/>
      <c r="B773" s="273"/>
      <c r="C773" s="273"/>
      <c r="D773" s="273"/>
      <c r="E773" s="273"/>
    </row>
    <row r="774">
      <c r="A774" s="273"/>
      <c r="B774" s="273"/>
      <c r="C774" s="273"/>
      <c r="D774" s="273"/>
      <c r="E774" s="273"/>
    </row>
    <row r="775">
      <c r="A775" s="273"/>
      <c r="B775" s="273"/>
      <c r="C775" s="273"/>
      <c r="D775" s="273"/>
      <c r="E775" s="273"/>
    </row>
    <row r="776">
      <c r="A776" s="273"/>
      <c r="B776" s="273"/>
      <c r="C776" s="273"/>
      <c r="D776" s="273"/>
      <c r="E776" s="273"/>
    </row>
    <row r="777">
      <c r="A777" s="273"/>
      <c r="B777" s="273"/>
      <c r="C777" s="273"/>
      <c r="D777" s="273"/>
      <c r="E777" s="273"/>
    </row>
    <row r="778">
      <c r="A778" s="273"/>
      <c r="B778" s="273"/>
      <c r="C778" s="273"/>
      <c r="D778" s="273"/>
      <c r="E778" s="273"/>
    </row>
    <row r="779">
      <c r="A779" s="273"/>
      <c r="B779" s="273"/>
      <c r="C779" s="273"/>
      <c r="D779" s="273"/>
      <c r="E779" s="273"/>
    </row>
    <row r="780">
      <c r="A780" s="273"/>
      <c r="B780" s="273"/>
      <c r="C780" s="273"/>
      <c r="D780" s="273"/>
      <c r="E780" s="273"/>
    </row>
    <row r="781">
      <c r="A781" s="273"/>
      <c r="B781" s="273"/>
      <c r="C781" s="273"/>
      <c r="D781" s="273"/>
      <c r="E781" s="273"/>
    </row>
    <row r="782">
      <c r="A782" s="273"/>
      <c r="B782" s="273"/>
      <c r="C782" s="273"/>
      <c r="D782" s="273"/>
      <c r="E782" s="273"/>
    </row>
    <row r="783">
      <c r="A783" s="273"/>
      <c r="B783" s="273"/>
      <c r="C783" s="273"/>
      <c r="D783" s="273"/>
      <c r="E783" s="273"/>
    </row>
    <row r="784">
      <c r="A784" s="273"/>
      <c r="B784" s="273"/>
      <c r="C784" s="273"/>
      <c r="D784" s="273"/>
      <c r="E784" s="273"/>
    </row>
    <row r="785">
      <c r="A785" s="273"/>
      <c r="B785" s="273"/>
      <c r="C785" s="273"/>
      <c r="D785" s="273"/>
      <c r="E785" s="273"/>
    </row>
    <row r="786">
      <c r="A786" s="273"/>
      <c r="B786" s="273"/>
      <c r="C786" s="273"/>
      <c r="D786" s="273"/>
      <c r="E786" s="273"/>
    </row>
    <row r="787">
      <c r="A787" s="273"/>
      <c r="B787" s="273"/>
      <c r="C787" s="273"/>
      <c r="D787" s="273"/>
      <c r="E787" s="273"/>
    </row>
    <row r="788">
      <c r="A788" s="273"/>
      <c r="B788" s="273"/>
      <c r="C788" s="273"/>
      <c r="D788" s="273"/>
      <c r="E788" s="273"/>
    </row>
    <row r="789">
      <c r="A789" s="273"/>
      <c r="B789" s="273"/>
      <c r="C789" s="273"/>
      <c r="D789" s="273"/>
      <c r="E789" s="273"/>
    </row>
    <row r="790">
      <c r="A790" s="273"/>
      <c r="B790" s="273"/>
      <c r="C790" s="273"/>
      <c r="D790" s="273"/>
      <c r="E790" s="273"/>
    </row>
    <row r="791">
      <c r="A791" s="273"/>
      <c r="B791" s="273"/>
      <c r="C791" s="273"/>
      <c r="D791" s="273"/>
      <c r="E791" s="273"/>
    </row>
    <row r="792">
      <c r="A792" s="273"/>
      <c r="B792" s="273"/>
      <c r="C792" s="273"/>
      <c r="D792" s="273"/>
      <c r="E792" s="273"/>
    </row>
    <row r="793">
      <c r="A793" s="273"/>
      <c r="B793" s="273"/>
      <c r="C793" s="273"/>
      <c r="D793" s="273"/>
      <c r="E793" s="273"/>
    </row>
    <row r="794">
      <c r="A794" s="273"/>
      <c r="B794" s="273"/>
      <c r="C794" s="273"/>
      <c r="D794" s="273"/>
      <c r="E794" s="273"/>
    </row>
    <row r="795">
      <c r="A795" s="273"/>
      <c r="B795" s="273"/>
      <c r="C795" s="273"/>
      <c r="D795" s="273"/>
      <c r="E795" s="273"/>
    </row>
    <row r="796">
      <c r="A796" s="273"/>
      <c r="B796" s="273"/>
      <c r="C796" s="273"/>
      <c r="D796" s="273"/>
      <c r="E796" s="273"/>
    </row>
    <row r="797">
      <c r="A797" s="273"/>
      <c r="B797" s="273"/>
      <c r="C797" s="273"/>
      <c r="D797" s="273"/>
      <c r="E797" s="273"/>
    </row>
    <row r="798">
      <c r="A798" s="273"/>
      <c r="B798" s="273"/>
      <c r="C798" s="273"/>
      <c r="D798" s="273"/>
      <c r="E798" s="273"/>
    </row>
    <row r="799">
      <c r="A799" s="273"/>
      <c r="B799" s="273"/>
      <c r="C799" s="273"/>
      <c r="D799" s="273"/>
      <c r="E799" s="273"/>
    </row>
    <row r="800">
      <c r="A800" s="273"/>
      <c r="B800" s="273"/>
      <c r="C800" s="273"/>
      <c r="D800" s="273"/>
      <c r="E800" s="273"/>
    </row>
    <row r="801">
      <c r="A801" s="273"/>
      <c r="B801" s="273"/>
      <c r="C801" s="273"/>
      <c r="D801" s="273"/>
      <c r="E801" s="273"/>
    </row>
    <row r="802">
      <c r="A802" s="273"/>
      <c r="B802" s="273"/>
      <c r="C802" s="273"/>
      <c r="D802" s="273"/>
      <c r="E802" s="273"/>
    </row>
    <row r="803">
      <c r="A803" s="273"/>
      <c r="B803" s="273"/>
      <c r="C803" s="273"/>
      <c r="D803" s="273"/>
      <c r="E803" s="273"/>
    </row>
    <row r="804">
      <c r="A804" s="273"/>
      <c r="B804" s="273"/>
      <c r="C804" s="273"/>
      <c r="D804" s="273"/>
      <c r="E804" s="273"/>
    </row>
    <row r="805">
      <c r="A805" s="273"/>
      <c r="B805" s="273"/>
      <c r="C805" s="273"/>
      <c r="D805" s="273"/>
      <c r="E805" s="273"/>
    </row>
    <row r="806">
      <c r="A806" s="273"/>
      <c r="B806" s="273"/>
      <c r="C806" s="273"/>
      <c r="D806" s="273"/>
      <c r="E806" s="273"/>
    </row>
    <row r="807">
      <c r="A807" s="273"/>
      <c r="B807" s="273"/>
      <c r="C807" s="273"/>
      <c r="D807" s="273"/>
      <c r="E807" s="273"/>
    </row>
    <row r="808">
      <c r="A808" s="273"/>
      <c r="B808" s="273"/>
      <c r="C808" s="273"/>
      <c r="D808" s="273"/>
      <c r="E808" s="273"/>
    </row>
    <row r="809">
      <c r="A809" s="273"/>
      <c r="B809" s="273"/>
      <c r="C809" s="273"/>
      <c r="D809" s="273"/>
      <c r="E809" s="273"/>
    </row>
    <row r="810">
      <c r="A810" s="273"/>
      <c r="B810" s="273"/>
      <c r="C810" s="273"/>
      <c r="D810" s="273"/>
      <c r="E810" s="273"/>
    </row>
    <row r="811">
      <c r="A811" s="273"/>
      <c r="B811" s="273"/>
      <c r="C811" s="273"/>
      <c r="D811" s="273"/>
      <c r="E811" s="273"/>
    </row>
    <row r="812">
      <c r="A812" s="273"/>
      <c r="B812" s="273"/>
      <c r="C812" s="273"/>
      <c r="D812" s="273"/>
      <c r="E812" s="273"/>
    </row>
    <row r="813">
      <c r="A813" s="273"/>
      <c r="B813" s="273"/>
      <c r="C813" s="273"/>
      <c r="D813" s="273"/>
      <c r="E813" s="273"/>
    </row>
    <row r="814">
      <c r="A814" s="273"/>
      <c r="B814" s="273"/>
      <c r="C814" s="273"/>
      <c r="D814" s="273"/>
      <c r="E814" s="273"/>
    </row>
    <row r="815">
      <c r="A815" s="273"/>
      <c r="B815" s="273"/>
      <c r="C815" s="273"/>
      <c r="D815" s="273"/>
      <c r="E815" s="273"/>
    </row>
    <row r="816">
      <c r="A816" s="273"/>
      <c r="B816" s="273"/>
      <c r="C816" s="273"/>
      <c r="D816" s="273"/>
      <c r="E816" s="273"/>
    </row>
    <row r="817">
      <c r="A817" s="273"/>
      <c r="B817" s="273"/>
      <c r="C817" s="273"/>
      <c r="D817" s="273"/>
      <c r="E817" s="273"/>
    </row>
    <row r="818">
      <c r="A818" s="273"/>
      <c r="B818" s="273"/>
      <c r="C818" s="273"/>
      <c r="D818" s="273"/>
      <c r="E818" s="273"/>
    </row>
    <row r="819">
      <c r="A819" s="273"/>
      <c r="B819" s="273"/>
      <c r="C819" s="273"/>
      <c r="D819" s="273"/>
      <c r="E819" s="273"/>
    </row>
    <row r="820">
      <c r="A820" s="273"/>
      <c r="B820" s="273"/>
      <c r="C820" s="273"/>
      <c r="D820" s="273"/>
      <c r="E820" s="273"/>
    </row>
    <row r="821">
      <c r="A821" s="273"/>
      <c r="B821" s="273"/>
      <c r="C821" s="273"/>
      <c r="D821" s="273"/>
      <c r="E821" s="273"/>
    </row>
    <row r="822">
      <c r="A822" s="273"/>
      <c r="B822" s="273"/>
      <c r="C822" s="273"/>
      <c r="D822" s="273"/>
      <c r="E822" s="273"/>
    </row>
    <row r="823">
      <c r="A823" s="273"/>
      <c r="B823" s="273"/>
      <c r="C823" s="273"/>
      <c r="D823" s="273"/>
      <c r="E823" s="273"/>
    </row>
    <row r="824">
      <c r="A824" s="273"/>
      <c r="B824" s="273"/>
      <c r="C824" s="273"/>
      <c r="D824" s="273"/>
      <c r="E824" s="273"/>
    </row>
    <row r="825">
      <c r="A825" s="273"/>
      <c r="B825" s="273"/>
      <c r="C825" s="273"/>
      <c r="D825" s="273"/>
      <c r="E825" s="273"/>
    </row>
    <row r="826">
      <c r="A826" s="273"/>
      <c r="B826" s="273"/>
      <c r="C826" s="273"/>
      <c r="D826" s="273"/>
      <c r="E826" s="273"/>
    </row>
    <row r="827">
      <c r="A827" s="273"/>
      <c r="B827" s="273"/>
      <c r="C827" s="273"/>
      <c r="D827" s="273"/>
      <c r="E827" s="273"/>
    </row>
    <row r="828">
      <c r="A828" s="273"/>
      <c r="B828" s="273"/>
      <c r="C828" s="273"/>
      <c r="D828" s="273"/>
      <c r="E828" s="273"/>
    </row>
    <row r="829">
      <c r="A829" s="273"/>
      <c r="B829" s="273"/>
      <c r="C829" s="273"/>
      <c r="D829" s="273"/>
      <c r="E829" s="273"/>
    </row>
    <row r="830">
      <c r="A830" s="273"/>
      <c r="B830" s="273"/>
      <c r="C830" s="273"/>
      <c r="D830" s="273"/>
      <c r="E830" s="273"/>
    </row>
    <row r="831">
      <c r="A831" s="273"/>
      <c r="B831" s="273"/>
      <c r="C831" s="273"/>
      <c r="D831" s="273"/>
      <c r="E831" s="273"/>
    </row>
    <row r="832">
      <c r="A832" s="273"/>
      <c r="B832" s="273"/>
      <c r="C832" s="273"/>
      <c r="D832" s="273"/>
      <c r="E832" s="273"/>
    </row>
    <row r="833">
      <c r="A833" s="273"/>
      <c r="B833" s="273"/>
      <c r="C833" s="273"/>
      <c r="D833" s="273"/>
      <c r="E833" s="273"/>
    </row>
    <row r="834">
      <c r="A834" s="273"/>
      <c r="B834" s="273"/>
      <c r="C834" s="273"/>
      <c r="D834" s="273"/>
      <c r="E834" s="273"/>
    </row>
    <row r="835">
      <c r="A835" s="273"/>
      <c r="B835" s="273"/>
      <c r="C835" s="273"/>
      <c r="D835" s="273"/>
      <c r="E835" s="273"/>
    </row>
    <row r="836">
      <c r="A836" s="273"/>
      <c r="B836" s="273"/>
      <c r="C836" s="273"/>
      <c r="D836" s="273"/>
      <c r="E836" s="273"/>
    </row>
    <row r="837">
      <c r="A837" s="273"/>
      <c r="B837" s="273"/>
      <c r="C837" s="273"/>
      <c r="D837" s="273"/>
      <c r="E837" s="273"/>
    </row>
    <row r="838">
      <c r="A838" s="273"/>
      <c r="B838" s="273"/>
      <c r="C838" s="273"/>
      <c r="D838" s="273"/>
      <c r="E838" s="273"/>
    </row>
    <row r="839">
      <c r="A839" s="273"/>
      <c r="B839" s="273"/>
      <c r="C839" s="273"/>
      <c r="D839" s="273"/>
      <c r="E839" s="273"/>
    </row>
    <row r="840">
      <c r="A840" s="273"/>
      <c r="B840" s="273"/>
      <c r="C840" s="273"/>
      <c r="D840" s="273"/>
      <c r="E840" s="273"/>
    </row>
    <row r="841">
      <c r="A841" s="273"/>
      <c r="B841" s="273"/>
      <c r="C841" s="273"/>
      <c r="D841" s="273"/>
      <c r="E841" s="273"/>
    </row>
    <row r="842">
      <c r="A842" s="273"/>
      <c r="B842" s="273"/>
      <c r="C842" s="273"/>
      <c r="D842" s="273"/>
      <c r="E842" s="273"/>
    </row>
    <row r="843">
      <c r="A843" s="273"/>
      <c r="B843" s="273"/>
      <c r="C843" s="273"/>
      <c r="D843" s="273"/>
      <c r="E843" s="273"/>
    </row>
    <row r="844">
      <c r="A844" s="273"/>
      <c r="B844" s="273"/>
      <c r="C844" s="273"/>
      <c r="D844" s="273"/>
      <c r="E844" s="273"/>
    </row>
    <row r="845">
      <c r="A845" s="273"/>
      <c r="B845" s="273"/>
      <c r="C845" s="273"/>
      <c r="D845" s="273"/>
      <c r="E845" s="273"/>
    </row>
    <row r="846">
      <c r="A846" s="273"/>
      <c r="B846" s="273"/>
      <c r="C846" s="273"/>
      <c r="D846" s="273"/>
      <c r="E846" s="273"/>
    </row>
    <row r="847">
      <c r="A847" s="273"/>
      <c r="B847" s="273"/>
      <c r="C847" s="273"/>
      <c r="D847" s="273"/>
      <c r="E847" s="273"/>
    </row>
    <row r="848">
      <c r="A848" s="273"/>
      <c r="B848" s="273"/>
      <c r="C848" s="273"/>
      <c r="D848" s="273"/>
      <c r="E848" s="273"/>
    </row>
    <row r="849">
      <c r="A849" s="273"/>
      <c r="B849" s="273"/>
      <c r="C849" s="273"/>
      <c r="D849" s="273"/>
      <c r="E849" s="273"/>
    </row>
    <row r="850">
      <c r="A850" s="273"/>
      <c r="B850" s="273"/>
      <c r="C850" s="273"/>
      <c r="D850" s="273"/>
      <c r="E850" s="273"/>
    </row>
    <row r="851">
      <c r="A851" s="273"/>
      <c r="B851" s="273"/>
      <c r="C851" s="273"/>
      <c r="D851" s="273"/>
      <c r="E851" s="273"/>
    </row>
    <row r="852">
      <c r="A852" s="273"/>
      <c r="B852" s="273"/>
      <c r="C852" s="273"/>
      <c r="D852" s="273"/>
      <c r="E852" s="273"/>
    </row>
    <row r="853">
      <c r="A853" s="273"/>
      <c r="B853" s="273"/>
      <c r="C853" s="273"/>
      <c r="D853" s="273"/>
      <c r="E853" s="273"/>
    </row>
    <row r="854">
      <c r="A854" s="273"/>
      <c r="B854" s="273"/>
      <c r="C854" s="273"/>
      <c r="D854" s="273"/>
      <c r="E854" s="273"/>
    </row>
    <row r="855">
      <c r="A855" s="273"/>
      <c r="B855" s="273"/>
      <c r="C855" s="273"/>
      <c r="D855" s="273"/>
      <c r="E855" s="273"/>
    </row>
    <row r="856">
      <c r="A856" s="273"/>
      <c r="B856" s="273"/>
      <c r="C856" s="273"/>
      <c r="D856" s="273"/>
      <c r="E856" s="273"/>
    </row>
    <row r="857">
      <c r="A857" s="273"/>
      <c r="B857" s="273"/>
      <c r="C857" s="273"/>
      <c r="D857" s="273"/>
      <c r="E857" s="273"/>
    </row>
    <row r="858">
      <c r="A858" s="273"/>
      <c r="B858" s="273"/>
      <c r="C858" s="273"/>
      <c r="D858" s="273"/>
      <c r="E858" s="273"/>
    </row>
    <row r="859">
      <c r="A859" s="273"/>
      <c r="B859" s="273"/>
      <c r="C859" s="273"/>
      <c r="D859" s="273"/>
      <c r="E859" s="273"/>
    </row>
    <row r="860">
      <c r="A860" s="273"/>
      <c r="B860" s="273"/>
      <c r="C860" s="273"/>
      <c r="D860" s="273"/>
      <c r="E860" s="273"/>
    </row>
    <row r="861">
      <c r="A861" s="273"/>
      <c r="B861" s="273"/>
      <c r="C861" s="273"/>
      <c r="D861" s="273"/>
      <c r="E861" s="273"/>
    </row>
    <row r="862">
      <c r="A862" s="273"/>
      <c r="B862" s="273"/>
      <c r="C862" s="273"/>
      <c r="D862" s="273"/>
      <c r="E862" s="273"/>
    </row>
    <row r="863">
      <c r="A863" s="273"/>
      <c r="B863" s="273"/>
      <c r="C863" s="273"/>
      <c r="D863" s="273"/>
      <c r="E863" s="273"/>
    </row>
    <row r="864">
      <c r="A864" s="273"/>
      <c r="B864" s="273"/>
      <c r="C864" s="273"/>
      <c r="D864" s="273"/>
      <c r="E864" s="273"/>
    </row>
    <row r="865">
      <c r="A865" s="273"/>
      <c r="B865" s="273"/>
      <c r="C865" s="273"/>
      <c r="D865" s="273"/>
      <c r="E865" s="273"/>
    </row>
    <row r="866">
      <c r="A866" s="273"/>
      <c r="B866" s="273"/>
      <c r="C866" s="273"/>
      <c r="D866" s="273"/>
      <c r="E866" s="273"/>
    </row>
    <row r="867">
      <c r="A867" s="273"/>
      <c r="B867" s="273"/>
      <c r="C867" s="273"/>
      <c r="D867" s="273"/>
      <c r="E867" s="273"/>
    </row>
    <row r="868">
      <c r="A868" s="273"/>
      <c r="B868" s="273"/>
      <c r="C868" s="273"/>
      <c r="D868" s="273"/>
      <c r="E868" s="273"/>
    </row>
    <row r="869">
      <c r="A869" s="273"/>
      <c r="B869" s="273"/>
      <c r="C869" s="273"/>
      <c r="D869" s="273"/>
      <c r="E869" s="273"/>
    </row>
    <row r="870">
      <c r="A870" s="273"/>
      <c r="B870" s="273"/>
      <c r="C870" s="273"/>
      <c r="D870" s="273"/>
      <c r="E870" s="273"/>
    </row>
    <row r="871">
      <c r="A871" s="273"/>
      <c r="B871" s="273"/>
      <c r="C871" s="273"/>
      <c r="D871" s="273"/>
      <c r="E871" s="273"/>
    </row>
    <row r="872">
      <c r="A872" s="273"/>
      <c r="B872" s="273"/>
      <c r="C872" s="273"/>
      <c r="D872" s="273"/>
      <c r="E872" s="273"/>
    </row>
    <row r="873">
      <c r="A873" s="273"/>
      <c r="B873" s="273"/>
      <c r="C873" s="273"/>
      <c r="D873" s="273"/>
      <c r="E873" s="273"/>
    </row>
    <row r="874">
      <c r="A874" s="273"/>
      <c r="B874" s="273"/>
      <c r="C874" s="273"/>
      <c r="D874" s="273"/>
      <c r="E874" s="273"/>
    </row>
    <row r="875">
      <c r="A875" s="273"/>
      <c r="B875" s="273"/>
      <c r="C875" s="273"/>
      <c r="D875" s="273"/>
      <c r="E875" s="273"/>
    </row>
    <row r="876">
      <c r="A876" s="273"/>
      <c r="B876" s="273"/>
      <c r="C876" s="273"/>
      <c r="D876" s="273"/>
      <c r="E876" s="273"/>
    </row>
    <row r="877">
      <c r="A877" s="273"/>
      <c r="B877" s="273"/>
      <c r="C877" s="273"/>
      <c r="D877" s="273"/>
      <c r="E877" s="273"/>
    </row>
    <row r="878">
      <c r="A878" s="273"/>
      <c r="B878" s="273"/>
      <c r="C878" s="273"/>
      <c r="D878" s="273"/>
      <c r="E878" s="273"/>
    </row>
    <row r="879">
      <c r="A879" s="273"/>
      <c r="B879" s="273"/>
      <c r="C879" s="273"/>
      <c r="D879" s="273"/>
      <c r="E879" s="273"/>
    </row>
    <row r="880">
      <c r="A880" s="273"/>
      <c r="B880" s="273"/>
      <c r="C880" s="273"/>
      <c r="D880" s="273"/>
      <c r="E880" s="273"/>
    </row>
    <row r="881">
      <c r="A881" s="273"/>
      <c r="B881" s="273"/>
      <c r="C881" s="273"/>
      <c r="D881" s="273"/>
      <c r="E881" s="273"/>
    </row>
    <row r="882">
      <c r="A882" s="273"/>
      <c r="B882" s="273"/>
      <c r="C882" s="273"/>
      <c r="D882" s="273"/>
      <c r="E882" s="273"/>
    </row>
    <row r="883">
      <c r="A883" s="273"/>
      <c r="B883" s="273"/>
      <c r="C883" s="273"/>
      <c r="D883" s="273"/>
      <c r="E883" s="273"/>
    </row>
    <row r="884">
      <c r="A884" s="273"/>
      <c r="B884" s="273"/>
      <c r="C884" s="273"/>
      <c r="D884" s="273"/>
      <c r="E884" s="273"/>
    </row>
    <row r="885">
      <c r="A885" s="273"/>
      <c r="B885" s="273"/>
      <c r="C885" s="273"/>
      <c r="D885" s="273"/>
      <c r="E885" s="273"/>
    </row>
    <row r="886">
      <c r="A886" s="273"/>
      <c r="B886" s="273"/>
      <c r="C886" s="273"/>
      <c r="D886" s="273"/>
      <c r="E886" s="273"/>
    </row>
    <row r="887">
      <c r="A887" s="273"/>
      <c r="B887" s="273"/>
      <c r="C887" s="273"/>
      <c r="D887" s="273"/>
      <c r="E887" s="273"/>
    </row>
    <row r="888">
      <c r="A888" s="273"/>
      <c r="B888" s="273"/>
      <c r="C888" s="273"/>
      <c r="D888" s="273"/>
      <c r="E888" s="273"/>
    </row>
    <row r="889">
      <c r="A889" s="273"/>
      <c r="B889" s="273"/>
      <c r="C889" s="273"/>
      <c r="D889" s="273"/>
      <c r="E889" s="273"/>
    </row>
    <row r="890">
      <c r="A890" s="273"/>
      <c r="B890" s="273"/>
      <c r="C890" s="273"/>
      <c r="D890" s="273"/>
      <c r="E890" s="273"/>
    </row>
    <row r="891">
      <c r="A891" s="273"/>
      <c r="B891" s="273"/>
      <c r="C891" s="273"/>
      <c r="D891" s="273"/>
      <c r="E891" s="273"/>
    </row>
    <row r="892">
      <c r="A892" s="273"/>
      <c r="B892" s="273"/>
      <c r="C892" s="273"/>
      <c r="D892" s="273"/>
      <c r="E892" s="273"/>
    </row>
    <row r="893">
      <c r="A893" s="273"/>
      <c r="B893" s="273"/>
      <c r="C893" s="273"/>
      <c r="D893" s="273"/>
      <c r="E893" s="273"/>
    </row>
    <row r="894">
      <c r="A894" s="273"/>
      <c r="B894" s="273"/>
      <c r="C894" s="273"/>
      <c r="D894" s="273"/>
      <c r="E894" s="273"/>
    </row>
    <row r="895">
      <c r="A895" s="273"/>
      <c r="B895" s="273"/>
      <c r="C895" s="273"/>
      <c r="D895" s="273"/>
      <c r="E895" s="273"/>
    </row>
    <row r="896">
      <c r="A896" s="273"/>
      <c r="B896" s="273"/>
      <c r="C896" s="273"/>
      <c r="D896" s="273"/>
      <c r="E896" s="273"/>
    </row>
    <row r="897">
      <c r="A897" s="273"/>
      <c r="B897" s="273"/>
      <c r="C897" s="273"/>
      <c r="D897" s="273"/>
      <c r="E897" s="273"/>
    </row>
    <row r="898">
      <c r="A898" s="273"/>
      <c r="B898" s="273"/>
      <c r="C898" s="273"/>
      <c r="D898" s="273"/>
      <c r="E898" s="273"/>
    </row>
    <row r="899">
      <c r="A899" s="273"/>
      <c r="B899" s="273"/>
      <c r="C899" s="273"/>
      <c r="D899" s="273"/>
      <c r="E899" s="273"/>
    </row>
    <row r="900">
      <c r="A900" s="273"/>
      <c r="B900" s="273"/>
      <c r="C900" s="273"/>
      <c r="D900" s="273"/>
      <c r="E900" s="273"/>
    </row>
    <row r="901">
      <c r="A901" s="273"/>
      <c r="B901" s="273"/>
      <c r="C901" s="273"/>
      <c r="D901" s="273"/>
      <c r="E901" s="273"/>
    </row>
    <row r="902">
      <c r="A902" s="273"/>
      <c r="B902" s="273"/>
      <c r="C902" s="273"/>
      <c r="D902" s="273"/>
      <c r="E902" s="273"/>
    </row>
    <row r="903">
      <c r="A903" s="273"/>
      <c r="B903" s="273"/>
      <c r="C903" s="273"/>
      <c r="D903" s="273"/>
      <c r="E903" s="273"/>
    </row>
    <row r="904">
      <c r="A904" s="273"/>
      <c r="B904" s="273"/>
      <c r="C904" s="273"/>
      <c r="D904" s="273"/>
      <c r="E904" s="273"/>
    </row>
    <row r="905">
      <c r="A905" s="273"/>
      <c r="B905" s="273"/>
      <c r="C905" s="273"/>
      <c r="D905" s="273"/>
      <c r="E905" s="273"/>
    </row>
    <row r="906">
      <c r="A906" s="273"/>
      <c r="B906" s="273"/>
      <c r="C906" s="273"/>
      <c r="D906" s="273"/>
      <c r="E906" s="273"/>
    </row>
    <row r="907">
      <c r="A907" s="273"/>
      <c r="B907" s="273"/>
      <c r="C907" s="273"/>
      <c r="D907" s="273"/>
      <c r="E907" s="273"/>
    </row>
    <row r="908">
      <c r="A908" s="273"/>
      <c r="B908" s="273"/>
      <c r="C908" s="273"/>
      <c r="D908" s="273"/>
      <c r="E908" s="273"/>
    </row>
    <row r="909">
      <c r="A909" s="273"/>
      <c r="B909" s="273"/>
      <c r="C909" s="273"/>
      <c r="D909" s="273"/>
      <c r="E909" s="273"/>
    </row>
    <row r="910">
      <c r="A910" s="273"/>
      <c r="B910" s="273"/>
      <c r="C910" s="273"/>
      <c r="D910" s="273"/>
      <c r="E910" s="273"/>
    </row>
    <row r="911">
      <c r="A911" s="273"/>
      <c r="B911" s="273"/>
      <c r="C911" s="273"/>
      <c r="D911" s="273"/>
      <c r="E911" s="273"/>
    </row>
    <row r="912">
      <c r="A912" s="273"/>
      <c r="B912" s="273"/>
      <c r="C912" s="273"/>
      <c r="D912" s="273"/>
      <c r="E912" s="273"/>
    </row>
    <row r="913">
      <c r="A913" s="273"/>
      <c r="B913" s="273"/>
      <c r="C913" s="273"/>
      <c r="D913" s="273"/>
      <c r="E913" s="273"/>
    </row>
    <row r="914">
      <c r="A914" s="273"/>
      <c r="B914" s="273"/>
      <c r="C914" s="273"/>
      <c r="D914" s="273"/>
      <c r="E914" s="273"/>
    </row>
    <row r="915">
      <c r="A915" s="273"/>
      <c r="B915" s="273"/>
      <c r="C915" s="273"/>
      <c r="D915" s="273"/>
      <c r="E915" s="273"/>
    </row>
    <row r="916">
      <c r="A916" s="273"/>
      <c r="B916" s="273"/>
      <c r="C916" s="273"/>
      <c r="D916" s="273"/>
      <c r="E916" s="273"/>
    </row>
    <row r="917">
      <c r="A917" s="273"/>
      <c r="B917" s="273"/>
      <c r="C917" s="273"/>
      <c r="D917" s="273"/>
      <c r="E917" s="273"/>
    </row>
    <row r="918">
      <c r="A918" s="273"/>
      <c r="B918" s="273"/>
      <c r="C918" s="273"/>
      <c r="D918" s="273"/>
      <c r="E918" s="273"/>
    </row>
    <row r="919">
      <c r="A919" s="273"/>
      <c r="B919" s="273"/>
      <c r="C919" s="273"/>
      <c r="D919" s="273"/>
      <c r="E919" s="273"/>
    </row>
    <row r="920">
      <c r="A920" s="273"/>
      <c r="B920" s="273"/>
      <c r="C920" s="273"/>
      <c r="D920" s="273"/>
      <c r="E920" s="273"/>
    </row>
    <row r="921">
      <c r="A921" s="273"/>
      <c r="B921" s="273"/>
      <c r="C921" s="273"/>
      <c r="D921" s="273"/>
      <c r="E921" s="273"/>
    </row>
    <row r="922">
      <c r="A922" s="273"/>
      <c r="B922" s="273"/>
      <c r="C922" s="273"/>
      <c r="D922" s="273"/>
      <c r="E922" s="273"/>
    </row>
    <row r="923">
      <c r="A923" s="273"/>
      <c r="B923" s="273"/>
      <c r="C923" s="273"/>
      <c r="D923" s="273"/>
      <c r="E923" s="273"/>
    </row>
    <row r="924">
      <c r="A924" s="273"/>
      <c r="B924" s="273"/>
      <c r="C924" s="273"/>
      <c r="D924" s="273"/>
      <c r="E924" s="273"/>
    </row>
    <row r="925">
      <c r="A925" s="273"/>
      <c r="B925" s="273"/>
      <c r="C925" s="273"/>
      <c r="D925" s="273"/>
      <c r="E925" s="273"/>
    </row>
    <row r="926">
      <c r="A926" s="273"/>
      <c r="B926" s="273"/>
      <c r="C926" s="273"/>
      <c r="D926" s="273"/>
      <c r="E926" s="273"/>
    </row>
    <row r="927">
      <c r="A927" s="273"/>
      <c r="B927" s="273"/>
      <c r="C927" s="273"/>
      <c r="D927" s="273"/>
      <c r="E927" s="273"/>
    </row>
    <row r="928">
      <c r="A928" s="273"/>
      <c r="B928" s="273"/>
      <c r="C928" s="273"/>
      <c r="D928" s="273"/>
      <c r="E928" s="273"/>
    </row>
    <row r="929">
      <c r="A929" s="273"/>
      <c r="B929" s="273"/>
      <c r="C929" s="273"/>
      <c r="D929" s="273"/>
      <c r="E929" s="273"/>
    </row>
    <row r="930">
      <c r="A930" s="273"/>
      <c r="B930" s="273"/>
      <c r="C930" s="273"/>
      <c r="D930" s="273"/>
      <c r="E930" s="273"/>
    </row>
    <row r="931">
      <c r="A931" s="273"/>
      <c r="B931" s="273"/>
      <c r="C931" s="273"/>
      <c r="D931" s="273"/>
      <c r="E931" s="273"/>
    </row>
    <row r="932">
      <c r="A932" s="273"/>
      <c r="B932" s="273"/>
      <c r="C932" s="273"/>
      <c r="D932" s="273"/>
      <c r="E932" s="273"/>
    </row>
    <row r="933">
      <c r="A933" s="273"/>
      <c r="B933" s="273"/>
      <c r="C933" s="273"/>
      <c r="D933" s="273"/>
      <c r="E933" s="273"/>
    </row>
    <row r="934">
      <c r="A934" s="273"/>
      <c r="B934" s="273"/>
      <c r="C934" s="273"/>
      <c r="D934" s="273"/>
      <c r="E934" s="273"/>
    </row>
    <row r="935">
      <c r="A935" s="273"/>
      <c r="B935" s="273"/>
      <c r="C935" s="273"/>
      <c r="D935" s="273"/>
      <c r="E935" s="273"/>
    </row>
    <row r="936">
      <c r="A936" s="273"/>
      <c r="B936" s="273"/>
      <c r="C936" s="273"/>
      <c r="D936" s="273"/>
      <c r="E936" s="273"/>
    </row>
    <row r="937">
      <c r="A937" s="273"/>
      <c r="B937" s="273"/>
      <c r="C937" s="273"/>
      <c r="D937" s="273"/>
      <c r="E937" s="273"/>
    </row>
    <row r="938">
      <c r="A938" s="273"/>
      <c r="B938" s="273"/>
      <c r="C938" s="273"/>
      <c r="D938" s="273"/>
      <c r="E938" s="273"/>
    </row>
    <row r="939">
      <c r="A939" s="273"/>
      <c r="B939" s="273"/>
      <c r="C939" s="273"/>
      <c r="D939" s="273"/>
      <c r="E939" s="273"/>
    </row>
    <row r="940">
      <c r="A940" s="273"/>
      <c r="B940" s="273"/>
      <c r="C940" s="273"/>
      <c r="D940" s="273"/>
      <c r="E940" s="273"/>
    </row>
    <row r="941">
      <c r="A941" s="273"/>
      <c r="B941" s="273"/>
      <c r="C941" s="273"/>
      <c r="D941" s="273"/>
      <c r="E941" s="273"/>
    </row>
    <row r="942">
      <c r="A942" s="273"/>
      <c r="B942" s="273"/>
      <c r="C942" s="273"/>
      <c r="D942" s="273"/>
      <c r="E942" s="273"/>
    </row>
    <row r="943">
      <c r="A943" s="273"/>
      <c r="B943" s="273"/>
      <c r="C943" s="273"/>
      <c r="D943" s="273"/>
      <c r="E943" s="273"/>
    </row>
    <row r="944">
      <c r="A944" s="273"/>
      <c r="B944" s="273"/>
      <c r="C944" s="273"/>
      <c r="D944" s="273"/>
      <c r="E944" s="273"/>
    </row>
    <row r="945">
      <c r="A945" s="273"/>
      <c r="B945" s="273"/>
      <c r="C945" s="273"/>
      <c r="D945" s="273"/>
      <c r="E945" s="273"/>
    </row>
    <row r="946">
      <c r="A946" s="273"/>
      <c r="B946" s="273"/>
      <c r="C946" s="273"/>
      <c r="D946" s="273"/>
      <c r="E946" s="273"/>
    </row>
    <row r="947">
      <c r="A947" s="273"/>
      <c r="B947" s="273"/>
      <c r="C947" s="273"/>
      <c r="D947" s="273"/>
      <c r="E947" s="273"/>
    </row>
    <row r="948">
      <c r="A948" s="273"/>
      <c r="B948" s="273"/>
      <c r="C948" s="273"/>
      <c r="D948" s="273"/>
      <c r="E948" s="273"/>
    </row>
    <row r="949">
      <c r="A949" s="273"/>
      <c r="B949" s="273"/>
      <c r="C949" s="273"/>
      <c r="D949" s="273"/>
      <c r="E949" s="273"/>
    </row>
    <row r="950">
      <c r="A950" s="273"/>
      <c r="B950" s="273"/>
      <c r="C950" s="273"/>
      <c r="D950" s="273"/>
      <c r="E950" s="273"/>
    </row>
    <row r="951">
      <c r="A951" s="273"/>
      <c r="B951" s="273"/>
      <c r="C951" s="273"/>
      <c r="D951" s="273"/>
      <c r="E951" s="273"/>
    </row>
    <row r="952">
      <c r="A952" s="273"/>
      <c r="B952" s="273"/>
      <c r="C952" s="273"/>
      <c r="D952" s="273"/>
      <c r="E952" s="273"/>
    </row>
    <row r="953">
      <c r="A953" s="273"/>
      <c r="B953" s="273"/>
      <c r="C953" s="273"/>
      <c r="D953" s="273"/>
      <c r="E953" s="273"/>
    </row>
    <row r="954">
      <c r="A954" s="273"/>
      <c r="B954" s="273"/>
      <c r="C954" s="273"/>
      <c r="D954" s="273"/>
      <c r="E954" s="273"/>
    </row>
    <row r="955">
      <c r="A955" s="273"/>
      <c r="B955" s="273"/>
      <c r="C955" s="273"/>
      <c r="D955" s="273"/>
      <c r="E955" s="273"/>
    </row>
    <row r="956">
      <c r="A956" s="273"/>
      <c r="B956" s="273"/>
      <c r="C956" s="273"/>
      <c r="D956" s="273"/>
      <c r="E956" s="273"/>
    </row>
    <row r="957">
      <c r="A957" s="273"/>
      <c r="B957" s="273"/>
      <c r="C957" s="273"/>
      <c r="D957" s="273"/>
      <c r="E957" s="273"/>
    </row>
    <row r="958">
      <c r="A958" s="273"/>
      <c r="B958" s="273"/>
      <c r="C958" s="273"/>
      <c r="D958" s="273"/>
      <c r="E958" s="273"/>
    </row>
    <row r="959">
      <c r="A959" s="273"/>
      <c r="B959" s="273"/>
      <c r="C959" s="273"/>
      <c r="D959" s="273"/>
      <c r="E959" s="273"/>
    </row>
    <row r="960">
      <c r="A960" s="273"/>
      <c r="B960" s="273"/>
      <c r="C960" s="273"/>
      <c r="D960" s="273"/>
      <c r="E960" s="273"/>
    </row>
    <row r="961">
      <c r="A961" s="273"/>
      <c r="B961" s="273"/>
      <c r="C961" s="273"/>
      <c r="D961" s="273"/>
      <c r="E961" s="273"/>
    </row>
    <row r="962">
      <c r="A962" s="273"/>
      <c r="B962" s="273"/>
      <c r="C962" s="273"/>
      <c r="D962" s="273"/>
      <c r="E962" s="273"/>
    </row>
    <row r="963">
      <c r="A963" s="273"/>
      <c r="B963" s="273"/>
      <c r="C963" s="273"/>
      <c r="D963" s="273"/>
      <c r="E963" s="273"/>
    </row>
    <row r="964">
      <c r="A964" s="273"/>
      <c r="B964" s="273"/>
      <c r="C964" s="273"/>
      <c r="D964" s="273"/>
      <c r="E964" s="273"/>
    </row>
    <row r="965">
      <c r="A965" s="273"/>
      <c r="B965" s="273"/>
      <c r="C965" s="273"/>
      <c r="D965" s="273"/>
      <c r="E965" s="273"/>
    </row>
    <row r="966">
      <c r="A966" s="273"/>
      <c r="B966" s="273"/>
      <c r="C966" s="273"/>
      <c r="D966" s="273"/>
      <c r="E966" s="273"/>
    </row>
    <row r="967">
      <c r="A967" s="273"/>
      <c r="B967" s="273"/>
      <c r="C967" s="273"/>
      <c r="D967" s="273"/>
      <c r="E967" s="273"/>
    </row>
    <row r="968">
      <c r="A968" s="273"/>
      <c r="B968" s="273"/>
      <c r="C968" s="273"/>
      <c r="D968" s="273"/>
      <c r="E968" s="273"/>
    </row>
    <row r="969">
      <c r="A969" s="273"/>
      <c r="B969" s="273"/>
      <c r="C969" s="273"/>
      <c r="D969" s="273"/>
      <c r="E969" s="273"/>
    </row>
    <row r="970">
      <c r="A970" s="273"/>
      <c r="B970" s="273"/>
      <c r="C970" s="273"/>
      <c r="D970" s="273"/>
      <c r="E970" s="273"/>
    </row>
    <row r="971">
      <c r="A971" s="273"/>
      <c r="B971" s="273"/>
      <c r="C971" s="273"/>
      <c r="D971" s="273"/>
      <c r="E971" s="273"/>
    </row>
    <row r="972">
      <c r="A972" s="273"/>
      <c r="B972" s="273"/>
      <c r="C972" s="273"/>
      <c r="D972" s="273"/>
      <c r="E972" s="273"/>
    </row>
    <row r="973">
      <c r="A973" s="273"/>
      <c r="B973" s="273"/>
      <c r="C973" s="273"/>
      <c r="D973" s="273"/>
      <c r="E973" s="273"/>
    </row>
    <row r="974">
      <c r="A974" s="273"/>
      <c r="B974" s="273"/>
      <c r="C974" s="273"/>
      <c r="D974" s="273"/>
      <c r="E974" s="273"/>
    </row>
    <row r="975">
      <c r="A975" s="273"/>
      <c r="B975" s="273"/>
      <c r="C975" s="273"/>
      <c r="D975" s="273"/>
      <c r="E975" s="273"/>
    </row>
    <row r="976">
      <c r="A976" s="273"/>
      <c r="B976" s="273"/>
      <c r="C976" s="273"/>
      <c r="D976" s="273"/>
      <c r="E976" s="273"/>
    </row>
    <row r="977">
      <c r="A977" s="273"/>
      <c r="B977" s="273"/>
      <c r="C977" s="273"/>
      <c r="D977" s="273"/>
      <c r="E977" s="273"/>
    </row>
    <row r="978">
      <c r="A978" s="273"/>
      <c r="B978" s="273"/>
      <c r="C978" s="273"/>
      <c r="D978" s="273"/>
      <c r="E978" s="273"/>
    </row>
    <row r="979">
      <c r="A979" s="273"/>
      <c r="B979" s="273"/>
      <c r="C979" s="273"/>
      <c r="D979" s="273"/>
      <c r="E979" s="273"/>
    </row>
    <row r="980">
      <c r="A980" s="273"/>
      <c r="B980" s="273"/>
      <c r="C980" s="273"/>
      <c r="D980" s="273"/>
      <c r="E980" s="273"/>
    </row>
    <row r="981">
      <c r="A981" s="273"/>
      <c r="B981" s="273"/>
      <c r="C981" s="273"/>
      <c r="D981" s="273"/>
      <c r="E981" s="273"/>
    </row>
    <row r="982">
      <c r="A982" s="273"/>
      <c r="B982" s="273"/>
      <c r="C982" s="273"/>
      <c r="D982" s="273"/>
      <c r="E982" s="273"/>
    </row>
    <row r="983">
      <c r="A983" s="273"/>
      <c r="B983" s="273"/>
      <c r="C983" s="273"/>
      <c r="D983" s="273"/>
      <c r="E983" s="273"/>
    </row>
    <row r="984">
      <c r="A984" s="273"/>
      <c r="B984" s="273"/>
      <c r="C984" s="273"/>
      <c r="D984" s="273"/>
      <c r="E984" s="273"/>
    </row>
    <row r="985">
      <c r="A985" s="273"/>
      <c r="B985" s="273"/>
      <c r="C985" s="273"/>
      <c r="D985" s="273"/>
      <c r="E985" s="273"/>
    </row>
    <row r="986">
      <c r="A986" s="273"/>
      <c r="B986" s="273"/>
      <c r="C986" s="273"/>
      <c r="D986" s="273"/>
      <c r="E986" s="273"/>
    </row>
    <row r="987">
      <c r="A987" s="273"/>
      <c r="B987" s="273"/>
      <c r="C987" s="273"/>
      <c r="D987" s="273"/>
      <c r="E987" s="273"/>
    </row>
    <row r="988">
      <c r="A988" s="273"/>
      <c r="B988" s="273"/>
      <c r="C988" s="273"/>
      <c r="D988" s="273"/>
      <c r="E988" s="273"/>
    </row>
    <row r="989">
      <c r="A989" s="273"/>
      <c r="B989" s="273"/>
      <c r="C989" s="273"/>
      <c r="D989" s="273"/>
      <c r="E989" s="273"/>
    </row>
    <row r="990">
      <c r="A990" s="273"/>
      <c r="B990" s="273"/>
      <c r="C990" s="273"/>
      <c r="D990" s="273"/>
      <c r="E990" s="273"/>
    </row>
    <row r="991">
      <c r="A991" s="273"/>
      <c r="B991" s="273"/>
      <c r="C991" s="273"/>
      <c r="D991" s="273"/>
      <c r="E991" s="273"/>
    </row>
    <row r="992">
      <c r="A992" s="273"/>
      <c r="B992" s="273"/>
      <c r="C992" s="273"/>
      <c r="D992" s="273"/>
      <c r="E992" s="273"/>
    </row>
    <row r="993">
      <c r="A993" s="273"/>
      <c r="B993" s="273"/>
      <c r="C993" s="273"/>
      <c r="D993" s="273"/>
      <c r="E993" s="273"/>
    </row>
    <row r="994">
      <c r="A994" s="273"/>
      <c r="B994" s="273"/>
      <c r="C994" s="273"/>
      <c r="D994" s="273"/>
      <c r="E994" s="273"/>
    </row>
    <row r="995">
      <c r="A995" s="273"/>
      <c r="B995" s="273"/>
      <c r="C995" s="273"/>
      <c r="D995" s="273"/>
      <c r="E995" s="273"/>
    </row>
    <row r="996">
      <c r="A996" s="273"/>
      <c r="B996" s="273"/>
      <c r="C996" s="273"/>
      <c r="D996" s="273"/>
      <c r="E996" s="273"/>
    </row>
    <row r="997">
      <c r="A997" s="273"/>
      <c r="B997" s="273"/>
      <c r="C997" s="273"/>
      <c r="D997" s="273"/>
      <c r="E997" s="273"/>
    </row>
    <row r="998">
      <c r="A998" s="273"/>
      <c r="B998" s="273"/>
      <c r="C998" s="273"/>
      <c r="D998" s="273"/>
      <c r="E998" s="273"/>
    </row>
    <row r="999">
      <c r="A999" s="273"/>
      <c r="B999" s="273"/>
      <c r="C999" s="273"/>
      <c r="D999" s="273"/>
      <c r="E999" s="273"/>
    </row>
    <row r="1000">
      <c r="A1000" s="273"/>
      <c r="B1000" s="273"/>
      <c r="C1000" s="273"/>
      <c r="D1000" s="273"/>
      <c r="E1000" s="273"/>
    </row>
  </sheetData>
  <hyperlinks>
    <hyperlink r:id="rId1" ref="D3"/>
    <hyperlink r:id="rId2" ref="D8"/>
    <hyperlink r:id="rId3" ref="D10"/>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hidden="1" min="1" max="2" width="20.88"/>
    <col customWidth="1" min="3" max="3" width="3.88"/>
    <col customWidth="1" min="4" max="4" width="25.13"/>
    <col customWidth="1" min="5" max="6" width="12.63"/>
    <col customWidth="1" hidden="1" min="7" max="7" width="12.63"/>
    <col customWidth="1" min="8" max="8" width="6.38"/>
    <col customWidth="1" min="9" max="9" width="25.13"/>
    <col customWidth="1" min="10" max="11" width="12.63"/>
    <col customWidth="1" hidden="1" min="12" max="12" width="12.63"/>
    <col customWidth="1" min="13" max="13" width="6.38"/>
    <col customWidth="1" min="14" max="14" width="25.13"/>
    <col customWidth="1" min="15" max="16" width="12.63"/>
    <col customWidth="1" hidden="1" min="17" max="17" width="12.63"/>
    <col customWidth="1" min="18" max="18" width="6.25"/>
    <col customWidth="1" min="19" max="19" width="25.13"/>
    <col customWidth="1" min="20" max="21" width="12.63"/>
    <col customWidth="1" hidden="1" min="22" max="22" width="12.63"/>
    <col customWidth="1" min="23" max="23" width="6.38"/>
    <col customWidth="1" min="24" max="24" width="25.13"/>
    <col customWidth="1" min="25" max="26" width="12.63"/>
    <col customWidth="1" hidden="1" min="27" max="27" width="12.63"/>
    <col customWidth="1" min="28" max="28" width="6.38"/>
    <col customWidth="1" min="29" max="29" width="25.13"/>
    <col customWidth="1" min="30" max="31" width="12.63"/>
    <col customWidth="1" hidden="1" min="32" max="32" width="12.63"/>
    <col customWidth="1" min="33" max="33" width="7.13"/>
    <col customWidth="1" min="34" max="34" width="25.13"/>
    <col customWidth="1" min="35" max="36" width="12.63"/>
    <col customWidth="1" hidden="1" min="37" max="37" width="12.63"/>
    <col customWidth="1" min="38" max="38" width="7.13"/>
    <col customWidth="1" min="39" max="39" width="25.13"/>
    <col customWidth="1" min="40" max="41" width="12.63"/>
    <col customWidth="1" hidden="1" min="42" max="42" width="12.63"/>
    <col customWidth="1" min="43" max="43" width="7.13"/>
    <col customWidth="1" min="44" max="44" width="25.13"/>
    <col customWidth="1" min="45" max="46" width="12.63"/>
    <col customWidth="1" hidden="1" min="47" max="47" width="12.63"/>
    <col customWidth="1" min="48" max="48" width="12.63"/>
    <col customWidth="1" min="49" max="49" width="25.13"/>
    <col customWidth="1" min="50" max="51" width="12.63"/>
    <col customWidth="1" hidden="1" min="52" max="52" width="12.63"/>
    <col customWidth="1" min="53" max="53" width="12.63"/>
    <col customWidth="1" min="54" max="54" width="25.13"/>
    <col customWidth="1" min="55" max="56" width="12.63"/>
    <col customWidth="1" hidden="1" min="57" max="57" width="12.63"/>
    <col customWidth="1" min="58" max="58" width="12.63"/>
    <col customWidth="1" min="59" max="59" width="25.13"/>
    <col customWidth="1" min="60" max="61" width="12.63"/>
    <col customWidth="1" hidden="1" min="62" max="62" width="12.63"/>
    <col customWidth="1" min="63" max="68" width="12.63"/>
  </cols>
  <sheetData>
    <row r="1">
      <c r="A1" s="275">
        <f>today()</f>
        <v>45991</v>
      </c>
      <c r="B1" s="276"/>
      <c r="C1" s="277"/>
      <c r="D1" s="278" t="s">
        <v>16</v>
      </c>
      <c r="E1" s="279"/>
      <c r="F1" s="279"/>
      <c r="G1" s="279"/>
      <c r="H1" s="280"/>
      <c r="I1" s="280"/>
      <c r="J1" s="279"/>
      <c r="K1" s="279"/>
      <c r="L1" s="279"/>
      <c r="M1" s="280"/>
      <c r="N1" s="277" t="s">
        <v>145</v>
      </c>
      <c r="O1" s="279"/>
      <c r="P1" s="279"/>
      <c r="Q1" s="279"/>
      <c r="R1" s="280"/>
      <c r="S1" s="280"/>
      <c r="T1" s="281"/>
      <c r="U1" s="281"/>
      <c r="V1" s="281"/>
      <c r="W1" s="280"/>
      <c r="X1" s="279"/>
      <c r="Y1" s="281"/>
      <c r="Z1" s="281"/>
      <c r="AA1" s="281"/>
      <c r="AB1" s="280"/>
      <c r="AC1" s="279"/>
      <c r="AD1" s="281"/>
      <c r="AE1" s="281"/>
      <c r="AF1" s="281"/>
      <c r="AG1" s="280"/>
      <c r="AH1" s="279"/>
      <c r="AI1" s="281"/>
      <c r="AJ1" s="281"/>
      <c r="AK1" s="281"/>
      <c r="AL1" s="280"/>
      <c r="AM1" s="279"/>
      <c r="AN1" s="281"/>
      <c r="AO1" s="281"/>
      <c r="AP1" s="281"/>
      <c r="AQ1" s="280"/>
      <c r="AR1" s="279"/>
      <c r="AS1" s="281"/>
      <c r="AT1" s="281"/>
      <c r="AU1" s="281"/>
      <c r="AV1" s="280"/>
      <c r="AW1" s="279"/>
      <c r="AX1" s="281"/>
      <c r="AY1" s="281"/>
      <c r="AZ1" s="281"/>
      <c r="BA1" s="280"/>
      <c r="BB1" s="279"/>
      <c r="BC1" s="281"/>
      <c r="BD1" s="281"/>
      <c r="BE1" s="281"/>
      <c r="BF1" s="280"/>
      <c r="BG1" s="279"/>
      <c r="BH1" s="281"/>
      <c r="BI1" s="281"/>
      <c r="BJ1" s="281"/>
      <c r="BK1" s="281"/>
      <c r="BL1" s="281"/>
      <c r="BM1" s="281"/>
      <c r="BN1" s="281"/>
      <c r="BO1" s="281"/>
      <c r="BP1" s="281"/>
    </row>
    <row r="2">
      <c r="A2" s="11"/>
      <c r="B2" s="183"/>
      <c r="C2" s="12"/>
      <c r="D2" s="12"/>
      <c r="E2" s="12"/>
      <c r="F2" s="12"/>
      <c r="G2" s="12"/>
      <c r="H2" s="11"/>
      <c r="I2" s="11"/>
      <c r="J2" s="12"/>
      <c r="K2" s="12"/>
      <c r="L2" s="12"/>
      <c r="M2" s="11"/>
      <c r="N2" s="12"/>
      <c r="O2" s="12"/>
      <c r="P2" s="12"/>
      <c r="Q2" s="12"/>
      <c r="R2" s="11"/>
      <c r="S2" s="11"/>
      <c r="T2" s="184"/>
      <c r="U2" s="184"/>
      <c r="V2" s="184"/>
      <c r="W2" s="11"/>
      <c r="X2" s="12"/>
      <c r="Y2" s="184"/>
      <c r="Z2" s="184"/>
      <c r="AA2" s="184"/>
      <c r="AB2" s="11"/>
      <c r="AC2" s="12"/>
      <c r="AD2" s="184"/>
      <c r="AE2" s="184"/>
      <c r="AF2" s="184"/>
      <c r="AG2" s="11"/>
      <c r="AH2" s="12"/>
      <c r="AI2" s="184"/>
      <c r="AJ2" s="184"/>
      <c r="AK2" s="184"/>
      <c r="AL2" s="11"/>
      <c r="AM2" s="12"/>
      <c r="AN2" s="184"/>
      <c r="AO2" s="184"/>
      <c r="AP2" s="184"/>
      <c r="AQ2" s="11"/>
      <c r="AR2" s="12"/>
      <c r="AS2" s="184"/>
      <c r="AT2" s="184"/>
      <c r="AU2" s="184"/>
      <c r="AV2" s="11"/>
      <c r="AW2" s="12"/>
      <c r="AX2" s="184"/>
      <c r="AY2" s="184"/>
      <c r="AZ2" s="184"/>
      <c r="BA2" s="11"/>
      <c r="BB2" s="12"/>
      <c r="BC2" s="184"/>
      <c r="BD2" s="184"/>
      <c r="BE2" s="184"/>
      <c r="BF2" s="11"/>
      <c r="BG2" s="12"/>
      <c r="BH2" s="184"/>
      <c r="BI2" s="184"/>
      <c r="BJ2" s="184"/>
      <c r="BK2" s="184"/>
      <c r="BL2" s="184"/>
      <c r="BM2" s="184"/>
      <c r="BN2" s="184"/>
      <c r="BO2" s="184"/>
      <c r="BP2" s="184"/>
    </row>
    <row r="3">
      <c r="A3" s="12"/>
      <c r="B3" s="185"/>
      <c r="C3" s="12"/>
      <c r="D3" s="12" t="str">
        <f t="array" ref="D3:D5">index(A3:A5,0)</f>
        <v/>
      </c>
      <c r="E3" s="12"/>
      <c r="F3" s="12"/>
      <c r="G3" s="12"/>
      <c r="H3" s="11"/>
      <c r="I3" s="11"/>
      <c r="J3" s="12"/>
      <c r="K3" s="12"/>
      <c r="L3" s="12"/>
      <c r="M3" s="11"/>
      <c r="N3" s="12"/>
      <c r="O3" s="12"/>
      <c r="P3" s="12"/>
      <c r="Q3" s="12"/>
      <c r="R3" s="11"/>
      <c r="S3" s="11"/>
      <c r="T3" s="184"/>
      <c r="U3" s="184"/>
      <c r="V3" s="184"/>
      <c r="W3" s="11"/>
      <c r="X3" s="12"/>
      <c r="Y3" s="184"/>
      <c r="Z3" s="184"/>
      <c r="AA3" s="184"/>
      <c r="AB3" s="11"/>
      <c r="AC3" s="12"/>
      <c r="AD3" s="184"/>
      <c r="AE3" s="184"/>
      <c r="AF3" s="184"/>
      <c r="AG3" s="11"/>
      <c r="AH3" s="12"/>
      <c r="AI3" s="184"/>
      <c r="AJ3" s="184"/>
      <c r="AK3" s="184"/>
      <c r="AL3" s="11"/>
      <c r="AM3" s="12"/>
      <c r="AN3" s="184"/>
      <c r="AO3" s="184"/>
      <c r="AP3" s="184"/>
      <c r="AQ3" s="11"/>
      <c r="AR3" s="12"/>
      <c r="AS3" s="184"/>
      <c r="AT3" s="184"/>
      <c r="AU3" s="184"/>
      <c r="AV3" s="11"/>
      <c r="AW3" s="12"/>
      <c r="AX3" s="184"/>
      <c r="AY3" s="184"/>
      <c r="AZ3" s="184"/>
      <c r="BA3" s="11"/>
      <c r="BB3" s="12"/>
      <c r="BC3" s="184"/>
      <c r="BD3" s="184"/>
      <c r="BE3" s="184"/>
      <c r="BF3" s="11"/>
      <c r="BG3" s="12"/>
      <c r="BH3" s="184"/>
      <c r="BI3" s="184"/>
      <c r="BJ3" s="184"/>
      <c r="BK3" s="184"/>
      <c r="BL3" s="184"/>
      <c r="BM3" s="184"/>
      <c r="BN3" s="184"/>
      <c r="BO3" s="184"/>
      <c r="BP3" s="184"/>
    </row>
    <row r="4">
      <c r="A4" s="186" t="s">
        <v>28</v>
      </c>
      <c r="B4" s="185"/>
      <c r="C4" s="12"/>
      <c r="D4" s="12" t="s">
        <v>28</v>
      </c>
      <c r="E4" s="12"/>
      <c r="F4" s="12"/>
      <c r="G4" s="12"/>
      <c r="H4" s="11"/>
      <c r="I4" s="11"/>
      <c r="J4" s="12"/>
      <c r="K4" s="12"/>
      <c r="L4" s="12"/>
      <c r="M4" s="11"/>
      <c r="N4" s="12"/>
      <c r="O4" s="12"/>
      <c r="P4" s="12"/>
      <c r="Q4" s="12"/>
      <c r="R4" s="11"/>
      <c r="S4" s="11"/>
      <c r="T4" s="184"/>
      <c r="U4" s="184"/>
      <c r="V4" s="184"/>
      <c r="W4" s="11"/>
      <c r="X4" s="12"/>
      <c r="Y4" s="184"/>
      <c r="Z4" s="184"/>
      <c r="AA4" s="184"/>
      <c r="AB4" s="11"/>
      <c r="AC4" s="12"/>
      <c r="AD4" s="184"/>
      <c r="AE4" s="184"/>
      <c r="AF4" s="184"/>
      <c r="AG4" s="11"/>
      <c r="AH4" s="12"/>
      <c r="AI4" s="184"/>
      <c r="AJ4" s="184"/>
      <c r="AK4" s="184"/>
      <c r="AL4" s="11"/>
      <c r="AM4" s="12"/>
      <c r="AN4" s="184"/>
      <c r="AO4" s="184"/>
      <c r="AP4" s="184"/>
      <c r="AQ4" s="11"/>
      <c r="AR4" s="12"/>
      <c r="AS4" s="184"/>
      <c r="AT4" s="184"/>
      <c r="AU4" s="184"/>
      <c r="AV4" s="11"/>
      <c r="AW4" s="12"/>
      <c r="AX4" s="184"/>
      <c r="AY4" s="184"/>
      <c r="AZ4" s="184"/>
      <c r="BA4" s="11"/>
      <c r="BB4" s="12"/>
      <c r="BC4" s="184"/>
      <c r="BD4" s="184"/>
      <c r="BE4" s="184"/>
      <c r="BF4" s="11"/>
      <c r="BG4" s="12"/>
      <c r="BH4" s="184"/>
      <c r="BI4" s="184"/>
      <c r="BJ4" s="184"/>
      <c r="BK4" s="184"/>
      <c r="BL4" s="184"/>
      <c r="BM4" s="184"/>
      <c r="BN4" s="184"/>
      <c r="BO4" s="184"/>
      <c r="BP4" s="184"/>
    </row>
    <row r="5" ht="225.0" customHeight="1">
      <c r="A5" s="187" t="str">
        <f>$A$7 &amp; $A$8 &amp; CHAR(10) &amp; $A$10 &amp; CHAR(10) &amp; CHAR(10) &amp; $A$11</f>
        <v>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v>
      </c>
      <c r="B5" s="188" t="str">
        <f>"【お直し来店済み】" &amp; CHAR(10) &amp; 
 "来店⽇時：" &amp; text($A$1," yyyy/mm/dd")&amp; CHAR(10) &amp;
 "来店店舗：" &amp; $D$1 &amp; CHAR(10) &amp; CHAR(10) &amp;
 "お直し着地：" &amp; CHAR(10) &amp; $A$10</f>
        <v>【お直し来店済み】
来店⽇時： 2025/11/30
来店店舗：有楽町
お直し着地：
</v>
      </c>
      <c r="C5" s="12"/>
      <c r="D5" s="189" t="s">
        <v>146</v>
      </c>
      <c r="H5" s="11"/>
      <c r="I5" s="190" t="str">
        <f>"【お直し来店済み】" &amp; CHAR(10) &amp; 
 "来店⽇時：" &amp; text($A$1," yyyy/mm/dd")&amp; CHAR(10) &amp;
 "来店店舗：" &amp; $D$1 &amp; CHAR(10) &amp; CHAR(10) &amp;
 "お直し着地：" &amp; CHAR(10) &amp; $A$10</f>
        <v>【お直し来店済み】
来店⽇時： 2025/11/30
来店店舗：有楽町
お直し着地：
</v>
      </c>
      <c r="J5" s="12"/>
      <c r="K5" s="191" t="s">
        <v>30</v>
      </c>
      <c r="L5" s="12"/>
      <c r="M5" s="11"/>
      <c r="N5" s="12"/>
      <c r="O5" s="12"/>
      <c r="P5" s="12"/>
      <c r="Q5" s="12"/>
      <c r="R5" s="11"/>
      <c r="S5" s="11"/>
      <c r="T5" s="184"/>
      <c r="U5" s="184"/>
      <c r="V5" s="184"/>
      <c r="W5" s="11"/>
      <c r="X5" s="12"/>
      <c r="Y5" s="184"/>
      <c r="Z5" s="184"/>
      <c r="AA5" s="184"/>
      <c r="AB5" s="11"/>
      <c r="AC5" s="12"/>
      <c r="AD5" s="184"/>
      <c r="AE5" s="184"/>
      <c r="AF5" s="184"/>
      <c r="AG5" s="11"/>
      <c r="AH5" s="12"/>
      <c r="AI5" s="184"/>
      <c r="AJ5" s="184"/>
      <c r="AK5" s="184"/>
      <c r="AL5" s="11"/>
      <c r="AM5" s="12"/>
      <c r="AN5" s="184"/>
      <c r="AO5" s="184"/>
      <c r="AP5" s="184"/>
      <c r="AQ5" s="11"/>
      <c r="AR5" s="12"/>
      <c r="AS5" s="184"/>
      <c r="AT5" s="184"/>
      <c r="AU5" s="184"/>
      <c r="AV5" s="11"/>
      <c r="AW5" s="12"/>
      <c r="AX5" s="184"/>
      <c r="AY5" s="184"/>
      <c r="AZ5" s="184"/>
      <c r="BA5" s="11"/>
      <c r="BB5" s="12"/>
      <c r="BC5" s="184"/>
      <c r="BD5" s="184"/>
      <c r="BE5" s="184"/>
      <c r="BF5" s="11"/>
      <c r="BG5" s="12"/>
      <c r="BH5" s="184"/>
      <c r="BI5" s="184"/>
      <c r="BJ5" s="184"/>
      <c r="BK5" s="184"/>
      <c r="BL5" s="184"/>
      <c r="BM5" s="184"/>
      <c r="BN5" s="184"/>
      <c r="BO5" s="184"/>
      <c r="BP5" s="184"/>
    </row>
    <row r="6">
      <c r="A6" s="12"/>
      <c r="B6" s="186"/>
      <c r="C6" s="12"/>
      <c r="D6" s="12"/>
      <c r="E6" s="12"/>
      <c r="F6" s="12"/>
      <c r="G6" s="12"/>
      <c r="H6" s="11"/>
      <c r="I6" s="11"/>
      <c r="J6" s="12"/>
      <c r="K6" s="12"/>
      <c r="L6" s="12"/>
      <c r="M6" s="11"/>
      <c r="N6" s="12"/>
      <c r="O6" s="12"/>
      <c r="P6" s="12"/>
      <c r="Q6" s="12"/>
      <c r="R6" s="11"/>
      <c r="S6" s="11"/>
      <c r="T6" s="184"/>
      <c r="U6" s="184"/>
      <c r="V6" s="184"/>
      <c r="W6" s="11"/>
      <c r="X6" s="12"/>
      <c r="Y6" s="184"/>
      <c r="Z6" s="184"/>
      <c r="AA6" s="184"/>
      <c r="AB6" s="11"/>
      <c r="AC6" s="12"/>
      <c r="AD6" s="184"/>
      <c r="AE6" s="184"/>
      <c r="AF6" s="184"/>
      <c r="AG6" s="11"/>
      <c r="AH6" s="12"/>
      <c r="AI6" s="184"/>
      <c r="AJ6" s="184"/>
      <c r="AK6" s="184"/>
      <c r="AL6" s="11"/>
      <c r="AM6" s="12"/>
      <c r="AN6" s="184"/>
      <c r="AO6" s="184"/>
      <c r="AP6" s="184"/>
      <c r="AQ6" s="11"/>
      <c r="AR6" s="12"/>
      <c r="AS6" s="184"/>
      <c r="AT6" s="184"/>
      <c r="AU6" s="184"/>
      <c r="AV6" s="11"/>
      <c r="AW6" s="12"/>
      <c r="AX6" s="184"/>
      <c r="AY6" s="184"/>
      <c r="AZ6" s="184"/>
      <c r="BA6" s="11"/>
      <c r="BB6" s="12"/>
      <c r="BC6" s="184"/>
      <c r="BD6" s="184"/>
      <c r="BE6" s="184"/>
      <c r="BF6" s="11"/>
      <c r="BG6" s="12"/>
      <c r="BH6" s="184"/>
      <c r="BI6" s="184"/>
      <c r="BJ6" s="184"/>
      <c r="BK6" s="184"/>
      <c r="BL6" s="184"/>
      <c r="BM6" s="184"/>
      <c r="BN6" s="184"/>
      <c r="BO6" s="184"/>
      <c r="BP6" s="184"/>
    </row>
    <row r="7" ht="28.5" customHeight="1">
      <c r="A7" s="192" t="str">
        <f>IF((SUM(LEN(I11), LEN(N11), LEN(S11), LEN(X11), LEN(AC11), LEN(AH11), LEN(AM11), LEN(AR11), LEN(AW11), LEN(BB11), LEN(BG11)))&gt;0, "FABRIC TOKYO "&amp; $D$1 &amp; " " &amp; TEXT($A$1, "yyyy-m-d") &amp; " お直し適用サイズ" &amp; CHAR(10), "")</f>
        <v/>
      </c>
      <c r="B7" s="193"/>
      <c r="C7" s="12"/>
      <c r="D7" s="194" t="s">
        <v>31</v>
      </c>
      <c r="E7" s="12"/>
      <c r="F7" s="12"/>
      <c r="G7" s="12"/>
      <c r="H7" s="11"/>
      <c r="I7" s="11"/>
      <c r="J7" s="12"/>
      <c r="K7" s="12"/>
      <c r="L7" s="12"/>
      <c r="M7" s="11"/>
      <c r="N7" s="12"/>
      <c r="O7" s="12"/>
      <c r="P7" s="12"/>
      <c r="Q7" s="12"/>
      <c r="R7" s="11"/>
      <c r="S7" s="11"/>
      <c r="T7" s="184"/>
      <c r="U7" s="184"/>
      <c r="V7" s="184"/>
      <c r="W7" s="11"/>
      <c r="X7" s="12"/>
      <c r="Y7" s="184"/>
      <c r="Z7" s="184"/>
      <c r="AA7" s="184"/>
      <c r="AB7" s="11"/>
      <c r="AC7" s="12"/>
      <c r="AD7" s="184"/>
      <c r="AE7" s="184"/>
      <c r="AF7" s="184"/>
      <c r="AG7" s="11"/>
      <c r="AH7" s="12"/>
      <c r="AI7" s="184"/>
      <c r="AJ7" s="184"/>
      <c r="AK7" s="184"/>
      <c r="AL7" s="11"/>
      <c r="AM7" s="12"/>
      <c r="AN7" s="184"/>
      <c r="AO7" s="184"/>
      <c r="AP7" s="184"/>
      <c r="AQ7" s="11"/>
      <c r="AR7" s="12"/>
      <c r="AS7" s="184"/>
      <c r="AT7" s="184"/>
      <c r="AU7" s="184"/>
      <c r="AV7" s="11"/>
      <c r="AW7" s="12"/>
      <c r="AX7" s="184"/>
      <c r="AY7" s="184"/>
      <c r="AZ7" s="184"/>
      <c r="BA7" s="11"/>
      <c r="BB7" s="12"/>
      <c r="BC7" s="184"/>
      <c r="BD7" s="184"/>
      <c r="BE7" s="184"/>
      <c r="BF7" s="11"/>
      <c r="BG7" s="12"/>
      <c r="BH7" s="184"/>
      <c r="BI7" s="184"/>
      <c r="BJ7" s="184"/>
      <c r="BK7" s="184"/>
      <c r="BL7" s="184"/>
      <c r="BM7" s="184"/>
      <c r="BN7" s="184"/>
      <c r="BO7" s="184"/>
      <c r="BP7" s="184"/>
    </row>
    <row r="8">
      <c r="A8" s="192" t="str">
        <f>ifs($D$11&lt;&gt;"", 
"FABRIC TOKYO "&amp; $D$1&amp; "" &amp; text($A$1," yyyy-m-d"&amp;" お直し適用サイズ ＊スーツサイズ")
&amp; CHAR(10) &amp;
"FABRIC TOKYO "&amp; $D$1&amp; "" &amp; text($A$1," yyyy-m-d"&amp;" お直し適用サイズ ＊ビジネスカジュアルサイズ" &amp; CHAR(10))
,
$D$11="", "")</f>
        <v/>
      </c>
      <c r="B8" s="193"/>
      <c r="C8" s="195"/>
      <c r="D8" s="196" t="str">
        <f>IF(OR($D$11="再製作", $I$11="再製作", $N$11="再製作"), "再製作", 
  IF(AND(COUNTIF($E$11:$O$11, "&gt;=" &amp;  TODAY()), COUNTIF($E$11:$O11, "&lt;&gt;")), MAX($D$11, $I$11, $N$11), ""))</f>
        <v/>
      </c>
      <c r="E8" s="197" t="s">
        <v>32</v>
      </c>
      <c r="F8" s="12"/>
      <c r="G8" s="12"/>
      <c r="H8" s="12"/>
      <c r="I8" s="12"/>
      <c r="J8" s="195"/>
      <c r="K8" s="195"/>
      <c r="L8" s="195"/>
      <c r="M8" s="11"/>
      <c r="N8" s="198" t="s">
        <v>33</v>
      </c>
      <c r="O8" s="12"/>
      <c r="P8" s="12"/>
      <c r="Q8" s="12"/>
      <c r="R8" s="11"/>
      <c r="S8" s="11"/>
      <c r="T8" s="184"/>
      <c r="U8" s="184"/>
      <c r="V8" s="184"/>
      <c r="W8" s="11"/>
      <c r="X8" s="12"/>
      <c r="Y8" s="184"/>
      <c r="Z8" s="184"/>
      <c r="AA8" s="184"/>
      <c r="AB8" s="11"/>
      <c r="AC8" s="12"/>
      <c r="AD8" s="184"/>
      <c r="AE8" s="184"/>
      <c r="AF8" s="184"/>
      <c r="AG8" s="11"/>
      <c r="AH8" s="12"/>
      <c r="AI8" s="184"/>
      <c r="AJ8" s="184"/>
      <c r="AK8" s="184"/>
      <c r="AL8" s="11"/>
      <c r="AM8" s="12"/>
      <c r="AN8" s="184"/>
      <c r="AO8" s="184"/>
      <c r="AP8" s="184"/>
      <c r="AQ8" s="11"/>
      <c r="AR8" s="12"/>
      <c r="AS8" s="184"/>
      <c r="AT8" s="184"/>
      <c r="AU8" s="184"/>
      <c r="AV8" s="11"/>
      <c r="AW8" s="12"/>
      <c r="AX8" s="184"/>
      <c r="AY8" s="184"/>
      <c r="AZ8" s="184"/>
      <c r="BA8" s="11"/>
      <c r="BB8" s="12"/>
      <c r="BC8" s="184"/>
      <c r="BD8" s="184"/>
      <c r="BE8" s="184"/>
      <c r="BF8" s="11"/>
      <c r="BG8" s="12"/>
      <c r="BH8" s="184"/>
      <c r="BI8" s="184"/>
      <c r="BJ8" s="184"/>
      <c r="BK8" s="184"/>
      <c r="BL8" s="184"/>
      <c r="BM8" s="184"/>
      <c r="BN8" s="184"/>
      <c r="BO8" s="184"/>
      <c r="BP8" s="184"/>
    </row>
    <row r="9">
      <c r="A9" s="12"/>
      <c r="B9" s="186"/>
      <c r="C9" s="12"/>
      <c r="D9" s="12"/>
      <c r="E9" s="11"/>
      <c r="F9" s="11"/>
      <c r="G9" s="11"/>
      <c r="H9" s="11"/>
      <c r="I9" s="11"/>
      <c r="J9" s="11"/>
      <c r="K9" s="11"/>
      <c r="L9" s="11"/>
      <c r="M9" s="11"/>
      <c r="N9" s="11"/>
      <c r="O9" s="11"/>
      <c r="P9" s="11"/>
      <c r="Q9" s="11"/>
      <c r="R9" s="11"/>
      <c r="S9" s="12"/>
      <c r="T9" s="184"/>
      <c r="U9" s="184"/>
      <c r="V9" s="184"/>
      <c r="W9" s="11"/>
      <c r="X9" s="12"/>
      <c r="Y9" s="184"/>
      <c r="Z9" s="184"/>
      <c r="AA9" s="184"/>
      <c r="AB9" s="11"/>
      <c r="AC9" s="12"/>
      <c r="AD9" s="184"/>
      <c r="AE9" s="184"/>
      <c r="AF9" s="184"/>
      <c r="AG9" s="11"/>
      <c r="AH9" s="12"/>
      <c r="AI9" s="184"/>
      <c r="AJ9" s="184"/>
      <c r="AK9" s="184"/>
      <c r="AL9" s="11"/>
      <c r="AM9" s="12"/>
      <c r="AN9" s="184"/>
      <c r="AO9" s="184"/>
      <c r="AP9" s="184"/>
      <c r="AQ9" s="11"/>
      <c r="AR9" s="12"/>
      <c r="AS9" s="184"/>
      <c r="AT9" s="184"/>
      <c r="AU9" s="184"/>
      <c r="AV9" s="11"/>
      <c r="AW9" s="12"/>
      <c r="AX9" s="184"/>
      <c r="AY9" s="184"/>
      <c r="AZ9" s="184"/>
      <c r="BA9" s="11"/>
      <c r="BB9" s="12"/>
      <c r="BC9" s="184"/>
      <c r="BD9" s="184"/>
      <c r="BE9" s="184"/>
      <c r="BF9" s="11"/>
      <c r="BG9" s="12"/>
      <c r="BH9" s="184"/>
      <c r="BI9" s="184"/>
      <c r="BJ9" s="184"/>
      <c r="BK9" s="184"/>
      <c r="BL9" s="184"/>
      <c r="BM9" s="184"/>
      <c r="BN9" s="184"/>
      <c r="BO9" s="184"/>
      <c r="BP9" s="184"/>
    </row>
    <row r="10" ht="15.75" customHeight="1">
      <c r="A10" s="199" t="str">
        <f t="array" ref="A10">TRIM(
 IF($A$14&lt;&gt;"",TEXTJOIN(CHAR(10),TRUE,IF($A$14:$A$17&lt;&gt;"",$A$14:$A$17,"")) &amp; CHAR(10) &amp; CHAR(10),"") &amp;
 IF($A$19&lt;&gt;"",TEXTJOIN(CHAR(10),TRUE,IF($A$19:$A$22&lt;&gt;"",$A$19:$A$22,"")) &amp; CHAR(10) &amp; CHAR(10),"") &amp;
 IF($A$24&lt;&gt;"",TEXTJOIN(CHAR(10),TRUE,IF($A$24:$A$27&lt;&gt;"",$A$24:$A$27,"")) &amp; CHAR(10) &amp; CHAR(10),"") &amp;
 IF($A$29&lt;&gt;"",TEXTJOIN(CHAR(10),TRUE,IF($A$29:$A$32&lt;&gt;"",$A$29:$A$32,"")) &amp; CHAR(10) &amp; CHAR(10),"") &amp;
 IF($A$34&lt;&gt;"",TEXTJOIN(CHAR(10),TRUE,IF($A$34:$A$37&lt;&gt;"",$A$34:$A$37,"")) &amp; CHAR(10) &amp; CHAR(10),"") &amp;
 IF($A$39&lt;&gt;"",TEXTJOIN(CHAR(10),TRUE,IF($A$39:$A$42&lt;&gt;"",$A$39:$A$42,"")) &amp; CHAR(10) &amp; CHAR(10),"") &amp;
 IF($A$44&lt;&gt;"",TEXTJOIN(CHAR(10),TRUE,IF($A$44:$A$47&lt;&gt;"",$A$44:$A$47,"")) &amp; CHAR(10) &amp; CHAR(10),"") &amp;
 IF($A$49&lt;&gt;"",TEXTJOIN(CHAR(10),TRUE,IF($A$49:$A$52&lt;&gt;"",$A$49:$A$52,"")) &amp; CHAR(10) &amp; CHAR(10),"") &amp;
 IF($A$54&lt;&gt;"",TEXTJOIN(CHAR(10),TRUE,IF($A$54:$A$57&lt;&gt;"",$A$54:$A$57,"")) &amp; CHAR(10) &amp; CHAR(10),"") &amp;
 IF($A$59&lt;&gt;"",TEXTJOIN(CHAR(10),TRUE,IF($A$59:$A$62&lt;&gt;"",$A$59:$A$62,"")) &amp; CHAR(10) &amp; CHAR(10),"") &amp;
 IF($A$64&lt;&gt;"",TEXTJOIN(CHAR(10),TRUE,IF($A$64:$A$67&lt;&gt;"",$A$64:$A$67,"")) &amp; CHAR(10) &amp; CHAR(10),"") &amp;
 IF($A$69&lt;&gt;"",TEXTJOIN(CHAR(10),TRUE,IF($A$69:$A$72&lt;&gt;"",$A$69:$A$72,"")) &amp; CHAR(10) &amp; CHAR(10),"") 
)
</f>
        <v/>
      </c>
      <c r="B10" s="12"/>
      <c r="C10" s="12"/>
      <c r="D10" s="200" t="s">
        <v>34</v>
      </c>
      <c r="E10" s="201"/>
      <c r="F10" s="201"/>
      <c r="G10" s="202" t="s">
        <v>35</v>
      </c>
      <c r="H10" s="11"/>
      <c r="I10" s="200" t="s">
        <v>36</v>
      </c>
      <c r="J10" s="203"/>
      <c r="K10" s="201"/>
      <c r="L10" s="202" t="s">
        <v>35</v>
      </c>
      <c r="M10" s="11"/>
      <c r="N10" s="204" t="s">
        <v>37</v>
      </c>
      <c r="O10" s="203"/>
      <c r="P10" s="201"/>
      <c r="Q10" s="202" t="s">
        <v>35</v>
      </c>
      <c r="R10" s="11"/>
      <c r="S10" s="200" t="s">
        <v>38</v>
      </c>
      <c r="T10" s="203"/>
      <c r="U10" s="201"/>
      <c r="V10" s="202" t="s">
        <v>35</v>
      </c>
      <c r="W10" s="11"/>
      <c r="X10" s="200" t="s">
        <v>39</v>
      </c>
      <c r="Y10" s="203"/>
      <c r="Z10" s="201"/>
      <c r="AA10" s="202" t="s">
        <v>35</v>
      </c>
      <c r="AB10" s="11"/>
      <c r="AC10" s="200" t="s">
        <v>40</v>
      </c>
      <c r="AD10" s="203"/>
      <c r="AE10" s="201"/>
      <c r="AF10" s="202" t="s">
        <v>35</v>
      </c>
      <c r="AG10" s="11"/>
      <c r="AH10" s="200" t="s">
        <v>41</v>
      </c>
      <c r="AI10" s="203"/>
      <c r="AJ10" s="201"/>
      <c r="AK10" s="202" t="s">
        <v>35</v>
      </c>
      <c r="AL10" s="11"/>
      <c r="AM10" s="200" t="s">
        <v>42</v>
      </c>
      <c r="AN10" s="203"/>
      <c r="AO10" s="201"/>
      <c r="AP10" s="202" t="s">
        <v>35</v>
      </c>
      <c r="AQ10" s="11"/>
      <c r="AR10" s="200" t="s">
        <v>43</v>
      </c>
      <c r="AS10" s="203"/>
      <c r="AT10" s="201"/>
      <c r="AU10" s="202" t="s">
        <v>35</v>
      </c>
      <c r="AV10" s="12"/>
      <c r="AW10" s="200" t="s">
        <v>44</v>
      </c>
      <c r="AX10" s="203"/>
      <c r="AY10" s="201"/>
      <c r="AZ10" s="202" t="s">
        <v>35</v>
      </c>
      <c r="BA10" s="12"/>
      <c r="BB10" s="200" t="s">
        <v>45</v>
      </c>
      <c r="BC10" s="203"/>
      <c r="BD10" s="201"/>
      <c r="BE10" s="202" t="s">
        <v>35</v>
      </c>
      <c r="BF10" s="12"/>
      <c r="BG10" s="200" t="s">
        <v>46</v>
      </c>
      <c r="BH10" s="203"/>
      <c r="BI10" s="201"/>
      <c r="BJ10" s="202" t="s">
        <v>35</v>
      </c>
      <c r="BK10" s="12"/>
      <c r="BL10" s="200" t="s">
        <v>47</v>
      </c>
      <c r="BM10" s="201"/>
      <c r="BN10" s="201"/>
      <c r="BO10" s="202" t="s">
        <v>35</v>
      </c>
      <c r="BP10" s="12"/>
    </row>
    <row r="11" ht="37.5" customHeight="1">
      <c r="A11" s="205" t="s">
        <v>48</v>
      </c>
      <c r="B11" s="206"/>
      <c r="C11" s="207"/>
      <c r="D11" s="196" t="str">
        <f t="array" ref="D11">IFS( COUNTA(F$13:F27) = 0, "", COUNTIF(F$13:F27, "再製作") &gt; 0, "再製作", COUNTIF(F$13:F27, "&gt;0") = 1, INDEX(F$13:F27, MATCH(TRUE, ISNUMBER(F$13:F27), 0)), COUNTIF(F$13:F27, "&gt;0") = 2, 'アイテム別限界値DB'!$S$4, COUNTIF(F$13:F27, "&gt;0") &gt;= 3, 'アイテム別限界値DB'!$S$6, TRUE, "" ) </f>
        <v/>
      </c>
      <c r="E11" s="208" t="s">
        <v>49</v>
      </c>
      <c r="F11" s="202" t="s">
        <v>50</v>
      </c>
      <c r="G11" s="209">
        <f>sum(G12:G72)</f>
        <v>0</v>
      </c>
      <c r="H11" s="206"/>
      <c r="I11" s="196" t="str">
        <f t="array" ref="I11">IFS( COUNTA(K$13:K27) = 0, "", COUNTIF(K$13:K27, "再製作") &gt; 0, "再製作", COUNTIF(K$13:K27, "&gt;0") = 1, INDEX(K$13:K27, MATCH(TRUE, ISNUMBER(K$13:K27), 0)), COUNTIF(K$13:K27, "&gt;0") = 2, 'アイテム別限界値DB'!$S$8, COUNTIF(K$13:K27, "&gt;0") &gt;= 3, 'アイテム別限界値DB'!$S$10, TRUE, "" ) </f>
        <v/>
      </c>
      <c r="J11" s="210" t="s">
        <v>49</v>
      </c>
      <c r="K11" s="202" t="s">
        <v>50</v>
      </c>
      <c r="L11" s="209">
        <f>sum(L12:L72)</f>
        <v>0</v>
      </c>
      <c r="M11" s="206"/>
      <c r="N11" s="196" t="str">
        <f t="array" ref="N11">IFS( COUNTA(P$13:P27) = 0, "", COUNTIF(P$13:P27, "再製作") &gt; 0, "再製作", COUNTIF(P$13:P27, "&gt;0") = 1, INDEX(P$13:P27, MATCH(TRUE, ISNUMBER(P$13:P27), 0)), COUNTIF(P$13:P27, "&gt;0") = 2, 'アイテム別限界値DB'!$S$4, COUNTIF(P$13:P27, "&gt;0") &gt;= 3, 'アイテム別限界値DB'!$S$6, TRUE, "" ) </f>
        <v/>
      </c>
      <c r="O11" s="210" t="s">
        <v>49</v>
      </c>
      <c r="P11" s="202" t="s">
        <v>50</v>
      </c>
      <c r="Q11" s="209">
        <f>sum(Q12:Q72)</f>
        <v>0</v>
      </c>
      <c r="R11" s="211"/>
      <c r="S11" s="196" t="str">
        <f t="array" ref="S11">IFS( COUNTA(U$13:U27) = 0, "", COUNTIF(U$13:U27, "再製作") &gt; 0, "再製作", COUNTIF(U$13:U27, "&gt;0") = 1, INDEX(U$13:U27, MATCH(TRUE, ISNUMBER(U$13:U27), 0)), COUNTIF(U$13:U27, "&gt;0") = 2, 'アイテム別限界値DB'!$S$8, COUNTIF(U$13:U27, "&gt;0") &gt;= 3, 'アイテム別限界値DB'!$S$10, TRUE, "" ) </f>
        <v/>
      </c>
      <c r="T11" s="210" t="s">
        <v>49</v>
      </c>
      <c r="U11" s="202" t="s">
        <v>50</v>
      </c>
      <c r="V11" s="209">
        <f>sum(V12:V72)</f>
        <v>0</v>
      </c>
      <c r="W11" s="212"/>
      <c r="X11" s="196" t="str">
        <f t="array" ref="X11">IFS( COUNTA(Z$13:Z27) = 0, "", COUNTIF(Z$13:Z27, "再製作") &gt; 0, "再製作", COUNTIF(Z$13:Z27, "&gt;0") = 1, INDEX(Z$13:Z27, MATCH(TRUE, ISNUMBER(Z$13:Z27), 0)), COUNTIF(Z$13:Z27, "&gt;0") = 2, 'アイテム別限界値DB'!$S$4, COUNTIF(Z$13:Z27, "&gt;0") &gt;= 3, 'アイテム別限界値DB'!$S$6, TRUE, "" ) </f>
        <v/>
      </c>
      <c r="Y11" s="210" t="s">
        <v>49</v>
      </c>
      <c r="Z11" s="202" t="s">
        <v>50</v>
      </c>
      <c r="AA11" s="209">
        <f>sum(AA12:AA72)</f>
        <v>0</v>
      </c>
      <c r="AB11" s="211"/>
      <c r="AC11" s="196" t="str">
        <f t="array" ref="AC11">IFS( COUNTA(AE$13:AE27) = 0, "", COUNTIF(AE$13:AE27, "再製作") &gt; 0, "再製作", COUNTIF(AE$13:AE27, "&gt;0") = 1, INDEX(AE$13:AE27, MATCH(TRUE, ISNUMBER(AE$13:AE27), 0)), COUNTIF(AE$13:AE27, "&gt;0") = 2, 'アイテム別限界値DB'!$S$4, COUNTIF(AE$13:AE27, "&gt;0") &gt;= 3, 'アイテム別限界値DB'!$S$6, TRUE, "" ) </f>
        <v/>
      </c>
      <c r="AD11" s="210" t="s">
        <v>49</v>
      </c>
      <c r="AE11" s="202" t="s">
        <v>50</v>
      </c>
      <c r="AF11" s="209">
        <f>sum(AF12:AF72)</f>
        <v>0</v>
      </c>
      <c r="AG11" s="211"/>
      <c r="AH11" s="196" t="str">
        <f t="array" ref="AH11">IFS( COUNTA(AJ$13:AJ27) = 0, "", COUNTIF(AJ$13:AJ27, "再製作") &gt; 0, "再製作", COUNTIF(AJ$13:AJ27, "&gt;0") = 1, INDEX(AJ$13:AJ27, MATCH(TRUE, ISNUMBER(AJ$13:AJ27), 0)), COUNTIF(AJ$13:AJ27, "&gt;0") = 2, 'アイテム別限界値DB'!$S$4, COUNTIF(AJ$13:AJ27, "&gt;0") &gt;= 3, 'アイテム別限界値DB'!$S$6, TRUE, "" ) </f>
        <v/>
      </c>
      <c r="AI11" s="210" t="s">
        <v>49</v>
      </c>
      <c r="AJ11" s="202" t="s">
        <v>50</v>
      </c>
      <c r="AK11" s="209">
        <f>sum(AK12:AK72)</f>
        <v>0</v>
      </c>
      <c r="AL11" s="211"/>
      <c r="AM11" s="196" t="str">
        <f t="array" ref="AM11">IFS( COUNTA(AO$13:AO27) = 0, "", COUNTIF(AO$13:AO27, "再製作") &gt; 0, "再製作", COUNTIF(AO$13:AO27, "&gt;0") = 1, INDEX(AO$13:AO27, MATCH(TRUE, ISNUMBER(AO$13:AO27), 0)), COUNTIF(AO$13:AO27, "&gt;0") = 2, 'アイテム別限界値DB'!$S$4, COUNTIF(AO$13:AO27, "&gt;0") &gt;= 3, 'アイテム別限界値DB'!$S$6, TRUE, "" ) </f>
        <v/>
      </c>
      <c r="AN11" s="210" t="s">
        <v>49</v>
      </c>
      <c r="AO11" s="202" t="s">
        <v>50</v>
      </c>
      <c r="AP11" s="209">
        <f>sum(AP12:AP72)</f>
        <v>0</v>
      </c>
      <c r="AQ11" s="211"/>
      <c r="AR11" s="196" t="str">
        <f t="array" ref="AR11">IFS( COUNTA(AT$13:AT27) = 0, "", COUNTIF(AT$13:AT27, "再製作") &gt; 0, "再製作", COUNTIF(AT$13:AT27, "&gt;0") = 1, INDEX(AT$13:AT27, MATCH(TRUE, ISNUMBER(AT$13:AT27), 0)), COUNTIF(AT$13:AT27, "&gt;0") = 2, 'アイテム別限界値DB'!$S$4, COUNTIF(AT$13:AT27, "&gt;0") &gt;= 3, 'アイテム別限界値DB'!$S$6, TRUE, "" ) </f>
        <v/>
      </c>
      <c r="AS11" s="210" t="s">
        <v>49</v>
      </c>
      <c r="AT11" s="202" t="s">
        <v>50</v>
      </c>
      <c r="AU11" s="209">
        <f>sum(AU12:AU72)</f>
        <v>0</v>
      </c>
      <c r="AV11" s="213"/>
      <c r="AW11" s="196" t="str">
        <f t="array" ref="AW11">IFS( COUNTA(AY$13:AY27) = 0, "", COUNTIF(AY$13:AY27, "再製作") &gt; 0, "再製作", COUNTIF(AY$13:AY27, "&gt;0") = 1, INDEX(AY$13:AY27, MATCH(TRUE, ISNUMBER(AY$13:AY27), 0)), COUNTIF(AY$13:AY27, "&gt;0") = 2, 'アイテム別限界値DB'!$S$4, COUNTIF(AY$13:AY27, "&gt;0") &gt;= 3, 'アイテム別限界値DB'!$S$6, TRUE, "" ) </f>
        <v/>
      </c>
      <c r="AX11" s="210" t="s">
        <v>49</v>
      </c>
      <c r="AY11" s="202" t="s">
        <v>50</v>
      </c>
      <c r="AZ11" s="209">
        <f>sum(AZ12:AZ72)</f>
        <v>0</v>
      </c>
      <c r="BA11" s="213"/>
      <c r="BB11" s="196" t="str">
        <f t="array" ref="BB11">IFS( COUNTA(BD$13:BD27) = 0, "", COUNTIF(BD$13:BD27, "再製作") &gt; 0, "再製作", COUNTIF(BD$13:BD27, "&gt;0") = 1, INDEX(BD$13:BD27, MATCH(TRUE, ISNUMBER(BD$13:BD27), 0)), COUNTIF(BD$13:BD27, "&gt;0") = 2, 'アイテム別限界値DB'!$S$4, COUNTIF(BD$13:BD27, "&gt;0") &gt;= 3, 'アイテム別限界値DB'!$S$6, TRUE, "" ) </f>
        <v/>
      </c>
      <c r="BC11" s="210" t="s">
        <v>49</v>
      </c>
      <c r="BD11" s="202" t="s">
        <v>50</v>
      </c>
      <c r="BE11" s="209">
        <f>sum(BE12:BE72)</f>
        <v>0</v>
      </c>
      <c r="BF11" s="213"/>
      <c r="BG11" s="196" t="str">
        <f t="array" ref="BG11">IFS( COUNTA(BI$13:BI27) = 0, "", COUNTIF(BI$13:BI27, "再製作") &gt; 0, "再製作", COUNTIF(BI$13:BI27, "&gt;0") = 1, INDEX(BI$13:BI27, MATCH(TRUE, ISNUMBER(BI$13:BI27), 0)), COUNTIF(BI$13:BI27, "&gt;0") = 2, 'アイテム別限界値DB'!$S$4, COUNTIF(BI$13:BI27, "&gt;0") &gt;= 3, 'アイテム別限界値DB'!$S$6, TRUE, "" ) </f>
        <v/>
      </c>
      <c r="BH11" s="210" t="s">
        <v>49</v>
      </c>
      <c r="BI11" s="202" t="s">
        <v>50</v>
      </c>
      <c r="BJ11" s="209">
        <f>sum(BJ12:BJ72)</f>
        <v>0</v>
      </c>
      <c r="BK11" s="213"/>
      <c r="BL11" s="196" t="str">
        <f t="array" ref="BL11">IFS( COUNTA(BN$13:BN27) = 0, "", COUNTIF(BN$13:BN27, "再製作") &gt; 0, "再製作", COUNTIF(BN$13:BN27, "&gt;0") = 1, INDEX(BN$13:BN27, MATCH(TRUE, ISNUMBER(BN$13:BN27), 0)), COUNTIF(BN$13:BN27, "&gt;0") = 2, 'アイテム別限界値DB'!$S$4, COUNTIF(BN$13:BN27, "&gt;0") &gt;= 3, 'アイテム別限界値DB'!$S$6, TRUE, "" ) </f>
        <v>再製作</v>
      </c>
      <c r="BM11" s="214" t="s">
        <v>49</v>
      </c>
      <c r="BN11" s="215" t="s">
        <v>50</v>
      </c>
      <c r="BO11" s="209">
        <f>sum(BO12:BO72)</f>
        <v>0</v>
      </c>
      <c r="BP11" s="213"/>
    </row>
    <row r="12" ht="15.75" hidden="1" customHeight="1">
      <c r="A12" s="11"/>
      <c r="B12" s="11"/>
      <c r="C12" s="11"/>
      <c r="D12" s="216" t="s">
        <v>51</v>
      </c>
      <c r="E12" s="217" t="str">
        <f>IF(D11="再製作", "再製作", IF(D11&lt;&gt;"", "お直し", ""))
</f>
        <v/>
      </c>
      <c r="F12" s="195"/>
      <c r="G12" s="218" t="str">
        <f t="array" ref="G12">IF(
  E12 = "再製作", 
  "", 
 if(E12="", "",
  IFERROR(
    INDEX(
      'アイテム別限界値DB'!$L:$L, 
      MATCH(
        1, 
        ('アイテム別限界値DB'!$B:$B = D$10) * 
        ('アイテム別限界値DB'!$C:$C = D12), 
        0
      )
    ), 
    "再製作"
  )
))
</f>
        <v/>
      </c>
      <c r="H12" s="12"/>
      <c r="I12" s="216" t="s">
        <v>51</v>
      </c>
      <c r="J12" s="217" t="str">
        <f>IF(I11="再製作", "再製作", IF(I11&lt;&gt;"", "お直し", ""))
</f>
        <v/>
      </c>
      <c r="K12" s="195"/>
      <c r="L12" s="218" t="str">
        <f t="array" ref="L12">IF(
  J12 = "再製作", 
  "", 
 if(J12="", "",
  IFERROR(
    INDEX(
      'アイテム別限界値DB'!$L:$L, 
      MATCH(
        1, 
        ('アイテム別限界値DB'!$B:$B = I$10) * 
        ('アイテム別限界値DB'!$C:$C = I12), 
        0
      )
    ), 
    "再製作"
  )
))
</f>
        <v/>
      </c>
      <c r="M12" s="121"/>
      <c r="N12" s="216" t="s">
        <v>51</v>
      </c>
      <c r="O12" s="217" t="str">
        <f>IF(N11="再製作", "再製作", IF(N11&lt;&gt;"", "お直し", ""))
</f>
        <v/>
      </c>
      <c r="P12" s="195"/>
      <c r="Q12" s="218" t="str">
        <f t="array" ref="Q12">IF(
  O12 = "再製作", 
  "", 
 if(O12="", "",
  IFERROR(
    INDEX(
      'アイテム別限界値DB'!$L:$L, 
      MATCH(
        1, 
        ('アイテム別限界値DB'!$B:$B = N$10) * 
        ('アイテム別限界値DB'!$C:$C = N12), 
        0
      )
    ), 
    "再製作"
  )
))
</f>
        <v/>
      </c>
      <c r="R12" s="11"/>
      <c r="S12" s="216" t="s">
        <v>51</v>
      </c>
      <c r="T12" s="219" t="str">
        <f>IF(S11="再製作", "再製作", IF(S11&lt;&gt;"", "お直し", ""))
</f>
        <v/>
      </c>
      <c r="U12" s="220"/>
      <c r="V12" s="218" t="str">
        <f t="array" ref="V12">IF(
  T12 = "再製作", 
  "", 
 if(T12="", "",
  IFERROR(
    INDEX(
      'アイテム別限界値DB'!$L:$L, 
      MATCH(
        1, 
        ('アイテム別限界値DB'!$B:$B = S$10) * 
        ('アイテム別限界値DB'!$C:$C = S12), 
        0
      )
    ), 
    "再製作"
  )
))
</f>
        <v/>
      </c>
      <c r="W12" s="12"/>
      <c r="X12" s="216" t="s">
        <v>51</v>
      </c>
      <c r="Y12" s="219" t="str">
        <f>IF(X11="再製作", "再製作", IF(X11&lt;&gt;"", "お直し", ""))
</f>
        <v/>
      </c>
      <c r="Z12" s="220"/>
      <c r="AA12" s="218" t="str">
        <f t="array" ref="AA12">IF(
  Y12 = "再製作", 
  "", 
 if(Y12="", "",
  IFERROR(
    INDEX(
      'アイテム別限界値DB'!$L:$L, 
      MATCH(
        1, 
        ('アイテム別限界値DB'!$B:$B = X$10) * 
        ('アイテム別限界値DB'!$C:$C = X12), 
        0
      )
    ), 
    "再製作"
  )
))
</f>
        <v/>
      </c>
      <c r="AB12" s="11"/>
      <c r="AC12" s="216" t="s">
        <v>51</v>
      </c>
      <c r="AD12" s="219" t="str">
        <f>IF(AC11="再製作", "再製作", IF(AC11&lt;&gt;"", "お直し", ""))
</f>
        <v/>
      </c>
      <c r="AE12" s="220"/>
      <c r="AF12" s="218" t="str">
        <f t="array" ref="AF12">IF(
  AD12 = "再製作", 
  "", 
 if(AD12="", "",
  IFERROR(
    INDEX(
      'アイテム別限界値DB'!$L:$L, 
      MATCH(
        1, 
        ('アイテム別限界値DB'!$B:$B = AC$10) * 
        ('アイテム別限界値DB'!$C:$C = AC12), 
        0
      )
    ), 
    "再製作"
  )
))
</f>
        <v/>
      </c>
      <c r="AG12" s="11"/>
      <c r="AH12" s="216" t="s">
        <v>51</v>
      </c>
      <c r="AI12" s="219" t="str">
        <f>IF(AH11="再製作", "再製作", IF(AH11&lt;&gt;"", "お直し", ""))
</f>
        <v/>
      </c>
      <c r="AJ12" s="220"/>
      <c r="AK12" s="218" t="str">
        <f t="array" ref="AK12">IF(
  AI12 = "再製作", 
  "", 
 if(AI12="", "",
  IFERROR(
    INDEX(
      'アイテム別限界値DB'!$L:$L, 
      MATCH(
        1, 
        ('アイテム別限界値DB'!$B:$B = AH$10) * 
        ('アイテム別限界値DB'!$C:$C = AH12), 
        0
      )
    ), 
    "再製作"
  )
))
</f>
        <v/>
      </c>
      <c r="AL12" s="11"/>
      <c r="AM12" s="216" t="s">
        <v>51</v>
      </c>
      <c r="AN12" s="219" t="str">
        <f>IF(AM11="再製作", "再製作", IF(AM11&lt;&gt;"", "お直し", ""))
</f>
        <v/>
      </c>
      <c r="AO12" s="220"/>
      <c r="AP12" s="218" t="str">
        <f t="array" ref="AP12">IF(
  AN12 = "再製作", 
  "", 
 if(AN12="", "",
  IFERROR(
    INDEX(
      'アイテム別限界値DB'!$L:$L, 
      MATCH(
        1, 
        ('アイテム別限界値DB'!$B:$B = AM$10) * 
        ('アイテム別限界値DB'!$C:$C = AM12), 
        0
      )
    ), 
    "再製作"
  )
))
</f>
        <v/>
      </c>
      <c r="AQ12" s="11"/>
      <c r="AR12" s="216" t="s">
        <v>51</v>
      </c>
      <c r="AS12" s="219" t="str">
        <f>IF(AR11="再製作", "再製作", IF(AR11&lt;&gt;"", "お直し", ""))
</f>
        <v/>
      </c>
      <c r="AT12" s="220"/>
      <c r="AU12" s="218" t="str">
        <f t="array" ref="AU12">IF(
  AS12 = "再製作", 
  "", 
 if(AS12="", "",
  IFERROR(
    INDEX(
      'アイテム別限界値DB'!$L:$L, 
      MATCH(
        1, 
        ('アイテム別限界値DB'!$B:$B = AR$10) * 
        ('アイテム別限界値DB'!$C:$C = AR12), 
        0
      )
    ), 
    "再製作"
  )
))
</f>
        <v/>
      </c>
      <c r="AV12" s="121"/>
      <c r="AW12" s="216" t="s">
        <v>51</v>
      </c>
      <c r="AX12" s="219" t="str">
        <f>IF(AW11="再製作", "再製作", IF(AW11&lt;&gt;"", "お直し", ""))
</f>
        <v/>
      </c>
      <c r="AY12" s="220"/>
      <c r="AZ12" s="218" t="str">
        <f t="array" ref="AZ12">IF(
  AX12 = "再製作", 
  "", 
 if(AX12="", "",
  IFERROR(
    INDEX(
      'アイテム別限界値DB'!$L:$L, 
      MATCH(
        1, 
        ('アイテム別限界値DB'!$B:$B = AW$10) * 
        ('アイテム別限界値DB'!$C:$C = AW12), 
        0
      )
    ), 
    "再製作"
  )
))
</f>
        <v/>
      </c>
      <c r="BA12" s="121"/>
      <c r="BB12" s="216" t="s">
        <v>51</v>
      </c>
      <c r="BC12" s="217" t="str">
        <f>IF(BB11="再製作", "再製作", IF(BB11&lt;&gt;"", "お直し", ""))
</f>
        <v/>
      </c>
      <c r="BD12" s="195"/>
      <c r="BE12" s="218" t="str">
        <f t="array" ref="BE12">IF(
  BC12 = "再製作", 
  "", 
 if(BC12="", "",
  IFERROR(
    INDEX(
      'アイテム別限界値DB'!$L:$L, 
      MATCH(
        1, 
        ('アイテム別限界値DB'!$B:$B = BB$10) * 
        ('アイテム別限界値DB'!$C:$C = BB12), 
        0
      )
    ), 
    "再製作"
  )
))
</f>
        <v/>
      </c>
      <c r="BF12" s="121"/>
      <c r="BG12" s="216" t="s">
        <v>51</v>
      </c>
      <c r="BH12" s="217" t="str">
        <f>IF(BG11="再製作", "再製作", IF(BG11&lt;&gt;"", "お直し", ""))
</f>
        <v/>
      </c>
      <c r="BI12" s="195"/>
      <c r="BJ12" s="218" t="str">
        <f t="array" ref="BJ12">IF(
  BH12 = "再製作", 
  "", 
 if(BH12="", "",
  IFERROR(
    INDEX(
      'アイテム別限界値DB'!$L:$L, 
      MATCH(
        1, 
        ('アイテム別限界値DB'!$B:$B = BG$10) * 
        ('アイテム別限界値DB'!$C:$C = BG12), 
        0
      )
    ), 
    "再製作"
  )
))
</f>
        <v/>
      </c>
      <c r="BK12" s="121"/>
      <c r="BL12" s="221" t="s">
        <v>51</v>
      </c>
      <c r="BM12" s="219" t="str">
        <f>IF(BL11="再製作", "再製作", IF(BL11&lt;&gt;"", "お直し", ""))
</f>
        <v>再製作</v>
      </c>
      <c r="BN12" s="195"/>
      <c r="BO12" s="218" t="str">
        <f t="array" ref="BO12">IF(
  BM12 = "再製作", 
  "", 
 if(BM12="", "",
  IFERROR(
    INDEX(
      'アイテム別限界値DB'!$L:$L, 
      MATCH(
        1, 
        ('アイテム別限界値DB'!$B:$B = BL$10) * 
        ('アイテム別限界値DB'!$C:$C = BL12), 
        0
      )
    ), 
    "再製作"
  )
))
</f>
        <v/>
      </c>
      <c r="BP12" s="195"/>
    </row>
    <row r="13" ht="18.75" hidden="1" customHeight="1">
      <c r="A13" s="222" t="s">
        <v>52</v>
      </c>
      <c r="B13" s="12"/>
      <c r="C13" s="12"/>
      <c r="D13" s="223" t="b">
        <f t="array" ref="D13:D42">UNIQUE(IF( ('アイテム別限界値DB'!$B:$B = D$10) * ('アイテム別限界値DB'!$A:$A = "サイズ"),  IF('アイテム別限界値DB'!$B:$B = D$10, 'アイテム別限界値DB'!$F:$F, "") ))</f>
        <v>0</v>
      </c>
      <c r="E13" s="224"/>
      <c r="F13" s="12"/>
      <c r="G13" s="121"/>
      <c r="H13" s="12"/>
      <c r="I13" s="223" t="b">
        <f t="array" ref="I13:I27">UNIQUE(IF( ('アイテム別限界値DB'!$B:$B = I$10) * ('アイテム別限界値DB'!$A:$A = "サイズ"),  IF('アイテム別限界値DB'!$B:$B = I$10, 'アイテム別限界値DB'!$F:$F, "") ))</f>
        <v>0</v>
      </c>
      <c r="J13" s="224"/>
      <c r="K13" s="12"/>
      <c r="L13" s="121"/>
      <c r="M13" s="12"/>
      <c r="N13" s="223" t="b">
        <f t="array" ref="N13:N21">UNIQUE(IF( ('アイテム別限界値DB'!$B:$B = N$10) * ('アイテム別限界値DB'!$A:$A = "サイズ"),  IF('アイテム別限界値DB'!$B:$B = N$10, 'アイテム別限界値DB'!$C:$C, "") ))</f>
        <v>0</v>
      </c>
      <c r="O13" s="224"/>
      <c r="P13" s="12"/>
      <c r="Q13" s="121"/>
      <c r="R13" s="11"/>
      <c r="S13" s="223" t="b">
        <f t="array" ref="S13:S28">UNIQUE(IF( ('アイテム別限界値DB'!$B:$B = S$10) * ('アイテム別限界値DB'!$A:$A = "サイズ"),  IF('アイテム別限界値DB'!$B:$B = S$10, 'アイテム別限界値DB'!$F:$F, "") ))</f>
        <v>0</v>
      </c>
      <c r="T13" s="225"/>
      <c r="U13" s="226"/>
      <c r="V13" s="121"/>
      <c r="W13" s="12"/>
      <c r="X13" s="223" t="b">
        <f t="array" ref="X13:X31">UNIQUE(IF( ('アイテム別限界値DB'!$B:$B = X$10) * ('アイテム別限界値DB'!$A:$A = "サイズ"),  IF('アイテム別限界値DB'!$B:$B = X$10, 'アイテム別限界値DB'!$C:$C, "") ))</f>
        <v>0</v>
      </c>
      <c r="Y13" s="225"/>
      <c r="Z13" s="226"/>
      <c r="AA13" s="121"/>
      <c r="AB13" s="11"/>
      <c r="AC13" s="223" t="b">
        <f t="array" ref="AC13:AC29">UNIQUE(IF( ('アイテム別限界値DB'!$B:$B = AC$10) * ('アイテム別限界値DB'!$A:$A = "サイズ"),  IF('アイテム別限界値DB'!$B:$B = AC$10, 'アイテム別限界値DB'!$F:$F, "") ))</f>
        <v>0</v>
      </c>
      <c r="AD13" s="225"/>
      <c r="AE13" s="226"/>
      <c r="AF13" s="121"/>
      <c r="AG13" s="11"/>
      <c r="AH13" s="223" t="b">
        <f t="array" ref="AH13:AH20">UNIQUE(IF( ('アイテム別限界値DB'!$B:$B = AH$10) * ('アイテム別限界値DB'!$A:$A = "サイズ"),  IF('アイテム別限界値DB'!$B:$B = AH$10, 'アイテム別限界値DB'!$F:$F, "") ))</f>
        <v>0</v>
      </c>
      <c r="AI13" s="225"/>
      <c r="AJ13" s="226"/>
      <c r="AK13" s="121"/>
      <c r="AL13" s="11"/>
      <c r="AM13" s="223" t="b">
        <f t="array" ref="AM13:AM20">UNIQUE(IF( ('アイテム別限界値DB'!$B:$B = AM$10) * ('アイテム別限界値DB'!$A:$A = "サイズ"),  IF('アイテム別限界値DB'!$B:$B = AM$10, 'アイテム別限界値DB'!$F:$F, "") ))</f>
        <v>0</v>
      </c>
      <c r="AN13" s="225"/>
      <c r="AO13" s="226"/>
      <c r="AP13" s="121"/>
      <c r="AQ13" s="11"/>
      <c r="AR13" s="223" t="b">
        <f t="array" ref="AR13:AR20">UNIQUE(IF( ('アイテム別限界値DB'!$B:$B = AR$10) * ('アイテム別限界値DB'!$A:$A = "サイズ"),  IF('アイテム別限界値DB'!$B:$B = AR$10, 'アイテム別限界値DB'!$F:$F, "") ))</f>
        <v>0</v>
      </c>
      <c r="AS13" s="225"/>
      <c r="AT13" s="226"/>
      <c r="AU13" s="121"/>
      <c r="AV13" s="121"/>
      <c r="AW13" s="223" t="b">
        <f t="array" ref="AW13:AW20">UNIQUE(IF( ('アイテム別限界値DB'!$B:$B = AW$10) * ('アイテム別限界値DB'!$A:$A = "サイズ"),  IF('アイテム別限界値DB'!$B:$B = AW$10, 'アイテム別限界値DB'!$F:$F, "") ))</f>
        <v>0</v>
      </c>
      <c r="AX13" s="225"/>
      <c r="AY13" s="226"/>
      <c r="AZ13" s="121"/>
      <c r="BA13" s="121"/>
      <c r="BB13" s="223" t="b">
        <f t="array" ref="BB13:BB20">UNIQUE(IF( ('アイテム別限界値DB'!$B:$B = BB$10) * ('アイテム別限界値DB'!$A:$A = "サイズ"),  IF('アイテム別限界値DB'!$B:$B = BB$10, 'アイテム別限界値DB'!$F:$F, "") ))</f>
        <v>0</v>
      </c>
      <c r="BC13" s="224"/>
      <c r="BD13" s="12"/>
      <c r="BE13" s="121"/>
      <c r="BF13" s="121"/>
      <c r="BG13" s="223" t="b">
        <f t="array" ref="BG13:BG20">UNIQUE(IF( ('アイテム別限界値DB'!$B:$B = BG$10) * ('アイテム別限界値DB'!$A:$A = "サイズ"),  IF('アイテム別限界値DB'!$B:$B = BG$10, 'アイテム別限界値DB'!$F:$F, "") ))</f>
        <v>0</v>
      </c>
      <c r="BH13" s="224"/>
      <c r="BI13" s="12"/>
      <c r="BJ13" s="121"/>
      <c r="BK13" s="121"/>
      <c r="BL13" s="227" t="b">
        <f t="array" ref="BL13:BL23">UNIQUE(IF( ('アイテム別限界値DB'!$B:$B = BL$10) * ('アイテム別限界値DB'!$A:$A = "サイズ"),  IF('アイテム別限界値DB'!$B:$B = BL$10, 'アイテム別限界値DB'!$F:$F, "") ))</f>
        <v>0</v>
      </c>
      <c r="BM13" s="224"/>
      <c r="BN13" s="121"/>
      <c r="BO13" s="121"/>
      <c r="BP13" s="121"/>
    </row>
    <row r="14" ht="18.75" customHeight="1">
      <c r="A14" s="228" t="str">
        <f>IF($D$11 = "再製作", "◼︎ ジャケット（対応着地：再製作）" &amp; char(10) &amp; "《修正数値》", IF( $D$11 &lt;&gt;"", "◼︎ ジャケット（対応着地：お直し）" &amp; char(10) &amp; "《修正数値》", ""))</f>
        <v/>
      </c>
      <c r="B14" s="229"/>
      <c r="C14" s="224"/>
      <c r="D14" s="224" t="s">
        <v>51</v>
      </c>
      <c r="E14" s="232"/>
      <c r="F14" s="231" t="str">
        <f t="array" ref="F14">IF(
  E14 = 0, 
  "", 
  IFERROR(
    INDEX(
      'アイテム別限界値DB'!$K:$K, 
      MATCH(
        1, 
        ('アイテム別限界値DB'!$B:$B = D$10) * 
        ('アイテム別限界値DB'!$F:$F = D14) * 
        ('アイテム別限界値DB'!$H:$H = E14), 
        0
      )
    ), 
    "再製作"
  )
)
</f>
        <v/>
      </c>
      <c r="G14" s="218" t="str">
        <f t="array" ref="G14">IF(
  E14 = 0, 
  "", 
  IFERROR(
    INDEX(
      'アイテム別限界値DB'!$L:$L, 
      MATCH(
        1, 
        ('アイテム別限界値DB'!$B:$B = D$10) * 
        ('アイテム別限界値DB'!$C:$C = D14) * 
        ('アイテム別限界値DB'!$F:$F = E14), 
        0
      )
    ), 
    ""
  )
)
</f>
        <v/>
      </c>
      <c r="H14" s="195"/>
      <c r="I14" s="224" t="s">
        <v>51</v>
      </c>
      <c r="J14" s="232"/>
      <c r="K14" s="231" t="str">
        <f t="array" ref="K14">IF(
  J14 = 0, 
  "", 
  IFERROR(
    INDEX(
      'アイテム別限界値DB'!$K:$K, 
      MATCH(
        1, 
        ('アイテム別限界値DB'!$B:$B = I$10) * 
        ('アイテム別限界値DB'!$F:$F = I14) * 
        ('アイテム別限界値DB'!$H:$H = J14), 
        0
      )
    ), 
    "再製作"
  )
)
</f>
        <v/>
      </c>
      <c r="L14" s="218" t="str">
        <f t="array" ref="L14">IF(
  J14 = 0, 
  "", 
  IFERROR(
    INDEX(
      'アイテム別限界値DB'!$L:$L, 
      MATCH(
        1, 
        ('アイテム別限界値DB'!$B:$B = I$10) * 
        ('アイテム別限界値DB'!$C:$C = I14) * 
        ('アイテム別限界値DB'!$F:$F = J14), 
        0
      )
    ), 
    ""
  )
)
</f>
        <v/>
      </c>
      <c r="M14" s="12"/>
      <c r="N14" s="224" t="s">
        <v>51</v>
      </c>
      <c r="O14" s="232"/>
      <c r="P14" s="231" t="str">
        <f t="array" ref="P14">IF(
  O14 = 0, 
  "", 
  IFERROR(
    INDEX(
      'アイテム別限界値DB'!$K:$K, 
      MATCH(
        1, 
        ('アイテム別限界値DB'!$B:$B = N$10) * 
        ('アイテム別限界値DB'!$F:$F = N14) * 
        ('アイテム別限界値DB'!$H:$H = O14), 
        0
      )
    ), 
    "再製作"
  )
)
</f>
        <v/>
      </c>
      <c r="Q14" s="218" t="str">
        <f t="array" ref="Q14">IF(
  O14 = 0, 
  "", 
  IFERROR(
    INDEX(
      'アイテム別限界値DB'!$L:$L, 
      MATCH(
        1, 
        ('アイテム別限界値DB'!$B:$B = N$10) * 
        ('アイテム別限界値DB'!$C:$C = N14) * 
        ('アイテム別限界値DB'!$F:$F = O14), 
        0
      )
    ), 
    ""
  )
)
</f>
        <v/>
      </c>
      <c r="R14" s="12"/>
      <c r="S14" s="224" t="s">
        <v>51</v>
      </c>
      <c r="T14" s="232"/>
      <c r="U14" s="231" t="str">
        <f t="array" ref="U14">IF(
  T14 = 0, 
  "", 
  IFERROR(
    INDEX(
      'アイテム別限界値DB'!$K:$K, 
      MATCH(
        1, 
        ('アイテム別限界値DB'!$B:$B = S$10) * 
        ('アイテム別限界値DB'!$F:$F = S14) * 
        ('アイテム別限界値DB'!$H:$H = T14), 
        0
      )
    ), 
    "再製作"
  )
)
</f>
        <v/>
      </c>
      <c r="V14" s="218" t="str">
        <f t="array" ref="V14">IF(
  T14 = 0, 
  "", 
  IFERROR(
    INDEX(
      'アイテム別限界値DB'!$L:$L, 
      MATCH(
        1, 
        ('アイテム別限界値DB'!$B:$B = S$10) * 
        ('アイテム別限界値DB'!$C:$C = S14) * 
        ('アイテム別限界値DB'!$F:$F = T14), 
        0
      )
    ), 
    ""
  )
)
</f>
        <v/>
      </c>
      <c r="W14" s="12"/>
      <c r="X14" s="224" t="s">
        <v>51</v>
      </c>
      <c r="Y14" s="232"/>
      <c r="Z14" s="231" t="str">
        <f t="array" ref="Z14">IF(
  Y14 = 0, 
  "", 
  IFERROR(
    INDEX(
      'アイテム別限界値DB'!$K:$K, 
      MATCH(
        1, 
        ('アイテム別限界値DB'!$B:$B = X$10) * 
        ('アイテム別限界値DB'!$F:$F = X14) * 
        ('アイテム別限界値DB'!$H:$H = Y14), 
        0
      )
    ), 
    "再製作"
  )
)
</f>
        <v/>
      </c>
      <c r="AA14" s="218" t="str">
        <f t="array" ref="AA14">IF(
  Y14 = 0, 
  "", 
  IFERROR(
    INDEX(
      'アイテム別限界値DB'!$L:$L, 
      MATCH(
        1, 
        ('アイテム別限界値DB'!$B:$B = X$10) * 
        ('アイテム別限界値DB'!$C:$C = X14) * 
        ('アイテム別限界値DB'!$F:$F = Y14), 
        0
      )
    ), 
    ""
  )
)
</f>
        <v/>
      </c>
      <c r="AB14" s="11"/>
      <c r="AC14" s="224" t="s">
        <v>51</v>
      </c>
      <c r="AD14" s="232"/>
      <c r="AE14" s="231" t="str">
        <f t="array" ref="AE14">IF(
  AD14 = 0, 
  "", 
  IFERROR(
    INDEX(
      'アイテム別限界値DB'!$K:$K, 
      MATCH(
        1, 
        ('アイテム別限界値DB'!$B:$B = AC$10) * 
        ('アイテム別限界値DB'!$F:$F = AC14) * 
        ('アイテム別限界値DB'!$H:$H = AD14), 
        0
      )
    ), 
    "再製作"
  )
)
</f>
        <v/>
      </c>
      <c r="AF14" s="218" t="str">
        <f t="array" ref="AF14">IF(
  AD14 = 0, 
  "", 
  IFERROR(
    INDEX(
      'アイテム別限界値DB'!$L:$L, 
      MATCH(
        1, 
        ('アイテム別限界値DB'!$B:$B = AC$10) * 
        ('アイテム別限界値DB'!$C:$C = AC14) * 
        ('アイテム別限界値DB'!$F:$F = AD14), 
        0
      )
    ), 
    ""
  )
)
</f>
        <v/>
      </c>
      <c r="AG14" s="11"/>
      <c r="AH14" s="224" t="s">
        <v>51</v>
      </c>
      <c r="AI14" s="232"/>
      <c r="AJ14" s="231" t="str">
        <f t="array" ref="AJ14">IF(
  AI14 = 0, 
  "", 
  IFERROR(
    INDEX(
      'アイテム別限界値DB'!$K:$K, 
      MATCH(
        1, 
        ('アイテム別限界値DB'!$B:$B = AH$10) * 
        ('アイテム別限界値DB'!$F:$F = AH14) * 
        ('アイテム別限界値DB'!$H:$H = AI14), 
        0
      )
    ), 
    "再製作"
  )
)
</f>
        <v/>
      </c>
      <c r="AK14" s="218" t="str">
        <f t="array" ref="AK14">IF(
  AI14 = 0, 
  "", 
  IFERROR(
    INDEX(
      'アイテム別限界値DB'!$L:$L, 
      MATCH(
        1, 
        ('アイテム別限界値DB'!$B:$B = AH$10) * 
        ('アイテム別限界値DB'!$C:$C = AH14) * 
        ('アイテム別限界値DB'!$F:$F = AI14), 
        0
      )
    ), 
    ""
  )
)
</f>
        <v/>
      </c>
      <c r="AL14" s="11"/>
      <c r="AM14" s="224" t="s">
        <v>51</v>
      </c>
      <c r="AN14" s="232"/>
      <c r="AO14" s="231" t="str">
        <f t="array" ref="AO14">IF(
  AN14 = 0, 
  "", 
  IFERROR(
    INDEX(
      'アイテム別限界値DB'!$K:$K, 
      MATCH(
        1, 
        ('アイテム別限界値DB'!$B:$B = AM$10) * 
        ('アイテム別限界値DB'!$F:$F = AM14) * 
        ('アイテム別限界値DB'!$H:$H = AN14), 
        0
      )
    ), 
    "再製作"
  )
)
</f>
        <v/>
      </c>
      <c r="AP14" s="218" t="str">
        <f t="array" ref="AP14">IF(
  AN14 = 0, 
  "", 
  IFERROR(
    INDEX(
      'アイテム別限界値DB'!$L:$L, 
      MATCH(
        1, 
        ('アイテム別限界値DB'!$B:$B = AM$10) * 
        ('アイテム別限界値DB'!$C:$C = AM14) * 
        ('アイテム別限界値DB'!$F:$F = AN14), 
        0
      )
    ), 
    ""
  )
)
</f>
        <v/>
      </c>
      <c r="AQ14" s="11"/>
      <c r="AR14" s="224" t="s">
        <v>51</v>
      </c>
      <c r="AS14" s="232"/>
      <c r="AT14" s="231" t="str">
        <f t="array" ref="AT14">IF(
  AS14 = 0, 
  "", 
  IFERROR(
    INDEX(
      'アイテム別限界値DB'!$K:$K, 
      MATCH(
        1, 
        ('アイテム別限界値DB'!$B:$B = AR$10) * 
        ('アイテム別限界値DB'!$F:$F = AR14) * 
        ('アイテム別限界値DB'!$H:$H = AS14), 
        0
      )
    ), 
    "再製作"
  )
)
</f>
        <v/>
      </c>
      <c r="AU14" s="218" t="str">
        <f t="array" ref="AU14">IF(
  AS14 = 0, 
  "", 
  IFERROR(
    INDEX(
      'アイテム別限界値DB'!$L:$L, 
      MATCH(
        1, 
        ('アイテム別限界値DB'!$B:$B = AR$10) * 
        ('アイテム別限界値DB'!$C:$C = AR14) * 
        ('アイテム別限界値DB'!$F:$F = AS14), 
        0
      )
    ), 
    ""
  )
)
</f>
        <v/>
      </c>
      <c r="AV14" s="121"/>
      <c r="AW14" s="224" t="s">
        <v>51</v>
      </c>
      <c r="AX14" s="232"/>
      <c r="AY14" s="231" t="str">
        <f t="array" ref="AY14">IF(
  AX14 = 0, 
  "", 
  IFERROR(
    INDEX(
      'アイテム別限界値DB'!$K:$K, 
      MATCH(
        1, 
        ('アイテム別限界値DB'!$B:$B = AW$10) * 
        ('アイテム別限界値DB'!$F:$F = AW14) * 
        ('アイテム別限界値DB'!$H:$H = AX14), 
        0
      )
    ), 
    "再製作"
  )
)
</f>
        <v/>
      </c>
      <c r="AZ14" s="218" t="str">
        <f t="array" ref="AZ14">IF(
  AX14 = 0, 
  "", 
  IFERROR(
    INDEX(
      'アイテム別限界値DB'!$L:$L, 
      MATCH(
        1, 
        ('アイテム別限界値DB'!$B:$B = AW$10) * 
        ('アイテム別限界値DB'!$C:$C = AW14) * 
        ('アイテム別限界値DB'!$F:$F = AX14), 
        0
      )
    ), 
    ""
  )
)
</f>
        <v/>
      </c>
      <c r="BA14" s="121"/>
      <c r="BB14" s="224" t="s">
        <v>51</v>
      </c>
      <c r="BC14" s="232"/>
      <c r="BD14" s="231" t="str">
        <f t="array" ref="BD14">IF(
  BC14 = 0, 
  "", 
  IFERROR(
    INDEX(
      'アイテム別限界値DB'!$K:$K, 
      MATCH(
        1, 
        ('アイテム別限界値DB'!$B:$B = BB$10) * 
        ('アイテム別限界値DB'!$F:$F = BB14) * 
        ('アイテム別限界値DB'!$H:$H = BC14), 
        0
      )
    ), 
    "再製作"
  )
)
</f>
        <v/>
      </c>
      <c r="BE14" s="218" t="str">
        <f t="array" ref="BE14">IF(
  BC14 = 0, 
  "", 
  IFERROR(
    INDEX(
      'アイテム別限界値DB'!$L:$L, 
      MATCH(
        1, 
        ('アイテム別限界値DB'!$B:$B = BB$10) * 
        ('アイテム別限界値DB'!$C:$C = BB14) * 
        ('アイテム別限界値DB'!$F:$F = BC14), 
        0
      )
    ), 
    ""
  )
)
</f>
        <v/>
      </c>
      <c r="BF14" s="121"/>
      <c r="BG14" s="224" t="s">
        <v>51</v>
      </c>
      <c r="BH14" s="233"/>
      <c r="BI14" s="234" t="str">
        <f t="array" ref="BI14">IF(
  BH14 = 0, 
  "", 
  IFERROR(
    INDEX(
      'アイテム別限界値DB'!$K:$K, 
      MATCH(
        1, 
        ('アイテム別限界値DB'!$B:$B = BG$10) * 
        ('アイテム別限界値DB'!$F:$F = BG14) * 
        ('アイテム別限界値DB'!$H:$H = BH14), 
        0
      )
    ), 
    "再製作"
  )
)
</f>
        <v/>
      </c>
      <c r="BJ14" s="218" t="str">
        <f t="array" ref="BJ14">IF(
  BH14 = 0, 
  "", 
  IFERROR(
    INDEX(
      'アイテム別限界値DB'!$L:$L, 
      MATCH(
        1, 
        ('アイテム別限界値DB'!$B:$B = BG$10) * 
        ('アイテム別限界値DB'!$C:$C = BG14) * 
        ('アイテム別限界値DB'!$F:$F = BH14), 
        0
      )
    ), 
    ""
  )
)
</f>
        <v/>
      </c>
      <c r="BK14" s="121"/>
      <c r="BL14" s="224" t="s">
        <v>51</v>
      </c>
      <c r="BM14" s="232"/>
      <c r="BN14" s="231" t="str">
        <f t="array" ref="BN14">IF(
  BM14 = 0, 
  "", 
  IFERROR(
    INDEX(
      'アイテム別限界値DB'!$K:$K, 
      MATCH(
        1, 
        ('アイテム別限界値DB'!$B:$B = BL$10) * 
        ('アイテム別限界値DB'!$F:$F = BL14) * 
        ('アイテム別限界値DB'!$H:$H = BM14), 
        0
      )
    ), 
    "再製作"
  )
)
</f>
        <v/>
      </c>
      <c r="BO14" s="218" t="str">
        <f t="array" ref="BO14">IF(
  BM14 = 0, 
  "", 
  IFERROR(
    INDEX(
      'アイテム別限界値DB'!$L:$L, 
      MATCH(
        1, 
        ('アイテム別限界値DB'!$B:$B = BL$10) * 
        ('アイテム別限界値DB'!$C:$C = BL14) * 
        ('アイテム別限界値DB'!$F:$F = BM14), 
        0
      )
    ), 
    ""
  )
)
</f>
        <v/>
      </c>
      <c r="BP14" s="195"/>
    </row>
    <row r="15" ht="18.75" customHeight="1">
      <c r="A15" s="228" t="str">
        <f>IFERROR(__xludf.DUMMYFUNCTION("TEXTJOIN(CHAR(10),TRUE,FILTER(ARRAYFORMULA(IF(E$14:E72&lt;&gt;"""",D$14:D72&amp;"" : ""&amp; E$14:E72 &amp;"" cm"","""")), D$14:D72 &lt;&gt;""""))"),"")</f>
        <v/>
      </c>
      <c r="B15" s="235"/>
      <c r="C15" s="224"/>
      <c r="D15" s="224" t="s">
        <v>53</v>
      </c>
      <c r="E15" s="230"/>
      <c r="F15" s="231" t="str">
        <f t="array" ref="F15">IF(
  E15 = 0, 
  "", 
  IFERROR(
    INDEX(
      'アイテム別限界値DB'!$K:$K, 
      MATCH(
        1, 
        ('アイテム別限界値DB'!$B:$B = D$10) * 
        ('アイテム別限界値DB'!$F:$F = D15) * 
        ('アイテム別限界値DB'!$H:$H = E15), 
        0
      )
    ), 
    "再製作"
  )
)
</f>
        <v/>
      </c>
      <c r="G15" s="218" t="str">
        <f t="array" ref="G15">IF(
  E15 = 0, 
  "", 
  IFERROR(
    INDEX(
      'アイテム別限界値DB'!$L:$L, 
      MATCH(
        1, 
        ('アイテム別限界値DB'!$B:$B = D$10) * 
        ('アイテム別限界値DB'!$C:$C = D15) * 
        ('アイテム別限界値DB'!$F:$F = E15), 
        0
      )
    ), 
    ""
  )
)
</f>
        <v/>
      </c>
      <c r="H15" s="12"/>
      <c r="I15" s="224" t="s">
        <v>54</v>
      </c>
      <c r="J15" s="230"/>
      <c r="K15" s="231" t="str">
        <f t="array" ref="K15">IF(
  J15 = 0, 
  "", 
  IFERROR(
    INDEX(
      'アイテム別限界値DB'!$K:$K, 
      MATCH(
        1, 
        ('アイテム別限界値DB'!$B:$B = I$10) * 
        ('アイテム別限界値DB'!$F:$F = I15) * 
        ('アイテム別限界値DB'!$H:$H = J15), 
        0
      )
    ), 
    "再製作"
  )
)
</f>
        <v/>
      </c>
      <c r="L15" s="218" t="str">
        <f t="array" ref="L15">IF(
  J15 = 0, 
  "", 
  IFERROR(
    INDEX(
      'アイテム別限界値DB'!$L:$L, 
      MATCH(
        1, 
        ('アイテム別限界値DB'!$B:$B = I$10) * 
        ('アイテム別限界値DB'!$C:$C = I15) * 
        ('アイテム別限界値DB'!$F:$F = J15), 
        0
      )
    ), 
    ""
  )
)
</f>
        <v/>
      </c>
      <c r="M15" s="12"/>
      <c r="N15" s="224" t="s">
        <v>55</v>
      </c>
      <c r="O15" s="230"/>
      <c r="P15" s="231" t="str">
        <f t="array" ref="P15">IF(
  O15 = 0, 
  "", 
  IFERROR(
    INDEX(
      'アイテム別限界値DB'!$K:$K, 
      MATCH(
        1, 
        ('アイテム別限界値DB'!$B:$B = N$10) * 
        ('アイテム別限界値DB'!$F:$F = N15) * 
        ('アイテム別限界値DB'!$H:$H = O15), 
        0
      )
    ), 
    "再製作"
  )
)
</f>
        <v/>
      </c>
      <c r="Q15" s="218" t="str">
        <f t="array" ref="Q15">IF(
  O15 = 0, 
  "", 
  IFERROR(
    INDEX(
      'アイテム別限界値DB'!$L:$L, 
      MATCH(
        1, 
        ('アイテム別限界値DB'!$B:$B = N$10) * 
        ('アイテム別限界値DB'!$C:$C = N15) * 
        ('アイテム別限界値DB'!$F:$F = O15), 
        0
      )
    ), 
    ""
  )
)
</f>
        <v/>
      </c>
      <c r="R15" s="12"/>
      <c r="S15" s="224" t="s">
        <v>54</v>
      </c>
      <c r="T15" s="230"/>
      <c r="U15" s="231" t="str">
        <f t="array" ref="U15">IF(
  T15 = 0, 
  "", 
  IFERROR(
    INDEX(
      'アイテム別限界値DB'!$K:$K, 
      MATCH(
        1, 
        ('アイテム別限界値DB'!$B:$B = S$10) * 
        ('アイテム別限界値DB'!$F:$F = S15) * 
        ('アイテム別限界値DB'!$H:$H = T15), 
        0
      )
    ), 
    "再製作"
  )
)
</f>
        <v/>
      </c>
      <c r="V15" s="218" t="str">
        <f t="array" ref="V15">IF(
  T15 = 0, 
  "", 
  IFERROR(
    INDEX(
      'アイテム別限界値DB'!$L:$L, 
      MATCH(
        1, 
        ('アイテム別限界値DB'!$B:$B = S$10) * 
        ('アイテム別限界値DB'!$C:$C = S15) * 
        ('アイテム別限界値DB'!$F:$F = T15), 
        0
      )
    ), 
    ""
  )
)
</f>
        <v/>
      </c>
      <c r="W15" s="12"/>
      <c r="X15" s="224" t="s">
        <v>53</v>
      </c>
      <c r="Y15" s="230"/>
      <c r="Z15" s="231" t="str">
        <f t="array" ref="Z15">IF(
  Y15 = 0, 
  "", 
  IFERROR(
    INDEX(
      'アイテム別限界値DB'!$K:$K, 
      MATCH(
        1, 
        ('アイテム別限界値DB'!$B:$B = X$10) * 
        ('アイテム別限界値DB'!$F:$F = X15) * 
        ('アイテム別限界値DB'!$H:$H = Y15), 
        0
      )
    ), 
    "再製作"
  )
)
</f>
        <v/>
      </c>
      <c r="AA15" s="218" t="str">
        <f t="array" ref="AA15">IF(
  Y15 = 0, 
  "", 
  IFERROR(
    INDEX(
      'アイテム別限界値DB'!$L:$L, 
      MATCH(
        1, 
        ('アイテム別限界値DB'!$B:$B = X$10) * 
        ('アイテム別限界値DB'!$C:$C = X15) * 
        ('アイテム別限界値DB'!$F:$F = Y15), 
        0
      )
    ), 
    ""
  )
)
</f>
        <v/>
      </c>
      <c r="AB15" s="11"/>
      <c r="AC15" s="224" t="s">
        <v>53</v>
      </c>
      <c r="AD15" s="230"/>
      <c r="AE15" s="231" t="str">
        <f t="array" ref="AE15">IF(
  AD15 = 0, 
  "", 
  IFERROR(
    INDEX(
      'アイテム別限界値DB'!$K:$K, 
      MATCH(
        1, 
        ('アイテム別限界値DB'!$B:$B = AC$10) * 
        ('アイテム別限界値DB'!$F:$F = AC15) * 
        ('アイテム別限界値DB'!$H:$H = AD15), 
        0
      )
    ), 
    "再製作"
  )
)
</f>
        <v/>
      </c>
      <c r="AF15" s="218" t="str">
        <f t="array" ref="AF15">IF(
  AD15 = 0, 
  "", 
  IFERROR(
    INDEX(
      'アイテム別限界値DB'!$L:$L, 
      MATCH(
        1, 
        ('アイテム別限界値DB'!$B:$B = AC$10) * 
        ('アイテム別限界値DB'!$C:$C = AC15) * 
        ('アイテム別限界値DB'!$F:$F = AD15), 
        0
      )
    ), 
    ""
  )
)
</f>
        <v/>
      </c>
      <c r="AG15" s="11"/>
      <c r="AH15" s="224" t="s">
        <v>53</v>
      </c>
      <c r="AI15" s="232"/>
      <c r="AJ15" s="231" t="str">
        <f t="array" ref="AJ15">IF(
  AI15 = 0, 
  "", 
  IFERROR(
    INDEX(
      'アイテム別限界値DB'!$K:$K, 
      MATCH(
        1, 
        ('アイテム別限界値DB'!$B:$B = AH$10) * 
        ('アイテム別限界値DB'!$F:$F = AH15) * 
        ('アイテム別限界値DB'!$H:$H = AI15), 
        0
      )
    ), 
    "再製作"
  )
)
</f>
        <v/>
      </c>
      <c r="AK15" s="218" t="str">
        <f t="array" ref="AK15">IF(
  AI15 = 0, 
  "", 
  IFERROR(
    INDEX(
      'アイテム別限界値DB'!$L:$L, 
      MATCH(
        1, 
        ('アイテム別限界値DB'!$B:$B = AH$10) * 
        ('アイテム別限界値DB'!$C:$C = AH15) * 
        ('アイテム別限界値DB'!$F:$F = AI15), 
        0
      )
    ), 
    ""
  )
)
</f>
        <v/>
      </c>
      <c r="AL15" s="11"/>
      <c r="AM15" s="224" t="s">
        <v>53</v>
      </c>
      <c r="AN15" s="232"/>
      <c r="AO15" s="231" t="str">
        <f t="array" ref="AO15">IF(
  AN15 = 0, 
  "", 
  IFERROR(
    INDEX(
      'アイテム別限界値DB'!$K:$K, 
      MATCH(
        1, 
        ('アイテム別限界値DB'!$B:$B = AM$10) * 
        ('アイテム別限界値DB'!$F:$F = AM15) * 
        ('アイテム別限界値DB'!$H:$H = AN15), 
        0
      )
    ), 
    "再製作"
  )
)
</f>
        <v/>
      </c>
      <c r="AP15" s="218" t="str">
        <f t="array" ref="AP15">IF(
  AN15 = 0, 
  "", 
  IFERROR(
    INDEX(
      'アイテム別限界値DB'!$L:$L, 
      MATCH(
        1, 
        ('アイテム別限界値DB'!$B:$B = AM$10) * 
        ('アイテム別限界値DB'!$C:$C = AM15) * 
        ('アイテム別限界値DB'!$F:$F = AN15), 
        0
      )
    ), 
    ""
  )
)
</f>
        <v/>
      </c>
      <c r="AQ15" s="11"/>
      <c r="AR15" s="224" t="s">
        <v>53</v>
      </c>
      <c r="AS15" s="230"/>
      <c r="AT15" s="231" t="str">
        <f t="array" ref="AT15">IF(
  AS15 = 0, 
  "", 
  IFERROR(
    INDEX(
      'アイテム別限界値DB'!$K:$K, 
      MATCH(
        1, 
        ('アイテム別限界値DB'!$B:$B = AR$10) * 
        ('アイテム別限界値DB'!$F:$F = AR15) * 
        ('アイテム別限界値DB'!$H:$H = AS15), 
        0
      )
    ), 
    "再製作"
  )
)
</f>
        <v/>
      </c>
      <c r="AU15" s="218" t="str">
        <f t="array" ref="AU15">IF(
  AS15 = 0, 
  "", 
  IFERROR(
    INDEX(
      'アイテム別限界値DB'!$L:$L, 
      MATCH(
        1, 
        ('アイテム別限界値DB'!$B:$B = AR$10) * 
        ('アイテム別限界値DB'!$C:$C = AR15) * 
        ('アイテム別限界値DB'!$F:$F = AS15), 
        0
      )
    ), 
    ""
  )
)
</f>
        <v/>
      </c>
      <c r="AV15" s="121"/>
      <c r="AW15" s="224" t="s">
        <v>53</v>
      </c>
      <c r="AX15" s="232"/>
      <c r="AY15" s="231" t="str">
        <f t="array" ref="AY15">IF(
  AX15 = 0, 
  "", 
  IFERROR(
    INDEX(
      'アイテム別限界値DB'!$K:$K, 
      MATCH(
        1, 
        ('アイテム別限界値DB'!$B:$B = AW$10) * 
        ('アイテム別限界値DB'!$F:$F = AW15) * 
        ('アイテム別限界値DB'!$H:$H = AX15), 
        0
      )
    ), 
    "再製作"
  )
)
</f>
        <v/>
      </c>
      <c r="AZ15" s="218" t="str">
        <f t="array" ref="AZ15">IF(
  AX15 = 0, 
  "", 
  IFERROR(
    INDEX(
      'アイテム別限界値DB'!$L:$L, 
      MATCH(
        1, 
        ('アイテム別限界値DB'!$B:$B = AW$10) * 
        ('アイテム別限界値DB'!$C:$C = AW15) * 
        ('アイテム別限界値DB'!$F:$F = AX15), 
        0
      )
    ), 
    ""
  )
)
</f>
        <v/>
      </c>
      <c r="BA15" s="121"/>
      <c r="BB15" s="224" t="s">
        <v>53</v>
      </c>
      <c r="BC15" s="232"/>
      <c r="BD15" s="231" t="str">
        <f t="array" ref="BD15">IF(
  BC15 = 0, 
  "", 
  IFERROR(
    INDEX(
      'アイテム別限界値DB'!$K:$K, 
      MATCH(
        1, 
        ('アイテム別限界値DB'!$B:$B = BB$10) * 
        ('アイテム別限界値DB'!$F:$F = BB15) * 
        ('アイテム別限界値DB'!$H:$H = BC15), 
        0
      )
    ), 
    "再製作"
  )
)
</f>
        <v/>
      </c>
      <c r="BE15" s="218" t="str">
        <f t="array" ref="BE15">IF(
  BC15 = 0, 
  "", 
  IFERROR(
    INDEX(
      'アイテム別限界値DB'!$L:$L, 
      MATCH(
        1, 
        ('アイテム別限界値DB'!$B:$B = BB$10) * 
        ('アイテム別限界値DB'!$C:$C = BB15) * 
        ('アイテム別限界値DB'!$F:$F = BC15), 
        0
      )
    ), 
    ""
  )
)
</f>
        <v/>
      </c>
      <c r="BF15" s="121"/>
      <c r="BG15" s="224" t="s">
        <v>53</v>
      </c>
      <c r="BH15" s="232"/>
      <c r="BI15" s="231" t="str">
        <f t="array" ref="BI15">IF(
  BH15 = 0, 
  "", 
  IFERROR(
    INDEX(
      'アイテム別限界値DB'!$K:$K, 
      MATCH(
        1, 
        ('アイテム別限界値DB'!$B:$B = BG$10) * 
        ('アイテム別限界値DB'!$F:$F = BG15) * 
        ('アイテム別限界値DB'!$H:$H = BH15), 
        0
      )
    ), 
    "再製作"
  )
)
</f>
        <v/>
      </c>
      <c r="BJ15" s="218" t="str">
        <f t="array" ref="BJ15">IF(
  BH15 = 0, 
  "", 
  IFERROR(
    INDEX(
      'アイテム別限界値DB'!$L:$L, 
      MATCH(
        1, 
        ('アイテム別限界値DB'!$B:$B = BG$10) * 
        ('アイテム別限界値DB'!$C:$C = BG15) * 
        ('アイテム別限界値DB'!$F:$F = BH15), 
        0
      )
    ), 
    ""
  )
)
</f>
        <v/>
      </c>
      <c r="BK15" s="121"/>
      <c r="BL15" s="224" t="s">
        <v>53</v>
      </c>
      <c r="BM15" s="232"/>
      <c r="BN15" s="231" t="str">
        <f t="array" ref="BN15">IF(
  BM15 = 0, 
  "", 
  IFERROR(
    INDEX(
      'アイテム別限界値DB'!$K:$K, 
      MATCH(
        1, 
        ('アイテム別限界値DB'!$B:$B = BL$10) * 
        ('アイテム別限界値DB'!$F:$F = BL15) * 
        ('アイテム別限界値DB'!$H:$H = BM15), 
        0
      )
    ), 
    "再製作"
  )
)
</f>
        <v/>
      </c>
      <c r="BO15" s="218" t="str">
        <f t="array" ref="BO15">IF(
  BM15 = 0, 
  "", 
  IFERROR(
    INDEX(
      'アイテム別限界値DB'!$L:$L, 
      MATCH(
        1, 
        ('アイテム別限界値DB'!$B:$B = BL$10) * 
        ('アイテム別限界値DB'!$C:$C = BL15) * 
        ('アイテム別限界値DB'!$F:$F = BM15), 
        0
      )
    ), 
    ""
  )
)
</f>
        <v/>
      </c>
      <c r="BP15" s="195"/>
    </row>
    <row r="16" ht="18.75" customHeight="1">
      <c r="A16" s="236" t="str">
        <f>if($A$14&lt;&gt;"", "《仕上がり数値》","")</f>
        <v/>
      </c>
      <c r="B16" s="224"/>
      <c r="C16" s="224"/>
      <c r="D16" s="224" t="s">
        <v>55</v>
      </c>
      <c r="E16" s="230"/>
      <c r="F16" s="231" t="str">
        <f t="array" ref="F16">IF(
  E16 = 0, 
  "", 
  IFERROR(
    INDEX(
      'アイテム別限界値DB'!$K:$K, 
      MATCH(
        1, 
        ('アイテム別限界値DB'!$B:$B = D$10) * 
        ('アイテム別限界値DB'!$F:$F = D16) * 
        ('アイテム別限界値DB'!$H:$H = E16), 
        0
      )
    ), 
    "再製作"
  )
)
</f>
        <v/>
      </c>
      <c r="G16" s="218" t="str">
        <f t="array" ref="G16">IF(
  E16 = 0, 
  "", 
  IFERROR(
    INDEX(
      'アイテム別限界値DB'!$L:$L, 
      MATCH(
        1, 
        ('アイテム別限界値DB'!$B:$B = D$10) * 
        ('アイテム別限界値DB'!$C:$C = D16) * 
        ('アイテム別限界値DB'!$F:$F = E16), 
        0
      )
    ), 
    ""
  )
)
</f>
        <v/>
      </c>
      <c r="H16" s="12"/>
      <c r="I16" s="224" t="s">
        <v>56</v>
      </c>
      <c r="J16" s="230"/>
      <c r="K16" s="231" t="str">
        <f t="array" ref="K16">IF(
  J16 = 0, 
  "", 
  IFERROR(
    INDEX(
      'アイテム別限界値DB'!$K:$K, 
      MATCH(
        1, 
        ('アイテム別限界値DB'!$B:$B = I$10) * 
        ('アイテム別限界値DB'!$F:$F = I16) * 
        ('アイテム別限界値DB'!$H:$H = J16), 
        0
      )
    ), 
    "再製作"
  )
)
</f>
        <v/>
      </c>
      <c r="L16" s="218" t="str">
        <f t="array" ref="L16">IF(
  J16 = 0, 
  "", 
  IFERROR(
    INDEX(
      'アイテム別限界値DB'!$L:$L, 
      MATCH(
        1, 
        ('アイテム別限界値DB'!$B:$B = I$10) * 
        ('アイテム別限界値DB'!$C:$C = I16) * 
        ('アイテム別限界値DB'!$F:$F = J16), 
        0
      )
    ), 
    ""
  )
)
</f>
        <v/>
      </c>
      <c r="M16" s="12"/>
      <c r="N16" s="224" t="s">
        <v>57</v>
      </c>
      <c r="O16" s="230"/>
      <c r="P16" s="231" t="str">
        <f t="array" ref="P16">IF(
  O16 = 0, 
  "", 
  IFERROR(
    INDEX(
      'アイテム別限界値DB'!$K:$K, 
      MATCH(
        1, 
        ('アイテム別限界値DB'!$B:$B = N$10) * 
        ('アイテム別限界値DB'!$F:$F = N16) * 
        ('アイテム別限界値DB'!$H:$H = O16), 
        0
      )
    ), 
    "再製作"
  )
)
</f>
        <v/>
      </c>
      <c r="Q16" s="218" t="str">
        <f t="array" ref="Q16">IF(
  O16 = 0, 
  "", 
  IFERROR(
    INDEX(
      'アイテム別限界値DB'!$L:$L, 
      MATCH(
        1, 
        ('アイテム別限界値DB'!$B:$B = N$10) * 
        ('アイテム別限界値DB'!$C:$C = N16) * 
        ('アイテム別限界値DB'!$F:$F = O16), 
        0
      )
    ), 
    ""
  )
)
</f>
        <v/>
      </c>
      <c r="R16" s="12"/>
      <c r="S16" s="224" t="s">
        <v>56</v>
      </c>
      <c r="T16" s="230"/>
      <c r="U16" s="231" t="str">
        <f t="array" ref="U16">IF(
  T16 = 0, 
  "", 
  IFERROR(
    INDEX(
      'アイテム別限界値DB'!$K:$K, 
      MATCH(
        1, 
        ('アイテム別限界値DB'!$B:$B = S$10) * 
        ('アイテム別限界値DB'!$F:$F = S16) * 
        ('アイテム別限界値DB'!$H:$H = T16), 
        0
      )
    ), 
    "再製作"
  )
)
</f>
        <v/>
      </c>
      <c r="V16" s="218" t="str">
        <f t="array" ref="V16">IF(
  T16 = 0, 
  "", 
  IFERROR(
    INDEX(
      'アイテム別限界値DB'!$L:$L, 
      MATCH(
        1, 
        ('アイテム別限界値DB'!$B:$B = S$10) * 
        ('アイテム別限界値DB'!$C:$C = S16) * 
        ('アイテム別限界値DB'!$F:$F = T16), 
        0
      )
    ), 
    ""
  )
)
</f>
        <v/>
      </c>
      <c r="W16" s="12"/>
      <c r="X16" s="224" t="s">
        <v>58</v>
      </c>
      <c r="Y16" s="230"/>
      <c r="Z16" s="231" t="str">
        <f t="array" ref="Z16">IF(
  Y16 = 0, 
  "", 
  IFERROR(
    INDEX(
      'アイテム別限界値DB'!$K:$K, 
      MATCH(
        1, 
        ('アイテム別限界値DB'!$B:$B = X$10) * 
        ('アイテム別限界値DB'!$F:$F = X16) * 
        ('アイテム別限界値DB'!$H:$H = Y16), 
        0
      )
    ), 
    "再製作"
  )
)
</f>
        <v/>
      </c>
      <c r="AA16" s="218" t="str">
        <f t="array" ref="AA16">IF(
  Y16 = 0, 
  "", 
  IFERROR(
    INDEX(
      'アイテム別限界値DB'!$L:$L, 
      MATCH(
        1, 
        ('アイテム別限界値DB'!$B:$B = X$10) * 
        ('アイテム別限界値DB'!$C:$C = X16) * 
        ('アイテム別限界値DB'!$F:$F = Y16), 
        0
      )
    ), 
    ""
  )
)
</f>
        <v/>
      </c>
      <c r="AB16" s="11"/>
      <c r="AC16" s="224" t="s">
        <v>55</v>
      </c>
      <c r="AD16" s="230"/>
      <c r="AE16" s="231" t="str">
        <f t="array" ref="AE16">IF(
  AD16 = 0, 
  "", 
  IFERROR(
    INDEX(
      'アイテム別限界値DB'!$K:$K, 
      MATCH(
        1, 
        ('アイテム別限界値DB'!$B:$B = AC$10) * 
        ('アイテム別限界値DB'!$F:$F = AC16) * 
        ('アイテム別限界値DB'!$H:$H = AD16), 
        0
      )
    ), 
    "再製作"
  )
)
</f>
        <v/>
      </c>
      <c r="AF16" s="218" t="str">
        <f t="array" ref="AF16">IF(
  AD16 = 0, 
  "", 
  IFERROR(
    INDEX(
      'アイテム別限界値DB'!$L:$L, 
      MATCH(
        1, 
        ('アイテム別限界値DB'!$B:$B = AC$10) * 
        ('アイテム別限界値DB'!$C:$C = AC16) * 
        ('アイテム別限界値DB'!$F:$F = AD16), 
        0
      )
    ), 
    ""
  )
)
</f>
        <v/>
      </c>
      <c r="AG16" s="11"/>
      <c r="AH16" s="224" t="s">
        <v>55</v>
      </c>
      <c r="AI16" s="232"/>
      <c r="AJ16" s="231" t="str">
        <f t="array" ref="AJ16">IF(
  AI16 = 0, 
  "", 
  IFERROR(
    INDEX(
      'アイテム別限界値DB'!$K:$K, 
      MATCH(
        1, 
        ('アイテム別限界値DB'!$B:$B = AH$10) * 
        ('アイテム別限界値DB'!$F:$F = AH16) * 
        ('アイテム別限界値DB'!$H:$H = AI16), 
        0
      )
    ), 
    "再製作"
  )
)
</f>
        <v/>
      </c>
      <c r="AK16" s="218" t="str">
        <f t="array" ref="AK16">IF(
  AI16 = 0, 
  "", 
  IFERROR(
    INDEX(
      'アイテム別限界値DB'!$L:$L, 
      MATCH(
        1, 
        ('アイテム別限界値DB'!$B:$B = AH$10) * 
        ('アイテム別限界値DB'!$C:$C = AH16) * 
        ('アイテム別限界値DB'!$F:$F = AI16), 
        0
      )
    ), 
    ""
  )
)
</f>
        <v/>
      </c>
      <c r="AL16" s="11"/>
      <c r="AM16" s="224" t="s">
        <v>55</v>
      </c>
      <c r="AN16" s="232"/>
      <c r="AO16" s="231" t="str">
        <f t="array" ref="AO16">IF(
  AN16 = 0, 
  "", 
  IFERROR(
    INDEX(
      'アイテム別限界値DB'!$K:$K, 
      MATCH(
        1, 
        ('アイテム別限界値DB'!$B:$B = AM$10) * 
        ('アイテム別限界値DB'!$F:$F = AM16) * 
        ('アイテム別限界値DB'!$H:$H = AN16), 
        0
      )
    ), 
    "再製作"
  )
)
</f>
        <v/>
      </c>
      <c r="AP16" s="218" t="str">
        <f t="array" ref="AP16">IF(
  AN16 = 0, 
  "", 
  IFERROR(
    INDEX(
      'アイテム別限界値DB'!$L:$L, 
      MATCH(
        1, 
        ('アイテム別限界値DB'!$B:$B = AM$10) * 
        ('アイテム別限界値DB'!$C:$C = AM16) * 
        ('アイテム別限界値DB'!$F:$F = AN16), 
        0
      )
    ), 
    ""
  )
)
</f>
        <v/>
      </c>
      <c r="AQ16" s="11"/>
      <c r="AR16" s="224" t="s">
        <v>55</v>
      </c>
      <c r="AS16" s="232"/>
      <c r="AT16" s="231" t="str">
        <f t="array" ref="AT16">IF(
  AS16 = 0, 
  "", 
  IFERROR(
    INDEX(
      'アイテム別限界値DB'!$K:$K, 
      MATCH(
        1, 
        ('アイテム別限界値DB'!$B:$B = AR$10) * 
        ('アイテム別限界値DB'!$F:$F = AR16) * 
        ('アイテム別限界値DB'!$H:$H = AS16), 
        0
      )
    ), 
    "再製作"
  )
)
</f>
        <v/>
      </c>
      <c r="AU16" s="218" t="str">
        <f t="array" ref="AU16">IF(
  AS16 = 0, 
  "", 
  IFERROR(
    INDEX(
      'アイテム別限界値DB'!$L:$L, 
      MATCH(
        1, 
        ('アイテム別限界値DB'!$B:$B = AR$10) * 
        ('アイテム別限界値DB'!$C:$C = AR16) * 
        ('アイテム別限界値DB'!$F:$F = AS16), 
        0
      )
    ), 
    ""
  )
)
</f>
        <v/>
      </c>
      <c r="AV16" s="121"/>
      <c r="AW16" s="224" t="s">
        <v>55</v>
      </c>
      <c r="AX16" s="232"/>
      <c r="AY16" s="231" t="str">
        <f t="array" ref="AY16">IF(
  AX16 = 0, 
  "", 
  IFERROR(
    INDEX(
      'アイテム別限界値DB'!$K:$K, 
      MATCH(
        1, 
        ('アイテム別限界値DB'!$B:$B = AW$10) * 
        ('アイテム別限界値DB'!$F:$F = AW16) * 
        ('アイテム別限界値DB'!$H:$H = AX16), 
        0
      )
    ), 
    "再製作"
  )
)
</f>
        <v/>
      </c>
      <c r="AZ16" s="218" t="str">
        <f t="array" ref="AZ16">IF(
  AX16 = 0, 
  "", 
  IFERROR(
    INDEX(
      'アイテム別限界値DB'!$L:$L, 
      MATCH(
        1, 
        ('アイテム別限界値DB'!$B:$B = AW$10) * 
        ('アイテム別限界値DB'!$C:$C = AW16) * 
        ('アイテム別限界値DB'!$F:$F = AX16), 
        0
      )
    ), 
    ""
  )
)
</f>
        <v/>
      </c>
      <c r="BA16" s="121"/>
      <c r="BB16" s="224" t="s">
        <v>55</v>
      </c>
      <c r="BC16" s="232"/>
      <c r="BD16" s="231" t="str">
        <f t="array" ref="BD16">IF(
  BC16 = 0, 
  "", 
  IFERROR(
    INDEX(
      'アイテム別限界値DB'!$K:$K, 
      MATCH(
        1, 
        ('アイテム別限界値DB'!$B:$B = BB$10) * 
        ('アイテム別限界値DB'!$F:$F = BB16) * 
        ('アイテム別限界値DB'!$H:$H = BC16), 
        0
      )
    ), 
    "再製作"
  )
)
</f>
        <v/>
      </c>
      <c r="BE16" s="218" t="str">
        <f t="array" ref="BE16">IF(
  BC16 = 0, 
  "", 
  IFERROR(
    INDEX(
      'アイテム別限界値DB'!$L:$L, 
      MATCH(
        1, 
        ('アイテム別限界値DB'!$B:$B = BB$10) * 
        ('アイテム別限界値DB'!$C:$C = BB16) * 
        ('アイテム別限界値DB'!$F:$F = BC16), 
        0
      )
    ), 
    ""
  )
)
</f>
        <v/>
      </c>
      <c r="BF16" s="121"/>
      <c r="BG16" s="224" t="s">
        <v>55</v>
      </c>
      <c r="BH16" s="232"/>
      <c r="BI16" s="231" t="str">
        <f t="array" ref="BI16">IF(
  BH16 = 0, 
  "", 
  IFERROR(
    INDEX(
      'アイテム別限界値DB'!$K:$K, 
      MATCH(
        1, 
        ('アイテム別限界値DB'!$B:$B = BG$10) * 
        ('アイテム別限界値DB'!$F:$F = BG16) * 
        ('アイテム別限界値DB'!$H:$H = BH16), 
        0
      )
    ), 
    "再製作"
  )
)
</f>
        <v/>
      </c>
      <c r="BJ16" s="218" t="str">
        <f t="array" ref="BJ16">IF(
  BH16 = 0, 
  "", 
  IFERROR(
    INDEX(
      'アイテム別限界値DB'!$L:$L, 
      MATCH(
        1, 
        ('アイテム別限界値DB'!$B:$B = BG$10) * 
        ('アイテム別限界値DB'!$C:$C = BG16) * 
        ('アイテム別限界値DB'!$F:$F = BH16), 
        0
      )
    ), 
    ""
  )
)
</f>
        <v/>
      </c>
      <c r="BK16" s="121"/>
      <c r="BL16" s="224" t="s">
        <v>55</v>
      </c>
      <c r="BM16" s="230"/>
      <c r="BN16" s="231" t="str">
        <f t="array" ref="BN16">IF(
  BM16 = 0, 
  "", 
  IFERROR(
    INDEX(
      'アイテム別限界値DB'!$K:$K, 
      MATCH(
        1, 
        ('アイテム別限界値DB'!$B:$B = BL$10) * 
        ('アイテム別限界値DB'!$F:$F = BL16) * 
        ('アイテム別限界値DB'!$H:$H = BM16), 
        0
      )
    ), 
    "再製作"
  )
)
</f>
        <v/>
      </c>
      <c r="BO16" s="218" t="str">
        <f t="array" ref="BO16">IF(
  BM16 = 0, 
  "", 
  IFERROR(
    INDEX(
      'アイテム別限界値DB'!$L:$L, 
      MATCH(
        1, 
        ('アイテム別限界値DB'!$B:$B = BL$10) * 
        ('アイテム別限界値DB'!$C:$C = BL16) * 
        ('アイテム別限界値DB'!$F:$F = BM16), 
        0
      )
    ), 
    ""
  )
)
</f>
        <v/>
      </c>
      <c r="BP16" s="195"/>
    </row>
    <row r="17" ht="18.75" customHeight="1">
      <c r="A17" s="228" t="str">
        <f>IFERROR(__xludf.DUMMYFUNCTION("TEXTJOIN(CHAR(10),TRUE,FILTER(ARRAYFORMULA(IF(E$14:E72&lt;&gt;"""",D$14:D72&amp;"" :  cm"","""")), D$14:D72 &lt;&gt;""""))"),"")</f>
        <v/>
      </c>
      <c r="B17" s="229"/>
      <c r="C17" s="224"/>
      <c r="D17" s="224" t="s">
        <v>60</v>
      </c>
      <c r="E17" s="230"/>
      <c r="F17" s="231" t="str">
        <f t="array" ref="F17">IF(
  E17 = 0, 
  "", 
  IFERROR(
    INDEX(
      'アイテム別限界値DB'!$K:$K, 
      MATCH(
        1, 
        ('アイテム別限界値DB'!$B:$B = D$10) * 
        ('アイテム別限界値DB'!$F:$F = D17) * 
        ('アイテム別限界値DB'!$H:$H = E17), 
        0
      )
    ), 
    "再製作"
  )
)
</f>
        <v/>
      </c>
      <c r="G17" s="218" t="str">
        <f t="array" ref="G17">IF(
  E17 = 0, 
  "", 
  IFERROR(
    INDEX(
      'アイテム別限界値DB'!$L:$L, 
      MATCH(
        1, 
        ('アイテム別限界値DB'!$B:$B = D$10) * 
        ('アイテム別限界値DB'!$C:$C = D17) * 
        ('アイテム別限界値DB'!$F:$F = E17), 
        0
      )
    ), 
    ""
  )
)
</f>
        <v/>
      </c>
      <c r="H17" s="12"/>
      <c r="I17" s="224" t="s">
        <v>61</v>
      </c>
      <c r="J17" s="230"/>
      <c r="K17" s="231" t="str">
        <f t="array" ref="K17">IF(
  J17 = 0, 
  "", 
  IFERROR(
    INDEX(
      'アイテム別限界値DB'!$K:$K, 
      MATCH(
        1, 
        ('アイテム別限界値DB'!$B:$B = I$10) * 
        ('アイテム別限界値DB'!$F:$F = I17) * 
        ('アイテム別限界値DB'!$H:$H = J17), 
        0
      )
    ), 
    "再製作"
  )
)
</f>
        <v/>
      </c>
      <c r="L17" s="218" t="str">
        <f t="array" ref="L17">IF(
  J17 = 0, 
  "", 
  IFERROR(
    INDEX(
      'アイテム別限界値DB'!$L:$L, 
      MATCH(
        1, 
        ('アイテム別限界値DB'!$B:$B = I$10) * 
        ('アイテム別限界値DB'!$C:$C = I17) * 
        ('アイテム別限界値DB'!$F:$F = J17), 
        0
      )
    ), 
    ""
  )
)
</f>
        <v/>
      </c>
      <c r="M17" s="12"/>
      <c r="N17" s="224" t="s">
        <v>62</v>
      </c>
      <c r="O17" s="232"/>
      <c r="P17" s="231" t="str">
        <f t="array" ref="P17">IF(
  O17 = 0, 
  "", 
  IFERROR(
    INDEX(
      'アイテム別限界値DB'!$K:$K, 
      MATCH(
        1, 
        ('アイテム別限界値DB'!$B:$B = N$10) * 
        ('アイテム別限界値DB'!$F:$F = N17) * 
        ('アイテム別限界値DB'!$H:$H = O17), 
        0
      )
    ), 
    "再製作"
  )
)
</f>
        <v/>
      </c>
      <c r="Q17" s="218" t="str">
        <f t="array" ref="Q17">IF(
  O17 = 0, 
  "", 
  IFERROR(
    INDEX(
      'アイテム別限界値DB'!$L:$L, 
      MATCH(
        1, 
        ('アイテム別限界値DB'!$B:$B = N$10) * 
        ('アイテム別限界値DB'!$C:$C = N17) * 
        ('アイテム別限界値DB'!$F:$F = O17), 
        0
      )
    ), 
    ""
  )
)
</f>
        <v/>
      </c>
      <c r="R17" s="11"/>
      <c r="S17" s="224" t="s">
        <v>61</v>
      </c>
      <c r="T17" s="230"/>
      <c r="U17" s="231" t="str">
        <f t="array" ref="U17">IF(
  T17 = 0, 
  "", 
  IFERROR(
    INDEX(
      'アイテム別限界値DB'!$K:$K, 
      MATCH(
        1, 
        ('アイテム別限界値DB'!$B:$B = S$10) * 
        ('アイテム別限界値DB'!$F:$F = S17) * 
        ('アイテム別限界値DB'!$H:$H = T17), 
        0
      )
    ), 
    "再製作"
  )
)
</f>
        <v/>
      </c>
      <c r="V17" s="218" t="str">
        <f t="array" ref="V17">IF(
  T17 = 0, 
  "", 
  IFERROR(
    INDEX(
      'アイテム別限界値DB'!$L:$L, 
      MATCH(
        1, 
        ('アイテム別限界値DB'!$B:$B = S$10) * 
        ('アイテム別限界値DB'!$C:$C = S17) * 
        ('アイテム別限界値DB'!$F:$F = T17), 
        0
      )
    ), 
    ""
  )
)
</f>
        <v/>
      </c>
      <c r="W17" s="12"/>
      <c r="X17" s="224" t="s">
        <v>63</v>
      </c>
      <c r="Y17" s="230"/>
      <c r="Z17" s="231" t="str">
        <f t="array" ref="Z17">IF(
  Y17 = 0, 
  "", 
  IFERROR(
    INDEX(
      'アイテム別限界値DB'!$K:$K, 
      MATCH(
        1, 
        ('アイテム別限界値DB'!$B:$B = X$10) * 
        ('アイテム別限界値DB'!$F:$F = X17) * 
        ('アイテム別限界値DB'!$H:$H = Y17), 
        0
      )
    ), 
    "再製作"
  )
)
</f>
        <v/>
      </c>
      <c r="AA17" s="218" t="str">
        <f t="array" ref="AA17">IF(
  Y17 = 0, 
  "", 
  IFERROR(
    INDEX(
      'アイテム別限界値DB'!$L:$L, 
      MATCH(
        1, 
        ('アイテム別限界値DB'!$B:$B = X$10) * 
        ('アイテム別限界値DB'!$C:$C = X17) * 
        ('アイテム別限界値DB'!$F:$F = Y17), 
        0
      )
    ), 
    ""
  )
)
</f>
        <v/>
      </c>
      <c r="AB17" s="11"/>
      <c r="AC17" s="224" t="s">
        <v>57</v>
      </c>
      <c r="AD17" s="230"/>
      <c r="AE17" s="231" t="str">
        <f t="array" ref="AE17">IF(
  AD17 = 0, 
  "", 
  IFERROR(
    INDEX(
      'アイテム別限界値DB'!$K:$K, 
      MATCH(
        1, 
        ('アイテム別限界値DB'!$B:$B = AC$10) * 
        ('アイテム別限界値DB'!$F:$F = AC17) * 
        ('アイテム別限界値DB'!$H:$H = AD17), 
        0
      )
    ), 
    "再製作"
  )
)
</f>
        <v/>
      </c>
      <c r="AF17" s="218" t="str">
        <f t="array" ref="AF17">IF(
  AD17 = 0, 
  "", 
  IFERROR(
    INDEX(
      'アイテム別限界値DB'!$L:$L, 
      MATCH(
        1, 
        ('アイテム別限界値DB'!$B:$B = AC$10) * 
        ('アイテム別限界値DB'!$C:$C = AC17) * 
        ('アイテム別限界値DB'!$F:$F = AD17), 
        0
      )
    ), 
    ""
  )
)
</f>
        <v/>
      </c>
      <c r="AG17" s="11"/>
      <c r="AH17" s="224" t="s">
        <v>57</v>
      </c>
      <c r="AI17" s="232"/>
      <c r="AJ17" s="231" t="str">
        <f t="array" ref="AJ17">IF(
  AI17 = 0, 
  "", 
  IFERROR(
    INDEX(
      'アイテム別限界値DB'!$K:$K, 
      MATCH(
        1, 
        ('アイテム別限界値DB'!$B:$B = AH$10) * 
        ('アイテム別限界値DB'!$F:$F = AH17) * 
        ('アイテム別限界値DB'!$H:$H = AI17), 
        0
      )
    ), 
    "再製作"
  )
)
</f>
        <v/>
      </c>
      <c r="AK17" s="218" t="str">
        <f t="array" ref="AK17">IF(
  AI17 = 0, 
  "", 
  IFERROR(
    INDEX(
      'アイテム別限界値DB'!$L:$L, 
      MATCH(
        1, 
        ('アイテム別限界値DB'!$B:$B = AH$10) * 
        ('アイテム別限界値DB'!$C:$C = AH17) * 
        ('アイテム別限界値DB'!$F:$F = AI17), 
        0
      )
    ), 
    ""
  )
)
</f>
        <v/>
      </c>
      <c r="AL17" s="11"/>
      <c r="AM17" s="224" t="s">
        <v>57</v>
      </c>
      <c r="AN17" s="232"/>
      <c r="AO17" s="231" t="str">
        <f t="array" ref="AO17">IF(
  AN17 = 0, 
  "", 
  IFERROR(
    INDEX(
      'アイテム別限界値DB'!$K:$K, 
      MATCH(
        1, 
        ('アイテム別限界値DB'!$B:$B = AM$10) * 
        ('アイテム別限界値DB'!$F:$F = AM17) * 
        ('アイテム別限界値DB'!$H:$H = AN17), 
        0
      )
    ), 
    "再製作"
  )
)
</f>
        <v/>
      </c>
      <c r="AP17" s="218" t="str">
        <f t="array" ref="AP17">IF(
  AN17 = 0, 
  "", 
  IFERROR(
    INDEX(
      'アイテム別限界値DB'!$L:$L, 
      MATCH(
        1, 
        ('アイテム別限界値DB'!$B:$B = AM$10) * 
        ('アイテム別限界値DB'!$C:$C = AM17) * 
        ('アイテム別限界値DB'!$F:$F = AN17), 
        0
      )
    ), 
    ""
  )
)
</f>
        <v/>
      </c>
      <c r="AQ17" s="11"/>
      <c r="AR17" s="224" t="s">
        <v>57</v>
      </c>
      <c r="AS17" s="232"/>
      <c r="AT17" s="231" t="str">
        <f t="array" ref="AT17">IF(
  AS17 = 0, 
  "", 
  IFERROR(
    INDEX(
      'アイテム別限界値DB'!$K:$K, 
      MATCH(
        1, 
        ('アイテム別限界値DB'!$B:$B = AR$10) * 
        ('アイテム別限界値DB'!$F:$F = AR17) * 
        ('アイテム別限界値DB'!$H:$H = AS17), 
        0
      )
    ), 
    "再製作"
  )
)
</f>
        <v/>
      </c>
      <c r="AU17" s="218" t="str">
        <f t="array" ref="AU17">IF(
  AS17 = 0, 
  "", 
  IFERROR(
    INDEX(
      'アイテム別限界値DB'!$L:$L, 
      MATCH(
        1, 
        ('アイテム別限界値DB'!$B:$B = AR$10) * 
        ('アイテム別限界値DB'!$C:$C = AR17) * 
        ('アイテム別限界値DB'!$F:$F = AS17), 
        0
      )
    ), 
    ""
  )
)
</f>
        <v/>
      </c>
      <c r="AV17" s="121"/>
      <c r="AW17" s="224" t="s">
        <v>57</v>
      </c>
      <c r="AX17" s="232"/>
      <c r="AY17" s="231" t="str">
        <f t="array" ref="AY17">IF(
  AX17 = 0, 
  "", 
  IFERROR(
    INDEX(
      'アイテム別限界値DB'!$K:$K, 
      MATCH(
        1, 
        ('アイテム別限界値DB'!$B:$B = AW$10) * 
        ('アイテム別限界値DB'!$F:$F = AW17) * 
        ('アイテム別限界値DB'!$H:$H = AX17), 
        0
      )
    ), 
    "再製作"
  )
)
</f>
        <v/>
      </c>
      <c r="AZ17" s="218" t="str">
        <f t="array" ref="AZ17">IF(
  AX17 = 0, 
  "", 
  IFERROR(
    INDEX(
      'アイテム別限界値DB'!$L:$L, 
      MATCH(
        1, 
        ('アイテム別限界値DB'!$B:$B = AW$10) * 
        ('アイテム別限界値DB'!$C:$C = AW17) * 
        ('アイテム別限界値DB'!$F:$F = AX17), 
        0
      )
    ), 
    ""
  )
)
</f>
        <v/>
      </c>
      <c r="BA17" s="121"/>
      <c r="BB17" s="224" t="s">
        <v>57</v>
      </c>
      <c r="BC17" s="232"/>
      <c r="BD17" s="231" t="str">
        <f t="array" ref="BD17">IF(
  BC17 = 0, 
  "", 
  IFERROR(
    INDEX(
      'アイテム別限界値DB'!$K:$K, 
      MATCH(
        1, 
        ('アイテム別限界値DB'!$B:$B = BB$10) * 
        ('アイテム別限界値DB'!$F:$F = BB17) * 
        ('アイテム別限界値DB'!$H:$H = BC17), 
        0
      )
    ), 
    "再製作"
  )
)
</f>
        <v/>
      </c>
      <c r="BE17" s="218" t="str">
        <f t="array" ref="BE17">IF(
  BC17 = 0, 
  "", 
  IFERROR(
    INDEX(
      'アイテム別限界値DB'!$L:$L, 
      MATCH(
        1, 
        ('アイテム別限界値DB'!$B:$B = BB$10) * 
        ('アイテム別限界値DB'!$C:$C = BB17) * 
        ('アイテム別限界値DB'!$F:$F = BC17), 
        0
      )
    ), 
    ""
  )
)
</f>
        <v/>
      </c>
      <c r="BF17" s="121"/>
      <c r="BG17" s="224" t="s">
        <v>57</v>
      </c>
      <c r="BH17" s="232"/>
      <c r="BI17" s="231" t="str">
        <f t="array" ref="BI17">IF(
  BH17 = 0, 
  "", 
  IFERROR(
    INDEX(
      'アイテム別限界値DB'!$K:$K, 
      MATCH(
        1, 
        ('アイテム別限界値DB'!$B:$B = BG$10) * 
        ('アイテム別限界値DB'!$F:$F = BG17) * 
        ('アイテム別限界値DB'!$H:$H = BH17), 
        0
      )
    ), 
    "再製作"
  )
)
</f>
        <v/>
      </c>
      <c r="BJ17" s="218" t="str">
        <f t="array" ref="BJ17">IF(
  BH17 = 0, 
  "", 
  IFERROR(
    INDEX(
      'アイテム別限界値DB'!$L:$L, 
      MATCH(
        1, 
        ('アイテム別限界値DB'!$B:$B = BG$10) * 
        ('アイテム別限界値DB'!$C:$C = BG17) * 
        ('アイテム別限界値DB'!$F:$F = BH17), 
        0
      )
    ), 
    ""
  )
)
</f>
        <v/>
      </c>
      <c r="BK17" s="121"/>
      <c r="BL17" s="224" t="s">
        <v>57</v>
      </c>
      <c r="BM17" s="230"/>
      <c r="BN17" s="231" t="str">
        <f t="array" ref="BN17">IF(
  BM17 = 0, 
  "", 
  IFERROR(
    INDEX(
      'アイテム別限界値DB'!$K:$K, 
      MATCH(
        1, 
        ('アイテム別限界値DB'!$B:$B = BL$10) * 
        ('アイテム別限界値DB'!$F:$F = BL17) * 
        ('アイテム別限界値DB'!$H:$H = BM17), 
        0
      )
    ), 
    "再製作"
  )
)
</f>
        <v/>
      </c>
      <c r="BO17" s="218" t="str">
        <f t="array" ref="BO17">IF(
  BM17 = 0, 
  "", 
  IFERROR(
    INDEX(
      'アイテム別限界値DB'!$L:$L, 
      MATCH(
        1, 
        ('アイテム別限界値DB'!$B:$B = BL$10) * 
        ('アイテム別限界値DB'!$C:$C = BL17) * 
        ('アイテム別限界値DB'!$F:$F = BM17), 
        0
      )
    ), 
    ""
  )
)
</f>
        <v/>
      </c>
      <c r="BP17" s="195"/>
    </row>
    <row r="18" ht="18.75" customHeight="1">
      <c r="A18" s="237" t="s">
        <v>64</v>
      </c>
      <c r="B18" s="235"/>
      <c r="C18" s="224"/>
      <c r="D18" s="224" t="s">
        <v>65</v>
      </c>
      <c r="E18" s="230"/>
      <c r="F18" s="231" t="str">
        <f t="array" ref="F18">IF(
  E18 = 0, 
  "", 
  IFERROR(
    INDEX(
      'アイテム別限界値DB'!$K:$K, 
      MATCH(
        1, 
        ('アイテム別限界値DB'!$B:$B = D$10) * 
        ('アイテム別限界値DB'!$F:$F = D18) * 
        ('アイテム別限界値DB'!$H:$H = E18), 
        0
      )
    ), 
    "再製作"
  )
)
</f>
        <v/>
      </c>
      <c r="G18" s="218" t="str">
        <f t="array" ref="G18">IF(
  E18 = 0, 
  "", 
  IFERROR(
    INDEX(
      'アイテム別限界値DB'!$L:$L, 
      MATCH(
        1, 
        ('アイテム別限界値DB'!$B:$B = D$10) * 
        ('アイテム別限界値DB'!$C:$C = D18) * 
        ('アイテム別限界値DB'!$F:$F = E18), 
        0
      )
    ), 
    ""
  )
)
</f>
        <v/>
      </c>
      <c r="H18" s="12"/>
      <c r="I18" s="224" t="s">
        <v>66</v>
      </c>
      <c r="J18" s="230"/>
      <c r="K18" s="231" t="str">
        <f t="array" ref="K18">IF(
  J18 = 0, 
  "", 
  IFERROR(
    INDEX(
      'アイテム別限界値DB'!$K:$K, 
      MATCH(
        1, 
        ('アイテム別限界値DB'!$B:$B = I$10) * 
        ('アイテム別限界値DB'!$F:$F = I18) * 
        ('アイテム別限界値DB'!$H:$H = J18), 
        0
      )
    ), 
    "再製作"
  )
)
</f>
        <v/>
      </c>
      <c r="L18" s="218" t="str">
        <f t="array" ref="L18">IF(
  J18 = 0, 
  "", 
  IFERROR(
    INDEX(
      'アイテム別限界値DB'!$L:$L, 
      MATCH(
        1, 
        ('アイテム別限界値DB'!$B:$B = I$10) * 
        ('アイテム別限界値DB'!$C:$C = I18) * 
        ('アイテム別限界値DB'!$F:$F = J18), 
        0
      )
    ), 
    ""
  )
)
</f>
        <v/>
      </c>
      <c r="M18" s="12"/>
      <c r="N18" s="224" t="s">
        <v>67</v>
      </c>
      <c r="O18" s="232"/>
      <c r="P18" s="231" t="str">
        <f t="array" ref="P18">IF(
  O18 = 0, 
  "", 
  IFERROR(
    INDEX(
      'アイテム別限界値DB'!$K:$K, 
      MATCH(
        1, 
        ('アイテム別限界値DB'!$B:$B = N$10) * 
        ('アイテム別限界値DB'!$F:$F = N18) * 
        ('アイテム別限界値DB'!$H:$H = O18), 
        0
      )
    ), 
    "再製作"
  )
)
</f>
        <v/>
      </c>
      <c r="Q18" s="218" t="str">
        <f t="array" ref="Q18">IF(
  O18 = 0, 
  "", 
  IFERROR(
    INDEX(
      'アイテム別限界値DB'!$L:$L, 
      MATCH(
        1, 
        ('アイテム別限界値DB'!$B:$B = N$10) * 
        ('アイテム別限界値DB'!$C:$C = N18) * 
        ('アイテム別限界値DB'!$F:$F = O18), 
        0
      )
    ), 
    ""
  )
)
</f>
        <v/>
      </c>
      <c r="R18" s="11"/>
      <c r="S18" s="224" t="s">
        <v>68</v>
      </c>
      <c r="T18" s="230"/>
      <c r="U18" s="231" t="str">
        <f t="array" ref="U18">IF(
  T18 = 0, 
  "", 
  IFERROR(
    INDEX(
      'アイテム別限界値DB'!$K:$K, 
      MATCH(
        1, 
        ('アイテム別限界値DB'!$B:$B = S$10) * 
        ('アイテム別限界値DB'!$F:$F = S18) * 
        ('アイテム別限界値DB'!$H:$H = T18), 
        0
      )
    ), 
    "再製作"
  )
)
</f>
        <v/>
      </c>
      <c r="V18" s="218" t="str">
        <f t="array" ref="V18">IF(
  T18 = 0, 
  "", 
  IFERROR(
    INDEX(
      'アイテム別限界値DB'!$L:$L, 
      MATCH(
        1, 
        ('アイテム別限界値DB'!$B:$B = S$10) * 
        ('アイテム別限界値DB'!$C:$C = S18) * 
        ('アイテム別限界値DB'!$F:$F = T18), 
        0
      )
    ), 
    ""
  )
)
</f>
        <v/>
      </c>
      <c r="W18" s="11"/>
      <c r="X18" s="224" t="s">
        <v>57</v>
      </c>
      <c r="Y18" s="230"/>
      <c r="Z18" s="231" t="str">
        <f t="array" ref="Z18">IF(
  Y18 = 0, 
  "", 
  IFERROR(
    INDEX(
      'アイテム別限界値DB'!$K:$K, 
      MATCH(
        1, 
        ('アイテム別限界値DB'!$B:$B = X$10) * 
        ('アイテム別限界値DB'!$F:$F = X18) * 
        ('アイテム別限界値DB'!$H:$H = Y18), 
        0
      )
    ), 
    "再製作"
  )
)
</f>
        <v/>
      </c>
      <c r="AA18" s="218" t="str">
        <f t="array" ref="AA18">IF(
  Y18 = 0, 
  "", 
  IFERROR(
    INDEX(
      'アイテム別限界値DB'!$L:$L, 
      MATCH(
        1, 
        ('アイテム別限界値DB'!$B:$B = X$10) * 
        ('アイテム別限界値DB'!$C:$C = X18) * 
        ('アイテム別限界値DB'!$F:$F = Y18), 
        0
      )
    ), 
    ""
  )
)
</f>
        <v/>
      </c>
      <c r="AB18" s="11"/>
      <c r="AC18" s="224" t="s">
        <v>69</v>
      </c>
      <c r="AD18" s="232"/>
      <c r="AE18" s="231" t="str">
        <f t="array" ref="AE18">IF(
  AD18 = 0, 
  "", 
  IFERROR(
    INDEX(
      'アイテム別限界値DB'!$K:$K, 
      MATCH(
        1, 
        ('アイテム別限界値DB'!$B:$B = AC$10) * 
        ('アイテム別限界値DB'!$F:$F = AC18) * 
        ('アイテム別限界値DB'!$H:$H = AD18), 
        0
      )
    ), 
    "再製作"
  )
)
</f>
        <v/>
      </c>
      <c r="AF18" s="218" t="str">
        <f t="array" ref="AF18">IF(
  AD18 = 0, 
  "", 
  IFERROR(
    INDEX(
      'アイテム別限界値DB'!$L:$L, 
      MATCH(
        1, 
        ('アイテム別限界値DB'!$B:$B = AC$10) * 
        ('アイテム別限界値DB'!$C:$C = AC18) * 
        ('アイテム別限界値DB'!$F:$F = AD18), 
        0
      )
    ), 
    ""
  )
)
</f>
        <v/>
      </c>
      <c r="AG18" s="11"/>
      <c r="AH18" s="224" t="s">
        <v>70</v>
      </c>
      <c r="AI18" s="232"/>
      <c r="AJ18" s="231" t="str">
        <f t="array" ref="AJ18">IF(
  AI18 = 0, 
  "", 
  IFERROR(
    INDEX(
      'アイテム別限界値DB'!$K:$K, 
      MATCH(
        1, 
        ('アイテム別限界値DB'!$B:$B = AH$10) * 
        ('アイテム別限界値DB'!$F:$F = AH18) * 
        ('アイテム別限界値DB'!$H:$H = AI18), 
        0
      )
    ), 
    "再製作"
  )
)
</f>
        <v/>
      </c>
      <c r="AK18" s="218" t="str">
        <f t="array" ref="AK18">IF(
  AI18 = 0, 
  "", 
  IFERROR(
    INDEX(
      'アイテム別限界値DB'!$L:$L, 
      MATCH(
        1, 
        ('アイテム別限界値DB'!$B:$B = AH$10) * 
        ('アイテム別限界値DB'!$C:$C = AH18) * 
        ('アイテム別限界値DB'!$F:$F = AI18), 
        0
      )
    ), 
    ""
  )
)
</f>
        <v/>
      </c>
      <c r="AL18" s="11"/>
      <c r="AM18" s="224" t="s">
        <v>71</v>
      </c>
      <c r="AN18" s="232"/>
      <c r="AO18" s="231" t="str">
        <f t="array" ref="AO18">IF(
  AN18 = 0, 
  "", 
  IFERROR(
    INDEX(
      'アイテム別限界値DB'!$K:$K, 
      MATCH(
        1, 
        ('アイテム別限界値DB'!$B:$B = AM$10) * 
        ('アイテム別限界値DB'!$F:$F = AM18) * 
        ('アイテム別限界値DB'!$H:$H = AN18), 
        0
      )
    ), 
    "再製作"
  )
)
</f>
        <v/>
      </c>
      <c r="AP18" s="218" t="str">
        <f t="array" ref="AP18">IF(
  AN18 = 0, 
  "", 
  IFERROR(
    INDEX(
      'アイテム別限界値DB'!$L:$L, 
      MATCH(
        1, 
        ('アイテム別限界値DB'!$B:$B = AM$10) * 
        ('アイテム別限界値DB'!$C:$C = AM18) * 
        ('アイテム別限界値DB'!$F:$F = AN18), 
        0
      )
    ), 
    ""
  )
)
</f>
        <v/>
      </c>
      <c r="AQ18" s="11"/>
      <c r="AR18" s="224" t="s">
        <v>71</v>
      </c>
      <c r="AS18" s="230"/>
      <c r="AT18" s="231" t="str">
        <f t="array" ref="AT18">IF(
  AS18 = 0, 
  "", 
  IFERROR(
    INDEX(
      'アイテム別限界値DB'!$K:$K, 
      MATCH(
        1, 
        ('アイテム別限界値DB'!$B:$B = AR$10) * 
        ('アイテム別限界値DB'!$F:$F = AR18) * 
        ('アイテム別限界値DB'!$H:$H = AS18), 
        0
      )
    ), 
    "再製作"
  )
)
</f>
        <v/>
      </c>
      <c r="AU18" s="218" t="str">
        <f t="array" ref="AU18">IF(
  AS18 = 0, 
  "", 
  IFERROR(
    INDEX(
      'アイテム別限界値DB'!$L:$L, 
      MATCH(
        1, 
        ('アイテム別限界値DB'!$B:$B = AR$10) * 
        ('アイテム別限界値DB'!$C:$C = AR18) * 
        ('アイテム別限界値DB'!$F:$F = AS18), 
        0
      )
    ), 
    ""
  )
)
</f>
        <v/>
      </c>
      <c r="AV18" s="121"/>
      <c r="AW18" s="224" t="s">
        <v>71</v>
      </c>
      <c r="AX18" s="232"/>
      <c r="AY18" s="231" t="str">
        <f t="array" ref="AY18">IF(
  AX18 = 0, 
  "", 
  IFERROR(
    INDEX(
      'アイテム別限界値DB'!$K:$K, 
      MATCH(
        1, 
        ('アイテム別限界値DB'!$B:$B = AW$10) * 
        ('アイテム別限界値DB'!$F:$F = AW18) * 
        ('アイテム別限界値DB'!$H:$H = AX18), 
        0
      )
    ), 
    "再製作"
  )
)
</f>
        <v/>
      </c>
      <c r="AZ18" s="218" t="str">
        <f t="array" ref="AZ18">IF(
  AX18 = 0, 
  "", 
  IFERROR(
    INDEX(
      'アイテム別限界値DB'!$L:$L, 
      MATCH(
        1, 
        ('アイテム別限界値DB'!$B:$B = AW$10) * 
        ('アイテム別限界値DB'!$C:$C = AW18) * 
        ('アイテム別限界値DB'!$F:$F = AX18), 
        0
      )
    ), 
    ""
  )
)
</f>
        <v/>
      </c>
      <c r="BA18" s="121"/>
      <c r="BB18" s="224" t="s">
        <v>71</v>
      </c>
      <c r="BC18" s="232"/>
      <c r="BD18" s="231" t="str">
        <f t="array" ref="BD18">IF(
  BC18 = 0, 
  "", 
  IFERROR(
    INDEX(
      'アイテム別限界値DB'!$K:$K, 
      MATCH(
        1, 
        ('アイテム別限界値DB'!$B:$B = BB$10) * 
        ('アイテム別限界値DB'!$F:$F = BB18) * 
        ('アイテム別限界値DB'!$H:$H = BC18), 
        0
      )
    ), 
    "再製作"
  )
)
</f>
        <v/>
      </c>
      <c r="BE18" s="218" t="str">
        <f t="array" ref="BE18">IF(
  BC18 = 0, 
  "", 
  IFERROR(
    INDEX(
      'アイテム別限界値DB'!$L:$L, 
      MATCH(
        1, 
        ('アイテム別限界値DB'!$B:$B = BB$10) * 
        ('アイテム別限界値DB'!$C:$C = BB18) * 
        ('アイテム別限界値DB'!$F:$F = BC18), 
        0
      )
    ), 
    ""
  )
)
</f>
        <v/>
      </c>
      <c r="BF18" s="121"/>
      <c r="BG18" s="224" t="s">
        <v>71</v>
      </c>
      <c r="BH18" s="232"/>
      <c r="BI18" s="231" t="str">
        <f t="array" ref="BI18">IF(
  BH18 = 0, 
  "", 
  IFERROR(
    INDEX(
      'アイテム別限界値DB'!$K:$K, 
      MATCH(
        1, 
        ('アイテム別限界値DB'!$B:$B = BG$10) * 
        ('アイテム別限界値DB'!$F:$F = BG18) * 
        ('アイテム別限界値DB'!$H:$H = BH18), 
        0
      )
    ), 
    "再製作"
  )
)
</f>
        <v/>
      </c>
      <c r="BJ18" s="218" t="str">
        <f t="array" ref="BJ18">IF(
  BH18 = 0, 
  "", 
  IFERROR(
    INDEX(
      'アイテム別限界値DB'!$L:$L, 
      MATCH(
        1, 
        ('アイテム別限界値DB'!$B:$B = BG$10) * 
        ('アイテム別限界値DB'!$C:$C = BG18) * 
        ('アイテム別限界値DB'!$F:$F = BH18), 
        0
      )
    ), 
    ""
  )
)
</f>
        <v/>
      </c>
      <c r="BK18" s="121"/>
      <c r="BL18" s="224" t="s">
        <v>69</v>
      </c>
      <c r="BM18" s="230" t="s">
        <v>59</v>
      </c>
      <c r="BN18" s="231" t="str">
        <f t="array" ref="BN18">IF(
  BM18 = 0, 
  "", 
  IFERROR(
    INDEX(
      'アイテム別限界値DB'!$K:$K, 
      MATCH(
        1, 
        ('アイテム別限界値DB'!$B:$B = BL$10) * 
        ('アイテム別限界値DB'!$F:$F = BL18) * 
        ('アイテム別限界値DB'!$H:$H = BM18), 
        0
      )
    ), 
    "再製作"
  )
)
</f>
        <v>再製作</v>
      </c>
      <c r="BO18" s="218" t="str">
        <f t="array" ref="BO18">IF(
  BM18 = 0, 
  "", 
  IFERROR(
    INDEX(
      'アイテム別限界値DB'!$L:$L, 
      MATCH(
        1, 
        ('アイテム別限界値DB'!$B:$B = BL$10) * 
        ('アイテム別限界値DB'!$C:$C = BL18) * 
        ('アイテム別限界値DB'!$F:$F = BM18), 
        0
      )
    ), 
    ""
  )
)
</f>
        <v/>
      </c>
      <c r="BP18" s="195"/>
    </row>
    <row r="19" ht="18.75" customHeight="1">
      <c r="A19" s="228" t="str">
        <f>IF($I$11 ="再製作", "◼︎ パンツ（対応着地：再製作）"　&amp; char(10) &amp; "《修正数値》", IF($I$11 &lt;&gt; "", "◼︎ パンツ（対応着地：お直し）"　&amp; char(10) &amp; "《修正数値》", ""))</f>
        <v/>
      </c>
      <c r="B19" s="224"/>
      <c r="C19" s="224"/>
      <c r="D19" s="238" t="s">
        <v>72</v>
      </c>
      <c r="E19" s="232"/>
      <c r="F19" s="231" t="str">
        <f t="array" ref="F19">IF(
  E19 = 0, 
  "", 
  IFERROR(
    INDEX(
      'アイテム別限界値DB'!$K:$K, 
      MATCH(
        1, 
        ('アイテム別限界値DB'!$B:$B = D$10) * 
        ('アイテム別限界値DB'!$F:$F = D19) * 
        ('アイテム別限界値DB'!$H:$H = E19), 
        0
      )
    ), 
    "再製作"
  )
)
</f>
        <v/>
      </c>
      <c r="G19" s="218" t="str">
        <f t="array" ref="G19">IF(
  E19 = 0, 
  "", 
  IFERROR(
    INDEX(
      'アイテム別限界値DB'!$L:$L, 
      MATCH(
        1, 
        ('アイテム別限界値DB'!$B:$B = D$10) * 
        ('アイテム別限界値DB'!$C:$C = D19) * 
        ('アイテム別限界値DB'!$F:$F = E19), 
        0
      )
    ), 
    ""
  )
)
</f>
        <v/>
      </c>
      <c r="H19" s="12"/>
      <c r="I19" s="238" t="s">
        <v>73</v>
      </c>
      <c r="J19" s="230"/>
      <c r="K19" s="231" t="str">
        <f t="array" ref="K19">IF(
  J19 = 0, 
  "", 
  IFERROR(
    INDEX(
      'アイテム別限界値DB'!$K:$K, 
      MATCH(
        1, 
        ('アイテム別限界値DB'!$B:$B = I$10) * 
        ('アイテム別限界値DB'!$F:$F = I19) * 
        ('アイテム別限界値DB'!$H:$H = J19), 
        0
      )
    ), 
    "再製作"
  )
)
</f>
        <v/>
      </c>
      <c r="L19" s="218" t="str">
        <f t="array" ref="L19">IF(
  J19 = 0, 
  "", 
  IFERROR(
    INDEX(
      'アイテム別限界値DB'!$L:$L, 
      MATCH(
        1, 
        ('アイテム別限界値DB'!$B:$B = I$10) * 
        ('アイテム別限界値DB'!$C:$C = I19) * 
        ('アイテム別限界値DB'!$F:$F = J19), 
        0
      )
    ), 
    ""
  )
)
</f>
        <v/>
      </c>
      <c r="M19" s="12"/>
      <c r="N19" s="238" t="s">
        <v>74</v>
      </c>
      <c r="O19" s="232"/>
      <c r="P19" s="231" t="str">
        <f t="array" ref="P19">IF(
  O19 = 0, 
  "", 
  IFERROR(
    INDEX(
      'アイテム別限界値DB'!$K:$K, 
      MATCH(
        1, 
        ('アイテム別限界値DB'!$B:$B = N$10) * 
        ('アイテム別限界値DB'!$F:$F = N19) * 
        ('アイテム別限界値DB'!$H:$H = O19), 
        0
      )
    ), 
    "再製作"
  )
)
</f>
        <v/>
      </c>
      <c r="Q19" s="218" t="str">
        <f t="array" ref="Q19">IF(
  O19 = 0, 
  "", 
  IFERROR(
    INDEX(
      'アイテム別限界値DB'!$L:$L, 
      MATCH(
        1, 
        ('アイテム別限界値DB'!$B:$B = N$10) * 
        ('アイテム別限界値DB'!$C:$C = N19) * 
        ('アイテム別限界値DB'!$F:$F = O19), 
        0
      )
    ), 
    ""
  )
)
</f>
        <v/>
      </c>
      <c r="R19" s="11"/>
      <c r="S19" s="238" t="s">
        <v>75</v>
      </c>
      <c r="T19" s="230"/>
      <c r="U19" s="231" t="str">
        <f t="array" ref="U19">IF(
  T19 = 0, 
  "", 
  IFERROR(
    INDEX(
      'アイテム別限界値DB'!$K:$K, 
      MATCH(
        1, 
        ('アイテム別限界値DB'!$B:$B = S$10) * 
        ('アイテム別限界値DB'!$F:$F = S19) * 
        ('アイテム別限界値DB'!$H:$H = T19), 
        0
      )
    ), 
    "再製作"
  )
)
</f>
        <v/>
      </c>
      <c r="V19" s="218" t="str">
        <f t="array" ref="V19">IF(
  T19 = 0, 
  "", 
  IFERROR(
    INDEX(
      'アイテム別限界値DB'!$L:$L, 
      MATCH(
        1, 
        ('アイテム別限界値DB'!$B:$B = S$10) * 
        ('アイテム別限界値DB'!$C:$C = S19) * 
        ('アイテム別限界値DB'!$F:$F = T19), 
        0
      )
    ), 
    ""
  )
)
</f>
        <v/>
      </c>
      <c r="W19" s="11"/>
      <c r="X19" s="238" t="s">
        <v>69</v>
      </c>
      <c r="Y19" s="230"/>
      <c r="Z19" s="231" t="str">
        <f t="array" ref="Z19">IF(
  Y19 = 0, 
  "", 
  IFERROR(
    INDEX(
      'アイテム別限界値DB'!$K:$K, 
      MATCH(
        1, 
        ('アイテム別限界値DB'!$B:$B = X$10) * 
        ('アイテム別限界値DB'!$F:$F = X19) * 
        ('アイテム別限界値DB'!$H:$H = Y19), 
        0
      )
    ), 
    "再製作"
  )
)
</f>
        <v/>
      </c>
      <c r="AA19" s="218" t="str">
        <f t="array" ref="AA19">IF(
  Y19 = 0, 
  "", 
  IFERROR(
    INDEX(
      'アイテム別限界値DB'!$L:$L, 
      MATCH(
        1, 
        ('アイテム別限界値DB'!$B:$B = X$10) * 
        ('アイテム別限界値DB'!$C:$C = X19) * 
        ('アイテム別限界値DB'!$F:$F = Y19), 
        0
      )
    ), 
    ""
  )
)
</f>
        <v/>
      </c>
      <c r="AB19" s="11"/>
      <c r="AC19" s="238" t="s">
        <v>76</v>
      </c>
      <c r="AD19" s="232"/>
      <c r="AE19" s="231" t="str">
        <f t="array" ref="AE19">IF(
  AD19 = 0, 
  "", 
  IFERROR(
    INDEX(
      'アイテム別限界値DB'!$K:$K, 
      MATCH(
        1, 
        ('アイテム別限界値DB'!$B:$B = AC$10) * 
        ('アイテム別限界値DB'!$F:$F = AC19) * 
        ('アイテム別限界値DB'!$H:$H = AD19), 
        0
      )
    ), 
    "再製作"
  )
)
</f>
        <v/>
      </c>
      <c r="AF19" s="218" t="str">
        <f t="array" ref="AF19">IF(
  AD19 = 0, 
  "", 
  IFERROR(
    INDEX(
      'アイテム別限界値DB'!$L:$L, 
      MATCH(
        1, 
        ('アイテム別限界値DB'!$B:$B = AC$10) * 
        ('アイテム別限界値DB'!$C:$C = AC19) * 
        ('アイテム別限界値DB'!$F:$F = AD19), 
        0
      )
    ), 
    ""
  )
)
</f>
        <v/>
      </c>
      <c r="AG19" s="11"/>
      <c r="AH19" s="238" t="s">
        <v>71</v>
      </c>
      <c r="AI19" s="232"/>
      <c r="AJ19" s="231" t="str">
        <f t="array" ref="AJ19">IF(
  AI19 = 0, 
  "", 
  IFERROR(
    INDEX(
      'アイテム別限界値DB'!$K:$K, 
      MATCH(
        1, 
        ('アイテム別限界値DB'!$B:$B = AH$10) * 
        ('アイテム別限界値DB'!$F:$F = AH19) * 
        ('アイテム別限界値DB'!$H:$H = AI19), 
        0
      )
    ), 
    "再製作"
  )
)
</f>
        <v/>
      </c>
      <c r="AK19" s="218" t="str">
        <f t="array" ref="AK19">IF(
  AI19 = 0, 
  "", 
  IFERROR(
    INDEX(
      'アイテム別限界値DB'!$L:$L, 
      MATCH(
        1, 
        ('アイテム別限界値DB'!$B:$B = AH$10) * 
        ('アイテム別限界値DB'!$C:$C = AH19) * 
        ('アイテム別限界値DB'!$F:$F = AI19), 
        0
      )
    ), 
    ""
  )
)
</f>
        <v/>
      </c>
      <c r="AL19" s="11"/>
      <c r="AM19" s="238" t="s">
        <v>62</v>
      </c>
      <c r="AN19" s="232"/>
      <c r="AO19" s="231" t="str">
        <f t="array" ref="AO19">IF(
  AN19 = 0, 
  "", 
  IFERROR(
    INDEX(
      'アイテム別限界値DB'!$K:$K, 
      MATCH(
        1, 
        ('アイテム別限界値DB'!$B:$B = AM$10) * 
        ('アイテム別限界値DB'!$F:$F = AM19) * 
        ('アイテム別限界値DB'!$H:$H = AN19), 
        0
      )
    ), 
    "再製作"
  )
)
</f>
        <v/>
      </c>
      <c r="AP19" s="218" t="str">
        <f t="array" ref="AP19">IF(
  AN19 = 0, 
  "", 
  IFERROR(
    INDEX(
      'アイテム別限界値DB'!$L:$L, 
      MATCH(
        1, 
        ('アイテム別限界値DB'!$B:$B = AM$10) * 
        ('アイテム別限界値DB'!$C:$C = AM19) * 
        ('アイテム別限界値DB'!$F:$F = AN19), 
        0
      )
    ), 
    ""
  )
)
</f>
        <v/>
      </c>
      <c r="AQ19" s="11"/>
      <c r="AR19" s="238" t="s">
        <v>62</v>
      </c>
      <c r="AS19" s="232"/>
      <c r="AT19" s="231" t="str">
        <f t="array" ref="AT19">IF(
  AS19 = 0, 
  "", 
  IFERROR(
    INDEX(
      'アイテム別限界値DB'!$K:$K, 
      MATCH(
        1, 
        ('アイテム別限界値DB'!$B:$B = AR$10) * 
        ('アイテム別限界値DB'!$F:$F = AR19) * 
        ('アイテム別限界値DB'!$H:$H = AS19), 
        0
      )
    ), 
    "再製作"
  )
)
</f>
        <v/>
      </c>
      <c r="AU19" s="218" t="str">
        <f t="array" ref="AU19">IF(
  AS19 = 0, 
  "", 
  IFERROR(
    INDEX(
      'アイテム別限界値DB'!$L:$L, 
      MATCH(
        1, 
        ('アイテム別限界値DB'!$B:$B = AR$10) * 
        ('アイテム別限界値DB'!$C:$C = AR19) * 
        ('アイテム別限界値DB'!$F:$F = AS19), 
        0
      )
    ), 
    ""
  )
)
</f>
        <v/>
      </c>
      <c r="AV19" s="121"/>
      <c r="AW19" s="224" t="s">
        <v>62</v>
      </c>
      <c r="AX19" s="232"/>
      <c r="AY19" s="231" t="str">
        <f t="array" ref="AY19">IF(
  AX19 = 0, 
  "", 
  IFERROR(
    INDEX(
      'アイテム別限界値DB'!$K:$K, 
      MATCH(
        1, 
        ('アイテム別限界値DB'!$B:$B = AW$10) * 
        ('アイテム別限界値DB'!$F:$F = AW19) * 
        ('アイテム別限界値DB'!$H:$H = AX19), 
        0
      )
    ), 
    "再製作"
  )
)
</f>
        <v/>
      </c>
      <c r="AZ19" s="218" t="str">
        <f t="array" ref="AZ19">IF(
  AX19 = 0, 
  "", 
  IFERROR(
    INDEX(
      'アイテム別限界値DB'!$L:$L, 
      MATCH(
        1, 
        ('アイテム別限界値DB'!$B:$B = AW$10) * 
        ('アイテム別限界値DB'!$C:$C = AW19) * 
        ('アイテム別限界値DB'!$F:$F = AX19), 
        0
      )
    ), 
    ""
  )
)
</f>
        <v/>
      </c>
      <c r="BA19" s="121"/>
      <c r="BB19" s="224" t="s">
        <v>62</v>
      </c>
      <c r="BC19" s="232"/>
      <c r="BD19" s="231" t="str">
        <f t="array" ref="BD19">IF(
  BC19 = 0, 
  "", 
  IFERROR(
    INDEX(
      'アイテム別限界値DB'!$K:$K, 
      MATCH(
        1, 
        ('アイテム別限界値DB'!$B:$B = BB$10) * 
        ('アイテム別限界値DB'!$F:$F = BB19) * 
        ('アイテム別限界値DB'!$H:$H = BC19), 
        0
      )
    ), 
    "再製作"
  )
)
</f>
        <v/>
      </c>
      <c r="BE19" s="218" t="str">
        <f t="array" ref="BE19">IF(
  BC19 = 0, 
  "", 
  IFERROR(
    INDEX(
      'アイテム別限界値DB'!$L:$L, 
      MATCH(
        1, 
        ('アイテム別限界値DB'!$B:$B = BB$10) * 
        ('アイテム別限界値DB'!$C:$C = BB19) * 
        ('アイテム別限界値DB'!$F:$F = BC19), 
        0
      )
    ), 
    ""
  )
)
</f>
        <v/>
      </c>
      <c r="BF19" s="121"/>
      <c r="BG19" s="224" t="s">
        <v>62</v>
      </c>
      <c r="BH19" s="232"/>
      <c r="BI19" s="231" t="str">
        <f t="array" ref="BI19">IF(
  BH19 = 0, 
  "", 
  IFERROR(
    INDEX(
      'アイテム別限界値DB'!$K:$K, 
      MATCH(
        1, 
        ('アイテム別限界値DB'!$B:$B = BG$10) * 
        ('アイテム別限界値DB'!$F:$F = BG19) * 
        ('アイテム別限界値DB'!$H:$H = BH19), 
        0
      )
    ), 
    "再製作"
  )
)
</f>
        <v/>
      </c>
      <c r="BJ19" s="218" t="str">
        <f t="array" ref="BJ19">IF(
  BH19 = 0, 
  "", 
  IFERROR(
    INDEX(
      'アイテム別限界値DB'!$L:$L, 
      MATCH(
        1, 
        ('アイテム別限界値DB'!$B:$B = BG$10) * 
        ('アイテム別限界値DB'!$C:$C = BG19) * 
        ('アイテム別限界値DB'!$F:$F = BH19), 
        0
      )
    ), 
    ""
  )
)
</f>
        <v/>
      </c>
      <c r="BK19" s="121"/>
      <c r="BL19" s="224" t="s">
        <v>76</v>
      </c>
      <c r="BM19" s="232"/>
      <c r="BN19" s="231" t="str">
        <f t="array" ref="BN19">IF(
  BM19 = 0, 
  "", 
  IFERROR(
    INDEX(
      'アイテム別限界値DB'!$K:$K, 
      MATCH(
        1, 
        ('アイテム別限界値DB'!$B:$B = BL$10) * 
        ('アイテム別限界値DB'!$F:$F = BL19) * 
        ('アイテム別限界値DB'!$H:$H = BM19), 
        0
      )
    ), 
    "再製作"
  )
)
</f>
        <v/>
      </c>
      <c r="BO19" s="218" t="str">
        <f t="array" ref="BO19">IF(
  BM19 = 0, 
  "", 
  IFERROR(
    INDEX(
      'アイテム別限界値DB'!$L:$L, 
      MATCH(
        1, 
        ('アイテム別限界値DB'!$B:$B = BL$10) * 
        ('アイテム別限界値DB'!$C:$C = BL19) * 
        ('アイテム別限界値DB'!$F:$F = BM19), 
        0
      )
    ), 
    ""
  )
)
</f>
        <v/>
      </c>
      <c r="BP19" s="195"/>
    </row>
    <row r="20" ht="18.75" customHeight="1">
      <c r="A20" s="228" t="str">
        <f>IFERROR(__xludf.DUMMYFUNCTION("TEXTJOIN(CHAR(10),TRUE,FILTER(ARRAYFORMULA(IF(J$14:J72&lt;&gt;"""", I$14:I72 &amp;"" : ""&amp; J$14:J72 &amp;"" cm"","""")), I$14:I72 &lt;&gt;""""))"),"")</f>
        <v/>
      </c>
      <c r="B20" s="229"/>
      <c r="C20" s="224"/>
      <c r="D20" s="238" t="s">
        <v>77</v>
      </c>
      <c r="E20" s="230"/>
      <c r="F20" s="231" t="str">
        <f t="array" ref="F20">IF(
  E20 = 0, 
  "", 
  IFERROR(
    INDEX(
      'アイテム別限界値DB'!$K:$K, 
      MATCH(
        1, 
        ('アイテム別限界値DB'!$B:$B = D$10) * 
        ('アイテム別限界値DB'!$F:$F = D20) * 
        ('アイテム別限界値DB'!$H:$H = E20), 
        0
      )
    ), 
    "再製作"
  )
)
</f>
        <v/>
      </c>
      <c r="G20" s="218" t="str">
        <f t="array" ref="G20">IF(
  E20 = 0, 
  "", 
  IFERROR(
    INDEX(
      'アイテム別限界値DB'!$L:$L, 
      MATCH(
        1, 
        ('アイテム別限界値DB'!$B:$B = D$10) * 
        ('アイテム別限界値DB'!$C:$C = D20) * 
        ('アイテム別限界値DB'!$F:$F = E20), 
        0
      )
    ), 
    ""
  )
)
</f>
        <v/>
      </c>
      <c r="H20" s="12"/>
      <c r="I20" s="238" t="s">
        <v>78</v>
      </c>
      <c r="J20" s="230"/>
      <c r="K20" s="231" t="str">
        <f t="array" ref="K20">IF(
  J20 = 0, 
  "", 
  IFERROR(
    INDEX(
      'アイテム別限界値DB'!$K:$K, 
      MATCH(
        1, 
        ('アイテム別限界値DB'!$B:$B = I$10) * 
        ('アイテム別限界値DB'!$F:$F = I20) * 
        ('アイテム別限界値DB'!$H:$H = J20), 
        0
      )
    ), 
    "再製作"
  )
)
</f>
        <v/>
      </c>
      <c r="L20" s="218" t="str">
        <f t="array" ref="L20">IF(
  J20 = 0, 
  "", 
  IFERROR(
    INDEX(
      'アイテム別限界値DB'!$L:$L, 
      MATCH(
        1, 
        ('アイテム別限界値DB'!$B:$B = I$10) * 
        ('アイテム別限界値DB'!$C:$C = I20) * 
        ('アイテム別限界値DB'!$F:$F = J20), 
        0
      )
    ), 
    ""
  )
)
</f>
        <v/>
      </c>
      <c r="M20" s="12"/>
      <c r="N20" s="238" t="s">
        <v>79</v>
      </c>
      <c r="O20" s="232"/>
      <c r="P20" s="231" t="str">
        <f t="array" ref="P20">IF(
  O20 = 0, 
  "", 
  IFERROR(
    INDEX(
      'アイテム別限界値DB'!$K:$K, 
      MATCH(
        1, 
        ('アイテム別限界値DB'!$B:$B = N$10) * 
        ('アイテム別限界値DB'!$F:$F = N20) * 
        ('アイテム別限界値DB'!$H:$H = O20), 
        0
      )
    ), 
    "再製作"
  )
)
</f>
        <v/>
      </c>
      <c r="Q20" s="218" t="str">
        <f t="array" ref="Q20">IF(
  O20 = 0, 
  "", 
  IFERROR(
    INDEX(
      'アイテム別限界値DB'!$L:$L, 
      MATCH(
        1, 
        ('アイテム別限界値DB'!$B:$B = N$10) * 
        ('アイテム別限界値DB'!$C:$C = N20) * 
        ('アイテム別限界値DB'!$F:$F = O20), 
        0
      )
    ), 
    ""
  )
)
</f>
        <v/>
      </c>
      <c r="R20" s="11"/>
      <c r="S20" s="238" t="s">
        <v>78</v>
      </c>
      <c r="T20" s="230"/>
      <c r="U20" s="231" t="str">
        <f t="array" ref="U20">IF(
  T20 = 0, 
  "", 
  IFERROR(
    INDEX(
      'アイテム別限界値DB'!$K:$K, 
      MATCH(
        1, 
        ('アイテム別限界値DB'!$B:$B = S$10) * 
        ('アイテム別限界値DB'!$F:$F = S20) * 
        ('アイテム別限界値DB'!$H:$H = T20), 
        0
      )
    ), 
    "再製作"
  )
)
</f>
        <v/>
      </c>
      <c r="V20" s="218" t="str">
        <f t="array" ref="V20">IF(
  T20 = 0, 
  "", 
  IFERROR(
    INDEX(
      'アイテム別限界値DB'!$L:$L, 
      MATCH(
        1, 
        ('アイテム別限界値DB'!$B:$B = S$10) * 
        ('アイテム別限界値DB'!$C:$C = S20) * 
        ('アイテム別限界値DB'!$F:$F = T20), 
        0
      )
    ), 
    ""
  )
)
</f>
        <v/>
      </c>
      <c r="W20" s="11"/>
      <c r="X20" s="238" t="s">
        <v>76</v>
      </c>
      <c r="Y20" s="230"/>
      <c r="Z20" s="231" t="str">
        <f t="array" ref="Z20">IF(
  Y20 = 0, 
  "", 
  IFERROR(
    INDEX(
      'アイテム別限界値DB'!$K:$K, 
      MATCH(
        1, 
        ('アイテム別限界値DB'!$B:$B = X$10) * 
        ('アイテム別限界値DB'!$F:$F = X20) * 
        ('アイテム別限界値DB'!$H:$H = Y20), 
        0
      )
    ), 
    "再製作"
  )
)
</f>
        <v/>
      </c>
      <c r="AA20" s="218" t="str">
        <f t="array" ref="AA20">IF(
  Y20 = 0, 
  "", 
  IFERROR(
    INDEX(
      'アイテム別限界値DB'!$L:$L, 
      MATCH(
        1, 
        ('アイテム別限界値DB'!$B:$B = X$10) * 
        ('アイテム別限界値DB'!$C:$C = X20) * 
        ('アイテム別限界値DB'!$F:$F = Y20), 
        0
      )
    ), 
    ""
  )
)
</f>
        <v/>
      </c>
      <c r="AB20" s="11"/>
      <c r="AC20" s="238" t="s">
        <v>80</v>
      </c>
      <c r="AD20" s="230"/>
      <c r="AE20" s="231" t="str">
        <f t="array" ref="AE20">IF(
  AD20 = 0, 
  "", 
  IFERROR(
    INDEX(
      'アイテム別限界値DB'!$K:$K, 
      MATCH(
        1, 
        ('アイテム別限界値DB'!$B:$B = AC$10) * 
        ('アイテム別限界値DB'!$F:$F = AC20) * 
        ('アイテム別限界値DB'!$H:$H = AD20), 
        0
      )
    ), 
    "再製作"
  )
)
</f>
        <v/>
      </c>
      <c r="AF20" s="218" t="str">
        <f t="array" ref="AF20">IF(
  AD20 = 0, 
  "", 
  IFERROR(
    INDEX(
      'アイテム別限界値DB'!$L:$L, 
      MATCH(
        1, 
        ('アイテム別限界値DB'!$B:$B = AC$10) * 
        ('アイテム別限界値DB'!$C:$C = AC20) * 
        ('アイテム別限界値DB'!$F:$F = AD20), 
        0
      )
    ), 
    ""
  )
)
</f>
        <v/>
      </c>
      <c r="AG20" s="11"/>
      <c r="AH20" s="224" t="s">
        <v>62</v>
      </c>
      <c r="AI20" s="232"/>
      <c r="AJ20" s="231" t="str">
        <f t="array" ref="AJ20">IF(
  AI20 = 0, 
  "", 
  IFERROR(
    INDEX(
      'アイテム別限界値DB'!$K:$K, 
      MATCH(
        1, 
        ('アイテム別限界値DB'!$B:$B = AH$10) * 
        ('アイテム別限界値DB'!$F:$F = AH20) * 
        ('アイテム別限界値DB'!$H:$H = AI20), 
        0
      )
    ), 
    "再製作"
  )
)
</f>
        <v/>
      </c>
      <c r="AK20" s="218" t="str">
        <f t="array" ref="AK20">IF(
  AI20 = 0, 
  "", 
  IFERROR(
    INDEX(
      'アイテム別限界値DB'!$L:$L, 
      MATCH(
        1, 
        ('アイテム別限界値DB'!$B:$B = AH$10) * 
        ('アイテム別限界値DB'!$C:$C = AH20) * 
        ('アイテム別限界値DB'!$F:$F = AI20), 
        0
      )
    ), 
    ""
  )
)
</f>
        <v/>
      </c>
      <c r="AL20" s="11"/>
      <c r="AM20" s="224" t="s">
        <v>70</v>
      </c>
      <c r="AN20" s="232"/>
      <c r="AO20" s="231" t="str">
        <f t="array" ref="AO20">IF(
  AN20 = 0, 
  "", 
  IFERROR(
    INDEX(
      'アイテム別限界値DB'!$K:$K, 
      MATCH(
        1, 
        ('アイテム別限界値DB'!$B:$B = AM$10) * 
        ('アイテム別限界値DB'!$F:$F = AM20) * 
        ('アイテム別限界値DB'!$H:$H = AN20), 
        0
      )
    ), 
    "再製作"
  )
)
</f>
        <v/>
      </c>
      <c r="AP20" s="218" t="str">
        <f t="array" ref="AP20">IF(
  AN20 = 0, 
  "", 
  IFERROR(
    INDEX(
      'アイテム別限界値DB'!$L:$L, 
      MATCH(
        1, 
        ('アイテム別限界値DB'!$B:$B = AM$10) * 
        ('アイテム別限界値DB'!$C:$C = AM20) * 
        ('アイテム別限界値DB'!$F:$F = AN20), 
        0
      )
    ), 
    ""
  )
)
</f>
        <v/>
      </c>
      <c r="AQ20" s="11"/>
      <c r="AR20" s="224" t="s">
        <v>70</v>
      </c>
      <c r="AS20" s="232"/>
      <c r="AT20" s="231" t="str">
        <f t="array" ref="AT20">IF(
  AS20 = 0, 
  "", 
  IFERROR(
    INDEX(
      'アイテム別限界値DB'!$K:$K, 
      MATCH(
        1, 
        ('アイテム別限界値DB'!$B:$B = AR$10) * 
        ('アイテム別限界値DB'!$F:$F = AR20) * 
        ('アイテム別限界値DB'!$H:$H = AS20), 
        0
      )
    ), 
    "再製作"
  )
)
</f>
        <v/>
      </c>
      <c r="AU20" s="218" t="str">
        <f t="array" ref="AU20">IF(
  AS20 = 0, 
  "", 
  IFERROR(
    INDEX(
      'アイテム別限界値DB'!$L:$L, 
      MATCH(
        1, 
        ('アイテム別限界値DB'!$B:$B = AR$10) * 
        ('アイテム別限界値DB'!$C:$C = AR20) * 
        ('アイテム別限界値DB'!$F:$F = AS20), 
        0
      )
    ), 
    ""
  )
)
</f>
        <v/>
      </c>
      <c r="AV20" s="121"/>
      <c r="AW20" s="224" t="s">
        <v>70</v>
      </c>
      <c r="AX20" s="232"/>
      <c r="AY20" s="231" t="str">
        <f t="array" ref="AY20">IF(
  AX20 = 0, 
  "", 
  IFERROR(
    INDEX(
      'アイテム別限界値DB'!$K:$K, 
      MATCH(
        1, 
        ('アイテム別限界値DB'!$B:$B = AW$10) * 
        ('アイテム別限界値DB'!$F:$F = AW20) * 
        ('アイテム別限界値DB'!$H:$H = AX20), 
        0
      )
    ), 
    "再製作"
  )
)
</f>
        <v/>
      </c>
      <c r="AZ20" s="218" t="str">
        <f t="array" ref="AZ20">IF(
  AX20 = 0, 
  "", 
  IFERROR(
    INDEX(
      'アイテム別限界値DB'!$L:$L, 
      MATCH(
        1, 
        ('アイテム別限界値DB'!$B:$B = AW$10) * 
        ('アイテム別限界値DB'!$C:$C = AW20) * 
        ('アイテム別限界値DB'!$F:$F = AX20), 
        0
      )
    ), 
    ""
  )
)
</f>
        <v/>
      </c>
      <c r="BA20" s="121"/>
      <c r="BB20" s="224" t="s">
        <v>70</v>
      </c>
      <c r="BC20" s="232"/>
      <c r="BD20" s="231" t="str">
        <f t="array" ref="BD20">IF(
  BC20 = 0, 
  "", 
  IFERROR(
    INDEX(
      'アイテム別限界値DB'!$K:$K, 
      MATCH(
        1, 
        ('アイテム別限界値DB'!$B:$B = BB$10) * 
        ('アイテム別限界値DB'!$F:$F = BB20) * 
        ('アイテム別限界値DB'!$H:$H = BC20), 
        0
      )
    ), 
    "再製作"
  )
)
</f>
        <v/>
      </c>
      <c r="BE20" s="218" t="str">
        <f t="array" ref="BE20">IF(
  BC20 = 0, 
  "", 
  IFERROR(
    INDEX(
      'アイテム別限界値DB'!$L:$L, 
      MATCH(
        1, 
        ('アイテム別限界値DB'!$B:$B = BB$10) * 
        ('アイテム別限界値DB'!$C:$C = BB20) * 
        ('アイテム別限界値DB'!$F:$F = BC20), 
        0
      )
    ), 
    ""
  )
)
</f>
        <v/>
      </c>
      <c r="BF20" s="121"/>
      <c r="BG20" s="224" t="s">
        <v>70</v>
      </c>
      <c r="BH20" s="232"/>
      <c r="BI20" s="231" t="str">
        <f t="array" ref="BI20">IF(
  BH20 = 0, 
  "", 
  IFERROR(
    INDEX(
      'アイテム別限界値DB'!$K:$K, 
      MATCH(
        1, 
        ('アイテム別限界値DB'!$B:$B = BG$10) * 
        ('アイテム別限界値DB'!$F:$F = BG20) * 
        ('アイテム別限界値DB'!$H:$H = BH20), 
        0
      )
    ), 
    "再製作"
  )
)
</f>
        <v/>
      </c>
      <c r="BJ20" s="218" t="str">
        <f t="array" ref="BJ20">IF(
  BH20 = 0, 
  "", 
  IFERROR(
    INDEX(
      'アイテム別限界値DB'!$L:$L, 
      MATCH(
        1, 
        ('アイテム別限界値DB'!$B:$B = BG$10) * 
        ('アイテム別限界値DB'!$C:$C = BG20) * 
        ('アイテム別限界値DB'!$F:$F = BH20), 
        0
      )
    ), 
    ""
  )
)
</f>
        <v/>
      </c>
      <c r="BK20" s="121"/>
      <c r="BL20" s="224" t="s">
        <v>80</v>
      </c>
      <c r="BM20" s="232"/>
      <c r="BN20" s="231" t="str">
        <f t="array" ref="BN20">IF(
  BM20 = 0, 
  "", 
  IFERROR(
    INDEX(
      'アイテム別限界値DB'!$K:$K, 
      MATCH(
        1, 
        ('アイテム別限界値DB'!$B:$B = BL$10) * 
        ('アイテム別限界値DB'!$F:$F = BL20) * 
        ('アイテム別限界値DB'!$H:$H = BM20), 
        0
      )
    ), 
    "再製作"
  )
)
</f>
        <v/>
      </c>
      <c r="BO20" s="218" t="str">
        <f t="array" ref="BO20">IF(
  BM20 = 0, 
  "", 
  IFERROR(
    INDEX(
      'アイテム別限界値DB'!$L:$L, 
      MATCH(
        1, 
        ('アイテム別限界値DB'!$B:$B = BL$10) * 
        ('アイテム別限界値DB'!$C:$C = BL20) * 
        ('アイテム別限界値DB'!$F:$F = BM20), 
        0
      )
    ), 
    ""
  )
)
</f>
        <v/>
      </c>
      <c r="BP20" s="195"/>
    </row>
    <row r="21" ht="18.75" customHeight="1">
      <c r="A21" s="236" t="str">
        <f>if($A$19&lt;&gt;"", "《仕上がり数値》","")</f>
        <v/>
      </c>
      <c r="B21" s="229"/>
      <c r="C21" s="224"/>
      <c r="D21" s="238" t="s">
        <v>81</v>
      </c>
      <c r="E21" s="230"/>
      <c r="F21" s="231" t="str">
        <f t="array" ref="F21">IF(
  E21 = 0, 
  "", 
  IFERROR(
    INDEX(
      'アイテム別限界値DB'!$K:$K, 
      MATCH(
        1, 
        ('アイテム別限界値DB'!$B:$B = D$10) * 
        ('アイテム別限界値DB'!$F:$F = D21) * 
        ('アイテム別限界値DB'!$H:$H = E21), 
        0
      )
    ), 
    "再製作"
  )
)
</f>
        <v/>
      </c>
      <c r="G21" s="218" t="str">
        <f t="array" ref="G21">IF(
  E21 = 0, 
  "", 
  IFERROR(
    INDEX(
      'アイテム別限界値DB'!$L:$L, 
      MATCH(
        1, 
        ('アイテム別限界値DB'!$B:$B = D$10) * 
        ('アイテム別限界値DB'!$C:$C = D21) * 
        ('アイテム別限界値DB'!$F:$F = E21), 
        0
      )
    ), 
    ""
  )
)
</f>
        <v/>
      </c>
      <c r="H21" s="12"/>
      <c r="I21" s="238" t="s">
        <v>82</v>
      </c>
      <c r="J21" s="230"/>
      <c r="K21" s="231" t="str">
        <f t="array" ref="K21">IF(
  J21 = 0, 
  "", 
  IFERROR(
    INDEX(
      'アイテム別限界値DB'!$K:$K, 
      MATCH(
        1, 
        ('アイテム別限界値DB'!$B:$B = I$10) * 
        ('アイテム別限界値DB'!$F:$F = I21) * 
        ('アイテム別限界値DB'!$H:$H = J21), 
        0
      )
    ), 
    "再製作"
  )
)
</f>
        <v/>
      </c>
      <c r="L21" s="218" t="str">
        <f t="array" ref="L21">IF(
  J21 = 0, 
  "", 
  IFERROR(
    INDEX(
      'アイテム別限界値DB'!$L:$L, 
      MATCH(
        1, 
        ('アイテム別限界値DB'!$B:$B = I$10) * 
        ('アイテム別限界値DB'!$C:$C = I21) * 
        ('アイテム別限界値DB'!$F:$F = J21), 
        0
      )
    ), 
    ""
  )
)
</f>
        <v/>
      </c>
      <c r="M21" s="12"/>
      <c r="N21" s="224" t="s">
        <v>83</v>
      </c>
      <c r="O21" s="232"/>
      <c r="P21" s="231" t="str">
        <f t="array" ref="P21">IF(
  O21 = 0, 
  "", 
  IFERROR(
    INDEX(
      'アイテム別限界値DB'!$K:$K, 
      MATCH(
        1, 
        ('アイテム別限界値DB'!$B:$B = N$10) * 
        ('アイテム別限界値DB'!$F:$F = N21) * 
        ('アイテム別限界値DB'!$H:$H = O21), 
        0
      )
    ), 
    "再製作"
  )
)
</f>
        <v/>
      </c>
      <c r="Q21" s="121" t="str">
        <f t="array" ref="Q21">IF(
  O21 = 0, 
  "", 
  IFERROR(
    INDEX(
      'アイテム別限界値DB'!$L:$L, 
      MATCH(
        1, 
        ('アイテム別限界値DB'!$B:$B = N$10) * 
        ('アイテム別限界値DB'!$C:$C = N21) * 
        ('アイテム別限界値DB'!$F:$F = O21), 
        0
      )
    ), 
    ""
  )
)
</f>
        <v/>
      </c>
      <c r="R21" s="11"/>
      <c r="S21" s="238" t="s">
        <v>82</v>
      </c>
      <c r="T21" s="230"/>
      <c r="U21" s="231" t="str">
        <f t="array" ref="U21">IF(
  T21 = 0, 
  "", 
  IFERROR(
    INDEX(
      'アイテム別限界値DB'!$K:$K, 
      MATCH(
        1, 
        ('アイテム別限界値DB'!$B:$B = S$10) * 
        ('アイテム別限界値DB'!$F:$F = S21) * 
        ('アイテム別限界値DB'!$H:$H = T21), 
        0
      )
    ), 
    "再製作"
  )
)
</f>
        <v/>
      </c>
      <c r="V21" s="218" t="str">
        <f t="array" ref="V21">IF(
  T21 = 0, 
  "", 
  IFERROR(
    INDEX(
      'アイテム別限界値DB'!$L:$L, 
      MATCH(
        1, 
        ('アイテム別限界値DB'!$B:$B = S$10) * 
        ('アイテム別限界値DB'!$C:$C = S21) * 
        ('アイテム別限界値DB'!$F:$F = T21), 
        0
      )
    ), 
    ""
  )
)
</f>
        <v/>
      </c>
      <c r="W21" s="11"/>
      <c r="X21" s="238" t="s">
        <v>84</v>
      </c>
      <c r="Y21" s="230"/>
      <c r="Z21" s="231" t="str">
        <f t="array" ref="Z21">IF(
  Y21 = 0, 
  "", 
  IFERROR(
    INDEX(
      'アイテム別限界値DB'!$K:$K, 
      MATCH(
        1, 
        ('アイテム別限界値DB'!$B:$B = X$10) * 
        ('アイテム別限界値DB'!$F:$F = X21) * 
        ('アイテム別限界値DB'!$H:$H = Y21), 
        0
      )
    ), 
    "再製作"
  )
)
</f>
        <v/>
      </c>
      <c r="AA21" s="218" t="str">
        <f t="array" ref="AA21">IF(
  Y21 = 0, 
  "", 
  IFERROR(
    INDEX(
      'アイテム別限界値DB'!$L:$L, 
      MATCH(
        1, 
        ('アイテム別限界値DB'!$B:$B = X$10) * 
        ('アイテム別限界値DB'!$C:$C = X21) * 
        ('アイテム別限界値DB'!$F:$F = Y21), 
        0
      )
    ), 
    ""
  )
)
</f>
        <v/>
      </c>
      <c r="AB21" s="11"/>
      <c r="AC21" s="238" t="s">
        <v>85</v>
      </c>
      <c r="AD21" s="232"/>
      <c r="AE21" s="231" t="str">
        <f t="array" ref="AE21">IF(
  AD21 = 0, 
  "", 
  IFERROR(
    INDEX(
      'アイテム別限界値DB'!$K:$K, 
      MATCH(
        1, 
        ('アイテム別限界値DB'!$B:$B = AC$10) * 
        ('アイテム別限界値DB'!$F:$F = AC21) * 
        ('アイテム別限界値DB'!$H:$H = AD21), 
        0
      )
    ), 
    "再製作"
  )
)
</f>
        <v/>
      </c>
      <c r="AF21" s="218" t="str">
        <f t="array" ref="AF21">IF(
  AD21 = 0, 
  "", 
  IFERROR(
    INDEX(
      'アイテム別限界値DB'!$L:$L, 
      MATCH(
        1, 
        ('アイテム別限界値DB'!$B:$B = AC$10) * 
        ('アイテム別限界値DB'!$C:$C = AC21) * 
        ('アイテム別限界値DB'!$F:$F = AD21), 
        0
      )
    ), 
    ""
  )
)
</f>
        <v/>
      </c>
      <c r="AG21" s="11"/>
      <c r="AH21" s="224"/>
      <c r="AI21" s="225"/>
      <c r="AJ21" s="220" t="str">
        <f t="array" ref="AJ21">IF(
  AI21 = 0, 
  "", 
  IFERROR(
    INDEX(
      'アイテム別限界値DB'!$I:$I, 
      MATCH(
        1, 
        ('アイテム別限界値DB'!$B:$B = AH$10) * 
        ('アイテム別限界値DB'!$C:$C = AH21) * 
        ('アイテム別限界値DB'!$F:$F = AI21), 
        0
      )
    ), 
    "再製作"
  )
)
</f>
        <v/>
      </c>
      <c r="AK21" s="121" t="str">
        <f t="array" ref="AK21">IF(
  AI21 = 0, 
  "", 
  IFERROR(
    INDEX(
      'アイテム別限界値DB'!$L:$L, 
      MATCH(
        1, 
        ('アイテム別限界値DB'!$B:$B = AH$10) * 
        ('アイテム別限界値DB'!$C:$C = AH21) * 
        ('アイテム別限界値DB'!$F:$F = AI21), 
        0
      )
    ), 
    ""
  )
)
</f>
        <v/>
      </c>
      <c r="AL21" s="11"/>
      <c r="AM21" s="224"/>
      <c r="AN21" s="225"/>
      <c r="AO21" s="220" t="str">
        <f t="array" ref="AO21">IF(
  AN21 = 0, 
  "", 
  IFERROR(
    INDEX(
      'アイテム別限界値DB'!$I:$I, 
      MATCH(
        1, 
        ('アイテム別限界値DB'!$B:$B = AM$10) * 
        ('アイテム別限界値DB'!$C:$C = AM21) * 
        ('アイテム別限界値DB'!$F:$F = AN21), 
        0
      )
    ), 
    "再製作"
  )
)
</f>
        <v/>
      </c>
      <c r="AP21" s="121" t="str">
        <f t="array" ref="AP21">IF(
  AN21 = 0, 
  "", 
  IFERROR(
    INDEX(
      'アイテム別限界値DB'!$L:$L, 
      MATCH(
        1, 
        ('アイテム別限界値DB'!$B:$B = AM$10) * 
        ('アイテム別限界値DB'!$C:$C = AM21) * 
        ('アイテム別限界値DB'!$F:$F = AN21), 
        0
      )
    ), 
    ""
  )
)
</f>
        <v/>
      </c>
      <c r="AQ21" s="11"/>
      <c r="AR21" s="224"/>
      <c r="AS21" s="225"/>
      <c r="AT21" s="220" t="str">
        <f t="array" ref="AT21">IF(
  AS21 = 0, 
  "", 
  IFERROR(
    INDEX(
      'アイテム別限界値DB'!$I:$I, 
      MATCH(
        1, 
        ('アイテム別限界値DB'!$B:$B = AR$10) * 
        ('アイテム別限界値DB'!$C:$C = AR21) * 
        ('アイテム別限界値DB'!$F:$F = AS21), 
        0
      )
    ), 
    "再製作"
  )
)
</f>
        <v/>
      </c>
      <c r="AU21" s="121" t="str">
        <f t="array" ref="AU21">IF(
  AS21 = 0, 
  "", 
  IFERROR(
    INDEX(
      'アイテム別限界値DB'!$L:$L, 
      MATCH(
        1, 
        ('アイテム別限界値DB'!$B:$B = AR$10) * 
        ('アイテム別限界値DB'!$C:$C = AR21) * 
        ('アイテム別限界値DB'!$F:$F = AS21), 
        0
      )
    ), 
    ""
  )
)
</f>
        <v/>
      </c>
      <c r="AV21" s="121"/>
      <c r="AW21" s="224"/>
      <c r="AX21" s="225"/>
      <c r="AY21" s="220" t="str">
        <f t="array" ref="AY21">IF(
  AX21 = 0, 
  "", 
  IFERROR(
    INDEX(
      'アイテム別限界値DB'!$I:$I, 
      MATCH(
        1, 
        ('アイテム別限界値DB'!$B:$B = AW$10) * 
        ('アイテム別限界値DB'!$C:$C = AW21) * 
        ('アイテム別限界値DB'!$F:$F = AX21), 
        0
      )
    ), 
    "再製作"
  )
)
</f>
        <v/>
      </c>
      <c r="AZ21" s="121" t="str">
        <f t="array" ref="AZ21">IF(
  AX21 = 0, 
  "", 
  IFERROR(
    INDEX(
      'アイテム別限界値DB'!$L:$L, 
      MATCH(
        1, 
        ('アイテム別限界値DB'!$B:$B = AW$10) * 
        ('アイテム別限界値DB'!$C:$C = AW21) * 
        ('アイテム別限界値DB'!$F:$F = AX21), 
        0
      )
    ), 
    ""
  )
)
</f>
        <v/>
      </c>
      <c r="BA21" s="121"/>
      <c r="BB21" s="224"/>
      <c r="BC21" s="225"/>
      <c r="BD21" s="220" t="str">
        <f t="array" ref="BD21">IF(
  BC21 = 0, 
  "", 
  IFERROR(
    INDEX(
      'アイテム別限界値DB'!$I:$I, 
      MATCH(
        1, 
        ('アイテム別限界値DB'!$B:$B = BB$10) * 
        ('アイテム別限界値DB'!$C:$C = BB21) * 
        ('アイテム別限界値DB'!$F:$F = BC21), 
        0
      )
    ), 
    "再製作"
  )
)
</f>
        <v/>
      </c>
      <c r="BE21" s="121" t="str">
        <f t="array" ref="BE21">IF(
  BC21 = 0, 
  "", 
  IFERROR(
    INDEX(
      'アイテム別限界値DB'!$L:$L, 
      MATCH(
        1, 
        ('アイテム別限界値DB'!$B:$B = BB$10) * 
        ('アイテム別限界値DB'!$C:$C = BB21) * 
        ('アイテム別限界値DB'!$F:$F = BC21), 
        0
      )
    ), 
    ""
  )
)
</f>
        <v/>
      </c>
      <c r="BF21" s="121"/>
      <c r="BG21" s="224"/>
      <c r="BH21" s="225"/>
      <c r="BI21" s="220" t="str">
        <f t="array" ref="BI21">IF(
  BH21 = 0, 
  "", 
  IFERROR(
    INDEX(
      'アイテム別限界値DB'!$I:$I, 
      MATCH(
        1, 
        ('アイテム別限界値DB'!$B:$B = BG$10) * 
        ('アイテム別限界値DB'!$C:$C = BG21) * 
        ('アイテム別限界値DB'!$F:$F = BH21), 
        0
      )
    ), 
    "再製作"
  )
)
</f>
        <v/>
      </c>
      <c r="BJ21" s="121" t="str">
        <f t="array" ref="BJ21">IF(
  BH21 = 0, 
  "", 
  IFERROR(
    INDEX(
      'アイテム別限界値DB'!$L:$L, 
      MATCH(
        1, 
        ('アイテム別限界値DB'!$B:$B = BG$10) * 
        ('アイテム別限界値DB'!$C:$C = BG21) * 
        ('アイテム別限界値DB'!$F:$F = BH21), 
        0
      )
    ), 
    ""
  )
)
</f>
        <v/>
      </c>
      <c r="BK21" s="121"/>
      <c r="BL21" s="224" t="s">
        <v>85</v>
      </c>
      <c r="BM21" s="232"/>
      <c r="BN21" s="231" t="str">
        <f t="array" ref="BN21">IF(
  BM21 = 0, 
  "", 
  IFERROR(
    INDEX(
      'アイテム別限界値DB'!$K:$K, 
      MATCH(
        1, 
        ('アイテム別限界値DB'!$B:$B = BL$10) * 
        ('アイテム別限界値DB'!$F:$F = BL21) * 
        ('アイテム別限界値DB'!$H:$H = BM21), 
        0
      )
    ), 
    "再製作"
  )
)
</f>
        <v/>
      </c>
      <c r="BO21" s="218" t="str">
        <f t="array" ref="BO21">IF(
  BM21 = 0, 
  "", 
  IFERROR(
    INDEX(
      'アイテム別限界値DB'!$L:$L, 
      MATCH(
        1, 
        ('アイテム別限界値DB'!$B:$B = BL$10) * 
        ('アイテム別限界値DB'!$C:$C = BL21) * 
        ('アイテム別限界値DB'!$F:$F = BM21), 
        0
      )
    ), 
    ""
  )
)
</f>
        <v/>
      </c>
      <c r="BP21" s="195"/>
    </row>
    <row r="22" ht="18.75" customHeight="1">
      <c r="A22" s="228" t="str">
        <f>IFERROR(__xludf.DUMMYFUNCTION("TEXTJOIN(CHAR(10),TRUE,FILTER(ARRAYFORMULA(IF(J$14:J72&lt;&gt;"""", I$14:I72 &amp;"" :  cm"","""")), I$14:I72 &lt;&gt;""""))"),"")</f>
        <v/>
      </c>
      <c r="B22" s="224"/>
      <c r="C22" s="224"/>
      <c r="D22" s="238" t="s">
        <v>86</v>
      </c>
      <c r="E22" s="230"/>
      <c r="F22" s="231" t="str">
        <f t="array" ref="F22">IF(
  E22 = 0, 
  "", 
  IFERROR(
    INDEX(
      'アイテム別限界値DB'!$K:$K, 
      MATCH(
        1, 
        ('アイテム別限界値DB'!$B:$B = D$10) * 
        ('アイテム別限界値DB'!$F:$F = D22) * 
        ('アイテム別限界値DB'!$H:$H = E22), 
        0
      )
    ), 
    "再製作"
  )
)
</f>
        <v/>
      </c>
      <c r="G22" s="218" t="str">
        <f t="array" ref="G22">IF(
  E22 = 0, 
  "", 
  IFERROR(
    INDEX(
      'アイテム別限界値DB'!$L:$L, 
      MATCH(
        1, 
        ('アイテム別限界値DB'!$B:$B = D$10) * 
        ('アイテム別限界値DB'!$C:$C = D22) * 
        ('アイテム別限界値DB'!$F:$F = E22), 
        0
      )
    ), 
    ""
  )
)
</f>
        <v/>
      </c>
      <c r="H22" s="12"/>
      <c r="I22" s="238" t="s">
        <v>87</v>
      </c>
      <c r="J22" s="230"/>
      <c r="K22" s="231" t="str">
        <f t="array" ref="K22">IF(
  J22 = 0, 
  "", 
  IFERROR(
    INDEX(
      'アイテム別限界値DB'!$K:$K, 
      MATCH(
        1, 
        ('アイテム別限界値DB'!$B:$B = I$10) * 
        ('アイテム別限界値DB'!$F:$F = I22) * 
        ('アイテム別限界値DB'!$H:$H = J22), 
        0
      )
    ), 
    "再製作"
  )
)
</f>
        <v/>
      </c>
      <c r="L22" s="218" t="str">
        <f t="array" ref="L22">IF(
  J22 = 0, 
  "", 
  IFERROR(
    INDEX(
      'アイテム別限界値DB'!$L:$L, 
      MATCH(
        1, 
        ('アイテム別限界値DB'!$B:$B = I$10) * 
        ('アイテム別限界値DB'!$C:$C = I22) * 
        ('アイテム別限界値DB'!$F:$F = J22), 
        0
      )
    ), 
    ""
  )
)
</f>
        <v/>
      </c>
      <c r="M22" s="11"/>
      <c r="N22" s="224"/>
      <c r="O22" s="220"/>
      <c r="P22" s="220" t="str">
        <f t="array" ref="P22">IF(
  O22 = 0, 
  "", 
  IFERROR(
    INDEX(
      'アイテム別限界値DB'!$I:$I, 
      MATCH(
        1, 
        ('アイテム別限界値DB'!$B:$B = N$10) * 
        ('アイテム別限界値DB'!$C:$C = N22) * 
        ('アイテム別限界値DB'!$F:$F = O22), 
        0
      )
    ), 
    "再製作"
  )
)
</f>
        <v/>
      </c>
      <c r="Q22" s="121" t="str">
        <f t="array" ref="Q22">IF(
  O22 = 0, 
  "", 
  IFERROR(
    INDEX(
      'アイテム別限界値DB'!$L:$L, 
      MATCH(
        1, 
        ('アイテム別限界値DB'!$B:$B = N$10) * 
        ('アイテム別限界値DB'!$C:$C = N22) * 
        ('アイテム別限界値DB'!$F:$F = O22), 
        0
      )
    ), 
    ""
  )
)
</f>
        <v/>
      </c>
      <c r="R22" s="11"/>
      <c r="S22" s="238" t="s">
        <v>87</v>
      </c>
      <c r="T22" s="230"/>
      <c r="U22" s="231" t="str">
        <f t="array" ref="U22">IF(
  T22 = 0, 
  "", 
  IFERROR(
    INDEX(
      'アイテム別限界値DB'!$K:$K, 
      MATCH(
        1, 
        ('アイテム別限界値DB'!$B:$B = S$10) * 
        ('アイテム別限界値DB'!$F:$F = S22) * 
        ('アイテム別限界値DB'!$H:$H = T22), 
        0
      )
    ), 
    "再製作"
  )
)
</f>
        <v/>
      </c>
      <c r="V22" s="218" t="str">
        <f t="array" ref="V22">IF(
  T22 = 0, 
  "", 
  IFERROR(
    INDEX(
      'アイテム別限界値DB'!$L:$L, 
      MATCH(
        1, 
        ('アイテム別限界値DB'!$B:$B = S$10) * 
        ('アイテム別限界値DB'!$C:$C = S22) * 
        ('アイテム別限界値DB'!$F:$F = T22), 
        0
      )
    ), 
    ""
  )
)
</f>
        <v/>
      </c>
      <c r="W22" s="11"/>
      <c r="X22" s="238" t="s">
        <v>88</v>
      </c>
      <c r="Y22" s="230"/>
      <c r="Z22" s="231" t="str">
        <f t="array" ref="Z22">IF(
  Y22 = 0, 
  "", 
  IFERROR(
    INDEX(
      'アイテム別限界値DB'!$K:$K, 
      MATCH(
        1, 
        ('アイテム別限界値DB'!$B:$B = X$10) * 
        ('アイテム別限界値DB'!$F:$F = X22) * 
        ('アイテム別限界値DB'!$H:$H = Y22), 
        0
      )
    ), 
    "再製作"
  )
)
</f>
        <v/>
      </c>
      <c r="AA22" s="218" t="str">
        <f t="array" ref="AA22">IF(
  Y22 = 0, 
  "", 
  IFERROR(
    INDEX(
      'アイテム別限界値DB'!$L:$L, 
      MATCH(
        1, 
        ('アイテム別限界値DB'!$B:$B = X$10) * 
        ('アイテム別限界値DB'!$C:$C = X22) * 
        ('アイテム別限界値DB'!$F:$F = Y22), 
        0
      )
    ), 
    ""
  )
)
</f>
        <v/>
      </c>
      <c r="AB22" s="11"/>
      <c r="AC22" s="238" t="s">
        <v>89</v>
      </c>
      <c r="AD22" s="232"/>
      <c r="AE22" s="231" t="str">
        <f t="array" ref="AE22">IF(
  AD22 = 0, 
  "", 
  IFERROR(
    INDEX(
      'アイテム別限界値DB'!$K:$K, 
      MATCH(
        1, 
        ('アイテム別限界値DB'!$B:$B = AC$10) * 
        ('アイテム別限界値DB'!$F:$F = AC22) * 
        ('アイテム別限界値DB'!$H:$H = AD22), 
        0
      )
    ), 
    "再製作"
  )
)
</f>
        <v/>
      </c>
      <c r="AF22" s="218" t="str">
        <f t="array" ref="AF22">IF(
  AD22 = 0, 
  "", 
  IFERROR(
    INDEX(
      'アイテム別限界値DB'!$L:$L, 
      MATCH(
        1, 
        ('アイテム別限界値DB'!$B:$B = AC$10) * 
        ('アイテム別限界値DB'!$C:$C = AC22) * 
        ('アイテム別限界値DB'!$F:$F = AD22), 
        0
      )
    ), 
    ""
  )
)
</f>
        <v/>
      </c>
      <c r="AG22" s="11"/>
      <c r="AH22" s="224"/>
      <c r="AI22" s="225"/>
      <c r="AJ22" s="220" t="str">
        <f t="array" ref="AJ22">IF(
  AI22 = 0, 
  "", 
  IFERROR(
    INDEX(
      'アイテム別限界値DB'!$I:$I, 
      MATCH(
        1, 
        ('アイテム別限界値DB'!$B:$B = AH$10) * 
        ('アイテム別限界値DB'!$C:$C = AH22) * 
        ('アイテム別限界値DB'!$F:$F = AI22), 
        0
      )
    ), 
    "再製作"
  )
)
</f>
        <v/>
      </c>
      <c r="AK22" s="121" t="str">
        <f t="array" ref="AK22">IF(
  AI22 = 0, 
  "", 
  IFERROR(
    INDEX(
      'アイテム別限界値DB'!$L:$L, 
      MATCH(
        1, 
        ('アイテム別限界値DB'!$B:$B = AH$10) * 
        ('アイテム別限界値DB'!$C:$C = AH22) * 
        ('アイテム別限界値DB'!$F:$F = AI22), 
        0
      )
    ), 
    ""
  )
)
</f>
        <v/>
      </c>
      <c r="AL22" s="11"/>
      <c r="AM22" s="224"/>
      <c r="AN22" s="225"/>
      <c r="AO22" s="220" t="str">
        <f t="array" ref="AO22">IF(
  AN22 = 0, 
  "", 
  IFERROR(
    INDEX(
      'アイテム別限界値DB'!$I:$I, 
      MATCH(
        1, 
        ('アイテム別限界値DB'!$B:$B = AM$10) * 
        ('アイテム別限界値DB'!$C:$C = AM22) * 
        ('アイテム別限界値DB'!$F:$F = AN22), 
        0
      )
    ), 
    "再製作"
  )
)
</f>
        <v/>
      </c>
      <c r="AP22" s="121" t="str">
        <f t="array" ref="AP22">IF(
  AN22 = 0, 
  "", 
  IFERROR(
    INDEX(
      'アイテム別限界値DB'!$L:$L, 
      MATCH(
        1, 
        ('アイテム別限界値DB'!$B:$B = AM$10) * 
        ('アイテム別限界値DB'!$C:$C = AM22) * 
        ('アイテム別限界値DB'!$F:$F = AN22), 
        0
      )
    ), 
    ""
  )
)
</f>
        <v/>
      </c>
      <c r="AQ22" s="11"/>
      <c r="AR22" s="224"/>
      <c r="AS22" s="225"/>
      <c r="AT22" s="220" t="str">
        <f t="array" ref="AT22">IF(
  AS22 = 0, 
  "", 
  IFERROR(
    INDEX(
      'アイテム別限界値DB'!$I:$I, 
      MATCH(
        1, 
        ('アイテム別限界値DB'!$B:$B = AR$10) * 
        ('アイテム別限界値DB'!$C:$C = AR22) * 
        ('アイテム別限界値DB'!$F:$F = AS22), 
        0
      )
    ), 
    "再製作"
  )
)
</f>
        <v/>
      </c>
      <c r="AU22" s="121" t="str">
        <f t="array" ref="AU22">IF(
  AS22 = 0, 
  "", 
  IFERROR(
    INDEX(
      'アイテム別限界値DB'!$L:$L, 
      MATCH(
        1, 
        ('アイテム別限界値DB'!$B:$B = AR$10) * 
        ('アイテム別限界値DB'!$C:$C = AR22) * 
        ('アイテム別限界値DB'!$F:$F = AS22), 
        0
      )
    ), 
    ""
  )
)
</f>
        <v/>
      </c>
      <c r="AV22" s="121"/>
      <c r="AW22" s="224"/>
      <c r="AX22" s="225"/>
      <c r="AY22" s="220" t="str">
        <f t="array" ref="AY22">IF(
  AX22 = 0, 
  "", 
  IFERROR(
    INDEX(
      'アイテム別限界値DB'!$I:$I, 
      MATCH(
        1, 
        ('アイテム別限界値DB'!$B:$B = AW$10) * 
        ('アイテム別限界値DB'!$C:$C = AW22) * 
        ('アイテム別限界値DB'!$F:$F = AX22), 
        0
      )
    ), 
    "再製作"
  )
)
</f>
        <v/>
      </c>
      <c r="AZ22" s="121" t="str">
        <f t="array" ref="AZ22">IF(
  AX22 = 0, 
  "", 
  IFERROR(
    INDEX(
      'アイテム別限界値DB'!$L:$L, 
      MATCH(
        1, 
        ('アイテム別限界値DB'!$B:$B = AW$10) * 
        ('アイテム別限界値DB'!$C:$C = AW22) * 
        ('アイテム別限界値DB'!$F:$F = AX22), 
        0
      )
    ), 
    ""
  )
)
</f>
        <v/>
      </c>
      <c r="BA22" s="121"/>
      <c r="BB22" s="224"/>
      <c r="BC22" s="225"/>
      <c r="BD22" s="220" t="str">
        <f t="array" ref="BD22">IF(
  BC22 = 0, 
  "", 
  IFERROR(
    INDEX(
      'アイテム別限界値DB'!$I:$I, 
      MATCH(
        1, 
        ('アイテム別限界値DB'!$B:$B = BB$10) * 
        ('アイテム別限界値DB'!$C:$C = BB22) * 
        ('アイテム別限界値DB'!$F:$F = BC22), 
        0
      )
    ), 
    "再製作"
  )
)
</f>
        <v/>
      </c>
      <c r="BE22" s="121" t="str">
        <f t="array" ref="BE22">IF(
  BC22 = 0, 
  "", 
  IFERROR(
    INDEX(
      'アイテム別限界値DB'!$L:$L, 
      MATCH(
        1, 
        ('アイテム別限界値DB'!$B:$B = BB$10) * 
        ('アイテム別限界値DB'!$C:$C = BB22) * 
        ('アイテム別限界値DB'!$F:$F = BC22), 
        0
      )
    ), 
    ""
  )
)
</f>
        <v/>
      </c>
      <c r="BF22" s="121"/>
      <c r="BG22" s="224"/>
      <c r="BH22" s="225"/>
      <c r="BI22" s="220" t="str">
        <f t="array" ref="BI22">IF(
  BH22 = 0, 
  "", 
  IFERROR(
    INDEX(
      'アイテム別限界値DB'!$I:$I, 
      MATCH(
        1, 
        ('アイテム別限界値DB'!$B:$B = BG$10) * 
        ('アイテム別限界値DB'!$C:$C = BG22) * 
        ('アイテム別限界値DB'!$F:$F = BH22), 
        0
      )
    ), 
    "再製作"
  )
)
</f>
        <v/>
      </c>
      <c r="BJ22" s="121" t="str">
        <f t="array" ref="BJ22">IF(
  BH22 = 0, 
  "", 
  IFERROR(
    INDEX(
      'アイテム別限界値DB'!$L:$L, 
      MATCH(
        1, 
        ('アイテム別限界値DB'!$B:$B = BG$10) * 
        ('アイテム別限界値DB'!$C:$C = BG22) * 
        ('アイテム別限界値DB'!$F:$F = BH22), 
        0
      )
    ), 
    ""
  )
)
</f>
        <v/>
      </c>
      <c r="BK22" s="121"/>
      <c r="BL22" s="224" t="s">
        <v>90</v>
      </c>
      <c r="BM22" s="230"/>
      <c r="BN22" s="231" t="str">
        <f t="array" ref="BN22">IF(
  BM22 = 0, 
  "", 
  IFERROR(
    INDEX(
      'アイテム別限界値DB'!$K:$K, 
      MATCH(
        1, 
        ('アイテム別限界値DB'!$B:$B = BL$10) * 
        ('アイテム別限界値DB'!$F:$F = BL22) * 
        ('アイテム別限界値DB'!$H:$H = BM22), 
        0
      )
    ), 
    "再製作"
  )
)
</f>
        <v/>
      </c>
      <c r="BO22" s="218" t="str">
        <f t="array" ref="BO22">IF(
  BM22 = 0, 
  "", 
  IFERROR(
    INDEX(
      'アイテム別限界値DB'!$L:$L, 
      MATCH(
        1, 
        ('アイテム別限界値DB'!$B:$B = BL$10) * 
        ('アイテム別限界値DB'!$C:$C = BL22) * 
        ('アイテム別限界値DB'!$F:$F = BM22), 
        0
      )
    ), 
    ""
  )
)
</f>
        <v/>
      </c>
      <c r="BP22" s="195"/>
    </row>
    <row r="23" ht="18.75" customHeight="1">
      <c r="A23" s="237" t="s">
        <v>91</v>
      </c>
      <c r="B23" s="229"/>
      <c r="C23" s="224"/>
      <c r="D23" s="238" t="s">
        <v>92</v>
      </c>
      <c r="E23" s="230"/>
      <c r="F23" s="231" t="str">
        <f t="array" ref="F23">IF(
  E23 = 0, 
  "", 
  IFERROR(
    INDEX(
      'アイテム別限界値DB'!$K:$K, 
      MATCH(
        1, 
        ('アイテム別限界値DB'!$B:$B = D$10) * 
        ('アイテム別限界値DB'!$F:$F = D23) * 
        ('アイテム別限界値DB'!$H:$H = E23), 
        0
      )
    ), 
    "再製作"
  )
)
</f>
        <v/>
      </c>
      <c r="G23" s="218" t="str">
        <f t="array" ref="G23">IF(
  E23 = 0, 
  "", 
  IFERROR(
    INDEX(
      'アイテム別限界値DB'!$L:$L, 
      MATCH(
        1, 
        ('アイテム別限界値DB'!$B:$B = D$10) * 
        ('アイテム別限界値DB'!$C:$C = D23) * 
        ('アイテム別限界値DB'!$F:$F = E23), 
        0
      )
    ), 
    ""
  )
)
</f>
        <v/>
      </c>
      <c r="H23" s="12"/>
      <c r="I23" s="238" t="s">
        <v>93</v>
      </c>
      <c r="J23" s="230"/>
      <c r="K23" s="231" t="str">
        <f t="array" ref="K23">IF(
  J23 = 0, 
  "", 
  IFERROR(
    INDEX(
      'アイテム別限界値DB'!$K:$K, 
      MATCH(
        1, 
        ('アイテム別限界値DB'!$B:$B = I$10) * 
        ('アイテム別限界値DB'!$F:$F = I23) * 
        ('アイテム別限界値DB'!$H:$H = J23), 
        0
      )
    ), 
    "再製作"
  )
)
</f>
        <v/>
      </c>
      <c r="L23" s="218" t="str">
        <f t="array" ref="L23">IF(
  J23 = 0, 
  "", 
  IFERROR(
    INDEX(
      'アイテム別限界値DB'!$L:$L, 
      MATCH(
        1, 
        ('アイテム別限界値DB'!$B:$B = I$10) * 
        ('アイテム別限界値DB'!$C:$C = I23) * 
        ('アイテム別限界値DB'!$F:$F = J23), 
        0
      )
    ), 
    ""
  )
)
</f>
        <v/>
      </c>
      <c r="M23" s="11"/>
      <c r="N23" s="224"/>
      <c r="O23" s="220"/>
      <c r="P23" s="220" t="str">
        <f t="array" ref="P23">IF(
  O23 = 0, 
  "", 
  IFERROR(
    INDEX(
      'アイテム別限界値DB'!$I:$I, 
      MATCH(
        1, 
        ('アイテム別限界値DB'!$B:$B = N$10) * 
        ('アイテム別限界値DB'!$C:$C = N23) * 
        ('アイテム別限界値DB'!$F:$F = O23), 
        0
      )
    ), 
    "再製作"
  )
)
</f>
        <v/>
      </c>
      <c r="Q23" s="121" t="str">
        <f t="array" ref="Q23">IF(
  O23 = 0, 
  "", 
  IFERROR(
    INDEX(
      'アイテム別限界値DB'!$L:$L, 
      MATCH(
        1, 
        ('アイテム別限界値DB'!$B:$B = N$10) * 
        ('アイテム別限界値DB'!$C:$C = N23) * 
        ('アイテム別限界値DB'!$F:$F = O23), 
        0
      )
    ), 
    ""
  )
)
</f>
        <v/>
      </c>
      <c r="R23" s="11"/>
      <c r="S23" s="238" t="s">
        <v>93</v>
      </c>
      <c r="T23" s="230"/>
      <c r="U23" s="231" t="str">
        <f t="array" ref="U23">IF(
  T23 = 0, 
  "", 
  IFERROR(
    INDEX(
      'アイテム別限界値DB'!$K:$K, 
      MATCH(
        1, 
        ('アイテム別限界値DB'!$B:$B = S$10) * 
        ('アイテム別限界値DB'!$F:$F = S23) * 
        ('アイテム別限界値DB'!$H:$H = T23), 
        0
      )
    ), 
    "再製作"
  )
)
</f>
        <v/>
      </c>
      <c r="V23" s="218" t="str">
        <f t="array" ref="V23">IF(
  T23 = 0, 
  "", 
  IFERROR(
    INDEX(
      'アイテム別限界値DB'!$L:$L, 
      MATCH(
        1, 
        ('アイテム別限界値DB'!$B:$B = S$10) * 
        ('アイテム別限界値DB'!$C:$C = S23) * 
        ('アイテム別限界値DB'!$F:$F = T23), 
        0
      )
    ), 
    ""
  )
)
</f>
        <v/>
      </c>
      <c r="W23" s="11"/>
      <c r="X23" s="238" t="s">
        <v>89</v>
      </c>
      <c r="Y23" s="230"/>
      <c r="Z23" s="231" t="str">
        <f t="array" ref="Z23">IF(
  Y23 = 0, 
  "", 
  IFERROR(
    INDEX(
      'アイテム別限界値DB'!$K:$K, 
      MATCH(
        1, 
        ('アイテム別限界値DB'!$B:$B = X$10) * 
        ('アイテム別限界値DB'!$F:$F = X23) * 
        ('アイテム別限界値DB'!$H:$H = Y23), 
        0
      )
    ), 
    "再製作"
  )
)
</f>
        <v/>
      </c>
      <c r="AA23" s="218" t="str">
        <f t="array" ref="AA23">IF(
  Y23 = 0, 
  "", 
  IFERROR(
    INDEX(
      'アイテム別限界値DB'!$L:$L, 
      MATCH(
        1, 
        ('アイテム別限界値DB'!$B:$B = X$10) * 
        ('アイテム別限界値DB'!$C:$C = X23) * 
        ('アイテム別限界値DB'!$F:$F = Y23), 
        0
      )
    ), 
    ""
  )
)
</f>
        <v/>
      </c>
      <c r="AB23" s="11"/>
      <c r="AC23" s="238" t="s">
        <v>90</v>
      </c>
      <c r="AD23" s="232"/>
      <c r="AE23" s="231" t="str">
        <f t="array" ref="AE23">IF(
  AD23 = 0, 
  "", 
  IFERROR(
    INDEX(
      'アイテム別限界値DB'!$K:$K, 
      MATCH(
        1, 
        ('アイテム別限界値DB'!$B:$B = AC$10) * 
        ('アイテム別限界値DB'!$F:$F = AC23) * 
        ('アイテム別限界値DB'!$H:$H = AD23), 
        0
      )
    ), 
    "再製作"
  )
)
</f>
        <v/>
      </c>
      <c r="AF23" s="218" t="str">
        <f t="array" ref="AF23">IF(
  AD23 = 0, 
  "", 
  IFERROR(
    INDEX(
      'アイテム別限界値DB'!$L:$L, 
      MATCH(
        1, 
        ('アイテム別限界値DB'!$B:$B = AC$10) * 
        ('アイテム別限界値DB'!$C:$C = AC23) * 
        ('アイテム別限界値DB'!$F:$F = AD23), 
        0
      )
    ), 
    ""
  )
)
</f>
        <v/>
      </c>
      <c r="AG23" s="11"/>
      <c r="AH23" s="224"/>
      <c r="AI23" s="225"/>
      <c r="AJ23" s="220" t="str">
        <f t="array" ref="AJ23">IF(
  AI23 = 0, 
  "", 
  IFERROR(
    INDEX(
      'アイテム別限界値DB'!$I:$I, 
      MATCH(
        1, 
        ('アイテム別限界値DB'!$B:$B = AH$10) * 
        ('アイテム別限界値DB'!$C:$C = AH23) * 
        ('アイテム別限界値DB'!$F:$F = AI23), 
        0
      )
    ), 
    "再製作"
  )
)
</f>
        <v/>
      </c>
      <c r="AK23" s="121" t="str">
        <f t="array" ref="AK23">IF(
  AI23 = 0, 
  "", 
  IFERROR(
    INDEX(
      'アイテム別限界値DB'!$L:$L, 
      MATCH(
        1, 
        ('アイテム別限界値DB'!$B:$B = AH$10) * 
        ('アイテム別限界値DB'!$C:$C = AH23) * 
        ('アイテム別限界値DB'!$F:$F = AI23), 
        0
      )
    ), 
    ""
  )
)
</f>
        <v/>
      </c>
      <c r="AL23" s="11"/>
      <c r="AM23" s="224"/>
      <c r="AN23" s="225"/>
      <c r="AO23" s="220" t="str">
        <f t="array" ref="AO23">IF(
  AN23 = 0, 
  "", 
  IFERROR(
    INDEX(
      'アイテム別限界値DB'!$I:$I, 
      MATCH(
        1, 
        ('アイテム別限界値DB'!$B:$B = AM$10) * 
        ('アイテム別限界値DB'!$C:$C = AM23) * 
        ('アイテム別限界値DB'!$F:$F = AN23), 
        0
      )
    ), 
    "再製作"
  )
)
</f>
        <v/>
      </c>
      <c r="AP23" s="121" t="str">
        <f t="array" ref="AP23">IF(
  AN23 = 0, 
  "", 
  IFERROR(
    INDEX(
      'アイテム別限界値DB'!$L:$L, 
      MATCH(
        1, 
        ('アイテム別限界値DB'!$B:$B = AM$10) * 
        ('アイテム別限界値DB'!$C:$C = AM23) * 
        ('アイテム別限界値DB'!$F:$F = AN23), 
        0
      )
    ), 
    ""
  )
)
</f>
        <v/>
      </c>
      <c r="AQ23" s="11"/>
      <c r="AR23" s="224"/>
      <c r="AS23" s="225"/>
      <c r="AT23" s="220" t="str">
        <f t="array" ref="AT23">IF(
  AS23 = 0, 
  "", 
  IFERROR(
    INDEX(
      'アイテム別限界値DB'!$I:$I, 
      MATCH(
        1, 
        ('アイテム別限界値DB'!$B:$B = AR$10) * 
        ('アイテム別限界値DB'!$C:$C = AR23) * 
        ('アイテム別限界値DB'!$F:$F = AS23), 
        0
      )
    ), 
    "再製作"
  )
)
</f>
        <v/>
      </c>
      <c r="AU23" s="121" t="str">
        <f t="array" ref="AU23">IF(
  AS23 = 0, 
  "", 
  IFERROR(
    INDEX(
      'アイテム別限界値DB'!$L:$L, 
      MATCH(
        1, 
        ('アイテム別限界値DB'!$B:$B = AR$10) * 
        ('アイテム別限界値DB'!$C:$C = AR23) * 
        ('アイテム別限界値DB'!$F:$F = AS23), 
        0
      )
    ), 
    ""
  )
)
</f>
        <v/>
      </c>
      <c r="AV23" s="121"/>
      <c r="AW23" s="224"/>
      <c r="AX23" s="225"/>
      <c r="AY23" s="220" t="str">
        <f t="array" ref="AY23">IF(
  AX23 = 0, 
  "", 
  IFERROR(
    INDEX(
      'アイテム別限界値DB'!$I:$I, 
      MATCH(
        1, 
        ('アイテム別限界値DB'!$B:$B = AW$10) * 
        ('アイテム別限界値DB'!$C:$C = AW23) * 
        ('アイテム別限界値DB'!$F:$F = AX23), 
        0
      )
    ), 
    "再製作"
  )
)
</f>
        <v/>
      </c>
      <c r="AZ23" s="121" t="str">
        <f t="array" ref="AZ23">IF(
  AX23 = 0, 
  "", 
  IFERROR(
    INDEX(
      'アイテム別限界値DB'!$L:$L, 
      MATCH(
        1, 
        ('アイテム別限界値DB'!$B:$B = AW$10) * 
        ('アイテム別限界値DB'!$C:$C = AW23) * 
        ('アイテム別限界値DB'!$F:$F = AX23), 
        0
      )
    ), 
    ""
  )
)
</f>
        <v/>
      </c>
      <c r="BA23" s="121"/>
      <c r="BB23" s="224"/>
      <c r="BC23" s="225"/>
      <c r="BD23" s="220" t="str">
        <f t="array" ref="BD23">IF(
  BC23 = 0, 
  "", 
  IFERROR(
    INDEX(
      'アイテム別限界値DB'!$I:$I, 
      MATCH(
        1, 
        ('アイテム別限界値DB'!$B:$B = BB$10) * 
        ('アイテム別限界値DB'!$C:$C = BB23) * 
        ('アイテム別限界値DB'!$F:$F = BC23), 
        0
      )
    ), 
    "再製作"
  )
)
</f>
        <v/>
      </c>
      <c r="BE23" s="121" t="str">
        <f t="array" ref="BE23">IF(
  BC23 = 0, 
  "", 
  IFERROR(
    INDEX(
      'アイテム別限界値DB'!$L:$L, 
      MATCH(
        1, 
        ('アイテム別限界値DB'!$B:$B = BB$10) * 
        ('アイテム別限界値DB'!$C:$C = BB23) * 
        ('アイテム別限界値DB'!$F:$F = BC23), 
        0
      )
    ), 
    ""
  )
)
</f>
        <v/>
      </c>
      <c r="BF23" s="121"/>
      <c r="BG23" s="224"/>
      <c r="BH23" s="225"/>
      <c r="BI23" s="220" t="str">
        <f t="array" ref="BI23">IF(
  BH23 = 0, 
  "", 
  IFERROR(
    INDEX(
      'アイテム別限界値DB'!$I:$I, 
      MATCH(
        1, 
        ('アイテム別限界値DB'!$B:$B = BG$10) * 
        ('アイテム別限界値DB'!$C:$C = BG23) * 
        ('アイテム別限界値DB'!$F:$F = BH23), 
        0
      )
    ), 
    "再製作"
  )
)
</f>
        <v/>
      </c>
      <c r="BJ23" s="121" t="str">
        <f t="array" ref="BJ23">IF(
  BH23 = 0, 
  "", 
  IFERROR(
    INDEX(
      'アイテム別限界値DB'!$L:$L, 
      MATCH(
        1, 
        ('アイテム別限界値DB'!$B:$B = BG$10) * 
        ('アイテム別限界値DB'!$C:$C = BG23) * 
        ('アイテム別限界値DB'!$F:$F = BH23), 
        0
      )
    ), 
    ""
  )
)
</f>
        <v/>
      </c>
      <c r="BK23" s="121"/>
      <c r="BL23" s="224" t="s">
        <v>62</v>
      </c>
      <c r="BM23" s="232"/>
      <c r="BN23" s="231" t="str">
        <f t="array" ref="BN23">IF(
  BM23 = 0, 
  "", 
  IFERROR(
    INDEX(
      'アイテム別限界値DB'!$K:$K, 
      MATCH(
        1, 
        ('アイテム別限界値DB'!$B:$B = BL$10) * 
        ('アイテム別限界値DB'!$F:$F = BL23) * 
        ('アイテム別限界値DB'!$H:$H = BM23), 
        0
      )
    ), 
    "再製作"
  )
)
</f>
        <v/>
      </c>
      <c r="BO23" s="218" t="str">
        <f t="array" ref="BO23">IF(
  BM23 = 0, 
  "", 
  IFERROR(
    INDEX(
      'アイテム別限界値DB'!$L:$L, 
      MATCH(
        1, 
        ('アイテム別限界値DB'!$B:$B = BL$10) * 
        ('アイテム別限界値DB'!$C:$C = BL23) * 
        ('アイテム別限界値DB'!$F:$F = BM23), 
        0
      )
    ), 
    ""
  )
)
</f>
        <v/>
      </c>
      <c r="BP23" s="195"/>
    </row>
    <row r="24" ht="18.75" customHeight="1">
      <c r="A24" s="228" t="str">
        <f>IF($N$11="再製作", "◼︎ ベスト（対応着地：再製作）" &amp; char(10) &amp; "《修正数値》", IF($N$11&lt;&gt;"", "◼︎ ベスト（対応着地：お直し）" &amp; char(10) &amp; "《修正数値》", ""))</f>
        <v/>
      </c>
      <c r="B24" s="229"/>
      <c r="C24" s="224"/>
      <c r="D24" s="239" t="s">
        <v>94</v>
      </c>
      <c r="E24" s="232"/>
      <c r="F24" s="231" t="str">
        <f t="array" ref="F24">IF(
  E24 = 0, 
  "", 
  IFERROR(
    INDEX(
      'アイテム別限界値DB'!$K:$K, 
      MATCH(
        1, 
        ('アイテム別限界値DB'!$B:$B = D$10) * 
        ('アイテム別限界値DB'!$F:$F = D24) * 
        ('アイテム別限界値DB'!$H:$H = E24), 
        0
      )
    ), 
    "再製作"
  )
)
</f>
        <v/>
      </c>
      <c r="G24" s="218" t="str">
        <f t="array" ref="G24">IF(
  E24 = 0, 
  "", 
  IFERROR(
    INDEX(
      'アイテム別限界値DB'!$L:$L, 
      MATCH(
        1, 
        ('アイテム別限界値DB'!$B:$B = D$10) * 
        ('アイテム別限界値DB'!$C:$C = D24) * 
        ('アイテム別限界値DB'!$F:$F = E24), 
        0
      )
    ), 
    ""
  )
)
</f>
        <v/>
      </c>
      <c r="H24" s="12"/>
      <c r="I24" s="239" t="s">
        <v>95</v>
      </c>
      <c r="J24" s="232"/>
      <c r="K24" s="231" t="str">
        <f t="array" ref="K24">IF(
  J24 = 0, 
  "", 
  IFERROR(
    INDEX(
      'アイテム別限界値DB'!$K:$K, 
      MATCH(
        1, 
        ('アイテム別限界値DB'!$B:$B = I$10) * 
        ('アイテム別限界値DB'!$F:$F = I24) * 
        ('アイテム別限界値DB'!$H:$H = J24), 
        0
      )
    ), 
    "再製作"
  )
)
</f>
        <v/>
      </c>
      <c r="L24" s="218" t="str">
        <f t="array" ref="L24">IF(
  J24 = 0, 
  "", 
  IFERROR(
    INDEX(
      'アイテム別限界値DB'!$L:$L, 
      MATCH(
        1, 
        ('アイテム別限界値DB'!$B:$B = I$10) * 
        ('アイテム別限界値DB'!$C:$C = I24) * 
        ('アイテム別限界値DB'!$F:$F = J24), 
        0
      )
    ), 
    ""
  )
)
</f>
        <v/>
      </c>
      <c r="M24" s="11"/>
      <c r="N24" s="224"/>
      <c r="O24" s="220"/>
      <c r="P24" s="220" t="str">
        <f t="array" ref="P24">IF(
  O24 = 0, 
  "", 
  IFERROR(
    INDEX(
      'アイテム別限界値DB'!$I:$I, 
      MATCH(
        1, 
        ('アイテム別限界値DB'!$B:$B = N$10) * 
        ('アイテム別限界値DB'!$C:$C = N24) * 
        ('アイテム別限界値DB'!$F:$F = O24), 
        0
      )
    ), 
    "再製作"
  )
)
</f>
        <v/>
      </c>
      <c r="Q24" s="121" t="str">
        <f t="array" ref="Q24">IF(
  O24 = 0, 
  "", 
  IFERROR(
    INDEX(
      'アイテム別限界値DB'!$L:$L, 
      MATCH(
        1, 
        ('アイテム別限界値DB'!$B:$B = N$10) * 
        ('アイテム別限界値DB'!$C:$C = N24) * 
        ('アイテム別限界値DB'!$F:$F = O24), 
        0
      )
    ), 
    ""
  )
)
</f>
        <v/>
      </c>
      <c r="R24" s="11"/>
      <c r="S24" s="239" t="s">
        <v>96</v>
      </c>
      <c r="T24" s="232"/>
      <c r="U24" s="231" t="str">
        <f t="array" ref="U24">IF(
  T24 = 0, 
  "", 
  IFERROR(
    INDEX(
      'アイテム別限界値DB'!$K:$K, 
      MATCH(
        1, 
        ('アイテム別限界値DB'!$B:$B = S$10) * 
        ('アイテム別限界値DB'!$F:$F = S24) * 
        ('アイテム別限界値DB'!$H:$H = T24), 
        0
      )
    ), 
    "再製作"
  )
)
</f>
        <v/>
      </c>
      <c r="V24" s="218" t="str">
        <f t="array" ref="V24">IF(
  T24 = 0, 
  "", 
  IFERROR(
    INDEX(
      'アイテム別限界値DB'!$L:$L, 
      MATCH(
        1, 
        ('アイテム別限界値DB'!$B:$B = S$10) * 
        ('アイテム別限界値DB'!$C:$C = S24) * 
        ('アイテム別限界値DB'!$F:$F = T24), 
        0
      )
    ), 
    ""
  )
)
</f>
        <v/>
      </c>
      <c r="W24" s="11"/>
      <c r="X24" s="239" t="s">
        <v>97</v>
      </c>
      <c r="Y24" s="230"/>
      <c r="Z24" s="231" t="str">
        <f t="array" ref="Z24">IF(
  Y24 = 0, 
  "", 
  IFERROR(
    INDEX(
      'アイテム別限界値DB'!$K:$K, 
      MATCH(
        1, 
        ('アイテム別限界値DB'!$B:$B = X$10) * 
        ('アイテム別限界値DB'!$F:$F = X24) * 
        ('アイテム別限界値DB'!$H:$H = Y24), 
        0
      )
    ), 
    "再製作"
  )
)
</f>
        <v/>
      </c>
      <c r="AA24" s="218" t="str">
        <f t="array" ref="AA24">IF(
  Y24 = 0, 
  "", 
  IFERROR(
    INDEX(
      'アイテム別限界値DB'!$L:$L, 
      MATCH(
        1, 
        ('アイテム別限界値DB'!$B:$B = X$10) * 
        ('アイテム別限界値DB'!$C:$C = X24) * 
        ('アイテム別限界値DB'!$F:$F = Y24), 
        0
      )
    ), 
    ""
  )
)
</f>
        <v/>
      </c>
      <c r="AB24" s="11"/>
      <c r="AC24" s="239" t="s">
        <v>62</v>
      </c>
      <c r="AD24" s="230"/>
      <c r="AE24" s="231" t="str">
        <f t="array" ref="AE24">IF(
  AD24 = 0, 
  "", 
  IFERROR(
    INDEX(
      'アイテム別限界値DB'!$K:$K, 
      MATCH(
        1, 
        ('アイテム別限界値DB'!$B:$B = AC$10) * 
        ('アイテム別限界値DB'!$F:$F = AC24) * 
        ('アイテム別限界値DB'!$H:$H = AD24), 
        0
      )
    ), 
    "再製作"
  )
)
</f>
        <v/>
      </c>
      <c r="AF24" s="218" t="str">
        <f t="array" ref="AF24">IF(
  AD24 = 0, 
  "", 
  IFERROR(
    INDEX(
      'アイテム別限界値DB'!$L:$L, 
      MATCH(
        1, 
        ('アイテム別限界値DB'!$B:$B = AC$10) * 
        ('アイテム別限界値DB'!$C:$C = AC24) * 
        ('アイテム別限界値DB'!$F:$F = AD24), 
        0
      )
    ), 
    ""
  )
)
</f>
        <v/>
      </c>
      <c r="AG24" s="11"/>
      <c r="AH24" s="224"/>
      <c r="AI24" s="225"/>
      <c r="AJ24" s="220" t="str">
        <f t="array" ref="AJ24">IF(
  AI24 = 0, 
  "", 
  IFERROR(
    INDEX(
      'アイテム別限界値DB'!$I:$I, 
      MATCH(
        1, 
        ('アイテム別限界値DB'!$B:$B = AH$10) * 
        ('アイテム別限界値DB'!$C:$C = AH24) * 
        ('アイテム別限界値DB'!$F:$F = AI24), 
        0
      )
    ), 
    "再製作"
  )
)
</f>
        <v/>
      </c>
      <c r="AK24" s="121" t="str">
        <f t="array" ref="AK24">IF(
  AI24 = 0, 
  "", 
  IFERROR(
    INDEX(
      'アイテム別限界値DB'!$L:$L, 
      MATCH(
        1, 
        ('アイテム別限界値DB'!$B:$B = AH$10) * 
        ('アイテム別限界値DB'!$C:$C = AH24) * 
        ('アイテム別限界値DB'!$F:$F = AI24), 
        0
      )
    ), 
    ""
  )
)
</f>
        <v/>
      </c>
      <c r="AL24" s="11"/>
      <c r="AM24" s="224"/>
      <c r="AN24" s="225"/>
      <c r="AO24" s="220" t="str">
        <f t="array" ref="AO24">IF(
  AN24 = 0, 
  "", 
  IFERROR(
    INDEX(
      'アイテム別限界値DB'!$I:$I, 
      MATCH(
        1, 
        ('アイテム別限界値DB'!$B:$B = AM$10) * 
        ('アイテム別限界値DB'!$C:$C = AM24) * 
        ('アイテム別限界値DB'!$F:$F = AN24), 
        0
      )
    ), 
    "再製作"
  )
)
</f>
        <v/>
      </c>
      <c r="AP24" s="121" t="str">
        <f t="array" ref="AP24">IF(
  AN24 = 0, 
  "", 
  IFERROR(
    INDEX(
      'アイテム別限界値DB'!$L:$L, 
      MATCH(
        1, 
        ('アイテム別限界値DB'!$B:$B = AM$10) * 
        ('アイテム別限界値DB'!$C:$C = AM24) * 
        ('アイテム別限界値DB'!$F:$F = AN24), 
        0
      )
    ), 
    ""
  )
)
</f>
        <v/>
      </c>
      <c r="AQ24" s="11"/>
      <c r="AR24" s="224"/>
      <c r="AS24" s="225"/>
      <c r="AT24" s="220" t="str">
        <f t="array" ref="AT24">IF(
  AS24 = 0, 
  "", 
  IFERROR(
    INDEX(
      'アイテム別限界値DB'!$I:$I, 
      MATCH(
        1, 
        ('アイテム別限界値DB'!$B:$B = AR$10) * 
        ('アイテム別限界値DB'!$C:$C = AR24) * 
        ('アイテム別限界値DB'!$F:$F = AS24), 
        0
      )
    ), 
    "再製作"
  )
)
</f>
        <v/>
      </c>
      <c r="AU24" s="121" t="str">
        <f t="array" ref="AU24">IF(
  AS24 = 0, 
  "", 
  IFERROR(
    INDEX(
      'アイテム別限界値DB'!$L:$L, 
      MATCH(
        1, 
        ('アイテム別限界値DB'!$B:$B = AR$10) * 
        ('アイテム別限界値DB'!$C:$C = AR24) * 
        ('アイテム別限界値DB'!$F:$F = AS24), 
        0
      )
    ), 
    ""
  )
)
</f>
        <v/>
      </c>
      <c r="AV24" s="121"/>
      <c r="AW24" s="224"/>
      <c r="AX24" s="225"/>
      <c r="AY24" s="220" t="str">
        <f t="array" ref="AY24">IF(
  AX24 = 0, 
  "", 
  IFERROR(
    INDEX(
      'アイテム別限界値DB'!$I:$I, 
      MATCH(
        1, 
        ('アイテム別限界値DB'!$B:$B = AW$10) * 
        ('アイテム別限界値DB'!$C:$C = AW24) * 
        ('アイテム別限界値DB'!$F:$F = AX24), 
        0
      )
    ), 
    "再製作"
  )
)
</f>
        <v/>
      </c>
      <c r="AZ24" s="121" t="str">
        <f t="array" ref="AZ24">IF(
  AX24 = 0, 
  "", 
  IFERROR(
    INDEX(
      'アイテム別限界値DB'!$L:$L, 
      MATCH(
        1, 
        ('アイテム別限界値DB'!$B:$B = AW$10) * 
        ('アイテム別限界値DB'!$C:$C = AW24) * 
        ('アイテム別限界値DB'!$F:$F = AX24), 
        0
      )
    ), 
    ""
  )
)
</f>
        <v/>
      </c>
      <c r="BA24" s="121"/>
      <c r="BB24" s="224"/>
      <c r="BC24" s="225"/>
      <c r="BD24" s="220" t="str">
        <f t="array" ref="BD24">IF(
  BC24 = 0, 
  "", 
  IFERROR(
    INDEX(
      'アイテム別限界値DB'!$I:$I, 
      MATCH(
        1, 
        ('アイテム別限界値DB'!$B:$B = BB$10) * 
        ('アイテム別限界値DB'!$C:$C = BB24) * 
        ('アイテム別限界値DB'!$F:$F = BC24), 
        0
      )
    ), 
    "再製作"
  )
)
</f>
        <v/>
      </c>
      <c r="BE24" s="121" t="str">
        <f t="array" ref="BE24">IF(
  BC24 = 0, 
  "", 
  IFERROR(
    INDEX(
      'アイテム別限界値DB'!$L:$L, 
      MATCH(
        1, 
        ('アイテム別限界値DB'!$B:$B = BB$10) * 
        ('アイテム別限界値DB'!$C:$C = BB24) * 
        ('アイテム別限界値DB'!$F:$F = BC24), 
        0
      )
    ), 
    ""
  )
)
</f>
        <v/>
      </c>
      <c r="BF24" s="121"/>
      <c r="BG24" s="224"/>
      <c r="BH24" s="225"/>
      <c r="BI24" s="220" t="str">
        <f t="array" ref="BI24">IF(
  BH24 = 0, 
  "", 
  IFERROR(
    INDEX(
      'アイテム別限界値DB'!$I:$I, 
      MATCH(
        1, 
        ('アイテム別限界値DB'!$B:$B = BG$10) * 
        ('アイテム別限界値DB'!$C:$C = BG24) * 
        ('アイテム別限界値DB'!$F:$F = BH24), 
        0
      )
    ), 
    "再製作"
  )
)
</f>
        <v/>
      </c>
      <c r="BJ24" s="121" t="str">
        <f t="array" ref="BJ24">IF(
  BH24 = 0, 
  "", 
  IFERROR(
    INDEX(
      'アイテム別限界値DB'!$L:$L, 
      MATCH(
        1, 
        ('アイテム別限界値DB'!$B:$B = BG$10) * 
        ('アイテム別限界値DB'!$C:$C = BG24) * 
        ('アイテム別限界値DB'!$F:$F = BH24), 
        0
      )
    ), 
    ""
  )
)
</f>
        <v/>
      </c>
      <c r="BK24" s="121"/>
      <c r="BL24" s="224"/>
      <c r="BM24" s="225"/>
      <c r="BN24" s="220" t="str">
        <f t="array" ref="BN24">IF(
  BM24 = 0, 
  "", 
  IFERROR(
    INDEX(
      'アイテム別限界値DB'!$I:$I, 
      MATCH(
        1, 
        ('アイテム別限界値DB'!$B:$B = BL$10) * 
        ('アイテム別限界値DB'!$C:$C = BL24) * 
        ('アイテム別限界値DB'!$F:$F = BM24), 
        0
      )
    ), 
    "再製作"
  )
)
</f>
        <v/>
      </c>
      <c r="BO24" s="121" t="str">
        <f t="array" ref="BO24">IF(
  BM24 = 0, 
  "", 
  IFERROR(
    INDEX(
      'アイテム別限界値DB'!$L:$L, 
      MATCH(
        1, 
        ('アイテム別限界値DB'!$B:$B = BL$10) * 
        ('アイテム別限界値DB'!$C:$C = BL24) * 
        ('アイテム別限界値DB'!$F:$F = BM24), 
        0
      )
    ), 
    ""
  )
)
</f>
        <v/>
      </c>
      <c r="BP24" s="195"/>
    </row>
    <row r="25" ht="18.75" customHeight="1">
      <c r="A25" s="228" t="str">
        <f>IFERROR(__xludf.DUMMYFUNCTION("TEXTJOIN(CHAR(10),TRUE,FILTER(ARRAYFORMULA(IF(O$14:O72&lt;&gt;"""",N$14:N72 &amp;"" : ""&amp; O$14:O72 &amp;"" cm"","""")), N$14:N72 &lt;&gt;""""))"),"")</f>
        <v/>
      </c>
      <c r="B25" s="224"/>
      <c r="C25" s="224"/>
      <c r="D25" s="239" t="s">
        <v>98</v>
      </c>
      <c r="E25" s="232"/>
      <c r="F25" s="231" t="str">
        <f t="array" ref="F25">IF(
  E25 = 0, 
  "", 
  IFERROR(
    INDEX(
      'アイテム別限界値DB'!$K:$K, 
      MATCH(
        1, 
        ('アイテム別限界値DB'!$B:$B = D$10) * 
        ('アイテム別限界値DB'!$F:$F = D25) * 
        ('アイテム別限界値DB'!$H:$H = E25), 
        0
      )
    ), 
    "再製作"
  )
)
</f>
        <v/>
      </c>
      <c r="G25" s="218" t="str">
        <f t="array" ref="G25">IF(
  E25 = 0, 
  "", 
  IFERROR(
    INDEX(
      'アイテム別限界値DB'!$L:$L, 
      MATCH(
        1, 
        ('アイテム別限界値DB'!$B:$B = D$10) * 
        ('アイテム別限界値DB'!$C:$C = D25) * 
        ('アイテム別限界値DB'!$F:$F = E25), 
        0
      )
    ), 
    ""
  )
)
</f>
        <v/>
      </c>
      <c r="H25" s="12"/>
      <c r="I25" s="224" t="s">
        <v>99</v>
      </c>
      <c r="J25" s="232"/>
      <c r="K25" s="231" t="str">
        <f t="array" ref="K25">IF(
  J25 = 0, 
  "", 
  IFERROR(
    INDEX(
      'アイテム別限界値DB'!$K:$K, 
      MATCH(
        1, 
        ('アイテム別限界値DB'!$B:$B = I$10) * 
        ('アイテム別限界値DB'!$F:$F = I25) * 
        ('アイテム別限界値DB'!$H:$H = J25), 
        0
      )
    ), 
    "再製作"
  )
)
</f>
        <v/>
      </c>
      <c r="L25" s="195"/>
      <c r="M25" s="11"/>
      <c r="N25" s="11"/>
      <c r="O25" s="220"/>
      <c r="P25" s="184"/>
      <c r="Q25" s="11"/>
      <c r="R25" s="11"/>
      <c r="S25" s="186" t="s">
        <v>100</v>
      </c>
      <c r="T25" s="232"/>
      <c r="U25" s="231" t="str">
        <f t="array" ref="U25">IF(
  T25 = 0, 
  "", 
  IFERROR(
    INDEX(
      'アイテム別限界値DB'!$K:$K, 
      MATCH(
        1, 
        ('アイテム別限界値DB'!$B:$B = S$10) * 
        ('アイテム別限界値DB'!$F:$F = S25) * 
        ('アイテム別限界値DB'!$H:$H = T25), 
        0
      )
    ), 
    "再製作"
  )
)
</f>
        <v/>
      </c>
      <c r="V25" s="234"/>
      <c r="W25" s="11"/>
      <c r="X25" s="186" t="s">
        <v>101</v>
      </c>
      <c r="Y25" s="232"/>
      <c r="Z25" s="231" t="str">
        <f t="array" ref="Z25">IF(
  Y25 = 0, 
  "", 
  IFERROR(
    INDEX(
      'アイテム別限界値DB'!$K:$K, 
      MATCH(
        1, 
        ('アイテム別限界値DB'!$B:$B = X$10) * 
        ('アイテム別限界値DB'!$F:$F = X25) * 
        ('アイテム別限界値DB'!$H:$H = Y25), 
        0
      )
    ), 
    "再製作"
  )
)
</f>
        <v/>
      </c>
      <c r="AA25" s="218" t="str">
        <f t="array" ref="AA25">IF(
  Y25 = 0, 
  "", 
  IFERROR(
    INDEX(
      'アイテム別限界値DB'!$L:$L, 
      MATCH(
        1, 
        ('アイテム別限界値DB'!$B:$B = X$10) * 
        ('アイテム別限界値DB'!$C:$C = X25) * 
        ('アイテム別限界値DB'!$F:$F = Y25), 
        0
      )
    ), 
    ""
  )
)
</f>
        <v/>
      </c>
      <c r="AB25" s="11"/>
      <c r="AC25" s="186" t="s">
        <v>74</v>
      </c>
      <c r="AD25" s="232"/>
      <c r="AE25" s="231" t="str">
        <f t="array" ref="AE25">IF(
  AD25 = 0, 
  "", 
  IFERROR(
    INDEX(
      'アイテム別限界値DB'!$K:$K, 
      MATCH(
        1, 
        ('アイテム別限界値DB'!$B:$B = AC$10) * 
        ('アイテム別限界値DB'!$F:$F = AC25) * 
        ('アイテム別限界値DB'!$H:$H = AD25), 
        0
      )
    ), 
    "再製作"
  )
)
</f>
        <v/>
      </c>
      <c r="AF25" s="218" t="str">
        <f t="array" ref="AF25">IF(
  AD25 = 0, 
  "", 
  IFERROR(
    INDEX(
      'アイテム別限界値DB'!$L:$L, 
      MATCH(
        1, 
        ('アイテム別限界値DB'!$B:$B = AC$10) * 
        ('アイテム別限界値DB'!$C:$C = AC25) * 
        ('アイテム別限界値DB'!$F:$F = AD25), 
        0
      )
    ), 
    ""
  )
)
</f>
        <v/>
      </c>
      <c r="AG25" s="11"/>
      <c r="AH25" s="12"/>
      <c r="AI25" s="220"/>
      <c r="AJ25" s="220" t="str">
        <f t="array" ref="AJ25">IF(
  AI25 = 0, 
  "", 
  IFERROR(
    INDEX(
      'アイテム別限界値DB'!$I:$I, 
      MATCH(
        1, 
        ('アイテム別限界値DB'!$B:$B = AH$10) * 
        ('アイテム別限界値DB'!$C:$C = AH25) * 
        ('アイテム別限界値DB'!$F:$F = AI25), 
        0
      )
    ), 
    "再製作"
  )
)
</f>
        <v/>
      </c>
      <c r="AK25" s="195"/>
      <c r="AL25" s="11"/>
      <c r="AM25" s="12"/>
      <c r="AN25" s="220"/>
      <c r="AO25" s="220" t="str">
        <f t="array" ref="AO25">IF(
  AN25 = 0, 
  "", 
  IFERROR(
    INDEX(
      'アイテム別限界値DB'!$I:$I, 
      MATCH(
        1, 
        ('アイテム別限界値DB'!$B:$B = AM$10) * 
        ('アイテム別限界値DB'!$C:$C = AM25) * 
        ('アイテム別限界値DB'!$F:$F = AN25), 
        0
      )
    ), 
    "再製作"
  )
)
</f>
        <v/>
      </c>
      <c r="AP25" s="195"/>
      <c r="AQ25" s="11"/>
      <c r="AR25" s="12"/>
      <c r="AS25" s="220"/>
      <c r="AT25" s="220" t="str">
        <f t="array" ref="AT25">IF(
  AS25 = 0, 
  "", 
  IFERROR(
    INDEX(
      'アイテム別限界値DB'!$I:$I, 
      MATCH(
        1, 
        ('アイテム別限界値DB'!$B:$B = AR$10) * 
        ('アイテム別限界値DB'!$C:$C = AR25) * 
        ('アイテム別限界値DB'!$F:$F = AS25), 
        0
      )
    ), 
    "再製作"
  )
)
</f>
        <v/>
      </c>
      <c r="AU25" s="195"/>
      <c r="AV25" s="195"/>
      <c r="AW25" s="12"/>
      <c r="AX25" s="220"/>
      <c r="AY25" s="220" t="str">
        <f t="array" ref="AY25">IF(
  AX25 = 0, 
  "", 
  IFERROR(
    INDEX(
      'アイテム別限界値DB'!$I:$I, 
      MATCH(
        1, 
        ('アイテム別限界値DB'!$B:$B = AW$10) * 
        ('アイテム別限界値DB'!$C:$C = AW25) * 
        ('アイテム別限界値DB'!$F:$F = AX25), 
        0
      )
    ), 
    "再製作"
  )
)
</f>
        <v/>
      </c>
      <c r="AZ25" s="195"/>
      <c r="BA25" s="195"/>
      <c r="BB25" s="12"/>
      <c r="BC25" s="220"/>
      <c r="BD25" s="220" t="str">
        <f t="array" ref="BD25">IF(
  BC25 = 0, 
  "", 
  IFERROR(
    INDEX(
      'アイテム別限界値DB'!$I:$I, 
      MATCH(
        1, 
        ('アイテム別限界値DB'!$B:$B = BB$10) * 
        ('アイテム別限界値DB'!$C:$C = BB25) * 
        ('アイテム別限界値DB'!$F:$F = BC25), 
        0
      )
    ), 
    "再製作"
  )
)
</f>
        <v/>
      </c>
      <c r="BE25" s="195"/>
      <c r="BF25" s="195"/>
      <c r="BG25" s="12"/>
      <c r="BH25" s="220"/>
      <c r="BI25" s="220" t="str">
        <f t="array" ref="BI25">IF(
  BH25 = 0, 
  "", 
  IFERROR(
    INDEX(
      'アイテム別限界値DB'!$I:$I, 
      MATCH(
        1, 
        ('アイテム別限界値DB'!$B:$B = BG$10) * 
        ('アイテム別限界値DB'!$C:$C = BG25) * 
        ('アイテム別限界値DB'!$F:$F = BH25), 
        0
      )
    ), 
    "再製作"
  )
)
</f>
        <v/>
      </c>
      <c r="BJ25" s="195"/>
      <c r="BK25" s="195"/>
      <c r="BL25" s="195"/>
      <c r="BM25" s="220"/>
      <c r="BN25" s="220" t="str">
        <f t="array" ref="BN25">IF(
  BM25 = 0, 
  "", 
  IFERROR(
    INDEX(
      'アイテム別限界値DB'!$I:$I, 
      MATCH(
        1, 
        ('アイテム別限界値DB'!$B:$B = BL$10) * 
        ('アイテム別限界値DB'!$C:$C = BL25) * 
        ('アイテム別限界値DB'!$F:$F = BM25), 
        0
      )
    ), 
    "再製作"
  )
)
</f>
        <v/>
      </c>
      <c r="BO25" s="195"/>
      <c r="BP25" s="195"/>
    </row>
    <row r="26" ht="18.75" customHeight="1">
      <c r="A26" s="236" t="str">
        <f>if($A$24&lt;&gt;"", "《仕上がり数値》","")</f>
        <v/>
      </c>
      <c r="B26" s="229"/>
      <c r="C26" s="224"/>
      <c r="D26" s="239" t="s">
        <v>74</v>
      </c>
      <c r="E26" s="230"/>
      <c r="F26" s="231" t="str">
        <f t="array" ref="F26">IF(
  E26 = 0, 
  "", 
  IFERROR(
    INDEX(
      'アイテム別限界値DB'!$K:$K, 
      MATCH(
        1, 
        ('アイテム別限界値DB'!$B:$B = D$10) * 
        ('アイテム別限界値DB'!$F:$F = D26) * 
        ('アイテム別限界値DB'!$H:$H = E26), 
        0
      )
    ), 
    "再製作"
  )
)
</f>
        <v/>
      </c>
      <c r="G26" s="218" t="str">
        <f t="array" ref="G26">IF(
  E26 = 0, 
  "", 
  IFERROR(
    INDEX(
      'アイテム別限界値DB'!$L:$L, 
      MATCH(
        1, 
        ('アイテム別限界値DB'!$B:$B = D$10) * 
        ('アイテム別限界値DB'!$C:$C = D26) * 
        ('アイテム別限界値DB'!$F:$F = E26), 
        0
      )
    ), 
    ""
  )
)
</f>
        <v/>
      </c>
      <c r="H26" s="12"/>
      <c r="I26" s="11" t="s">
        <v>100</v>
      </c>
      <c r="J26" s="232"/>
      <c r="K26" s="231" t="str">
        <f t="array" ref="K26">IF(
  J26 = 0, 
  "", 
  IFERROR(
    INDEX(
      'アイテム別限界値DB'!$K:$K, 
      MATCH(
        1, 
        ('アイテム別限界値DB'!$B:$B = I$10) * 
        ('アイテム別限界値DB'!$F:$F = I26) * 
        ('アイテム別限界値DB'!$H:$H = J26), 
        0
      )
    ), 
    "再製作"
  )
)
</f>
        <v/>
      </c>
      <c r="L26" s="195"/>
      <c r="M26" s="11"/>
      <c r="N26" s="11"/>
      <c r="O26" s="220"/>
      <c r="P26" s="184"/>
      <c r="Q26" s="11"/>
      <c r="R26" s="11"/>
      <c r="S26" s="12" t="s">
        <v>95</v>
      </c>
      <c r="T26" s="232"/>
      <c r="U26" s="231" t="str">
        <f t="array" ref="U26">IF(
  T26 = 0, 
  "", 
  IFERROR(
    INDEX(
      'アイテム別限界値DB'!$K:$K, 
      MATCH(
        1, 
        ('アイテム別限界値DB'!$B:$B = S$10) * 
        ('アイテム別限界値DB'!$F:$F = S26) * 
        ('アイテム別限界値DB'!$H:$H = T26), 
        0
      )
    ), 
    "再製作"
  )
)
</f>
        <v/>
      </c>
      <c r="V26" s="195"/>
      <c r="W26" s="11"/>
      <c r="X26" s="186" t="s">
        <v>62</v>
      </c>
      <c r="Y26" s="230"/>
      <c r="Z26" s="231" t="str">
        <f t="array" ref="Z26">IF(
  Y26 = 0, 
  "", 
  IFERROR(
    INDEX(
      'アイテム別限界値DB'!$K:$K, 
      MATCH(
        1, 
        ('アイテム別限界値DB'!$B:$B = X$10) * 
        ('アイテム別限界値DB'!$F:$F = X26) * 
        ('アイテム別限界値DB'!$H:$H = Y26), 
        0
      )
    ), 
    "再製作"
  )
)
</f>
        <v/>
      </c>
      <c r="AA26" s="218" t="str">
        <f t="array" ref="AA26">IF(
  Y26 = 0, 
  "", 
  IFERROR(
    INDEX(
      'アイテム別限界値DB'!$L:$L, 
      MATCH(
        1, 
        ('アイテム別限界値DB'!$B:$B = X$10) * 
        ('アイテム別限界値DB'!$C:$C = X26) * 
        ('アイテム別限界値DB'!$F:$F = Y26), 
        0
      )
    ), 
    ""
  )
)
</f>
        <v/>
      </c>
      <c r="AB26" s="11"/>
      <c r="AC26" s="186" t="s">
        <v>67</v>
      </c>
      <c r="AD26" s="232"/>
      <c r="AE26" s="231" t="str">
        <f t="array" ref="AE26">IF(
  AD26 = 0, 
  "", 
  IFERROR(
    INDEX(
      'アイテム別限界値DB'!$K:$K, 
      MATCH(
        1, 
        ('アイテム別限界値DB'!$B:$B = AC$10) * 
        ('アイテム別限界値DB'!$F:$F = AC26) * 
        ('アイテム別限界値DB'!$H:$H = AD26), 
        0
      )
    ), 
    "再製作"
  )
)
</f>
        <v/>
      </c>
      <c r="AF26" s="218" t="str">
        <f t="array" ref="AF26">IF(
  AD26 = 0, 
  "", 
  IFERROR(
    INDEX(
      'アイテム別限界値DB'!$L:$L, 
      MATCH(
        1, 
        ('アイテム別限界値DB'!$B:$B = AC$10) * 
        ('アイテム別限界値DB'!$C:$C = AC26) * 
        ('アイテム別限界値DB'!$F:$F = AD26), 
        0
      )
    ), 
    ""
  )
)
</f>
        <v/>
      </c>
      <c r="AG26" s="11"/>
      <c r="AH26" s="12"/>
      <c r="AI26" s="220"/>
      <c r="AJ26" s="220" t="str">
        <f t="array" ref="AJ26">IF(
  AI26 = 0, 
  "", 
  IFERROR(
    INDEX(
      'アイテム別限界値DB'!$I:$I, 
      MATCH(
        1, 
        ('アイテム別限界値DB'!$B:$B = AH$10) * 
        ('アイテム別限界値DB'!$C:$C = AH26) * 
        ('アイテム別限界値DB'!$F:$F = AI26), 
        0
      )
    ), 
    "再製作"
  )
)
</f>
        <v/>
      </c>
      <c r="AK26" s="195"/>
      <c r="AL26" s="11"/>
      <c r="AM26" s="12"/>
      <c r="AN26" s="220"/>
      <c r="AO26" s="220" t="str">
        <f t="array" ref="AO26">IF(
  AN26 = 0, 
  "", 
  IFERROR(
    INDEX(
      'アイテム別限界値DB'!$I:$I, 
      MATCH(
        1, 
        ('アイテム別限界値DB'!$B:$B = AM$10) * 
        ('アイテム別限界値DB'!$C:$C = AM26) * 
        ('アイテム別限界値DB'!$F:$F = AN26), 
        0
      )
    ), 
    "再製作"
  )
)
</f>
        <v/>
      </c>
      <c r="AP26" s="195"/>
      <c r="AQ26" s="11"/>
      <c r="AR26" s="12"/>
      <c r="AS26" s="220"/>
      <c r="AT26" s="220" t="str">
        <f t="array" ref="AT26">IF(
  AS26 = 0, 
  "", 
  IFERROR(
    INDEX(
      'アイテム別限界値DB'!$I:$I, 
      MATCH(
        1, 
        ('アイテム別限界値DB'!$B:$B = AR$10) * 
        ('アイテム別限界値DB'!$C:$C = AR26) * 
        ('アイテム別限界値DB'!$F:$F = AS26), 
        0
      )
    ), 
    "再製作"
  )
)
</f>
        <v/>
      </c>
      <c r="AU26" s="195"/>
      <c r="AV26" s="195"/>
      <c r="AW26" s="12"/>
      <c r="AX26" s="220"/>
      <c r="AY26" s="220" t="str">
        <f t="array" ref="AY26">IF(
  AX26 = 0, 
  "", 
  IFERROR(
    INDEX(
      'アイテム別限界値DB'!$I:$I, 
      MATCH(
        1, 
        ('アイテム別限界値DB'!$B:$B = AW$10) * 
        ('アイテム別限界値DB'!$C:$C = AW26) * 
        ('アイテム別限界値DB'!$F:$F = AX26), 
        0
      )
    ), 
    "再製作"
  )
)
</f>
        <v/>
      </c>
      <c r="AZ26" s="195"/>
      <c r="BA26" s="195"/>
      <c r="BB26" s="12"/>
      <c r="BC26" s="220"/>
      <c r="BD26" s="220" t="str">
        <f t="array" ref="BD26">IF(
  BC26 = 0, 
  "", 
  IFERROR(
    INDEX(
      'アイテム別限界値DB'!$I:$I, 
      MATCH(
        1, 
        ('アイテム別限界値DB'!$B:$B = BB$10) * 
        ('アイテム別限界値DB'!$C:$C = BB26) * 
        ('アイテム別限界値DB'!$F:$F = BC26), 
        0
      )
    ), 
    "再製作"
  )
)
</f>
        <v/>
      </c>
      <c r="BE26" s="195"/>
      <c r="BF26" s="195"/>
      <c r="BG26" s="12"/>
      <c r="BH26" s="220"/>
      <c r="BI26" s="220" t="str">
        <f t="array" ref="BI26">IF(
  BH26 = 0, 
  "", 
  IFERROR(
    INDEX(
      'アイテム別限界値DB'!$I:$I, 
      MATCH(
        1, 
        ('アイテム別限界値DB'!$B:$B = BG$10) * 
        ('アイテム別限界値DB'!$C:$C = BG26) * 
        ('アイテム別限界値DB'!$F:$F = BH26), 
        0
      )
    ), 
    "再製作"
  )
)
</f>
        <v/>
      </c>
      <c r="BJ26" s="195"/>
      <c r="BK26" s="195"/>
      <c r="BL26" s="195"/>
      <c r="BM26" s="220"/>
      <c r="BN26" s="220" t="str">
        <f t="array" ref="BN26">IF(
  BM26 = 0, 
  "", 
  IFERROR(
    INDEX(
      'アイテム別限界値DB'!$I:$I, 
      MATCH(
        1, 
        ('アイテム別限界値DB'!$B:$B = BL$10) * 
        ('アイテム別限界値DB'!$C:$C = BL26) * 
        ('アイテム別限界値DB'!$F:$F = BM26), 
        0
      )
    ), 
    "再製作"
  )
)
</f>
        <v/>
      </c>
      <c r="BO26" s="195"/>
      <c r="BP26" s="195"/>
    </row>
    <row r="27" ht="18.75" customHeight="1">
      <c r="A27" s="228" t="str">
        <f>IFERROR(__xludf.DUMMYFUNCTION("TEXTJOIN(CHAR(10),TRUE,FILTER(ARRAYFORMULA(IF(O$14:O72&lt;&gt;"""",N$14:N72 &amp;"" :  cm"","""")), N$14:N72 &lt;&gt;""""))"),"")</f>
        <v/>
      </c>
      <c r="B27" s="229"/>
      <c r="C27" s="224"/>
      <c r="D27" s="239" t="s">
        <v>67</v>
      </c>
      <c r="E27" s="232"/>
      <c r="F27" s="231" t="str">
        <f t="array" ref="F27">IF(
  E27 = 0, 
  "", 
  IFERROR(
    INDEX(
      'アイテム別限界値DB'!$K:$K, 
      MATCH(
        1, 
        ('アイテム別限界値DB'!$B:$B = D$10) * 
        ('アイテム別限界値DB'!$F:$F = D27) * 
        ('アイテム別限界値DB'!$H:$H = E27), 
        0
      )
    ), 
    "再製作"
  )
)
</f>
        <v/>
      </c>
      <c r="G27" s="218" t="str">
        <f t="array" ref="G27">IF(
  E27 = 0, 
  "", 
  IFERROR(
    INDEX(
      'アイテム別限界値DB'!$L:$L, 
      MATCH(
        1, 
        ('アイテム別限界値DB'!$B:$B = D$10) * 
        ('アイテム別限界値DB'!$C:$C = D27) * 
        ('アイテム別限界値DB'!$F:$F = E27), 
        0
      )
    ), 
    ""
  )
)
</f>
        <v/>
      </c>
      <c r="H27" s="12"/>
      <c r="I27" s="11" t="s">
        <v>103</v>
      </c>
      <c r="J27" s="230"/>
      <c r="K27" s="231" t="str">
        <f t="array" ref="K27">IF(
  J27 = 0, 
  "", 
  IFERROR(
    INDEX(
      'アイテム別限界値DB'!$K:$K, 
      MATCH(
        1, 
        ('アイテム別限界値DB'!$B:$B = I$10) * 
        ('アイテム別限界値DB'!$F:$F = I27) * 
        ('アイテム別限界値DB'!$H:$H = J27), 
        0
      )
    ), 
    "再製作"
  )
)
</f>
        <v/>
      </c>
      <c r="L27" s="11"/>
      <c r="M27" s="11"/>
      <c r="N27" s="11"/>
      <c r="O27" s="220"/>
      <c r="P27" s="184"/>
      <c r="Q27" s="11"/>
      <c r="R27" s="11"/>
      <c r="S27" s="12" t="s">
        <v>99</v>
      </c>
      <c r="T27" s="232"/>
      <c r="U27" s="231" t="str">
        <f t="array" ref="U27">IF(
  T27 = 0, 
  "", 
  IFERROR(
    INDEX(
      'アイテム別限界値DB'!$K:$K, 
      MATCH(
        1, 
        ('アイテム別限界値DB'!$B:$B = S$10) * 
        ('アイテム別限界値DB'!$F:$F = S27) * 
        ('アイテム別限界値DB'!$H:$H = T27), 
        0
      )
    ), 
    "再製作"
  )
)
</f>
        <v/>
      </c>
      <c r="V27" s="12"/>
      <c r="W27" s="11"/>
      <c r="X27" s="240" t="s">
        <v>74</v>
      </c>
      <c r="Y27" s="230"/>
      <c r="Z27" s="231" t="str">
        <f t="array" ref="Z27">IF(
  Y27 = 0, 
  "", 
  IFERROR(
    INDEX(
      'アイテム別限界値DB'!$K:$K, 
      MATCH(
        1, 
        ('アイテム別限界値DB'!$B:$B = X$10) * 
        ('アイテム別限界値DB'!$F:$F = X27) * 
        ('アイテム別限界値DB'!$H:$H = Y27), 
        0
      )
    ), 
    "再製作"
  )
)
</f>
        <v/>
      </c>
      <c r="AA27" s="218" t="str">
        <f t="array" ref="AA27">IF(
  Y27 = 0, 
  "", 
  IFERROR(
    INDEX(
      'アイテム別限界値DB'!$L:$L, 
      MATCH(
        1, 
        ('アイテム別限界値DB'!$B:$B = X$10) * 
        ('アイテム別限界値DB'!$C:$C = X27) * 
        ('アイテム別限界値DB'!$F:$F = Y27), 
        0
      )
    ), 
    ""
  )
)
</f>
        <v/>
      </c>
      <c r="AB27" s="11"/>
      <c r="AC27" s="240" t="s">
        <v>79</v>
      </c>
      <c r="AD27" s="232"/>
      <c r="AE27" s="231" t="str">
        <f t="array" ref="AE27">IF(
  AD27 = 0, 
  "", 
  IFERROR(
    INDEX(
      'アイテム別限界値DB'!$K:$K, 
      MATCH(
        1, 
        ('アイテム別限界値DB'!$B:$B = AC$10) * 
        ('アイテム別限界値DB'!$F:$F = AC27) * 
        ('アイテム別限界値DB'!$H:$H = AD27), 
        0
      )
    ), 
    "再製作"
  )
)
</f>
        <v/>
      </c>
      <c r="AF27" s="218" t="str">
        <f t="array" ref="AF27">IF(
  AD27 = 0, 
  "", 
  IFERROR(
    INDEX(
      'アイテム別限界値DB'!$L:$L, 
      MATCH(
        1, 
        ('アイテム別限界値DB'!$B:$B = AC$10) * 
        ('アイテム別限界値DB'!$C:$C = AC27) * 
        ('アイテム別限界値DB'!$F:$F = AD27), 
        0
      )
    ), 
    ""
  )
)
</f>
        <v/>
      </c>
      <c r="AG27" s="11"/>
      <c r="AH27" s="11"/>
      <c r="AI27" s="220"/>
      <c r="AJ27" s="184"/>
      <c r="AK27" s="11"/>
      <c r="AL27" s="11"/>
      <c r="AM27" s="11"/>
      <c r="AN27" s="220"/>
      <c r="AO27" s="184"/>
      <c r="AP27" s="11"/>
      <c r="AQ27" s="11"/>
      <c r="AR27" s="11"/>
      <c r="AS27" s="220"/>
      <c r="AT27" s="184"/>
      <c r="AU27" s="11"/>
      <c r="AV27" s="11"/>
      <c r="AW27" s="11"/>
      <c r="AX27" s="220"/>
      <c r="AY27" s="184"/>
      <c r="AZ27" s="11"/>
      <c r="BA27" s="11"/>
      <c r="BB27" s="11"/>
      <c r="BC27" s="220"/>
      <c r="BD27" s="184"/>
      <c r="BE27" s="11"/>
      <c r="BF27" s="11"/>
      <c r="BG27" s="11"/>
      <c r="BH27" s="220"/>
      <c r="BI27" s="184"/>
      <c r="BJ27" s="11"/>
      <c r="BK27" s="11"/>
      <c r="BL27" s="11"/>
      <c r="BM27" s="220"/>
      <c r="BN27" s="184"/>
      <c r="BO27" s="11"/>
      <c r="BP27" s="11"/>
    </row>
    <row r="28" ht="15.75" customHeight="1">
      <c r="A28" s="237" t="s">
        <v>104</v>
      </c>
      <c r="B28" s="11"/>
      <c r="C28" s="11"/>
      <c r="D28" s="11" t="s">
        <v>79</v>
      </c>
      <c r="E28" s="232"/>
      <c r="F28" s="231" t="str">
        <f t="array" ref="F28">IF(
  E28 = 0, 
  "", 
  IFERROR(
    INDEX(
      'アイテム別限界値DB'!$K:$K, 
      MATCH(
        1, 
        ('アイテム別限界値DB'!$B:$B = D$10) * 
        ('アイテム別限界値DB'!$F:$F = D28) * 
        ('アイテム別限界値DB'!$H:$H = E28), 
        0
      )
    ), 
    "再製作"
  )
)
</f>
        <v/>
      </c>
      <c r="G28" s="218" t="str">
        <f t="array" ref="G28">IF(
  E28 = 0, 
  "", 
  IFERROR(
    INDEX(
      'アイテム別限界値DB'!$L:$L, 
      MATCH(
        1, 
        ('アイテム別限界値DB'!$B:$B = D$10) * 
        ('アイテム別限界値DB'!$C:$C = D28) * 
        ('アイテム別限界値DB'!$F:$F = E28), 
        0
      )
    ), 
    ""
  )
)
</f>
        <v/>
      </c>
      <c r="H28" s="11"/>
      <c r="I28" s="11"/>
      <c r="J28" s="220"/>
      <c r="K28" s="184"/>
      <c r="L28" s="11"/>
      <c r="M28" s="11"/>
      <c r="N28" s="11"/>
      <c r="O28" s="220"/>
      <c r="P28" s="184"/>
      <c r="Q28" s="11"/>
      <c r="R28" s="12"/>
      <c r="S28" s="11" t="s">
        <v>103</v>
      </c>
      <c r="T28" s="232"/>
      <c r="U28" s="231" t="str">
        <f t="array" ref="U28">IF(
  T28 = 0, 
  "", 
  IFERROR(
    INDEX(
      'アイテム別限界値DB'!$K:$K, 
      MATCH(
        1, 
        ('アイテム別限界値DB'!$B:$B = S$10) * 
        ('アイテム別限界値DB'!$F:$F = S28) * 
        ('アイテム別限界値DB'!$H:$H = T28), 
        0
      )
    ), 
    "再製作"
  )
)
</f>
        <v/>
      </c>
      <c r="V28" s="11"/>
      <c r="W28" s="11"/>
      <c r="X28" s="11" t="s">
        <v>67</v>
      </c>
      <c r="Y28" s="247"/>
      <c r="Z28" s="231" t="str">
        <f t="array" ref="Z28">IF(
  Y28 = 0, 
  "", 
  IFERROR(
    INDEX(
      'アイテム別限界値DB'!$K:$K, 
      MATCH(
        1, 
        ('アイテム別限界値DB'!$B:$B = X$10) * 
        ('アイテム別限界値DB'!$F:$F = X28) * 
        ('アイテム別限界値DB'!$H:$H = Y28), 
        0
      )
    ), 
    "再製作"
  )
)
</f>
        <v/>
      </c>
      <c r="AA28" s="218" t="str">
        <f t="array" ref="AA28">IF(
  Y28 = 0, 
  "", 
  IFERROR(
    INDEX(
      'アイテム別限界値DB'!$L:$L, 
      MATCH(
        1, 
        ('アイテム別限界値DB'!$B:$B = X$10) * 
        ('アイテム別限界値DB'!$C:$C = X28) * 
        ('アイテム別限界値DB'!$F:$F = Y28), 
        0
      )
    ), 
    ""
  )
)
</f>
        <v/>
      </c>
      <c r="AB28" s="11"/>
      <c r="AC28" s="11" t="s">
        <v>83</v>
      </c>
      <c r="AD28" s="232"/>
      <c r="AE28" s="231" t="str">
        <f t="array" ref="AE28">IF(
  AD28 = 0, 
  "", 
  IFERROR(
    INDEX(
      'アイテム別限界値DB'!$K:$K, 
      MATCH(
        1, 
        ('アイテム別限界値DB'!$B:$B = AC$10) * 
        ('アイテム別限界値DB'!$F:$F = AC28) * 
        ('アイテム別限界値DB'!$H:$H = AD28), 
        0
      )
    ), 
    "再製作"
  )
)
</f>
        <v/>
      </c>
      <c r="AF28" s="218" t="str">
        <f t="array" ref="AF28">IF(
  AD28 = 0, 
  "", 
  IFERROR(
    INDEX(
      'アイテム別限界値DB'!$L:$L, 
      MATCH(
        1, 
        ('アイテム別限界値DB'!$B:$B = AC$10) * 
        ('アイテム別限界値DB'!$C:$C = AC28) * 
        ('アイテム別限界値DB'!$F:$F = AD28), 
        0
      )
    ), 
    ""
  )
)
</f>
        <v/>
      </c>
      <c r="AG28" s="11"/>
      <c r="AH28" s="11"/>
      <c r="AI28" s="220"/>
      <c r="AJ28" s="184"/>
      <c r="AK28" s="11"/>
      <c r="AL28" s="11"/>
      <c r="AM28" s="11"/>
      <c r="AN28" s="220"/>
      <c r="AO28" s="184"/>
      <c r="AP28" s="11"/>
      <c r="AQ28" s="11"/>
      <c r="AR28" s="11"/>
      <c r="AS28" s="220"/>
      <c r="AT28" s="184"/>
      <c r="AU28" s="11"/>
      <c r="AV28" s="11"/>
      <c r="AW28" s="11"/>
      <c r="AX28" s="220"/>
      <c r="AY28" s="184"/>
      <c r="AZ28" s="11"/>
      <c r="BA28" s="11"/>
      <c r="BB28" s="11"/>
      <c r="BC28" s="220"/>
      <c r="BD28" s="184"/>
      <c r="BE28" s="11"/>
      <c r="BF28" s="11"/>
      <c r="BG28" s="11"/>
      <c r="BH28" s="220"/>
      <c r="BI28" s="184"/>
      <c r="BJ28" s="11"/>
      <c r="BK28" s="11"/>
      <c r="BL28" s="11"/>
      <c r="BM28" s="220"/>
      <c r="BN28" s="184"/>
      <c r="BO28" s="11"/>
      <c r="BP28" s="11"/>
    </row>
    <row r="29" ht="15.75" customHeight="1">
      <c r="A29" s="228" t="str">
        <f>IF($S$11="再製作", "◼︎ チノ（対応着地：再製作）" &amp; char(10) &amp; "《修正数値》", IF($S$11&lt;&gt;"", "◼︎ チノ（対応着地：お直し）" &amp; char(10) &amp; "《修正数値》", ""))</f>
        <v/>
      </c>
      <c r="B29" s="160"/>
      <c r="C29" s="11"/>
      <c r="D29" s="11" t="s">
        <v>83</v>
      </c>
      <c r="E29" s="230"/>
      <c r="F29" s="231" t="str">
        <f t="array" ref="F29">IF(
  E29 = 0, 
  "", 
  IFERROR(
    INDEX(
      'アイテム別限界値DB'!$K:$K, 
      MATCH(
        1, 
        ('アイテム別限界値DB'!$B:$B = D$10) * 
        ('アイテム別限界値DB'!$F:$F = D29) * 
        ('アイテム別限界値DB'!$H:$H = E29), 
        0
      )
    ), 
    "再製作"
  )
)
</f>
        <v/>
      </c>
      <c r="G29" s="218" t="str">
        <f t="array" ref="G29">IF(
  E29 = 0, 
  "", 
  IFERROR(
    INDEX(
      'アイテム別限界値DB'!$L:$L, 
      MATCH(
        1, 
        ('アイテム別限界値DB'!$B:$B = D$10) * 
        ('アイテム別限界値DB'!$C:$C = D29) * 
        ('アイテム別限界値DB'!$F:$F = E29), 
        0
      )
    ), 
    ""
  )
)
</f>
        <v/>
      </c>
      <c r="H29" s="11"/>
      <c r="I29" s="11"/>
      <c r="J29" s="220"/>
      <c r="K29" s="184"/>
      <c r="L29" s="11"/>
      <c r="M29" s="11"/>
      <c r="N29" s="11"/>
      <c r="O29" s="220"/>
      <c r="P29" s="184"/>
      <c r="Q29" s="11"/>
      <c r="R29" s="12"/>
      <c r="S29" s="11"/>
      <c r="T29" s="220"/>
      <c r="U29" s="184"/>
      <c r="V29" s="11"/>
      <c r="W29" s="11"/>
      <c r="X29" s="11" t="s">
        <v>79</v>
      </c>
      <c r="Y29" s="230"/>
      <c r="Z29" s="231" t="str">
        <f t="array" ref="Z29">IF(
  Y29 = 0, 
  "", 
  IFERROR(
    INDEX(
      'アイテム別限界値DB'!$K:$K, 
      MATCH(
        1, 
        ('アイテム別限界値DB'!$B:$B = X$10) * 
        ('アイテム別限界値DB'!$F:$F = X29) * 
        ('アイテム別限界値DB'!$H:$H = Y29), 
        0
      )
    ), 
    "再製作"
  )
)
</f>
        <v/>
      </c>
      <c r="AA29" s="11"/>
      <c r="AB29" s="11"/>
      <c r="AC29" s="11" t="s">
        <v>105</v>
      </c>
      <c r="AD29" s="232"/>
      <c r="AE29" s="231" t="str">
        <f t="array" ref="AE29">IF(
  AD29 = 0, 
  "", 
  IFERROR(
    INDEX(
      'アイテム別限界値DB'!$K:$K, 
      MATCH(
        1, 
        ('アイテム別限界値DB'!$B:$B = AC$10) * 
        ('アイテム別限界値DB'!$F:$F = AC29) * 
        ('アイテム別限界値DB'!$H:$H = AD29), 
        0
      )
    ), 
    "再製作"
  )
)
</f>
        <v/>
      </c>
      <c r="AF29" s="11"/>
      <c r="AG29" s="11"/>
      <c r="AH29" s="11"/>
      <c r="AI29" s="220"/>
      <c r="AJ29" s="184"/>
      <c r="AK29" s="11"/>
      <c r="AL29" s="11"/>
      <c r="AM29" s="11"/>
      <c r="AN29" s="220"/>
      <c r="AO29" s="184"/>
      <c r="AP29" s="11"/>
      <c r="AQ29" s="11"/>
      <c r="AR29" s="11"/>
      <c r="AS29" s="220"/>
      <c r="AT29" s="184"/>
      <c r="AU29" s="11"/>
      <c r="AV29" s="11"/>
      <c r="AW29" s="11"/>
      <c r="AX29" s="220"/>
      <c r="AY29" s="184"/>
      <c r="AZ29" s="11"/>
      <c r="BA29" s="11"/>
      <c r="BB29" s="11"/>
      <c r="BC29" s="220"/>
      <c r="BD29" s="184"/>
      <c r="BE29" s="11"/>
      <c r="BF29" s="11"/>
      <c r="BG29" s="11"/>
      <c r="BH29" s="220"/>
      <c r="BI29" s="184"/>
      <c r="BJ29" s="11"/>
      <c r="BK29" s="11"/>
      <c r="BL29" s="11"/>
      <c r="BM29" s="220"/>
      <c r="BN29" s="184"/>
      <c r="BO29" s="11"/>
      <c r="BP29" s="11"/>
    </row>
    <row r="30" ht="15.75" customHeight="1">
      <c r="A30" s="228" t="str">
        <f>IFERROR(__xludf.DUMMYFUNCTION("TEXTJOIN(CHAR(10),TRUE,FILTER(ARRAYFORMULA(IF(T$14:T72&lt;&gt;"""", S$14:S72 &amp;"" : ""&amp; T$14:T72 &amp;"" cm"","""")), S$14:S72 &lt;&gt;""""))"),"")</f>
        <v/>
      </c>
      <c r="B30" s="229"/>
      <c r="C30" s="11"/>
      <c r="D30" s="11" t="s">
        <v>106</v>
      </c>
      <c r="E30" s="232"/>
      <c r="F30" s="231" t="str">
        <f t="array" ref="F30">IF(
  E30 = 0, 
  "", 
  IFERROR(
    INDEX(
      'アイテム別限界値DB'!$K:$K, 
      MATCH(
        1, 
        ('アイテム別限界値DB'!$B:$B = D$10) * 
        ('アイテム別限界値DB'!$F:$F = D30) * 
        ('アイテム別限界値DB'!$H:$H = E30), 
        0
      )
    ), 
    "再製作"
  )
)
</f>
        <v/>
      </c>
      <c r="G30" s="218" t="str">
        <f t="array" ref="G30">IF(
  E30 = 0, 
  "", 
  IFERROR(
    INDEX(
      'アイテム別限界値DB'!$L:$L, 
      MATCH(
        1, 
        ('アイテム別限界値DB'!$B:$B = D$10) * 
        ('アイテム別限界値DB'!$C:$C = D30) * 
        ('アイテム別限界値DB'!$F:$F = E30), 
        0
      )
    ), 
    ""
  )
)
</f>
        <v/>
      </c>
      <c r="H30" s="11"/>
      <c r="I30" s="11"/>
      <c r="J30" s="220"/>
      <c r="K30" s="184"/>
      <c r="L30" s="11"/>
      <c r="M30" s="11"/>
      <c r="N30" s="11"/>
      <c r="O30" s="220"/>
      <c r="P30" s="184"/>
      <c r="Q30" s="11"/>
      <c r="R30" s="12"/>
      <c r="S30" s="11"/>
      <c r="T30" s="220"/>
      <c r="U30" s="184"/>
      <c r="V30" s="11"/>
      <c r="W30" s="11"/>
      <c r="X30" s="11" t="s">
        <v>83</v>
      </c>
      <c r="Y30" s="232"/>
      <c r="Z30" s="231" t="str">
        <f t="array" ref="Z30">IF(
  Y30 = 0, 
  "", 
  IFERROR(
    INDEX(
      'アイテム別限界値DB'!$K:$K, 
      MATCH(
        1, 
        ('アイテム別限界値DB'!$B:$B = X$10) * 
        ('アイテム別限界値DB'!$F:$F = X30) * 
        ('アイテム別限界値DB'!$H:$H = Y30), 
        0
      )
    ), 
    "再製作"
  )
)
</f>
        <v/>
      </c>
      <c r="AA30" s="11"/>
      <c r="AB30" s="11"/>
      <c r="AC30" s="11"/>
      <c r="AD30" s="220"/>
      <c r="AE30" s="184"/>
      <c r="AF30" s="11"/>
      <c r="AG30" s="11"/>
      <c r="AH30" s="11"/>
      <c r="AI30" s="220"/>
      <c r="AJ30" s="184"/>
      <c r="AK30" s="11"/>
      <c r="AL30" s="11"/>
      <c r="AM30" s="11"/>
      <c r="AN30" s="220"/>
      <c r="AO30" s="184"/>
      <c r="AP30" s="11"/>
      <c r="AQ30" s="11"/>
      <c r="AR30" s="11"/>
      <c r="AS30" s="220"/>
      <c r="AT30" s="184"/>
      <c r="AU30" s="11"/>
      <c r="AV30" s="11"/>
      <c r="AW30" s="11"/>
      <c r="AX30" s="220"/>
      <c r="AY30" s="184"/>
      <c r="AZ30" s="11"/>
      <c r="BA30" s="11"/>
      <c r="BB30" s="11"/>
      <c r="BC30" s="220"/>
      <c r="BD30" s="184"/>
      <c r="BE30" s="11"/>
      <c r="BF30" s="11"/>
      <c r="BG30" s="11"/>
      <c r="BH30" s="220"/>
      <c r="BI30" s="184"/>
      <c r="BJ30" s="11"/>
      <c r="BK30" s="11"/>
      <c r="BL30" s="11"/>
      <c r="BM30" s="220"/>
      <c r="BN30" s="184"/>
      <c r="BO30" s="11"/>
      <c r="BP30" s="11"/>
    </row>
    <row r="31" ht="15.75" customHeight="1">
      <c r="A31" s="242" t="str">
        <f>if($A$29&lt;&gt;"", "《仕上がり数値》","")</f>
        <v/>
      </c>
      <c r="B31" s="12"/>
      <c r="C31" s="11"/>
      <c r="D31" s="11" t="s">
        <v>107</v>
      </c>
      <c r="E31" s="232"/>
      <c r="F31" s="231" t="str">
        <f t="array" ref="F31">IF(
  E31 = 0, 
  "", 
  IFERROR(
    INDEX(
      'アイテム別限界値DB'!$K:$K, 
      MATCH(
        1, 
        ('アイテム別限界値DB'!$B:$B = D$10) * 
        ('アイテム別限界値DB'!$F:$F = D31) * 
        ('アイテム別限界値DB'!$H:$H = E31), 
        0
      )
    ), 
    "再製作"
  )
)
</f>
        <v/>
      </c>
      <c r="G31" s="218" t="str">
        <f t="array" ref="G31">IF(
  E31 = 0, 
  "", 
  IFERROR(
    INDEX(
      'アイテム別限界値DB'!$L:$L, 
      MATCH(
        1, 
        ('アイテム別限界値DB'!$B:$B = D$10) * 
        ('アイテム別限界値DB'!$C:$C = D31) * 
        ('アイテム別限界値DB'!$F:$F = E31), 
        0
      )
    ), 
    ""
  )
)
</f>
        <v/>
      </c>
      <c r="H31" s="11"/>
      <c r="I31" s="11"/>
      <c r="J31" s="220"/>
      <c r="K31" s="184"/>
      <c r="L31" s="11"/>
      <c r="M31" s="11"/>
      <c r="N31" s="11"/>
      <c r="O31" s="220"/>
      <c r="P31" s="184"/>
      <c r="Q31" s="11"/>
      <c r="R31" s="12"/>
      <c r="S31" s="11"/>
      <c r="T31" s="220"/>
      <c r="U31" s="184"/>
      <c r="V31" s="11"/>
      <c r="W31" s="11"/>
      <c r="X31" s="11" t="s">
        <v>105</v>
      </c>
      <c r="Y31" s="232"/>
      <c r="Z31" s="231" t="str">
        <f t="array" ref="Z31">IF(
  Y31 = 0, 
  "", 
  IFERROR(
    INDEX(
      'アイテム別限界値DB'!$K:$K, 
      MATCH(
        1, 
        ('アイテム別限界値DB'!$B:$B = X$10) * 
        ('アイテム別限界値DB'!$F:$F = X31) * 
        ('アイテム別限界値DB'!$H:$H = Y31), 
        0
      )
    ), 
    "再製作"
  )
)
</f>
        <v/>
      </c>
      <c r="AA31" s="11"/>
      <c r="AB31" s="11"/>
      <c r="AC31" s="11"/>
      <c r="AD31" s="220"/>
      <c r="AE31" s="184"/>
      <c r="AF31" s="11"/>
      <c r="AG31" s="11"/>
      <c r="AH31" s="11"/>
      <c r="AI31" s="220"/>
      <c r="AJ31" s="184"/>
      <c r="AK31" s="11"/>
      <c r="AL31" s="11"/>
      <c r="AM31" s="11"/>
      <c r="AN31" s="220"/>
      <c r="AO31" s="184"/>
      <c r="AP31" s="11"/>
      <c r="AQ31" s="11"/>
      <c r="AR31" s="11"/>
      <c r="AS31" s="220"/>
      <c r="AT31" s="184"/>
      <c r="AU31" s="11"/>
      <c r="AV31" s="11"/>
      <c r="AW31" s="11"/>
      <c r="AX31" s="220"/>
      <c r="AY31" s="184"/>
      <c r="AZ31" s="11"/>
      <c r="BA31" s="11"/>
      <c r="BB31" s="11"/>
      <c r="BC31" s="220"/>
      <c r="BD31" s="184"/>
      <c r="BE31" s="11"/>
      <c r="BF31" s="11"/>
      <c r="BG31" s="11"/>
      <c r="BH31" s="220"/>
      <c r="BI31" s="184"/>
      <c r="BJ31" s="11"/>
      <c r="BK31" s="11"/>
      <c r="BL31" s="11"/>
      <c r="BM31" s="220"/>
      <c r="BN31" s="184"/>
      <c r="BO31" s="11"/>
      <c r="BP31" s="11"/>
    </row>
    <row r="32" ht="15.75" customHeight="1">
      <c r="A32" s="228" t="str">
        <f>IFERROR(__xludf.DUMMYFUNCTION("TEXTJOIN(CHAR(10),TRUE,FILTER(ARRAYFORMULA(IF(T$14:T72&lt;&gt;"""", S$14:S72 &amp;"" :  cm"","""")), S$14:S72 &lt;&gt;""""))"),"")</f>
        <v/>
      </c>
      <c r="B32" s="160"/>
      <c r="C32" s="11"/>
      <c r="D32" s="11" t="s">
        <v>108</v>
      </c>
      <c r="E32" s="232"/>
      <c r="F32" s="231" t="str">
        <f t="array" ref="F32">IF(
  E32 = 0, 
  "", 
  IFERROR(
    INDEX(
      'アイテム別限界値DB'!$K:$K, 
      MATCH(
        1, 
        ('アイテム別限界値DB'!$B:$B = D$10) * 
        ('アイテム別限界値DB'!$F:$F = D32) * 
        ('アイテム別限界値DB'!$H:$H = E32), 
        0
      )
    ), 
    "再製作"
  )
)
</f>
        <v/>
      </c>
      <c r="G32" s="218" t="str">
        <f t="array" ref="G32">IF(
  E32 = 0, 
  "", 
  IFERROR(
    INDEX(
      'アイテム別限界値DB'!$L:$L, 
      MATCH(
        1, 
        ('アイテム別限界値DB'!$B:$B = D$10) * 
        ('アイテム別限界値DB'!$C:$C = D32) * 
        ('アイテム別限界値DB'!$F:$F = E32), 
        0
      )
    ), 
    ""
  )
)
</f>
        <v/>
      </c>
      <c r="H32" s="11"/>
      <c r="I32" s="11"/>
      <c r="J32" s="220"/>
      <c r="K32" s="184"/>
      <c r="L32" s="11"/>
      <c r="M32" s="11"/>
      <c r="N32" s="11"/>
      <c r="O32" s="220"/>
      <c r="P32" s="184"/>
      <c r="Q32" s="11"/>
      <c r="R32" s="12"/>
      <c r="S32" s="11"/>
      <c r="T32" s="220"/>
      <c r="U32" s="184"/>
      <c r="V32" s="11"/>
      <c r="W32" s="11"/>
      <c r="X32" s="11"/>
      <c r="Y32" s="220"/>
      <c r="Z32" s="184"/>
      <c r="AA32" s="11"/>
      <c r="AB32" s="11"/>
      <c r="AC32" s="11"/>
      <c r="AD32" s="220"/>
      <c r="AE32" s="184"/>
      <c r="AF32" s="11"/>
      <c r="AG32" s="11"/>
      <c r="AH32" s="11"/>
      <c r="AI32" s="220"/>
      <c r="AJ32" s="184"/>
      <c r="AK32" s="11"/>
      <c r="AL32" s="11"/>
      <c r="AM32" s="11"/>
      <c r="AN32" s="220"/>
      <c r="AO32" s="184"/>
      <c r="AP32" s="11"/>
      <c r="AQ32" s="11"/>
      <c r="AR32" s="11"/>
      <c r="AS32" s="220"/>
      <c r="AT32" s="184"/>
      <c r="AU32" s="11"/>
      <c r="AV32" s="11"/>
      <c r="AW32" s="11"/>
      <c r="AX32" s="220"/>
      <c r="AY32" s="184"/>
      <c r="AZ32" s="11"/>
      <c r="BA32" s="11"/>
      <c r="BB32" s="11"/>
      <c r="BC32" s="220"/>
      <c r="BD32" s="184"/>
      <c r="BE32" s="11"/>
      <c r="BF32" s="11"/>
      <c r="BG32" s="11"/>
      <c r="BH32" s="220"/>
      <c r="BI32" s="184"/>
      <c r="BJ32" s="11"/>
      <c r="BK32" s="11"/>
      <c r="BL32" s="11"/>
      <c r="BM32" s="220"/>
      <c r="BN32" s="184"/>
      <c r="BO32" s="11"/>
      <c r="BP32" s="11"/>
    </row>
    <row r="33" ht="15.75" customHeight="1">
      <c r="A33" s="237" t="s">
        <v>109</v>
      </c>
      <c r="B33" s="229"/>
      <c r="C33" s="11"/>
      <c r="D33" s="11" t="s">
        <v>110</v>
      </c>
      <c r="E33" s="230"/>
      <c r="F33" s="231" t="str">
        <f t="array" ref="F33">IF(
  E33 = 0, 
  "", 
  IFERROR(
    INDEX(
      'アイテム別限界値DB'!$K:$K, 
      MATCH(
        1, 
        ('アイテム別限界値DB'!$B:$B = D$10) * 
        ('アイテム別限界値DB'!$F:$F = D33) * 
        ('アイテム別限界値DB'!$H:$H = E33), 
        0
      )
    ), 
    "再製作"
  )
)
</f>
        <v/>
      </c>
      <c r="G33" s="218" t="str">
        <f t="array" ref="G33">IF(
  E33 = 0, 
  "", 
  IFERROR(
    INDEX(
      'アイテム別限界値DB'!$L:$L, 
      MATCH(
        1, 
        ('アイテム別限界値DB'!$B:$B = D$10) * 
        ('アイテム別限界値DB'!$C:$C = D33) * 
        ('アイテム別限界値DB'!$F:$F = E33), 
        0
      )
    ), 
    ""
  )
)
</f>
        <v/>
      </c>
      <c r="H33" s="11"/>
      <c r="I33" s="11"/>
      <c r="J33" s="220"/>
      <c r="K33" s="184"/>
      <c r="L33" s="11"/>
      <c r="M33" s="11"/>
      <c r="N33" s="11"/>
      <c r="O33" s="220"/>
      <c r="P33" s="184"/>
      <c r="Q33" s="11"/>
      <c r="R33" s="12"/>
      <c r="S33" s="11"/>
      <c r="T33" s="220"/>
      <c r="U33" s="184"/>
      <c r="V33" s="11"/>
      <c r="W33" s="11"/>
      <c r="X33" s="11"/>
      <c r="Y33" s="220"/>
      <c r="Z33" s="184"/>
      <c r="AA33" s="11"/>
      <c r="AB33" s="11"/>
      <c r="AC33" s="11"/>
      <c r="AD33" s="220"/>
      <c r="AE33" s="184"/>
      <c r="AF33" s="11"/>
      <c r="AG33" s="11"/>
      <c r="AH33" s="11"/>
      <c r="AI33" s="220"/>
      <c r="AJ33" s="184"/>
      <c r="AK33" s="11"/>
      <c r="AL33" s="11"/>
      <c r="AM33" s="11"/>
      <c r="AN33" s="220"/>
      <c r="AO33" s="184"/>
      <c r="AP33" s="11"/>
      <c r="AQ33" s="11"/>
      <c r="AR33" s="11"/>
      <c r="AS33" s="220"/>
      <c r="AT33" s="184"/>
      <c r="AU33" s="11"/>
      <c r="AV33" s="11"/>
      <c r="AW33" s="11"/>
      <c r="AX33" s="220"/>
      <c r="AY33" s="184"/>
      <c r="AZ33" s="11"/>
      <c r="BA33" s="11"/>
      <c r="BB33" s="11"/>
      <c r="BC33" s="220"/>
      <c r="BD33" s="184"/>
      <c r="BE33" s="11"/>
      <c r="BF33" s="11"/>
      <c r="BG33" s="11"/>
      <c r="BH33" s="220"/>
      <c r="BI33" s="184"/>
      <c r="BJ33" s="11"/>
      <c r="BK33" s="11"/>
      <c r="BL33" s="11"/>
      <c r="BM33" s="220"/>
      <c r="BN33" s="184"/>
      <c r="BO33" s="11"/>
      <c r="BP33" s="11"/>
    </row>
    <row r="34" ht="15.75" customHeight="1">
      <c r="A34" s="228" t="str">
        <f>IF($X$11="再製作", "◼︎ シャツ（対応着地：再製作）" &amp; char(10) &amp; "《修正数値》" , IF($X$11&lt;&gt;"", "◼︎ シャツ（対応着地：お直し）" &amp; char(10) &amp; "《修正数値》", ""))</f>
        <v/>
      </c>
      <c r="B34" s="12"/>
      <c r="C34" s="11"/>
      <c r="D34" s="11" t="s">
        <v>111</v>
      </c>
      <c r="E34" s="232"/>
      <c r="F34" s="231" t="str">
        <f t="array" ref="F34">IF(
  E34 = 0, 
  "", 
  IFERROR(
    INDEX(
      'アイテム別限界値DB'!$K:$K, 
      MATCH(
        1, 
        ('アイテム別限界値DB'!$B:$B = D$10) * 
        ('アイテム別限界値DB'!$F:$F = D34) * 
        ('アイテム別限界値DB'!$H:$H = E34), 
        0
      )
    ), 
    "再製作"
  )
)
</f>
        <v/>
      </c>
      <c r="G34" s="218" t="str">
        <f t="array" ref="G34">IF(
  E34 = 0, 
  "", 
  IFERROR(
    INDEX(
      'アイテム別限界値DB'!$L:$L, 
      MATCH(
        1, 
        ('アイテム別限界値DB'!$B:$B = D$10) * 
        ('アイテム別限界値DB'!$C:$C = D34) * 
        ('アイテム別限界値DB'!$F:$F = E34), 
        0
      )
    ), 
    ""
  )
)
</f>
        <v/>
      </c>
      <c r="H34" s="11"/>
      <c r="I34" s="11"/>
      <c r="J34" s="220"/>
      <c r="K34" s="184"/>
      <c r="L34" s="11"/>
      <c r="M34" s="11"/>
      <c r="N34" s="11"/>
      <c r="O34" s="220"/>
      <c r="P34" s="184"/>
      <c r="Q34" s="11"/>
      <c r="R34" s="12"/>
      <c r="S34" s="11"/>
      <c r="T34" s="220"/>
      <c r="U34" s="184"/>
      <c r="V34" s="11"/>
      <c r="W34" s="11"/>
      <c r="X34" s="11"/>
      <c r="Y34" s="220"/>
      <c r="Z34" s="184"/>
      <c r="AA34" s="11"/>
      <c r="AB34" s="11"/>
      <c r="AC34" s="11"/>
      <c r="AD34" s="220"/>
      <c r="AE34" s="184"/>
      <c r="AF34" s="11"/>
      <c r="AG34" s="11"/>
      <c r="AH34" s="11"/>
      <c r="AI34" s="220"/>
      <c r="AJ34" s="184"/>
      <c r="AK34" s="11"/>
      <c r="AL34" s="11"/>
      <c r="AM34" s="11"/>
      <c r="AN34" s="220"/>
      <c r="AO34" s="184"/>
      <c r="AP34" s="11"/>
      <c r="AQ34" s="11"/>
      <c r="AR34" s="11"/>
      <c r="AS34" s="220"/>
      <c r="AT34" s="184"/>
      <c r="AU34" s="11"/>
      <c r="AV34" s="11"/>
      <c r="AW34" s="11"/>
      <c r="AX34" s="220"/>
      <c r="AY34" s="184"/>
      <c r="AZ34" s="11"/>
      <c r="BA34" s="11"/>
      <c r="BB34" s="11"/>
      <c r="BC34" s="220"/>
      <c r="BD34" s="184"/>
      <c r="BE34" s="11"/>
      <c r="BF34" s="11"/>
      <c r="BG34" s="11"/>
      <c r="BH34" s="220"/>
      <c r="BI34" s="184"/>
      <c r="BJ34" s="11"/>
      <c r="BK34" s="11"/>
      <c r="BL34" s="11"/>
      <c r="BM34" s="220"/>
      <c r="BN34" s="184"/>
      <c r="BO34" s="11"/>
      <c r="BP34" s="11"/>
    </row>
    <row r="35" ht="15.75" customHeight="1">
      <c r="A35" s="228" t="str">
        <f>IFERROR(__xludf.DUMMYFUNCTION("TEXTJOIN(CHAR(10),TRUE,FILTER(ARRAYFORMULA(IF(Y$14:Y72&lt;&gt;"""", X$14:X72 &amp;"" : ""&amp; Y$14:Y72 &amp;"" cm"","""")), X$14:X72 &lt;&gt;""""))"),"")</f>
        <v/>
      </c>
      <c r="B35" s="160"/>
      <c r="C35" s="11"/>
      <c r="D35" s="11" t="s">
        <v>112</v>
      </c>
      <c r="E35" s="230"/>
      <c r="F35" s="231" t="str">
        <f t="array" ref="F35">IF(
  E35 = 0, 
  "", 
  IFERROR(
    INDEX(
      'アイテム別限界値DB'!$K:$K, 
      MATCH(
        1, 
        ('アイテム別限界値DB'!$B:$B = D$10) * 
        ('アイテム別限界値DB'!$F:$F = D35) * 
        ('アイテム別限界値DB'!$H:$H = E35), 
        0
      )
    ), 
    "再製作"
  )
)
</f>
        <v/>
      </c>
      <c r="G35" s="218" t="str">
        <f t="array" ref="G35">IF(
  E35 = 0, 
  "", 
  IFERROR(
    INDEX(
      'アイテム別限界値DB'!$L:$L, 
      MATCH(
        1, 
        ('アイテム別限界値DB'!$B:$B = D$10) * 
        ('アイテム別限界値DB'!$C:$C = D35) * 
        ('アイテム別限界値DB'!$F:$F = E35), 
        0
      )
    ), 
    ""
  )
)
</f>
        <v/>
      </c>
      <c r="H35" s="11"/>
      <c r="I35" s="11"/>
      <c r="J35" s="220"/>
      <c r="K35" s="184"/>
      <c r="L35" s="11"/>
      <c r="M35" s="11"/>
      <c r="N35" s="11"/>
      <c r="O35" s="220"/>
      <c r="P35" s="184"/>
      <c r="Q35" s="11"/>
      <c r="R35" s="12"/>
      <c r="S35" s="11"/>
      <c r="T35" s="220"/>
      <c r="U35" s="184"/>
      <c r="V35" s="11"/>
      <c r="W35" s="11"/>
      <c r="X35" s="11"/>
      <c r="Y35" s="220"/>
      <c r="Z35" s="184"/>
      <c r="AA35" s="11"/>
      <c r="AB35" s="11"/>
      <c r="AC35" s="11"/>
      <c r="AD35" s="220"/>
      <c r="AE35" s="184"/>
      <c r="AF35" s="11"/>
      <c r="AG35" s="11"/>
      <c r="AH35" s="11"/>
      <c r="AI35" s="220"/>
      <c r="AJ35" s="184"/>
      <c r="AK35" s="11"/>
      <c r="AL35" s="11"/>
      <c r="AM35" s="11"/>
      <c r="AN35" s="220"/>
      <c r="AO35" s="184"/>
      <c r="AP35" s="11"/>
      <c r="AQ35" s="11"/>
      <c r="AR35" s="11"/>
      <c r="AS35" s="220"/>
      <c r="AT35" s="184"/>
      <c r="AU35" s="11"/>
      <c r="AV35" s="11"/>
      <c r="AW35" s="11"/>
      <c r="AX35" s="220"/>
      <c r="AY35" s="184"/>
      <c r="AZ35" s="11"/>
      <c r="BA35" s="11"/>
      <c r="BB35" s="11"/>
      <c r="BC35" s="220"/>
      <c r="BD35" s="184"/>
      <c r="BE35" s="11"/>
      <c r="BF35" s="11"/>
      <c r="BG35" s="11"/>
      <c r="BH35" s="220"/>
      <c r="BI35" s="184"/>
      <c r="BJ35" s="11"/>
      <c r="BK35" s="11"/>
      <c r="BL35" s="11"/>
      <c r="BM35" s="220"/>
      <c r="BN35" s="184"/>
      <c r="BO35" s="11"/>
      <c r="BP35" s="11"/>
    </row>
    <row r="36" ht="15.75" customHeight="1">
      <c r="A36" s="236" t="str">
        <f>if($A$34&lt;&gt;"", "《仕上がり数値》","")</f>
        <v/>
      </c>
      <c r="B36" s="229"/>
      <c r="C36" s="11"/>
      <c r="D36" s="11" t="s">
        <v>113</v>
      </c>
      <c r="E36" s="230"/>
      <c r="F36" s="231" t="str">
        <f t="array" ref="F36">IF(
  E36 = 0, 
  "", 
  IFERROR(
    INDEX(
      'アイテム別限界値DB'!$K:$K, 
      MATCH(
        1, 
        ('アイテム別限界値DB'!$B:$B = D$10) * 
        ('アイテム別限界値DB'!$F:$F = D36) * 
        ('アイテム別限界値DB'!$H:$H = E36), 
        0
      )
    ), 
    "再製作"
  )
)
</f>
        <v/>
      </c>
      <c r="G36" s="218" t="str">
        <f t="array" ref="G36">IF(
  E36 = 0, 
  "", 
  IFERROR(
    INDEX(
      'アイテム別限界値DB'!$L:$L, 
      MATCH(
        1, 
        ('アイテム別限界値DB'!$B:$B = D$10) * 
        ('アイテム別限界値DB'!$C:$C = D36) * 
        ('アイテム別限界値DB'!$F:$F = E36), 
        0
      )
    ), 
    ""
  )
)
</f>
        <v/>
      </c>
      <c r="H36" s="11"/>
      <c r="I36" s="11"/>
      <c r="J36" s="220"/>
      <c r="K36" s="184"/>
      <c r="L36" s="11"/>
      <c r="M36" s="11"/>
      <c r="N36" s="11"/>
      <c r="O36" s="220"/>
      <c r="P36" s="184"/>
      <c r="Q36" s="11"/>
      <c r="R36" s="12"/>
      <c r="S36" s="11"/>
      <c r="T36" s="220"/>
      <c r="U36" s="184"/>
      <c r="V36" s="11"/>
      <c r="W36" s="11"/>
      <c r="X36" s="11"/>
      <c r="Y36" s="220"/>
      <c r="Z36" s="184"/>
      <c r="AA36" s="11"/>
      <c r="AB36" s="11"/>
      <c r="AC36" s="11"/>
      <c r="AD36" s="220"/>
      <c r="AE36" s="184"/>
      <c r="AF36" s="11"/>
      <c r="AG36" s="11"/>
      <c r="AH36" s="11"/>
      <c r="AI36" s="220"/>
      <c r="AJ36" s="184"/>
      <c r="AK36" s="11"/>
      <c r="AL36" s="11"/>
      <c r="AM36" s="11"/>
      <c r="AN36" s="220"/>
      <c r="AO36" s="184"/>
      <c r="AP36" s="11"/>
      <c r="AQ36" s="11"/>
      <c r="AR36" s="11"/>
      <c r="AS36" s="220"/>
      <c r="AT36" s="184"/>
      <c r="AU36" s="11"/>
      <c r="AV36" s="11"/>
      <c r="AW36" s="11"/>
      <c r="AX36" s="220"/>
      <c r="AY36" s="184"/>
      <c r="AZ36" s="11"/>
      <c r="BA36" s="11"/>
      <c r="BB36" s="11"/>
      <c r="BC36" s="220"/>
      <c r="BD36" s="184"/>
      <c r="BE36" s="11"/>
      <c r="BF36" s="11"/>
      <c r="BG36" s="11"/>
      <c r="BH36" s="220"/>
      <c r="BI36" s="184"/>
      <c r="BJ36" s="11"/>
      <c r="BK36" s="11"/>
      <c r="BL36" s="11"/>
      <c r="BM36" s="220"/>
      <c r="BN36" s="184"/>
      <c r="BO36" s="11"/>
      <c r="BP36" s="11"/>
    </row>
    <row r="37">
      <c r="A37" s="228" t="str">
        <f>IFERROR(__xludf.DUMMYFUNCTION("TEXTJOIN(CHAR(10),TRUE,FILTER(ARRAYFORMULA(IF(Y$14:Y72&lt;&gt;"""", X$14:X72 &amp;"" :  cm"","""")), X$14:X72 &lt;&gt;""""))"),"")</f>
        <v/>
      </c>
      <c r="B37" s="12"/>
      <c r="C37" s="11"/>
      <c r="D37" s="11" t="s">
        <v>114</v>
      </c>
      <c r="E37" s="232"/>
      <c r="F37" s="231" t="str">
        <f t="array" ref="F37">IF(
  E37 = 0, 
  "", 
  IFERROR(
    INDEX(
      'アイテム別限界値DB'!$K:$K, 
      MATCH(
        1, 
        ('アイテム別限界値DB'!$B:$B = D$10) * 
        ('アイテム別限界値DB'!$F:$F = D37) * 
        ('アイテム別限界値DB'!$H:$H = E37), 
        0
      )
    ), 
    "再製作"
  )
)
</f>
        <v/>
      </c>
      <c r="G37" s="218" t="str">
        <f t="array" ref="G37">IF(
  E37 = 0, 
  "", 
  IFERROR(
    INDEX(
      'アイテム別限界値DB'!$L:$L, 
      MATCH(
        1, 
        ('アイテム別限界値DB'!$B:$B = D$10) * 
        ('アイテム別限界値DB'!$C:$C = D37) * 
        ('アイテム別限界値DB'!$F:$F = E37), 
        0
      )
    ), 
    ""
  )
)
</f>
        <v/>
      </c>
      <c r="H37" s="11"/>
      <c r="I37" s="11"/>
      <c r="J37" s="220"/>
      <c r="K37" s="184"/>
      <c r="L37" s="11"/>
      <c r="M37" s="11"/>
      <c r="N37" s="11"/>
      <c r="O37" s="220"/>
      <c r="P37" s="184"/>
      <c r="Q37" s="11"/>
      <c r="R37" s="12"/>
      <c r="S37" s="11"/>
      <c r="T37" s="220"/>
      <c r="U37" s="184"/>
      <c r="V37" s="11"/>
      <c r="W37" s="11"/>
      <c r="X37" s="11"/>
      <c r="Y37" s="220"/>
      <c r="Z37" s="184"/>
      <c r="AA37" s="11"/>
      <c r="AB37" s="11"/>
      <c r="AC37" s="11"/>
      <c r="AD37" s="220"/>
      <c r="AE37" s="184"/>
      <c r="AF37" s="11"/>
      <c r="AG37" s="11"/>
      <c r="AH37" s="11"/>
      <c r="AI37" s="220"/>
      <c r="AJ37" s="184"/>
      <c r="AK37" s="11"/>
      <c r="AL37" s="11"/>
      <c r="AM37" s="11"/>
      <c r="AN37" s="220"/>
      <c r="AO37" s="184"/>
      <c r="AP37" s="11"/>
      <c r="AQ37" s="11"/>
      <c r="AR37" s="11"/>
      <c r="AS37" s="220"/>
      <c r="AT37" s="184"/>
      <c r="AU37" s="11"/>
      <c r="AV37" s="11"/>
      <c r="AW37" s="11"/>
      <c r="AX37" s="220"/>
      <c r="AY37" s="184"/>
      <c r="AZ37" s="11"/>
      <c r="BA37" s="11"/>
      <c r="BB37" s="11"/>
      <c r="BC37" s="220"/>
      <c r="BD37" s="184"/>
      <c r="BE37" s="11"/>
      <c r="BF37" s="11"/>
      <c r="BG37" s="11"/>
      <c r="BH37" s="220"/>
      <c r="BI37" s="184"/>
      <c r="BJ37" s="11"/>
      <c r="BK37" s="11"/>
      <c r="BL37" s="11"/>
      <c r="BM37" s="220"/>
      <c r="BN37" s="184"/>
      <c r="BO37" s="11"/>
      <c r="BP37" s="11"/>
    </row>
    <row r="38">
      <c r="A38" s="243" t="s">
        <v>115</v>
      </c>
      <c r="B38" s="160"/>
      <c r="C38" s="11"/>
      <c r="D38" s="11" t="s">
        <v>116</v>
      </c>
      <c r="E38" s="230"/>
      <c r="F38" s="231" t="str">
        <f t="array" ref="F38">IF(
  E38 = 0, 
  "", 
  IFERROR(
    INDEX(
      'アイテム別限界値DB'!$K:$K, 
      MATCH(
        1, 
        ('アイテム別限界値DB'!$B:$B = D$10) * 
        ('アイテム別限界値DB'!$F:$F = D38) * 
        ('アイテム別限界値DB'!$H:$H = E38), 
        0
      )
    ), 
    "再製作"
  )
)
</f>
        <v/>
      </c>
      <c r="G38" s="218" t="str">
        <f t="array" ref="G38">IF(
  E38 = 0, 
  "", 
  IFERROR(
    INDEX(
      'アイテム別限界値DB'!$L:$L, 
      MATCH(
        1, 
        ('アイテム別限界値DB'!$B:$B = D$10) * 
        ('アイテム別限界値DB'!$C:$C = D38) * 
        ('アイテム別限界値DB'!$F:$F = E38), 
        0
      )
    ), 
    ""
  )
)
</f>
        <v/>
      </c>
      <c r="H38" s="11"/>
      <c r="I38" s="11"/>
      <c r="J38" s="220"/>
      <c r="K38" s="184"/>
      <c r="L38" s="11"/>
      <c r="M38" s="11"/>
      <c r="N38" s="11"/>
      <c r="O38" s="220"/>
      <c r="P38" s="184"/>
      <c r="Q38" s="11"/>
      <c r="R38" s="12"/>
      <c r="S38" s="11"/>
      <c r="T38" s="220"/>
      <c r="U38" s="184"/>
      <c r="V38" s="11"/>
      <c r="W38" s="11"/>
      <c r="X38" s="11"/>
      <c r="Y38" s="220"/>
      <c r="Z38" s="184"/>
      <c r="AA38" s="11"/>
      <c r="AB38" s="11"/>
      <c r="AC38" s="11"/>
      <c r="AD38" s="220"/>
      <c r="AE38" s="184"/>
      <c r="AF38" s="11"/>
      <c r="AG38" s="11"/>
      <c r="AH38" s="11"/>
      <c r="AI38" s="220"/>
      <c r="AJ38" s="184"/>
      <c r="AK38" s="11"/>
      <c r="AL38" s="11"/>
      <c r="AM38" s="11"/>
      <c r="AN38" s="220"/>
      <c r="AO38" s="184"/>
      <c r="AP38" s="11"/>
      <c r="AQ38" s="11"/>
      <c r="AR38" s="11"/>
      <c r="AS38" s="220"/>
      <c r="AT38" s="184"/>
      <c r="AU38" s="11"/>
      <c r="AV38" s="11"/>
      <c r="AW38" s="11"/>
      <c r="AX38" s="220"/>
      <c r="AY38" s="184"/>
      <c r="AZ38" s="11"/>
      <c r="BA38" s="11"/>
      <c r="BB38" s="11"/>
      <c r="BC38" s="220"/>
      <c r="BD38" s="184"/>
      <c r="BE38" s="11"/>
      <c r="BF38" s="11"/>
      <c r="BG38" s="11"/>
      <c r="BH38" s="220"/>
      <c r="BI38" s="184"/>
      <c r="BJ38" s="11"/>
      <c r="BK38" s="11"/>
      <c r="BL38" s="11"/>
      <c r="BM38" s="220"/>
      <c r="BN38" s="184"/>
      <c r="BO38" s="11"/>
      <c r="BP38" s="11"/>
    </row>
    <row r="39">
      <c r="A39" s="228" t="str">
        <f>IF( $AC$11 = "再製作", "◼︎ ポロシャツ（対応着地：再製作）" &amp; char(10) &amp; "《修正数値》" , IF($AC$11 &lt;&gt; "", "◼︎ ポロシャツ（対応着地：お直し）" &amp; char(10) &amp; "《修正数値》" , ""))</f>
        <v/>
      </c>
      <c r="B39" s="229"/>
      <c r="C39" s="11"/>
      <c r="D39" s="11" t="s">
        <v>117</v>
      </c>
      <c r="E39" s="230"/>
      <c r="F39" s="231" t="str">
        <f t="array" ref="F39">IF(
  E39 = 0, 
  "", 
  IFERROR(
    INDEX(
      'アイテム別限界値DB'!$I:$I, 
      MATCH(
        1, 
        ('アイテム別限界値DB'!$B:$B = D$10) * 
        ('アイテム別限界値DB'!$C:$C = D39) * 
        ('アイテム別限界値DB'!$F:$F = E39), 
        0
      )
    ), 
    "再製作"
  )
)
</f>
        <v/>
      </c>
      <c r="G39" s="218" t="str">
        <f t="array" ref="G39">IF(
  E39 = 0, 
  "", 
  IFERROR(
    INDEX(
      'アイテム別限界値DB'!$L:$L, 
      MATCH(
        1, 
        ('アイテム別限界値DB'!$B:$B = D$10) * 
        ('アイテム別限界値DB'!$C:$C = D39) * 
        ('アイテム別限界値DB'!$F:$F = E39), 
        0
      )
    ), 
    ""
  )
)
</f>
        <v/>
      </c>
      <c r="H39" s="11"/>
      <c r="I39" s="11"/>
      <c r="J39" s="220"/>
      <c r="K39" s="184"/>
      <c r="L39" s="11"/>
      <c r="M39" s="11"/>
      <c r="N39" s="11"/>
      <c r="O39" s="220"/>
      <c r="P39" s="184"/>
      <c r="Q39" s="11"/>
      <c r="R39" s="12"/>
      <c r="S39" s="11"/>
      <c r="T39" s="220"/>
      <c r="U39" s="184"/>
      <c r="V39" s="11"/>
      <c r="W39" s="11"/>
      <c r="X39" s="11"/>
      <c r="Y39" s="220"/>
      <c r="Z39" s="184"/>
      <c r="AA39" s="11"/>
      <c r="AB39" s="11"/>
      <c r="AC39" s="11"/>
      <c r="AD39" s="220"/>
      <c r="AE39" s="184"/>
      <c r="AF39" s="11"/>
      <c r="AG39" s="11"/>
      <c r="AH39" s="11"/>
      <c r="AI39" s="220"/>
      <c r="AJ39" s="184"/>
      <c r="AK39" s="11"/>
      <c r="AL39" s="11"/>
      <c r="AM39" s="11"/>
      <c r="AN39" s="220"/>
      <c r="AO39" s="184"/>
      <c r="AP39" s="11"/>
      <c r="AQ39" s="11"/>
      <c r="AR39" s="11"/>
      <c r="AS39" s="220"/>
      <c r="AT39" s="184"/>
      <c r="AU39" s="11"/>
      <c r="AV39" s="11"/>
      <c r="AW39" s="11"/>
      <c r="AX39" s="220"/>
      <c r="AY39" s="184"/>
      <c r="AZ39" s="11"/>
      <c r="BA39" s="11"/>
      <c r="BB39" s="11"/>
      <c r="BC39" s="220"/>
      <c r="BD39" s="184"/>
      <c r="BE39" s="11"/>
      <c r="BF39" s="11"/>
      <c r="BG39" s="11"/>
      <c r="BH39" s="220"/>
      <c r="BI39" s="184"/>
      <c r="BJ39" s="11"/>
      <c r="BK39" s="11"/>
      <c r="BL39" s="11"/>
      <c r="BM39" s="220"/>
      <c r="BN39" s="184"/>
      <c r="BO39" s="11"/>
      <c r="BP39" s="11"/>
    </row>
    <row r="40">
      <c r="A40" s="228" t="str">
        <f>IFERROR(__xludf.DUMMYFUNCTION("TEXTJOIN(CHAR(10),TRUE,FILTER(ARRAYFORMULA(IF(AD$14:AD72&lt;&gt;"""",AC$14:AC72&amp;"" : ""&amp; AD$14:AD72 &amp;"" cm"","""")), AC$14:AC72 &lt;&gt;""""))"),"")</f>
        <v/>
      </c>
      <c r="B40" s="12"/>
      <c r="C40" s="11"/>
      <c r="D40" s="11" t="s">
        <v>118</v>
      </c>
      <c r="E40" s="232"/>
      <c r="F40" s="231" t="str">
        <f t="array" ref="F40">IF(
  E40 = 0, 
  "", 
  IFERROR(
    INDEX(
      'アイテム別限界値DB'!$I:$I, 
      MATCH(
        1, 
        ('アイテム別限界値DB'!$B:$B = D$10) * 
        ('アイテム別限界値DB'!$C:$C = D40) * 
        ('アイテム別限界値DB'!$F:$F = E40), 
        0
      )
    ), 
    "再製作"
  )
)
</f>
        <v/>
      </c>
      <c r="G40" s="121"/>
      <c r="H40" s="11"/>
      <c r="I40" s="11"/>
      <c r="J40" s="220"/>
      <c r="K40" s="184"/>
      <c r="L40" s="11"/>
      <c r="M40" s="11"/>
      <c r="N40" s="11"/>
      <c r="O40" s="220"/>
      <c r="P40" s="184"/>
      <c r="Q40" s="11"/>
      <c r="R40" s="12"/>
      <c r="S40" s="11"/>
      <c r="T40" s="220"/>
      <c r="U40" s="184"/>
      <c r="V40" s="11"/>
      <c r="W40" s="11"/>
      <c r="X40" s="11"/>
      <c r="Y40" s="220"/>
      <c r="Z40" s="184"/>
      <c r="AA40" s="11"/>
      <c r="AB40" s="11"/>
      <c r="AC40" s="11"/>
      <c r="AD40" s="220"/>
      <c r="AE40" s="184"/>
      <c r="AF40" s="11"/>
      <c r="AG40" s="11"/>
      <c r="AH40" s="11"/>
      <c r="AI40" s="220"/>
      <c r="AJ40" s="184"/>
      <c r="AK40" s="11"/>
      <c r="AL40" s="11"/>
      <c r="AM40" s="11"/>
      <c r="AN40" s="220"/>
      <c r="AO40" s="184"/>
      <c r="AP40" s="11"/>
      <c r="AQ40" s="11"/>
      <c r="AR40" s="11"/>
      <c r="AS40" s="220"/>
      <c r="AT40" s="184"/>
      <c r="AU40" s="11"/>
      <c r="AV40" s="11"/>
      <c r="AW40" s="11"/>
      <c r="AX40" s="220"/>
      <c r="AY40" s="184"/>
      <c r="AZ40" s="11"/>
      <c r="BA40" s="11"/>
      <c r="BB40" s="11"/>
      <c r="BC40" s="220"/>
      <c r="BD40" s="184"/>
      <c r="BE40" s="11"/>
      <c r="BF40" s="11"/>
      <c r="BG40" s="11"/>
      <c r="BH40" s="220"/>
      <c r="BI40" s="184"/>
      <c r="BJ40" s="11"/>
      <c r="BK40" s="11"/>
      <c r="BL40" s="11"/>
      <c r="BM40" s="220"/>
      <c r="BN40" s="184"/>
      <c r="BO40" s="11"/>
      <c r="BP40" s="11"/>
    </row>
    <row r="41">
      <c r="A41" s="244" t="str">
        <f>if($A$39&lt;&gt;"", "《仕上がり数値》","")</f>
        <v/>
      </c>
      <c r="B41" s="160"/>
      <c r="C41" s="11"/>
      <c r="D41" s="11" t="s">
        <v>119</v>
      </c>
      <c r="E41" s="230"/>
      <c r="F41" s="231" t="str">
        <f t="array" ref="F41">IF(
  E41 = 0, 
  "", 
  IFERROR(
    INDEX(
      'アイテム別限界値DB'!$I:$I, 
      MATCH(
        1, 
        ('アイテム別限界値DB'!$B:$B = D$10) * 
        ('アイテム別限界値DB'!$C:$C = D41) * 
        ('アイテム別限界値DB'!$F:$F = E41), 
        0
      )
    ), 
    "再製作"
  )
)
</f>
        <v/>
      </c>
      <c r="G41" s="195"/>
      <c r="H41" s="11"/>
      <c r="I41" s="11"/>
      <c r="J41" s="220"/>
      <c r="K41" s="184"/>
      <c r="L41" s="11"/>
      <c r="M41" s="11"/>
      <c r="N41" s="11"/>
      <c r="O41" s="220"/>
      <c r="P41" s="184"/>
      <c r="Q41" s="11"/>
      <c r="R41" s="12"/>
      <c r="S41" s="11"/>
      <c r="T41" s="220"/>
      <c r="U41" s="184"/>
      <c r="V41" s="11"/>
      <c r="W41" s="11"/>
      <c r="X41" s="11"/>
      <c r="Y41" s="220"/>
      <c r="Z41" s="184"/>
      <c r="AA41" s="11"/>
      <c r="AB41" s="11"/>
      <c r="AC41" s="11"/>
      <c r="AD41" s="220"/>
      <c r="AE41" s="184"/>
      <c r="AF41" s="11"/>
      <c r="AG41" s="11"/>
      <c r="AH41" s="11"/>
      <c r="AI41" s="220"/>
      <c r="AJ41" s="184"/>
      <c r="AK41" s="11"/>
      <c r="AL41" s="11"/>
      <c r="AM41" s="11"/>
      <c r="AN41" s="220"/>
      <c r="AO41" s="184"/>
      <c r="AP41" s="11"/>
      <c r="AQ41" s="11"/>
      <c r="AR41" s="11"/>
      <c r="AS41" s="220"/>
      <c r="AT41" s="184"/>
      <c r="AU41" s="11"/>
      <c r="AV41" s="11"/>
      <c r="AW41" s="11"/>
      <c r="AX41" s="220"/>
      <c r="AY41" s="184"/>
      <c r="AZ41" s="11"/>
      <c r="BA41" s="11"/>
      <c r="BB41" s="11"/>
      <c r="BC41" s="220"/>
      <c r="BD41" s="184"/>
      <c r="BE41" s="11"/>
      <c r="BF41" s="11"/>
      <c r="BG41" s="11"/>
      <c r="BH41" s="220"/>
      <c r="BI41" s="184"/>
      <c r="BJ41" s="11"/>
      <c r="BK41" s="11"/>
      <c r="BL41" s="11"/>
      <c r="BM41" s="220"/>
      <c r="BN41" s="184"/>
      <c r="BO41" s="11"/>
      <c r="BP41" s="11"/>
    </row>
    <row r="42">
      <c r="A42" s="228" t="str">
        <f>IFERROR(__xludf.DUMMYFUNCTION("TEXTJOIN(CHAR(10),TRUE,FILTER(ARRAYFORMULA(IF(AD$14:AD72&lt;&gt;"""",AC$14:AC72&amp;"" :  cm"","""")), AC$14:AC72 &lt;&gt;""""))"),"")</f>
        <v/>
      </c>
      <c r="B42" s="229"/>
      <c r="C42" s="11"/>
      <c r="D42" s="11" t="s">
        <v>120</v>
      </c>
      <c r="E42" s="230"/>
      <c r="F42" s="231" t="str">
        <f t="array" ref="F42">IF(
  E42 = 0, 
  "", 
  IFERROR(
    INDEX(
      'アイテム別限界値DB'!$I:$I, 
      MATCH(
        1, 
        ('アイテム別限界値DB'!$B:$B = D$10) * 
        ('アイテム別限界値DB'!$C:$C = D42) * 
        ('アイテム別限界値DB'!$F:$F = E42), 
        0
      )
    ), 
    "再製作"
  )
)
</f>
        <v/>
      </c>
      <c r="G42" s="195"/>
      <c r="H42" s="11"/>
      <c r="I42" s="11"/>
      <c r="J42" s="220"/>
      <c r="K42" s="184"/>
      <c r="L42" s="11"/>
      <c r="M42" s="11"/>
      <c r="N42" s="11"/>
      <c r="O42" s="220"/>
      <c r="P42" s="184"/>
      <c r="Q42" s="11"/>
      <c r="R42" s="12"/>
      <c r="S42" s="11"/>
      <c r="T42" s="220"/>
      <c r="U42" s="184"/>
      <c r="V42" s="11"/>
      <c r="W42" s="11"/>
      <c r="X42" s="11"/>
      <c r="Y42" s="220"/>
      <c r="Z42" s="184"/>
      <c r="AA42" s="11"/>
      <c r="AB42" s="11"/>
      <c r="AC42" s="11"/>
      <c r="AD42" s="220"/>
      <c r="AE42" s="184"/>
      <c r="AF42" s="11"/>
      <c r="AG42" s="11"/>
      <c r="AH42" s="11"/>
      <c r="AI42" s="220"/>
      <c r="AJ42" s="184"/>
      <c r="AK42" s="11"/>
      <c r="AL42" s="11"/>
      <c r="AM42" s="11"/>
      <c r="AN42" s="220"/>
      <c r="AO42" s="184"/>
      <c r="AP42" s="11"/>
      <c r="AQ42" s="11"/>
      <c r="AR42" s="11"/>
      <c r="AS42" s="220"/>
      <c r="AT42" s="184"/>
      <c r="AU42" s="11"/>
      <c r="AV42" s="11"/>
      <c r="AW42" s="11"/>
      <c r="AX42" s="220"/>
      <c r="AY42" s="184"/>
      <c r="AZ42" s="11"/>
      <c r="BA42" s="11"/>
      <c r="BB42" s="11"/>
      <c r="BC42" s="220"/>
      <c r="BD42" s="184"/>
      <c r="BE42" s="11"/>
      <c r="BF42" s="11"/>
      <c r="BG42" s="11"/>
      <c r="BH42" s="220"/>
      <c r="BI42" s="184"/>
      <c r="BJ42" s="11"/>
      <c r="BK42" s="11"/>
      <c r="BL42" s="11"/>
      <c r="BM42" s="220"/>
      <c r="BN42" s="184"/>
      <c r="BO42" s="11"/>
      <c r="BP42" s="11"/>
    </row>
    <row r="43">
      <c r="A43" s="222" t="s">
        <v>121</v>
      </c>
      <c r="B43" s="185"/>
      <c r="C43" s="11"/>
      <c r="D43" s="11"/>
      <c r="E43" s="220"/>
      <c r="F43" s="220"/>
      <c r="G43" s="220"/>
      <c r="H43" s="11"/>
      <c r="I43" s="11"/>
      <c r="J43" s="220"/>
      <c r="K43" s="184"/>
      <c r="L43" s="184"/>
      <c r="M43" s="11"/>
      <c r="N43" s="11"/>
      <c r="O43" s="195"/>
      <c r="P43" s="11"/>
      <c r="Q43" s="11"/>
      <c r="R43" s="12"/>
      <c r="S43" s="11"/>
      <c r="T43" s="220"/>
      <c r="U43" s="184"/>
      <c r="V43" s="184"/>
      <c r="W43" s="11"/>
      <c r="X43" s="11"/>
      <c r="Y43" s="220"/>
      <c r="Z43" s="184"/>
      <c r="AA43" s="184"/>
      <c r="AB43" s="11"/>
      <c r="AC43" s="11"/>
      <c r="AD43" s="220"/>
      <c r="AE43" s="184"/>
      <c r="AF43" s="184"/>
      <c r="AG43" s="11"/>
      <c r="AH43" s="11"/>
      <c r="AI43" s="220"/>
      <c r="AJ43" s="184"/>
      <c r="AK43" s="184"/>
      <c r="AL43" s="11"/>
      <c r="AM43" s="11"/>
      <c r="AN43" s="220"/>
      <c r="AO43" s="184"/>
      <c r="AP43" s="184"/>
      <c r="AQ43" s="11"/>
      <c r="AR43" s="11"/>
      <c r="AS43" s="220"/>
      <c r="AT43" s="184"/>
      <c r="AU43" s="184"/>
      <c r="AV43" s="11"/>
      <c r="AW43" s="11"/>
      <c r="AX43" s="220"/>
      <c r="AY43" s="184"/>
      <c r="AZ43" s="184"/>
      <c r="BA43" s="11"/>
      <c r="BB43" s="11"/>
      <c r="BC43" s="220"/>
      <c r="BD43" s="184"/>
      <c r="BE43" s="184"/>
      <c r="BF43" s="11"/>
      <c r="BG43" s="11"/>
      <c r="BH43" s="220"/>
      <c r="BI43" s="184"/>
      <c r="BJ43" s="184"/>
      <c r="BK43" s="184"/>
      <c r="BL43" s="184"/>
      <c r="BM43" s="184"/>
      <c r="BN43" s="184"/>
      <c r="BO43" s="184"/>
      <c r="BP43" s="184"/>
    </row>
    <row r="44">
      <c r="A44" s="245" t="str">
        <f>IF( $AH$11 = "再製作", "◼︎ アルスターコート（対応着地：再製作）" &amp; char(10) &amp; "《修正数値》", IF($AH$11 &lt;&gt; "", "◼︎ アルスターコート（対応着地：お直し）" &amp; char(10) &amp; "《修正数値》", ""))</f>
        <v/>
      </c>
      <c r="B44" s="187"/>
      <c r="C44" s="11"/>
      <c r="D44" s="11"/>
      <c r="E44" s="220"/>
      <c r="F44" s="220"/>
      <c r="G44" s="220"/>
      <c r="H44" s="11"/>
      <c r="I44" s="11"/>
      <c r="J44" s="220"/>
      <c r="K44" s="184"/>
      <c r="L44" s="184"/>
      <c r="M44" s="11"/>
      <c r="N44" s="11"/>
      <c r="O44" s="195"/>
      <c r="P44" s="11"/>
      <c r="Q44" s="11"/>
      <c r="R44" s="12"/>
      <c r="S44" s="11"/>
      <c r="T44" s="220"/>
      <c r="U44" s="184"/>
      <c r="V44" s="184"/>
      <c r="W44" s="11"/>
      <c r="X44" s="11"/>
      <c r="Y44" s="220"/>
      <c r="Z44" s="184"/>
      <c r="AA44" s="184"/>
      <c r="AB44" s="11"/>
      <c r="AC44" s="11"/>
      <c r="AD44" s="220"/>
      <c r="AE44" s="184"/>
      <c r="AF44" s="184"/>
      <c r="AG44" s="11"/>
      <c r="AH44" s="11"/>
      <c r="AI44" s="220"/>
      <c r="AJ44" s="184"/>
      <c r="AK44" s="184"/>
      <c r="AL44" s="11"/>
      <c r="AM44" s="11"/>
      <c r="AN44" s="220"/>
      <c r="AO44" s="184"/>
      <c r="AP44" s="184"/>
      <c r="AQ44" s="11"/>
      <c r="AR44" s="11"/>
      <c r="AS44" s="220"/>
      <c r="AT44" s="184"/>
      <c r="AU44" s="184"/>
      <c r="AV44" s="11"/>
      <c r="AW44" s="11"/>
      <c r="AX44" s="220"/>
      <c r="AY44" s="184"/>
      <c r="AZ44" s="184"/>
      <c r="BA44" s="11"/>
      <c r="BB44" s="11"/>
      <c r="BC44" s="220"/>
      <c r="BD44" s="184"/>
      <c r="BE44" s="184"/>
      <c r="BF44" s="11"/>
      <c r="BG44" s="11"/>
      <c r="BH44" s="220"/>
      <c r="BI44" s="184"/>
      <c r="BJ44" s="184"/>
      <c r="BK44" s="184"/>
      <c r="BL44" s="184"/>
      <c r="BM44" s="184"/>
      <c r="BN44" s="184"/>
      <c r="BO44" s="184"/>
      <c r="BP44" s="184"/>
    </row>
    <row r="45">
      <c r="A45" s="228" t="str">
        <f>IFERROR(__xludf.DUMMYFUNCTION("TEXTJOIN(CHAR(10),TRUE,FILTER(ARRAYFORMULA(IF($AI$14:$AI72&lt;&gt;"""",AH$14:AH72&amp;"" : ""&amp; AI$14:AI72 &amp;"" cm"","""")), AH$14:AH72 &lt;&gt;""""))"),"")</f>
        <v/>
      </c>
      <c r="B45" s="246"/>
      <c r="C45" s="11"/>
      <c r="D45" s="11"/>
      <c r="E45" s="220"/>
      <c r="F45" s="220"/>
      <c r="G45" s="220"/>
      <c r="H45" s="11"/>
      <c r="I45" s="11"/>
      <c r="J45" s="220"/>
      <c r="K45" s="184"/>
      <c r="L45" s="184"/>
      <c r="M45" s="11"/>
      <c r="N45" s="11"/>
      <c r="O45" s="195"/>
      <c r="P45" s="11"/>
      <c r="Q45" s="11"/>
      <c r="R45" s="12"/>
      <c r="S45" s="11"/>
      <c r="T45" s="220"/>
      <c r="U45" s="184"/>
      <c r="V45" s="184"/>
      <c r="W45" s="11"/>
      <c r="X45" s="11"/>
      <c r="Y45" s="220"/>
      <c r="Z45" s="184"/>
      <c r="AA45" s="184"/>
      <c r="AB45" s="11"/>
      <c r="AC45" s="11"/>
      <c r="AD45" s="220"/>
      <c r="AE45" s="184"/>
      <c r="AF45" s="184"/>
      <c r="AG45" s="11"/>
      <c r="AH45" s="11"/>
      <c r="AI45" s="220"/>
      <c r="AJ45" s="184"/>
      <c r="AK45" s="184"/>
      <c r="AL45" s="11"/>
      <c r="AM45" s="11"/>
      <c r="AN45" s="220"/>
      <c r="AO45" s="184"/>
      <c r="AP45" s="184"/>
      <c r="AQ45" s="11"/>
      <c r="AR45" s="11"/>
      <c r="AS45" s="220"/>
      <c r="AT45" s="184"/>
      <c r="AU45" s="184"/>
      <c r="AV45" s="11"/>
      <c r="AW45" s="11"/>
      <c r="AX45" s="220"/>
      <c r="AY45" s="184"/>
      <c r="AZ45" s="184"/>
      <c r="BA45" s="11"/>
      <c r="BB45" s="11"/>
      <c r="BC45" s="220"/>
      <c r="BD45" s="184"/>
      <c r="BE45" s="184"/>
      <c r="BF45" s="11"/>
      <c r="BG45" s="11"/>
      <c r="BH45" s="220"/>
      <c r="BI45" s="184"/>
      <c r="BJ45" s="184"/>
      <c r="BK45" s="184"/>
      <c r="BL45" s="184"/>
      <c r="BM45" s="184"/>
      <c r="BN45" s="184"/>
      <c r="BO45" s="184"/>
      <c r="BP45" s="184"/>
    </row>
    <row r="46">
      <c r="A46" s="242" t="str">
        <f>if($A$44&lt;&gt;"", "《仕上がり数値》","")</f>
        <v/>
      </c>
      <c r="B46" s="240"/>
      <c r="C46" s="11"/>
      <c r="D46" s="11"/>
      <c r="E46" s="220"/>
      <c r="F46" s="220"/>
      <c r="G46" s="220"/>
      <c r="H46" s="11"/>
      <c r="I46" s="11"/>
      <c r="J46" s="220"/>
      <c r="K46" s="184"/>
      <c r="L46" s="184"/>
      <c r="M46" s="11"/>
      <c r="N46" s="11"/>
      <c r="O46" s="195"/>
      <c r="P46" s="11"/>
      <c r="Q46" s="11"/>
      <c r="R46" s="12"/>
      <c r="S46" s="11"/>
      <c r="T46" s="220"/>
      <c r="U46" s="184"/>
      <c r="V46" s="184"/>
      <c r="W46" s="11"/>
      <c r="X46" s="11"/>
      <c r="Y46" s="220"/>
      <c r="Z46" s="184"/>
      <c r="AA46" s="184"/>
      <c r="AB46" s="11"/>
      <c r="AC46" s="11"/>
      <c r="AD46" s="220"/>
      <c r="AE46" s="184"/>
      <c r="AF46" s="184"/>
      <c r="AG46" s="11"/>
      <c r="AH46" s="11"/>
      <c r="AI46" s="220"/>
      <c r="AJ46" s="184"/>
      <c r="AK46" s="184"/>
      <c r="AL46" s="11"/>
      <c r="AM46" s="11"/>
      <c r="AN46" s="220"/>
      <c r="AO46" s="184"/>
      <c r="AP46" s="184"/>
      <c r="AQ46" s="11"/>
      <c r="AR46" s="11"/>
      <c r="AS46" s="220"/>
      <c r="AT46" s="184"/>
      <c r="AU46" s="184"/>
      <c r="AV46" s="11"/>
      <c r="AW46" s="11"/>
      <c r="AX46" s="220"/>
      <c r="AY46" s="184"/>
      <c r="AZ46" s="184"/>
      <c r="BA46" s="11"/>
      <c r="BB46" s="11"/>
      <c r="BC46" s="220"/>
      <c r="BD46" s="184"/>
      <c r="BE46" s="184"/>
      <c r="BF46" s="11"/>
      <c r="BG46" s="11"/>
      <c r="BH46" s="220"/>
      <c r="BI46" s="184"/>
      <c r="BJ46" s="184"/>
      <c r="BK46" s="184"/>
      <c r="BL46" s="184"/>
      <c r="BM46" s="184"/>
      <c r="BN46" s="184"/>
      <c r="BO46" s="184"/>
      <c r="BP46" s="184"/>
    </row>
    <row r="47">
      <c r="A47" s="228" t="str">
        <f>IFERROR(__xludf.DUMMYFUNCTION("TEXTJOIN(CHAR(10),TRUE,FILTER(ARRAYFORMULA(IF($AI$14:$AI72&lt;&gt;"""",AH$14:AH72&amp;"" :  cm"","""")), AH$14:AH72 &lt;&gt;""""))"),"")</f>
        <v/>
      </c>
      <c r="B47" s="240"/>
      <c r="C47" s="11"/>
      <c r="D47" s="11"/>
      <c r="E47" s="220"/>
      <c r="F47" s="220"/>
      <c r="G47" s="220"/>
      <c r="H47" s="11"/>
      <c r="I47" s="11"/>
      <c r="J47" s="220"/>
      <c r="K47" s="184"/>
      <c r="L47" s="184"/>
      <c r="M47" s="11"/>
      <c r="N47" s="11"/>
      <c r="O47" s="195"/>
      <c r="P47" s="11"/>
      <c r="Q47" s="11"/>
      <c r="R47" s="12"/>
      <c r="S47" s="11"/>
      <c r="T47" s="220"/>
      <c r="U47" s="184"/>
      <c r="V47" s="184"/>
      <c r="W47" s="11"/>
      <c r="X47" s="11"/>
      <c r="Y47" s="220"/>
      <c r="Z47" s="184"/>
      <c r="AA47" s="184"/>
      <c r="AB47" s="11"/>
      <c r="AC47" s="11"/>
      <c r="AD47" s="220"/>
      <c r="AE47" s="184"/>
      <c r="AF47" s="184"/>
      <c r="AG47" s="11"/>
      <c r="AH47" s="11"/>
      <c r="AI47" s="220"/>
      <c r="AJ47" s="184"/>
      <c r="AK47" s="184"/>
      <c r="AL47" s="11"/>
      <c r="AM47" s="11"/>
      <c r="AN47" s="220"/>
      <c r="AO47" s="184"/>
      <c r="AP47" s="184"/>
      <c r="AQ47" s="11"/>
      <c r="AR47" s="11"/>
      <c r="AS47" s="220"/>
      <c r="AT47" s="184"/>
      <c r="AU47" s="184"/>
      <c r="AV47" s="11"/>
      <c r="AW47" s="11"/>
      <c r="AX47" s="220"/>
      <c r="AY47" s="184"/>
      <c r="AZ47" s="184"/>
      <c r="BA47" s="11"/>
      <c r="BB47" s="11"/>
      <c r="BC47" s="220"/>
      <c r="BD47" s="184"/>
      <c r="BE47" s="184"/>
      <c r="BF47" s="11"/>
      <c r="BG47" s="11"/>
      <c r="BH47" s="220"/>
      <c r="BI47" s="184"/>
      <c r="BJ47" s="184"/>
      <c r="BK47" s="184"/>
      <c r="BL47" s="184"/>
      <c r="BM47" s="184"/>
      <c r="BN47" s="184"/>
      <c r="BO47" s="184"/>
      <c r="BP47" s="184"/>
    </row>
    <row r="48">
      <c r="A48" s="237" t="s">
        <v>122</v>
      </c>
      <c r="B48" s="240"/>
      <c r="C48" s="11"/>
      <c r="D48" s="11"/>
      <c r="E48" s="220"/>
      <c r="F48" s="220"/>
      <c r="G48" s="220"/>
      <c r="H48" s="11"/>
      <c r="I48" s="11"/>
      <c r="J48" s="220"/>
      <c r="K48" s="184"/>
      <c r="L48" s="184"/>
      <c r="M48" s="11"/>
      <c r="N48" s="11"/>
      <c r="O48" s="195"/>
      <c r="P48" s="11"/>
      <c r="Q48" s="11"/>
      <c r="R48" s="12"/>
      <c r="S48" s="11"/>
      <c r="T48" s="220"/>
      <c r="U48" s="184"/>
      <c r="V48" s="184"/>
      <c r="W48" s="11"/>
      <c r="X48" s="11"/>
      <c r="Y48" s="220"/>
      <c r="Z48" s="184"/>
      <c r="AA48" s="184"/>
      <c r="AB48" s="11"/>
      <c r="AC48" s="11"/>
      <c r="AD48" s="220"/>
      <c r="AE48" s="184"/>
      <c r="AF48" s="184"/>
      <c r="AG48" s="11"/>
      <c r="AH48" s="11"/>
      <c r="AI48" s="220"/>
      <c r="AJ48" s="184"/>
      <c r="AK48" s="184"/>
      <c r="AL48" s="11"/>
      <c r="AM48" s="11"/>
      <c r="AN48" s="220"/>
      <c r="AO48" s="184"/>
      <c r="AP48" s="184"/>
      <c r="AQ48" s="11"/>
      <c r="AR48" s="11"/>
      <c r="AS48" s="220"/>
      <c r="AT48" s="184"/>
      <c r="AU48" s="184"/>
      <c r="AV48" s="11"/>
      <c r="AW48" s="11"/>
      <c r="AX48" s="220"/>
      <c r="AY48" s="184"/>
      <c r="AZ48" s="184"/>
      <c r="BA48" s="11"/>
      <c r="BB48" s="11"/>
      <c r="BC48" s="220"/>
      <c r="BD48" s="184"/>
      <c r="BE48" s="184"/>
      <c r="BF48" s="11"/>
      <c r="BG48" s="11"/>
      <c r="BH48" s="220"/>
      <c r="BI48" s="184"/>
      <c r="BJ48" s="184"/>
      <c r="BK48" s="184"/>
      <c r="BL48" s="184"/>
      <c r="BM48" s="184"/>
      <c r="BN48" s="184"/>
      <c r="BO48" s="184"/>
      <c r="BP48" s="184"/>
    </row>
    <row r="49">
      <c r="A49" s="245" t="str">
        <f>IF( $AM$11 = "再製作", "◼︎ ショートステンカラーコート（対応着地：再製作）" &amp; char(10) &amp; "《修正数値》", IF($AM$11 &lt;&gt; "", "◼︎ ショートステンカラーコート（対応着地：お直し）"  &amp; char(10) &amp; "《修正数値》", ""))</f>
        <v/>
      </c>
      <c r="B49" s="240"/>
      <c r="C49" s="11"/>
      <c r="D49" s="11"/>
      <c r="E49" s="220"/>
      <c r="F49" s="220"/>
      <c r="G49" s="220"/>
      <c r="H49" s="11"/>
      <c r="I49" s="11"/>
      <c r="J49" s="220"/>
      <c r="K49" s="184"/>
      <c r="L49" s="184"/>
      <c r="M49" s="11"/>
      <c r="N49" s="11"/>
      <c r="O49" s="195"/>
      <c r="P49" s="11"/>
      <c r="Q49" s="11"/>
      <c r="R49" s="12"/>
      <c r="S49" s="11"/>
      <c r="T49" s="220"/>
      <c r="U49" s="184"/>
      <c r="V49" s="184"/>
      <c r="W49" s="11"/>
      <c r="X49" s="11"/>
      <c r="Y49" s="220"/>
      <c r="Z49" s="184"/>
      <c r="AA49" s="184"/>
      <c r="AB49" s="11"/>
      <c r="AC49" s="11"/>
      <c r="AD49" s="220"/>
      <c r="AE49" s="184"/>
      <c r="AF49" s="184"/>
      <c r="AG49" s="11"/>
      <c r="AH49" s="11"/>
      <c r="AI49" s="220"/>
      <c r="AJ49" s="184"/>
      <c r="AK49" s="184"/>
      <c r="AL49" s="11"/>
      <c r="AM49" s="11"/>
      <c r="AN49" s="220"/>
      <c r="AO49" s="184"/>
      <c r="AP49" s="184"/>
      <c r="AQ49" s="11"/>
      <c r="AR49" s="11"/>
      <c r="AS49" s="220"/>
      <c r="AT49" s="184"/>
      <c r="AU49" s="184"/>
      <c r="AV49" s="11"/>
      <c r="AW49" s="11"/>
      <c r="AX49" s="220"/>
      <c r="AY49" s="184"/>
      <c r="AZ49" s="184"/>
      <c r="BA49" s="11"/>
      <c r="BB49" s="11"/>
      <c r="BC49" s="220"/>
      <c r="BD49" s="184"/>
      <c r="BE49" s="184"/>
      <c r="BF49" s="11"/>
      <c r="BG49" s="11"/>
      <c r="BH49" s="220"/>
      <c r="BI49" s="184"/>
      <c r="BJ49" s="184"/>
      <c r="BK49" s="184"/>
      <c r="BL49" s="184"/>
      <c r="BM49" s="184"/>
      <c r="BN49" s="184"/>
      <c r="BO49" s="184"/>
      <c r="BP49" s="184"/>
    </row>
    <row r="50">
      <c r="A50" s="228" t="str">
        <f>IFERROR(__xludf.DUMMYFUNCTION("TEXTJOIN(CHAR(10),TRUE,FILTER(ARRAYFORMULA(IF(AN$14:AN72&lt;&gt;"""",AM$14:AM72&amp;"" : ""&amp; AN$14:AN72 &amp;"" cm"" &amp; ""（仕上がり寸：cm）"","""")), AM$14:AM72 &lt;&gt;""""))"),"")</f>
        <v/>
      </c>
      <c r="B50" s="240"/>
      <c r="C50" s="11"/>
      <c r="D50" s="11"/>
      <c r="E50" s="220"/>
      <c r="F50" s="220"/>
      <c r="G50" s="220"/>
      <c r="H50" s="11"/>
      <c r="I50" s="11"/>
      <c r="J50" s="220"/>
      <c r="K50" s="184"/>
      <c r="L50" s="184"/>
      <c r="M50" s="11"/>
      <c r="N50" s="11"/>
      <c r="O50" s="195"/>
      <c r="P50" s="11"/>
      <c r="Q50" s="11"/>
      <c r="R50" s="12"/>
      <c r="S50" s="11"/>
      <c r="T50" s="220"/>
      <c r="U50" s="184"/>
      <c r="V50" s="184"/>
      <c r="W50" s="11"/>
      <c r="X50" s="11"/>
      <c r="Y50" s="220"/>
      <c r="Z50" s="184"/>
      <c r="AA50" s="184"/>
      <c r="AB50" s="11"/>
      <c r="AC50" s="11"/>
      <c r="AD50" s="220"/>
      <c r="AE50" s="184"/>
      <c r="AF50" s="184"/>
      <c r="AG50" s="11"/>
      <c r="AH50" s="11"/>
      <c r="AI50" s="220"/>
      <c r="AJ50" s="184"/>
      <c r="AK50" s="184"/>
      <c r="AL50" s="11"/>
      <c r="AM50" s="11"/>
      <c r="AN50" s="220"/>
      <c r="AO50" s="184"/>
      <c r="AP50" s="184"/>
      <c r="AQ50" s="11"/>
      <c r="AR50" s="11"/>
      <c r="AS50" s="220"/>
      <c r="AT50" s="184"/>
      <c r="AU50" s="184"/>
      <c r="AV50" s="11"/>
      <c r="AW50" s="11"/>
      <c r="AX50" s="220"/>
      <c r="AY50" s="184"/>
      <c r="AZ50" s="184"/>
      <c r="BA50" s="11"/>
      <c r="BB50" s="11"/>
      <c r="BC50" s="220"/>
      <c r="BD50" s="184"/>
      <c r="BE50" s="184"/>
      <c r="BF50" s="11"/>
      <c r="BG50" s="11"/>
      <c r="BH50" s="220"/>
      <c r="BI50" s="184"/>
      <c r="BJ50" s="184"/>
      <c r="BK50" s="184"/>
      <c r="BL50" s="184"/>
      <c r="BM50" s="184"/>
      <c r="BN50" s="184"/>
      <c r="BO50" s="184"/>
      <c r="BP50" s="184"/>
    </row>
    <row r="51">
      <c r="A51" s="244" t="str">
        <f>if($A$49&lt;&gt;"", "《仕上がり数値》","")</f>
        <v/>
      </c>
      <c r="B51" s="240"/>
      <c r="C51" s="11"/>
      <c r="D51" s="11"/>
      <c r="E51" s="220"/>
      <c r="F51" s="220"/>
      <c r="G51" s="220"/>
      <c r="H51" s="11"/>
      <c r="I51" s="11"/>
      <c r="J51" s="220"/>
      <c r="K51" s="184"/>
      <c r="L51" s="184"/>
      <c r="M51" s="11"/>
      <c r="N51" s="11"/>
      <c r="O51" s="195"/>
      <c r="P51" s="11"/>
      <c r="Q51" s="11"/>
      <c r="R51" s="12"/>
      <c r="S51" s="11"/>
      <c r="T51" s="220"/>
      <c r="U51" s="184"/>
      <c r="V51" s="184"/>
      <c r="W51" s="11"/>
      <c r="X51" s="11"/>
      <c r="Y51" s="220"/>
      <c r="Z51" s="184"/>
      <c r="AA51" s="184"/>
      <c r="AB51" s="11"/>
      <c r="AC51" s="11"/>
      <c r="AD51" s="220"/>
      <c r="AE51" s="184"/>
      <c r="AF51" s="184"/>
      <c r="AG51" s="11"/>
      <c r="AH51" s="11"/>
      <c r="AI51" s="220"/>
      <c r="AJ51" s="184"/>
      <c r="AK51" s="184"/>
      <c r="AL51" s="11"/>
      <c r="AM51" s="11"/>
      <c r="AN51" s="220"/>
      <c r="AO51" s="184"/>
      <c r="AP51" s="184"/>
      <c r="AQ51" s="11"/>
      <c r="AR51" s="11"/>
      <c r="AS51" s="220"/>
      <c r="AT51" s="184"/>
      <c r="AU51" s="184"/>
      <c r="AV51" s="11"/>
      <c r="AW51" s="11"/>
      <c r="AX51" s="220"/>
      <c r="AY51" s="184"/>
      <c r="AZ51" s="184"/>
      <c r="BA51" s="11"/>
      <c r="BB51" s="11"/>
      <c r="BC51" s="220"/>
      <c r="BD51" s="184"/>
      <c r="BE51" s="184"/>
      <c r="BF51" s="11"/>
      <c r="BG51" s="11"/>
      <c r="BH51" s="220"/>
      <c r="BI51" s="184"/>
      <c r="BJ51" s="184"/>
      <c r="BK51" s="184"/>
      <c r="BL51" s="184"/>
      <c r="BM51" s="184"/>
      <c r="BN51" s="184"/>
      <c r="BO51" s="184"/>
      <c r="BP51" s="184"/>
    </row>
    <row r="52">
      <c r="A52" s="228" t="str">
        <f>IFERROR(__xludf.DUMMYFUNCTION("TEXTJOIN(CHAR(10),TRUE,FILTER(ARRAYFORMULA(IF(AN$14:AN72&lt;&gt;"""",AM$14:AM72&amp;"" : ""&amp; AN$14:AN72 &amp;"" cm"" &amp; ""（仕上がり寸：cm）"","""")), AM$14:AM72 &lt;&gt;""""))"),"")</f>
        <v/>
      </c>
      <c r="B52" s="240"/>
      <c r="C52" s="11"/>
      <c r="D52" s="11"/>
      <c r="E52" s="220"/>
      <c r="F52" s="220"/>
      <c r="G52" s="220"/>
      <c r="H52" s="11"/>
      <c r="I52" s="11"/>
      <c r="J52" s="220"/>
      <c r="K52" s="184"/>
      <c r="L52" s="184"/>
      <c r="M52" s="11"/>
      <c r="N52" s="11"/>
      <c r="O52" s="195"/>
      <c r="P52" s="11"/>
      <c r="Q52" s="11"/>
      <c r="R52" s="12"/>
      <c r="S52" s="11"/>
      <c r="T52" s="220"/>
      <c r="U52" s="184"/>
      <c r="V52" s="184"/>
      <c r="W52" s="11"/>
      <c r="X52" s="11"/>
      <c r="Y52" s="220"/>
      <c r="Z52" s="184"/>
      <c r="AA52" s="184"/>
      <c r="AB52" s="11"/>
      <c r="AC52" s="11"/>
      <c r="AD52" s="220"/>
      <c r="AE52" s="184"/>
      <c r="AF52" s="184"/>
      <c r="AG52" s="11"/>
      <c r="AH52" s="11"/>
      <c r="AI52" s="220"/>
      <c r="AJ52" s="184"/>
      <c r="AK52" s="184"/>
      <c r="AL52" s="11"/>
      <c r="AM52" s="11"/>
      <c r="AN52" s="220"/>
      <c r="AO52" s="184"/>
      <c r="AP52" s="184"/>
      <c r="AQ52" s="11"/>
      <c r="AR52" s="11"/>
      <c r="AS52" s="220"/>
      <c r="AT52" s="184"/>
      <c r="AU52" s="184"/>
      <c r="AV52" s="11"/>
      <c r="AW52" s="11"/>
      <c r="AX52" s="220"/>
      <c r="AY52" s="184"/>
      <c r="AZ52" s="184"/>
      <c r="BA52" s="11"/>
      <c r="BB52" s="11"/>
      <c r="BC52" s="220"/>
      <c r="BD52" s="184"/>
      <c r="BE52" s="184"/>
      <c r="BF52" s="11"/>
      <c r="BG52" s="11"/>
      <c r="BH52" s="220"/>
      <c r="BI52" s="184"/>
      <c r="BJ52" s="184"/>
      <c r="BK52" s="184"/>
      <c r="BL52" s="184"/>
      <c r="BM52" s="184"/>
      <c r="BN52" s="184"/>
      <c r="BO52" s="184"/>
      <c r="BP52" s="184"/>
    </row>
    <row r="53">
      <c r="A53" s="243" t="s">
        <v>123</v>
      </c>
      <c r="B53" s="240"/>
      <c r="C53" s="11"/>
      <c r="D53" s="11"/>
      <c r="E53" s="220"/>
      <c r="F53" s="220"/>
      <c r="G53" s="220"/>
      <c r="H53" s="11"/>
      <c r="I53" s="11"/>
      <c r="J53" s="220"/>
      <c r="K53" s="184"/>
      <c r="L53" s="184"/>
      <c r="M53" s="11"/>
      <c r="N53" s="11"/>
      <c r="O53" s="195"/>
      <c r="P53" s="11"/>
      <c r="Q53" s="11"/>
      <c r="R53" s="12"/>
      <c r="S53" s="11"/>
      <c r="T53" s="220"/>
      <c r="U53" s="184"/>
      <c r="V53" s="184"/>
      <c r="W53" s="11"/>
      <c r="X53" s="11"/>
      <c r="Y53" s="220"/>
      <c r="Z53" s="184"/>
      <c r="AA53" s="184"/>
      <c r="AB53" s="11"/>
      <c r="AC53" s="11"/>
      <c r="AD53" s="220"/>
      <c r="AE53" s="184"/>
      <c r="AF53" s="184"/>
      <c r="AG53" s="11"/>
      <c r="AH53" s="11"/>
      <c r="AI53" s="220"/>
      <c r="AJ53" s="184"/>
      <c r="AK53" s="184"/>
      <c r="AL53" s="11"/>
      <c r="AM53" s="11"/>
      <c r="AN53" s="220"/>
      <c r="AO53" s="184"/>
      <c r="AP53" s="184"/>
      <c r="AQ53" s="11"/>
      <c r="AR53" s="11"/>
      <c r="AS53" s="220"/>
      <c r="AT53" s="184"/>
      <c r="AU53" s="184"/>
      <c r="AV53" s="11"/>
      <c r="AW53" s="11"/>
      <c r="AX53" s="220"/>
      <c r="AY53" s="184"/>
      <c r="AZ53" s="184"/>
      <c r="BA53" s="11"/>
      <c r="BB53" s="11"/>
      <c r="BC53" s="220"/>
      <c r="BD53" s="184"/>
      <c r="BE53" s="184"/>
      <c r="BF53" s="11"/>
      <c r="BG53" s="11"/>
      <c r="BH53" s="220"/>
      <c r="BI53" s="184"/>
      <c r="BJ53" s="184"/>
      <c r="BK53" s="184"/>
      <c r="BL53" s="184"/>
      <c r="BM53" s="184"/>
      <c r="BN53" s="184"/>
      <c r="BO53" s="184"/>
      <c r="BP53" s="184"/>
    </row>
    <row r="54">
      <c r="A54" s="245" t="str">
        <f>IF( $AR$11 = "再製作", "◼︎ ステンカラーコート（対応着地：再製作）" &amp;char(10)&amp; "《修正数値》", IF($AR$11 &lt;&gt; "", "◼︎ ステンカラーコート（対応着地：お直し）" &amp;char(10)&amp; "《修正数値》", ""))</f>
        <v/>
      </c>
      <c r="B54" s="240"/>
      <c r="C54" s="11"/>
      <c r="D54" s="11"/>
      <c r="E54" s="220"/>
      <c r="F54" s="220"/>
      <c r="G54" s="220"/>
      <c r="H54" s="11"/>
      <c r="I54" s="11"/>
      <c r="J54" s="220"/>
      <c r="K54" s="184"/>
      <c r="L54" s="184"/>
      <c r="M54" s="11"/>
      <c r="N54" s="11"/>
      <c r="O54" s="195"/>
      <c r="P54" s="11"/>
      <c r="Q54" s="11"/>
      <c r="R54" s="12"/>
      <c r="S54" s="11"/>
      <c r="T54" s="220"/>
      <c r="U54" s="184"/>
      <c r="V54" s="184"/>
      <c r="W54" s="11"/>
      <c r="X54" s="11"/>
      <c r="Y54" s="220"/>
      <c r="Z54" s="184"/>
      <c r="AA54" s="184"/>
      <c r="AB54" s="11"/>
      <c r="AC54" s="11"/>
      <c r="AD54" s="220"/>
      <c r="AE54" s="184"/>
      <c r="AF54" s="184"/>
      <c r="AG54" s="11"/>
      <c r="AH54" s="11"/>
      <c r="AI54" s="220"/>
      <c r="AJ54" s="184"/>
      <c r="AK54" s="184"/>
      <c r="AL54" s="11"/>
      <c r="AM54" s="11"/>
      <c r="AN54" s="220"/>
      <c r="AO54" s="184"/>
      <c r="AP54" s="184"/>
      <c r="AQ54" s="11"/>
      <c r="AR54" s="11"/>
      <c r="AS54" s="220"/>
      <c r="AT54" s="184"/>
      <c r="AU54" s="184"/>
      <c r="AV54" s="11"/>
      <c r="AW54" s="11"/>
      <c r="AX54" s="220"/>
      <c r="AY54" s="184"/>
      <c r="AZ54" s="184"/>
      <c r="BA54" s="11"/>
      <c r="BB54" s="11"/>
      <c r="BC54" s="220"/>
      <c r="BD54" s="184"/>
      <c r="BE54" s="184"/>
      <c r="BF54" s="11"/>
      <c r="BG54" s="11"/>
      <c r="BH54" s="220"/>
      <c r="BI54" s="184"/>
      <c r="BJ54" s="184"/>
      <c r="BK54" s="184"/>
      <c r="BL54" s="184"/>
      <c r="BM54" s="184"/>
      <c r="BN54" s="184"/>
      <c r="BO54" s="184"/>
      <c r="BP54" s="184"/>
    </row>
    <row r="55">
      <c r="A55" s="228" t="str">
        <f>IFERROR(__xludf.DUMMYFUNCTION("TEXTJOIN(CHAR(10),TRUE,FILTER(ARRAYFORMULA(IF(AS$14:AS72&lt;&gt;"""",AR$14:AR72&amp;"" : ""&amp; AS$14:AS72 &amp;"" cm"","""")), AR$14:AR72 &lt;&gt;""""))"),"")</f>
        <v/>
      </c>
      <c r="B55" s="240"/>
      <c r="C55" s="11"/>
      <c r="D55" s="11"/>
      <c r="E55" s="220"/>
      <c r="F55" s="220"/>
      <c r="G55" s="220"/>
      <c r="H55" s="11"/>
      <c r="I55" s="11"/>
      <c r="J55" s="220"/>
      <c r="K55" s="184"/>
      <c r="L55" s="184"/>
      <c r="M55" s="11"/>
      <c r="N55" s="11"/>
      <c r="O55" s="195"/>
      <c r="P55" s="11"/>
      <c r="Q55" s="11"/>
      <c r="R55" s="12"/>
      <c r="S55" s="11"/>
      <c r="T55" s="220"/>
      <c r="U55" s="184"/>
      <c r="V55" s="184"/>
      <c r="W55" s="11"/>
      <c r="X55" s="11"/>
      <c r="Y55" s="220"/>
      <c r="Z55" s="184"/>
      <c r="AA55" s="184"/>
      <c r="AB55" s="11"/>
      <c r="AC55" s="11"/>
      <c r="AD55" s="220"/>
      <c r="AE55" s="184"/>
      <c r="AF55" s="184"/>
      <c r="AG55" s="11"/>
      <c r="AH55" s="11"/>
      <c r="AI55" s="220"/>
      <c r="AJ55" s="184"/>
      <c r="AK55" s="184"/>
      <c r="AL55" s="11"/>
      <c r="AM55" s="11"/>
      <c r="AN55" s="220"/>
      <c r="AO55" s="184"/>
      <c r="AP55" s="184"/>
      <c r="AQ55" s="11"/>
      <c r="AR55" s="11"/>
      <c r="AS55" s="220"/>
      <c r="AT55" s="184"/>
      <c r="AU55" s="184"/>
      <c r="AV55" s="11"/>
      <c r="AW55" s="11"/>
      <c r="AX55" s="220"/>
      <c r="AY55" s="184"/>
      <c r="AZ55" s="184"/>
      <c r="BA55" s="11"/>
      <c r="BB55" s="11"/>
      <c r="BC55" s="220"/>
      <c r="BD55" s="184"/>
      <c r="BE55" s="184"/>
      <c r="BF55" s="11"/>
      <c r="BG55" s="11"/>
      <c r="BH55" s="220"/>
      <c r="BI55" s="184"/>
      <c r="BJ55" s="184"/>
      <c r="BK55" s="184"/>
      <c r="BL55" s="184"/>
      <c r="BM55" s="184"/>
      <c r="BN55" s="184"/>
      <c r="BO55" s="184"/>
      <c r="BP55" s="184"/>
    </row>
    <row r="56">
      <c r="A56" s="244" t="str">
        <f>if($A$54&lt;&gt;"", "《仕上がり数値》","")</f>
        <v/>
      </c>
      <c r="B56" s="240"/>
      <c r="C56" s="11"/>
      <c r="D56" s="11"/>
      <c r="E56" s="220"/>
      <c r="F56" s="220"/>
      <c r="G56" s="220"/>
      <c r="H56" s="11"/>
      <c r="I56" s="11"/>
      <c r="J56" s="220"/>
      <c r="K56" s="184"/>
      <c r="L56" s="184"/>
      <c r="M56" s="11"/>
      <c r="N56" s="11"/>
      <c r="O56" s="195"/>
      <c r="P56" s="11"/>
      <c r="Q56" s="11"/>
      <c r="R56" s="12"/>
      <c r="S56" s="11"/>
      <c r="T56" s="220"/>
      <c r="U56" s="184"/>
      <c r="V56" s="184"/>
      <c r="W56" s="11"/>
      <c r="X56" s="11"/>
      <c r="Y56" s="220"/>
      <c r="Z56" s="184"/>
      <c r="AA56" s="184"/>
      <c r="AB56" s="11"/>
      <c r="AC56" s="11"/>
      <c r="AD56" s="220"/>
      <c r="AE56" s="184"/>
      <c r="AF56" s="184"/>
      <c r="AG56" s="11"/>
      <c r="AH56" s="11"/>
      <c r="AI56" s="220"/>
      <c r="AJ56" s="184"/>
      <c r="AK56" s="184"/>
      <c r="AL56" s="11"/>
      <c r="AM56" s="11"/>
      <c r="AN56" s="220"/>
      <c r="AO56" s="184"/>
      <c r="AP56" s="184"/>
      <c r="AQ56" s="11"/>
      <c r="AR56" s="11"/>
      <c r="AS56" s="220"/>
      <c r="AT56" s="184"/>
      <c r="AU56" s="184"/>
      <c r="AV56" s="11"/>
      <c r="AW56" s="11"/>
      <c r="AX56" s="220"/>
      <c r="AY56" s="184"/>
      <c r="AZ56" s="184"/>
      <c r="BA56" s="11"/>
      <c r="BB56" s="11"/>
      <c r="BC56" s="220"/>
      <c r="BD56" s="184"/>
      <c r="BE56" s="184"/>
      <c r="BF56" s="11"/>
      <c r="BG56" s="11"/>
      <c r="BH56" s="220"/>
      <c r="BI56" s="184"/>
      <c r="BJ56" s="184"/>
      <c r="BK56" s="184"/>
      <c r="BL56" s="184"/>
      <c r="BM56" s="184"/>
      <c r="BN56" s="184"/>
      <c r="BO56" s="184"/>
      <c r="BP56" s="184"/>
    </row>
    <row r="57">
      <c r="A57" s="228" t="str">
        <f>IFERROR(__xludf.DUMMYFUNCTION("TEXTJOIN(CHAR(10),TRUE,FILTER(ARRAYFORMULA(IF(AS$14:AS72&lt;&gt;"""",AR$14:AR72&amp;"" :  cm"","""")), AR$14:AR72 &lt;&gt;""""))"),"")</f>
        <v/>
      </c>
      <c r="B57" s="240"/>
      <c r="C57" s="11"/>
      <c r="D57" s="11"/>
      <c r="E57" s="220"/>
      <c r="F57" s="220"/>
      <c r="G57" s="220"/>
      <c r="H57" s="11"/>
      <c r="I57" s="11"/>
      <c r="J57" s="220"/>
      <c r="K57" s="184"/>
      <c r="L57" s="184"/>
      <c r="M57" s="11"/>
      <c r="N57" s="11"/>
      <c r="O57" s="195"/>
      <c r="P57" s="11"/>
      <c r="Q57" s="11"/>
      <c r="R57" s="12"/>
      <c r="S57" s="11"/>
      <c r="T57" s="220"/>
      <c r="U57" s="184"/>
      <c r="V57" s="184"/>
      <c r="W57" s="11"/>
      <c r="X57" s="11"/>
      <c r="Y57" s="220"/>
      <c r="Z57" s="184"/>
      <c r="AA57" s="184"/>
      <c r="AB57" s="11"/>
      <c r="AC57" s="11"/>
      <c r="AD57" s="220"/>
      <c r="AE57" s="184"/>
      <c r="AF57" s="184"/>
      <c r="AG57" s="11"/>
      <c r="AH57" s="11"/>
      <c r="AI57" s="220"/>
      <c r="AJ57" s="184"/>
      <c r="AK57" s="184"/>
      <c r="AL57" s="11"/>
      <c r="AM57" s="11"/>
      <c r="AN57" s="220"/>
      <c r="AO57" s="184"/>
      <c r="AP57" s="184"/>
      <c r="AQ57" s="11"/>
      <c r="AR57" s="11"/>
      <c r="AS57" s="220"/>
      <c r="AT57" s="184"/>
      <c r="AU57" s="184"/>
      <c r="AV57" s="11"/>
      <c r="AW57" s="11"/>
      <c r="AX57" s="220"/>
      <c r="AY57" s="184"/>
      <c r="AZ57" s="184"/>
      <c r="BA57" s="11"/>
      <c r="BB57" s="11"/>
      <c r="BC57" s="220"/>
      <c r="BD57" s="184"/>
      <c r="BE57" s="184"/>
      <c r="BF57" s="11"/>
      <c r="BG57" s="11"/>
      <c r="BH57" s="220"/>
      <c r="BI57" s="184"/>
      <c r="BJ57" s="184"/>
      <c r="BK57" s="184"/>
      <c r="BL57" s="184"/>
      <c r="BM57" s="184"/>
      <c r="BN57" s="184"/>
      <c r="BO57" s="184"/>
      <c r="BP57" s="184"/>
    </row>
    <row r="58">
      <c r="A58" s="243" t="s">
        <v>124</v>
      </c>
      <c r="B58" s="240"/>
      <c r="C58" s="11"/>
      <c r="D58" s="11"/>
      <c r="E58" s="220"/>
      <c r="F58" s="220"/>
      <c r="G58" s="220"/>
      <c r="H58" s="11"/>
      <c r="I58" s="11"/>
      <c r="J58" s="220"/>
      <c r="K58" s="184"/>
      <c r="L58" s="184"/>
      <c r="M58" s="11"/>
      <c r="N58" s="11"/>
      <c r="O58" s="195"/>
      <c r="P58" s="11"/>
      <c r="Q58" s="11"/>
      <c r="R58" s="12"/>
      <c r="S58" s="11"/>
      <c r="T58" s="220"/>
      <c r="U58" s="184"/>
      <c r="V58" s="184"/>
      <c r="W58" s="11"/>
      <c r="X58" s="11"/>
      <c r="Y58" s="220"/>
      <c r="Z58" s="184"/>
      <c r="AA58" s="184"/>
      <c r="AB58" s="11"/>
      <c r="AC58" s="11"/>
      <c r="AD58" s="220"/>
      <c r="AE58" s="184"/>
      <c r="AF58" s="184"/>
      <c r="AG58" s="11"/>
      <c r="AH58" s="11"/>
      <c r="AI58" s="220"/>
      <c r="AJ58" s="184"/>
      <c r="AK58" s="184"/>
      <c r="AL58" s="11"/>
      <c r="AM58" s="11"/>
      <c r="AN58" s="220"/>
      <c r="AO58" s="184"/>
      <c r="AP58" s="184"/>
      <c r="AQ58" s="11"/>
      <c r="AR58" s="11"/>
      <c r="AS58" s="220"/>
      <c r="AT58" s="184"/>
      <c r="AU58" s="184"/>
      <c r="AV58" s="11"/>
      <c r="AW58" s="11"/>
      <c r="AX58" s="220"/>
      <c r="AY58" s="184"/>
      <c r="AZ58" s="184"/>
      <c r="BA58" s="11"/>
      <c r="BB58" s="11"/>
      <c r="BC58" s="220"/>
      <c r="BD58" s="184"/>
      <c r="BE58" s="184"/>
      <c r="BF58" s="11"/>
      <c r="BG58" s="11"/>
      <c r="BH58" s="220"/>
      <c r="BI58" s="184"/>
      <c r="BJ58" s="184"/>
      <c r="BK58" s="184"/>
      <c r="BL58" s="184"/>
      <c r="BM58" s="184"/>
      <c r="BN58" s="184"/>
      <c r="BO58" s="184"/>
      <c r="BP58" s="184"/>
    </row>
    <row r="59">
      <c r="A59" s="245" t="str">
        <f>IF( $AW$11 = "再製作", "◼︎ チェスターコート（対応着地：再製作）" &amp;char(10)&amp;"《修正数値》", IF($AW$11 &lt;&gt; "", "◼︎ チェスターコート（対応着地：お直し）" &amp;char(10)&amp;"《修正数値》", ""))</f>
        <v/>
      </c>
      <c r="B59" s="240"/>
      <c r="C59" s="11"/>
      <c r="D59" s="11"/>
      <c r="E59" s="220"/>
      <c r="F59" s="220"/>
      <c r="G59" s="220"/>
      <c r="H59" s="11"/>
      <c r="I59" s="11"/>
      <c r="J59" s="220"/>
      <c r="K59" s="184"/>
      <c r="L59" s="184"/>
      <c r="M59" s="11"/>
      <c r="N59" s="11"/>
      <c r="O59" s="195"/>
      <c r="P59" s="11"/>
      <c r="Q59" s="11"/>
      <c r="R59" s="12"/>
      <c r="S59" s="11"/>
      <c r="T59" s="220"/>
      <c r="U59" s="184"/>
      <c r="V59" s="184"/>
      <c r="W59" s="11"/>
      <c r="X59" s="11"/>
      <c r="Y59" s="220"/>
      <c r="Z59" s="184"/>
      <c r="AA59" s="184"/>
      <c r="AB59" s="11"/>
      <c r="AC59" s="11"/>
      <c r="AD59" s="220"/>
      <c r="AE59" s="184"/>
      <c r="AF59" s="184"/>
      <c r="AG59" s="11"/>
      <c r="AH59" s="11"/>
      <c r="AI59" s="220"/>
      <c r="AJ59" s="184"/>
      <c r="AK59" s="184"/>
      <c r="AL59" s="11"/>
      <c r="AM59" s="11"/>
      <c r="AN59" s="220"/>
      <c r="AO59" s="184"/>
      <c r="AP59" s="184"/>
      <c r="AQ59" s="11"/>
      <c r="AR59" s="11"/>
      <c r="AS59" s="220"/>
      <c r="AT59" s="184"/>
      <c r="AU59" s="184"/>
      <c r="AV59" s="11"/>
      <c r="AW59" s="11"/>
      <c r="AX59" s="220"/>
      <c r="AY59" s="184"/>
      <c r="AZ59" s="184"/>
      <c r="BA59" s="11"/>
      <c r="BB59" s="11"/>
      <c r="BC59" s="220"/>
      <c r="BD59" s="184"/>
      <c r="BE59" s="184"/>
      <c r="BF59" s="11"/>
      <c r="BG59" s="11"/>
      <c r="BH59" s="220"/>
      <c r="BI59" s="184"/>
      <c r="BJ59" s="184"/>
      <c r="BK59" s="184"/>
      <c r="BL59" s="184"/>
      <c r="BM59" s="184"/>
      <c r="BN59" s="184"/>
      <c r="BO59" s="184"/>
      <c r="BP59" s="184"/>
    </row>
    <row r="60">
      <c r="A60" s="228" t="str">
        <f>IFERROR(__xludf.DUMMYFUNCTION("TEXTJOIN(CHAR(10),TRUE,FILTER(ARRAYFORMULA(IF(AX$14:AX72&lt;&gt;"""",AW$14:AW72&amp;"" : ""&amp; AX$14:AX72 &amp;"" cm"","""")), AC$14:AC72 &lt;&gt;""""))"),"")</f>
        <v/>
      </c>
      <c r="B60" s="240"/>
      <c r="C60" s="11"/>
      <c r="D60" s="11"/>
      <c r="E60" s="220"/>
      <c r="F60" s="220"/>
      <c r="G60" s="220"/>
      <c r="H60" s="11"/>
      <c r="I60" s="11"/>
      <c r="J60" s="220"/>
      <c r="K60" s="184"/>
      <c r="L60" s="184"/>
      <c r="M60" s="11"/>
      <c r="N60" s="11"/>
      <c r="O60" s="195"/>
      <c r="P60" s="11"/>
      <c r="Q60" s="11"/>
      <c r="R60" s="12"/>
      <c r="S60" s="11"/>
      <c r="T60" s="220"/>
      <c r="U60" s="184"/>
      <c r="V60" s="184"/>
      <c r="W60" s="11"/>
      <c r="X60" s="11"/>
      <c r="Y60" s="220"/>
      <c r="Z60" s="184"/>
      <c r="AA60" s="184"/>
      <c r="AB60" s="11"/>
      <c r="AC60" s="11"/>
      <c r="AD60" s="220"/>
      <c r="AE60" s="184"/>
      <c r="AF60" s="184"/>
      <c r="AG60" s="11"/>
      <c r="AH60" s="11"/>
      <c r="AI60" s="220"/>
      <c r="AJ60" s="184"/>
      <c r="AK60" s="184"/>
      <c r="AL60" s="11"/>
      <c r="AM60" s="11"/>
      <c r="AN60" s="220"/>
      <c r="AO60" s="184"/>
      <c r="AP60" s="184"/>
      <c r="AQ60" s="11"/>
      <c r="AR60" s="11"/>
      <c r="AS60" s="220"/>
      <c r="AT60" s="184"/>
      <c r="AU60" s="184"/>
      <c r="AV60" s="11"/>
      <c r="AW60" s="11"/>
      <c r="AX60" s="220"/>
      <c r="AY60" s="184"/>
      <c r="AZ60" s="184"/>
      <c r="BA60" s="11"/>
      <c r="BB60" s="11"/>
      <c r="BC60" s="220"/>
      <c r="BD60" s="184"/>
      <c r="BE60" s="184"/>
      <c r="BF60" s="11"/>
      <c r="BG60" s="11"/>
      <c r="BH60" s="220"/>
      <c r="BI60" s="184"/>
      <c r="BJ60" s="184"/>
      <c r="BK60" s="184"/>
      <c r="BL60" s="184"/>
      <c r="BM60" s="184"/>
      <c r="BN60" s="184"/>
      <c r="BO60" s="184"/>
      <c r="BP60" s="184"/>
    </row>
    <row r="61">
      <c r="A61" s="244" t="str">
        <f>if($A$59&lt;&gt;"", "《仕上がり数値》","")</f>
        <v/>
      </c>
      <c r="B61" s="240"/>
      <c r="C61" s="11"/>
      <c r="D61" s="11"/>
      <c r="E61" s="220"/>
      <c r="F61" s="220"/>
      <c r="G61" s="220"/>
      <c r="H61" s="11"/>
      <c r="I61" s="11"/>
      <c r="J61" s="220"/>
      <c r="K61" s="184"/>
      <c r="L61" s="184"/>
      <c r="M61" s="11"/>
      <c r="N61" s="11"/>
      <c r="O61" s="195"/>
      <c r="P61" s="11"/>
      <c r="Q61" s="11"/>
      <c r="R61" s="12"/>
      <c r="S61" s="11"/>
      <c r="T61" s="220"/>
      <c r="U61" s="184"/>
      <c r="V61" s="184"/>
      <c r="W61" s="11"/>
      <c r="X61" s="11"/>
      <c r="Y61" s="220"/>
      <c r="Z61" s="184"/>
      <c r="AA61" s="184"/>
      <c r="AB61" s="11"/>
      <c r="AC61" s="11"/>
      <c r="AD61" s="220"/>
      <c r="AE61" s="184"/>
      <c r="AF61" s="184"/>
      <c r="AG61" s="11"/>
      <c r="AH61" s="11"/>
      <c r="AI61" s="220"/>
      <c r="AJ61" s="184"/>
      <c r="AK61" s="184"/>
      <c r="AL61" s="11"/>
      <c r="AM61" s="11"/>
      <c r="AN61" s="220"/>
      <c r="AO61" s="184"/>
      <c r="AP61" s="184"/>
      <c r="AQ61" s="11"/>
      <c r="AR61" s="11"/>
      <c r="AS61" s="220"/>
      <c r="AT61" s="184"/>
      <c r="AU61" s="184"/>
      <c r="AV61" s="11"/>
      <c r="AW61" s="11"/>
      <c r="AX61" s="220"/>
      <c r="AY61" s="184"/>
      <c r="AZ61" s="184"/>
      <c r="BA61" s="11"/>
      <c r="BB61" s="11"/>
      <c r="BC61" s="220"/>
      <c r="BD61" s="184"/>
      <c r="BE61" s="184"/>
      <c r="BF61" s="11"/>
      <c r="BG61" s="11"/>
      <c r="BH61" s="220"/>
      <c r="BI61" s="184"/>
      <c r="BJ61" s="184"/>
      <c r="BK61" s="184"/>
      <c r="BL61" s="184"/>
      <c r="BM61" s="184"/>
      <c r="BN61" s="184"/>
      <c r="BO61" s="184"/>
      <c r="BP61" s="184"/>
    </row>
    <row r="62">
      <c r="A62" s="228" t="str">
        <f>IFERROR(__xludf.DUMMYFUNCTION("TEXTJOIN(CHAR(10),TRUE,FILTER(ARRAYFORMULA(IF(AX$14:AX72&lt;&gt;"""",AW$14:AW72&amp;"" :  cm"","""")), AC$14:AC72 &lt;&gt;""""))"),"")</f>
        <v/>
      </c>
      <c r="B62" s="240"/>
      <c r="C62" s="11"/>
      <c r="D62" s="11"/>
      <c r="E62" s="220"/>
      <c r="F62" s="220"/>
      <c r="G62" s="220"/>
      <c r="H62" s="11"/>
      <c r="I62" s="11"/>
      <c r="J62" s="220"/>
      <c r="K62" s="184"/>
      <c r="L62" s="184"/>
      <c r="M62" s="11"/>
      <c r="N62" s="11"/>
      <c r="O62" s="195"/>
      <c r="P62" s="11"/>
      <c r="Q62" s="11"/>
      <c r="R62" s="12"/>
      <c r="S62" s="11"/>
      <c r="T62" s="220"/>
      <c r="U62" s="184"/>
      <c r="V62" s="184"/>
      <c r="W62" s="11"/>
      <c r="X62" s="11"/>
      <c r="Y62" s="220"/>
      <c r="Z62" s="184"/>
      <c r="AA62" s="184"/>
      <c r="AB62" s="11"/>
      <c r="AC62" s="11"/>
      <c r="AD62" s="220"/>
      <c r="AE62" s="184"/>
      <c r="AF62" s="184"/>
      <c r="AG62" s="11"/>
      <c r="AH62" s="11"/>
      <c r="AI62" s="220"/>
      <c r="AJ62" s="184"/>
      <c r="AK62" s="184"/>
      <c r="AL62" s="11"/>
      <c r="AM62" s="11"/>
      <c r="AN62" s="220"/>
      <c r="AO62" s="184"/>
      <c r="AP62" s="184"/>
      <c r="AQ62" s="11"/>
      <c r="AR62" s="11"/>
      <c r="AS62" s="220"/>
      <c r="AT62" s="184"/>
      <c r="AU62" s="184"/>
      <c r="AV62" s="11"/>
      <c r="AW62" s="11"/>
      <c r="AX62" s="220"/>
      <c r="AY62" s="184"/>
      <c r="AZ62" s="184"/>
      <c r="BA62" s="11"/>
      <c r="BB62" s="11"/>
      <c r="BC62" s="220"/>
      <c r="BD62" s="184"/>
      <c r="BE62" s="184"/>
      <c r="BF62" s="11"/>
      <c r="BG62" s="11"/>
      <c r="BH62" s="220"/>
      <c r="BI62" s="184"/>
      <c r="BJ62" s="184"/>
      <c r="BK62" s="184"/>
      <c r="BL62" s="184"/>
      <c r="BM62" s="184"/>
      <c r="BN62" s="184"/>
      <c r="BO62" s="184"/>
      <c r="BP62" s="184"/>
    </row>
    <row r="63">
      <c r="A63" s="243" t="s">
        <v>125</v>
      </c>
      <c r="B63" s="240"/>
      <c r="C63" s="11"/>
      <c r="D63" s="11"/>
      <c r="E63" s="220"/>
      <c r="F63" s="220"/>
      <c r="G63" s="220"/>
      <c r="H63" s="11"/>
      <c r="I63" s="11"/>
      <c r="J63" s="220"/>
      <c r="K63" s="184"/>
      <c r="L63" s="184"/>
      <c r="M63" s="11"/>
      <c r="N63" s="11"/>
      <c r="O63" s="195"/>
      <c r="P63" s="11"/>
      <c r="Q63" s="11"/>
      <c r="R63" s="12"/>
      <c r="S63" s="11"/>
      <c r="T63" s="220"/>
      <c r="U63" s="184"/>
      <c r="V63" s="184"/>
      <c r="W63" s="11"/>
      <c r="X63" s="11"/>
      <c r="Y63" s="220"/>
      <c r="Z63" s="184"/>
      <c r="AA63" s="184"/>
      <c r="AB63" s="11"/>
      <c r="AC63" s="11"/>
      <c r="AD63" s="220"/>
      <c r="AE63" s="184"/>
      <c r="AF63" s="184"/>
      <c r="AG63" s="11"/>
      <c r="AH63" s="11"/>
      <c r="AI63" s="220"/>
      <c r="AJ63" s="184"/>
      <c r="AK63" s="184"/>
      <c r="AL63" s="11"/>
      <c r="AM63" s="11"/>
      <c r="AN63" s="220"/>
      <c r="AO63" s="184"/>
      <c r="AP63" s="184"/>
      <c r="AQ63" s="11"/>
      <c r="AR63" s="11"/>
      <c r="AS63" s="220"/>
      <c r="AT63" s="184"/>
      <c r="AU63" s="184"/>
      <c r="AV63" s="11"/>
      <c r="AW63" s="11"/>
      <c r="AX63" s="220"/>
      <c r="AY63" s="184"/>
      <c r="AZ63" s="184"/>
      <c r="BA63" s="11"/>
      <c r="BB63" s="11"/>
      <c r="BC63" s="220"/>
      <c r="BD63" s="184"/>
      <c r="BE63" s="184"/>
      <c r="BF63" s="11"/>
      <c r="BG63" s="11"/>
      <c r="BH63" s="220"/>
      <c r="BI63" s="184"/>
      <c r="BJ63" s="184"/>
      <c r="BK63" s="184"/>
      <c r="BL63" s="184"/>
      <c r="BM63" s="184"/>
      <c r="BN63" s="184"/>
      <c r="BO63" s="184"/>
      <c r="BP63" s="184"/>
    </row>
    <row r="64">
      <c r="A64" s="245" t="str">
        <f>IF( $BB$11 = "再製作", "◼︎ トレンチコート（対応着地：再製作）" &amp;char(10)&amp; "《修正数値》", IF($BB$11 &lt;&gt; "", "◼︎ トレンチコート（対応着地：お直し）" &amp;char(10)&amp; "《修正数値》", ""))</f>
        <v/>
      </c>
      <c r="B64" s="240"/>
      <c r="C64" s="11"/>
      <c r="D64" s="11"/>
      <c r="E64" s="220"/>
      <c r="F64" s="220"/>
      <c r="G64" s="220"/>
      <c r="H64" s="11"/>
      <c r="I64" s="11"/>
      <c r="J64" s="220"/>
      <c r="K64" s="184"/>
      <c r="L64" s="184"/>
      <c r="M64" s="11"/>
      <c r="N64" s="11"/>
      <c r="O64" s="195"/>
      <c r="P64" s="11"/>
      <c r="Q64" s="11"/>
      <c r="R64" s="12"/>
      <c r="S64" s="11"/>
      <c r="T64" s="220"/>
      <c r="U64" s="184"/>
      <c r="V64" s="184"/>
      <c r="W64" s="11"/>
      <c r="X64" s="11"/>
      <c r="Y64" s="220"/>
      <c r="Z64" s="184"/>
      <c r="AA64" s="184"/>
      <c r="AB64" s="11"/>
      <c r="AC64" s="11"/>
      <c r="AD64" s="220"/>
      <c r="AE64" s="184"/>
      <c r="AF64" s="184"/>
      <c r="AG64" s="11"/>
      <c r="AH64" s="11"/>
      <c r="AI64" s="220"/>
      <c r="AJ64" s="184"/>
      <c r="AK64" s="184"/>
      <c r="AL64" s="11"/>
      <c r="AM64" s="11"/>
      <c r="AN64" s="220"/>
      <c r="AO64" s="184"/>
      <c r="AP64" s="184"/>
      <c r="AQ64" s="11"/>
      <c r="AR64" s="11"/>
      <c r="AS64" s="220"/>
      <c r="AT64" s="184"/>
      <c r="AU64" s="184"/>
      <c r="AV64" s="11"/>
      <c r="AW64" s="11"/>
      <c r="AX64" s="220"/>
      <c r="AY64" s="184"/>
      <c r="AZ64" s="184"/>
      <c r="BA64" s="11"/>
      <c r="BB64" s="11"/>
      <c r="BC64" s="220"/>
      <c r="BD64" s="184"/>
      <c r="BE64" s="184"/>
      <c r="BF64" s="11"/>
      <c r="BG64" s="11"/>
      <c r="BH64" s="220"/>
      <c r="BI64" s="184"/>
      <c r="BJ64" s="184"/>
      <c r="BK64" s="184"/>
      <c r="BL64" s="184"/>
      <c r="BM64" s="184"/>
      <c r="BN64" s="184"/>
      <c r="BO64" s="184"/>
      <c r="BP64" s="184"/>
    </row>
    <row r="65">
      <c r="A65" s="228" t="str">
        <f>IFERROR(__xludf.DUMMYFUNCTION("TEXTJOIN(CHAR(10),TRUE,FILTER(ARRAYFORMULA(IF(BC$14:BC72&lt;&gt;"""",BB$14:BB72&amp;"" : ""&amp; BC$14:BC72 &amp;"" cm"","""")), BB$14:BB72 &lt;&gt;""""))"),"")</f>
        <v/>
      </c>
      <c r="B65" s="240"/>
      <c r="C65" s="11"/>
      <c r="D65" s="11"/>
      <c r="E65" s="220"/>
      <c r="F65" s="220"/>
      <c r="G65" s="220"/>
      <c r="H65" s="11"/>
      <c r="I65" s="11"/>
      <c r="J65" s="220"/>
      <c r="K65" s="184"/>
      <c r="L65" s="184"/>
      <c r="M65" s="11"/>
      <c r="N65" s="11"/>
      <c r="O65" s="195"/>
      <c r="P65" s="11"/>
      <c r="Q65" s="11"/>
      <c r="R65" s="12"/>
      <c r="S65" s="11"/>
      <c r="T65" s="220"/>
      <c r="U65" s="184"/>
      <c r="V65" s="184"/>
      <c r="W65" s="11"/>
      <c r="X65" s="11"/>
      <c r="Y65" s="220"/>
      <c r="Z65" s="184"/>
      <c r="AA65" s="184"/>
      <c r="AB65" s="11"/>
      <c r="AC65" s="11"/>
      <c r="AD65" s="220"/>
      <c r="AE65" s="184"/>
      <c r="AF65" s="184"/>
      <c r="AG65" s="11"/>
      <c r="AH65" s="11"/>
      <c r="AI65" s="220"/>
      <c r="AJ65" s="184"/>
      <c r="AK65" s="184"/>
      <c r="AL65" s="11"/>
      <c r="AM65" s="11"/>
      <c r="AN65" s="220"/>
      <c r="AO65" s="184"/>
      <c r="AP65" s="184"/>
      <c r="AQ65" s="11"/>
      <c r="AR65" s="11"/>
      <c r="AS65" s="220"/>
      <c r="AT65" s="184"/>
      <c r="AU65" s="184"/>
      <c r="AV65" s="11"/>
      <c r="AW65" s="11"/>
      <c r="AX65" s="220"/>
      <c r="AY65" s="184"/>
      <c r="AZ65" s="184"/>
      <c r="BA65" s="11"/>
      <c r="BB65" s="11"/>
      <c r="BC65" s="220"/>
      <c r="BD65" s="184"/>
      <c r="BE65" s="184"/>
      <c r="BF65" s="11"/>
      <c r="BG65" s="11"/>
      <c r="BH65" s="220"/>
      <c r="BI65" s="184"/>
      <c r="BJ65" s="184"/>
      <c r="BK65" s="184"/>
      <c r="BL65" s="184"/>
      <c r="BM65" s="184"/>
      <c r="BN65" s="184"/>
      <c r="BO65" s="184"/>
      <c r="BP65" s="184"/>
    </row>
    <row r="66">
      <c r="A66" s="244" t="str">
        <f>if($A$64&lt;&gt;"", "《仕上がり数値》","")</f>
        <v/>
      </c>
      <c r="B66" s="240"/>
      <c r="C66" s="11"/>
      <c r="D66" s="11"/>
      <c r="E66" s="220"/>
      <c r="F66" s="220"/>
      <c r="G66" s="220"/>
      <c r="H66" s="11"/>
      <c r="I66" s="11"/>
      <c r="J66" s="220"/>
      <c r="K66" s="184"/>
      <c r="L66" s="184"/>
      <c r="M66" s="11"/>
      <c r="N66" s="11"/>
      <c r="O66" s="195"/>
      <c r="P66" s="11"/>
      <c r="Q66" s="11"/>
      <c r="R66" s="12"/>
      <c r="S66" s="11"/>
      <c r="T66" s="220"/>
      <c r="U66" s="184"/>
      <c r="V66" s="184"/>
      <c r="W66" s="11"/>
      <c r="X66" s="11"/>
      <c r="Y66" s="220"/>
      <c r="Z66" s="184"/>
      <c r="AA66" s="184"/>
      <c r="AB66" s="11"/>
      <c r="AC66" s="11"/>
      <c r="AD66" s="220"/>
      <c r="AE66" s="184"/>
      <c r="AF66" s="184"/>
      <c r="AG66" s="11"/>
      <c r="AH66" s="11"/>
      <c r="AI66" s="220"/>
      <c r="AJ66" s="184"/>
      <c r="AK66" s="184"/>
      <c r="AL66" s="11"/>
      <c r="AM66" s="11"/>
      <c r="AN66" s="220"/>
      <c r="AO66" s="184"/>
      <c r="AP66" s="184"/>
      <c r="AQ66" s="11"/>
      <c r="AR66" s="11"/>
      <c r="AS66" s="220"/>
      <c r="AT66" s="184"/>
      <c r="AU66" s="184"/>
      <c r="AV66" s="11"/>
      <c r="AW66" s="11"/>
      <c r="AX66" s="220"/>
      <c r="AY66" s="184"/>
      <c r="AZ66" s="184"/>
      <c r="BA66" s="11"/>
      <c r="BB66" s="11"/>
      <c r="BC66" s="220"/>
      <c r="BD66" s="184"/>
      <c r="BE66" s="184"/>
      <c r="BF66" s="11"/>
      <c r="BG66" s="11"/>
      <c r="BH66" s="220"/>
      <c r="BI66" s="184"/>
      <c r="BJ66" s="184"/>
      <c r="BK66" s="184"/>
      <c r="BL66" s="184"/>
      <c r="BM66" s="184"/>
      <c r="BN66" s="184"/>
      <c r="BO66" s="184"/>
      <c r="BP66" s="184"/>
    </row>
    <row r="67">
      <c r="A67" s="228" t="str">
        <f>IFERROR(__xludf.DUMMYFUNCTION("TEXTJOIN(CHAR(10),TRUE,FILTER(ARRAYFORMULA(IF(BC$14:BC72&lt;&gt;"""",BB$14:BB72&amp;"" :  cm"","""")), BB$14:BB72 &lt;&gt;""""))"),"")</f>
        <v/>
      </c>
      <c r="B67" s="240"/>
      <c r="C67" s="11"/>
      <c r="D67" s="11"/>
      <c r="E67" s="220"/>
      <c r="F67" s="220"/>
      <c r="G67" s="220"/>
      <c r="H67" s="11"/>
      <c r="I67" s="11"/>
      <c r="J67" s="220"/>
      <c r="K67" s="184"/>
      <c r="L67" s="184"/>
      <c r="M67" s="11"/>
      <c r="N67" s="11"/>
      <c r="O67" s="195"/>
      <c r="P67" s="11"/>
      <c r="Q67" s="11"/>
      <c r="R67" s="12"/>
      <c r="S67" s="11"/>
      <c r="T67" s="220"/>
      <c r="U67" s="184"/>
      <c r="V67" s="184"/>
      <c r="W67" s="11"/>
      <c r="X67" s="11"/>
      <c r="Y67" s="220"/>
      <c r="Z67" s="184"/>
      <c r="AA67" s="184"/>
      <c r="AB67" s="11"/>
      <c r="AC67" s="11"/>
      <c r="AD67" s="220"/>
      <c r="AE67" s="184"/>
      <c r="AF67" s="184"/>
      <c r="AG67" s="11"/>
      <c r="AH67" s="11"/>
      <c r="AI67" s="220"/>
      <c r="AJ67" s="184"/>
      <c r="AK67" s="184"/>
      <c r="AL67" s="11"/>
      <c r="AM67" s="11"/>
      <c r="AN67" s="220"/>
      <c r="AO67" s="184"/>
      <c r="AP67" s="184"/>
      <c r="AQ67" s="11"/>
      <c r="AR67" s="11"/>
      <c r="AS67" s="220"/>
      <c r="AT67" s="184"/>
      <c r="AU67" s="184"/>
      <c r="AV67" s="11"/>
      <c r="AW67" s="11"/>
      <c r="AX67" s="220"/>
      <c r="AY67" s="184"/>
      <c r="AZ67" s="184"/>
      <c r="BA67" s="11"/>
      <c r="BB67" s="11"/>
      <c r="BC67" s="220"/>
      <c r="BD67" s="184"/>
      <c r="BE67" s="184"/>
      <c r="BF67" s="11"/>
      <c r="BG67" s="11"/>
      <c r="BH67" s="220"/>
      <c r="BI67" s="184"/>
      <c r="BJ67" s="184"/>
      <c r="BK67" s="184"/>
      <c r="BL67" s="184"/>
      <c r="BM67" s="184"/>
      <c r="BN67" s="184"/>
      <c r="BO67" s="184"/>
      <c r="BP67" s="184"/>
    </row>
    <row r="68">
      <c r="A68" s="243" t="s">
        <v>126</v>
      </c>
      <c r="B68" s="240"/>
      <c r="C68" s="11"/>
      <c r="D68" s="11"/>
      <c r="E68" s="220"/>
      <c r="F68" s="220"/>
      <c r="G68" s="220"/>
      <c r="H68" s="11"/>
      <c r="I68" s="11"/>
      <c r="J68" s="220"/>
      <c r="K68" s="184"/>
      <c r="L68" s="184"/>
      <c r="M68" s="11"/>
      <c r="N68" s="11"/>
      <c r="O68" s="195"/>
      <c r="P68" s="11"/>
      <c r="Q68" s="11"/>
      <c r="R68" s="12"/>
      <c r="S68" s="11"/>
      <c r="T68" s="220"/>
      <c r="U68" s="184"/>
      <c r="V68" s="184"/>
      <c r="W68" s="11"/>
      <c r="X68" s="11"/>
      <c r="Y68" s="220"/>
      <c r="Z68" s="184"/>
      <c r="AA68" s="184"/>
      <c r="AB68" s="11"/>
      <c r="AC68" s="11"/>
      <c r="AD68" s="220"/>
      <c r="AE68" s="184"/>
      <c r="AF68" s="184"/>
      <c r="AG68" s="11"/>
      <c r="AH68" s="11"/>
      <c r="AI68" s="220"/>
      <c r="AJ68" s="184"/>
      <c r="AK68" s="184"/>
      <c r="AL68" s="11"/>
      <c r="AM68" s="11"/>
      <c r="AN68" s="220"/>
      <c r="AO68" s="184"/>
      <c r="AP68" s="184"/>
      <c r="AQ68" s="11"/>
      <c r="AR68" s="11"/>
      <c r="AS68" s="220"/>
      <c r="AT68" s="184"/>
      <c r="AU68" s="184"/>
      <c r="AV68" s="11"/>
      <c r="AW68" s="11"/>
      <c r="AX68" s="220"/>
      <c r="AY68" s="184"/>
      <c r="AZ68" s="184"/>
      <c r="BA68" s="11"/>
      <c r="BB68" s="11"/>
      <c r="BC68" s="220"/>
      <c r="BD68" s="184"/>
      <c r="BE68" s="184"/>
      <c r="BF68" s="11"/>
      <c r="BG68" s="11"/>
      <c r="BH68" s="220"/>
      <c r="BI68" s="184"/>
      <c r="BJ68" s="184"/>
      <c r="BK68" s="184"/>
      <c r="BL68" s="184"/>
      <c r="BM68" s="184"/>
      <c r="BN68" s="184"/>
      <c r="BO68" s="184"/>
      <c r="BP68" s="184"/>
    </row>
    <row r="69">
      <c r="A69" s="245" t="str">
        <f>IF( $BG$11 = "再製作", "◼︎ フーデッドコート（対応着地：再製作）"&amp;char(10)&amp;"《修正数値》", IF($BG$11 &lt;&gt; "", "◼︎ フーデッドコート（対応着地：お直し）"&amp;char(10)&amp;"《修正数値》", ""))</f>
        <v/>
      </c>
      <c r="B69" s="240"/>
      <c r="C69" s="11"/>
      <c r="D69" s="11"/>
      <c r="E69" s="220"/>
      <c r="F69" s="220"/>
      <c r="G69" s="220"/>
      <c r="H69" s="11"/>
      <c r="I69" s="11"/>
      <c r="J69" s="220"/>
      <c r="K69" s="184"/>
      <c r="L69" s="184"/>
      <c r="M69" s="11"/>
      <c r="N69" s="11"/>
      <c r="O69" s="195"/>
      <c r="P69" s="11"/>
      <c r="Q69" s="11"/>
      <c r="R69" s="12"/>
      <c r="S69" s="11"/>
      <c r="T69" s="220"/>
      <c r="U69" s="184"/>
      <c r="V69" s="184"/>
      <c r="W69" s="11"/>
      <c r="X69" s="11"/>
      <c r="Y69" s="220"/>
      <c r="Z69" s="184"/>
      <c r="AA69" s="184"/>
      <c r="AB69" s="11"/>
      <c r="AC69" s="11"/>
      <c r="AD69" s="220"/>
      <c r="AE69" s="184"/>
      <c r="AF69" s="184"/>
      <c r="AG69" s="11"/>
      <c r="AH69" s="11"/>
      <c r="AI69" s="220"/>
      <c r="AJ69" s="184"/>
      <c r="AK69" s="184"/>
      <c r="AL69" s="11"/>
      <c r="AM69" s="11"/>
      <c r="AN69" s="220"/>
      <c r="AO69" s="184"/>
      <c r="AP69" s="184"/>
      <c r="AQ69" s="11"/>
      <c r="AR69" s="11"/>
      <c r="AS69" s="220"/>
      <c r="AT69" s="184"/>
      <c r="AU69" s="184"/>
      <c r="AV69" s="11"/>
      <c r="AW69" s="11"/>
      <c r="AX69" s="220"/>
      <c r="AY69" s="184"/>
      <c r="AZ69" s="184"/>
      <c r="BA69" s="11"/>
      <c r="BB69" s="11"/>
      <c r="BC69" s="220"/>
      <c r="BD69" s="184"/>
      <c r="BE69" s="184"/>
      <c r="BF69" s="11"/>
      <c r="BG69" s="11"/>
      <c r="BH69" s="220"/>
      <c r="BI69" s="184"/>
      <c r="BJ69" s="184"/>
      <c r="BK69" s="184"/>
      <c r="BL69" s="184"/>
      <c r="BM69" s="184"/>
      <c r="BN69" s="184"/>
      <c r="BO69" s="184"/>
      <c r="BP69" s="184"/>
    </row>
    <row r="70">
      <c r="A70" s="228" t="str">
        <f>IFERROR(__xludf.DUMMYFUNCTION("TEXTJOIN(CHAR(10),TRUE,FILTER(ARRAYFORMULA(IF(BH$14:BH72&lt;&gt;"""",BG$14:BG72&amp;"" : ""&amp; BH$14:BH72 &amp;"" cm"","""")), BG$14:BG72 &lt;&gt;""""))"),"")</f>
        <v/>
      </c>
      <c r="B70" s="240"/>
      <c r="C70" s="11"/>
      <c r="D70" s="11"/>
      <c r="E70" s="220"/>
      <c r="F70" s="220"/>
      <c r="G70" s="220"/>
      <c r="H70" s="11"/>
      <c r="I70" s="11"/>
      <c r="J70" s="220"/>
      <c r="K70" s="184"/>
      <c r="L70" s="184"/>
      <c r="M70" s="11"/>
      <c r="N70" s="11"/>
      <c r="O70" s="195"/>
      <c r="P70" s="11"/>
      <c r="Q70" s="11"/>
      <c r="R70" s="12"/>
      <c r="S70" s="11"/>
      <c r="T70" s="220"/>
      <c r="U70" s="184"/>
      <c r="V70" s="184"/>
      <c r="W70" s="11"/>
      <c r="X70" s="11"/>
      <c r="Y70" s="220"/>
      <c r="Z70" s="184"/>
      <c r="AA70" s="184"/>
      <c r="AB70" s="11"/>
      <c r="AC70" s="11"/>
      <c r="AD70" s="220"/>
      <c r="AE70" s="184"/>
      <c r="AF70" s="184"/>
      <c r="AG70" s="11"/>
      <c r="AH70" s="11"/>
      <c r="AI70" s="220"/>
      <c r="AJ70" s="184"/>
      <c r="AK70" s="184"/>
      <c r="AL70" s="11"/>
      <c r="AM70" s="11"/>
      <c r="AN70" s="220"/>
      <c r="AO70" s="184"/>
      <c r="AP70" s="184"/>
      <c r="AQ70" s="11"/>
      <c r="AR70" s="11"/>
      <c r="AS70" s="220"/>
      <c r="AT70" s="184"/>
      <c r="AU70" s="184"/>
      <c r="AV70" s="11"/>
      <c r="AW70" s="11"/>
      <c r="AX70" s="220"/>
      <c r="AY70" s="184"/>
      <c r="AZ70" s="184"/>
      <c r="BA70" s="11"/>
      <c r="BB70" s="11"/>
      <c r="BC70" s="220"/>
      <c r="BD70" s="184"/>
      <c r="BE70" s="184"/>
      <c r="BF70" s="11"/>
      <c r="BG70" s="11"/>
      <c r="BH70" s="220"/>
      <c r="BI70" s="184"/>
      <c r="BJ70" s="184"/>
      <c r="BK70" s="184"/>
      <c r="BL70" s="184"/>
      <c r="BM70" s="184"/>
      <c r="BN70" s="184"/>
      <c r="BO70" s="184"/>
      <c r="BP70" s="184"/>
    </row>
    <row r="71">
      <c r="A71" s="244" t="str">
        <f>if($A$69&lt;&gt;"", "《仕上がり数値》","")</f>
        <v/>
      </c>
      <c r="B71" s="240"/>
      <c r="C71" s="11"/>
      <c r="D71" s="11"/>
      <c r="E71" s="220"/>
      <c r="F71" s="220"/>
      <c r="G71" s="220"/>
      <c r="H71" s="11"/>
      <c r="I71" s="11"/>
      <c r="J71" s="220"/>
      <c r="K71" s="184"/>
      <c r="L71" s="184"/>
      <c r="M71" s="11"/>
      <c r="N71" s="11"/>
      <c r="O71" s="195"/>
      <c r="P71" s="11"/>
      <c r="Q71" s="11"/>
      <c r="R71" s="12"/>
      <c r="S71" s="11"/>
      <c r="T71" s="220"/>
      <c r="U71" s="184"/>
      <c r="V71" s="184"/>
      <c r="W71" s="11"/>
      <c r="X71" s="11"/>
      <c r="Y71" s="220"/>
      <c r="Z71" s="184"/>
      <c r="AA71" s="184"/>
      <c r="AB71" s="11"/>
      <c r="AC71" s="11"/>
      <c r="AD71" s="220"/>
      <c r="AE71" s="184"/>
      <c r="AF71" s="184"/>
      <c r="AG71" s="11"/>
      <c r="AH71" s="11"/>
      <c r="AI71" s="220"/>
      <c r="AJ71" s="184"/>
      <c r="AK71" s="184"/>
      <c r="AL71" s="11"/>
      <c r="AM71" s="11"/>
      <c r="AN71" s="220"/>
      <c r="AO71" s="184"/>
      <c r="AP71" s="184"/>
      <c r="AQ71" s="11"/>
      <c r="AR71" s="11"/>
      <c r="AS71" s="220"/>
      <c r="AT71" s="184"/>
      <c r="AU71" s="184"/>
      <c r="AV71" s="11"/>
      <c r="AW71" s="11"/>
      <c r="AX71" s="220"/>
      <c r="AY71" s="184"/>
      <c r="AZ71" s="184"/>
      <c r="BA71" s="11"/>
      <c r="BB71" s="11"/>
      <c r="BC71" s="220"/>
      <c r="BD71" s="184"/>
      <c r="BE71" s="184"/>
      <c r="BF71" s="11"/>
      <c r="BG71" s="11"/>
      <c r="BH71" s="220"/>
      <c r="BI71" s="184"/>
      <c r="BJ71" s="184"/>
      <c r="BK71" s="184"/>
      <c r="BL71" s="184"/>
      <c r="BM71" s="184"/>
      <c r="BN71" s="184"/>
      <c r="BO71" s="184"/>
      <c r="BP71" s="184"/>
    </row>
    <row r="72">
      <c r="A72" s="228" t="str">
        <f>IFERROR(__xludf.DUMMYFUNCTION("TEXTJOIN(CHAR(10),TRUE,FILTER(ARRAYFORMULA(IF(BH$14:BH72&lt;&gt;"""",BG$14:BG72&amp;"" :  cm"","""")), BG$14:BG72 &lt;&gt;""""))"),"")</f>
        <v/>
      </c>
      <c r="B72" s="240"/>
      <c r="C72" s="11"/>
      <c r="D72" s="11"/>
      <c r="E72" s="220"/>
      <c r="F72" s="220"/>
      <c r="G72" s="220"/>
      <c r="H72" s="11"/>
      <c r="I72" s="11"/>
      <c r="J72" s="220"/>
      <c r="K72" s="184"/>
      <c r="L72" s="184"/>
      <c r="M72" s="11"/>
      <c r="N72" s="11"/>
      <c r="O72" s="195"/>
      <c r="P72" s="11"/>
      <c r="Q72" s="11"/>
      <c r="R72" s="12"/>
      <c r="S72" s="11"/>
      <c r="T72" s="220"/>
      <c r="U72" s="184"/>
      <c r="V72" s="184"/>
      <c r="W72" s="11"/>
      <c r="X72" s="11"/>
      <c r="Y72" s="220"/>
      <c r="Z72" s="184"/>
      <c r="AA72" s="184"/>
      <c r="AB72" s="11"/>
      <c r="AC72" s="11"/>
      <c r="AD72" s="220"/>
      <c r="AE72" s="184"/>
      <c r="AF72" s="184"/>
      <c r="AG72" s="11"/>
      <c r="AH72" s="11"/>
      <c r="AI72" s="220"/>
      <c r="AJ72" s="184"/>
      <c r="AK72" s="184"/>
      <c r="AL72" s="11"/>
      <c r="AM72" s="11"/>
      <c r="AN72" s="220"/>
      <c r="AO72" s="184"/>
      <c r="AP72" s="184"/>
      <c r="AQ72" s="11"/>
      <c r="AR72" s="11"/>
      <c r="AS72" s="220"/>
      <c r="AT72" s="184"/>
      <c r="AU72" s="184"/>
      <c r="AV72" s="11"/>
      <c r="AW72" s="11"/>
      <c r="AX72" s="220"/>
      <c r="AY72" s="184"/>
      <c r="AZ72" s="184"/>
      <c r="BA72" s="11"/>
      <c r="BB72" s="11"/>
      <c r="BC72" s="220"/>
      <c r="BD72" s="184"/>
      <c r="BE72" s="184"/>
      <c r="BF72" s="11"/>
      <c r="BG72" s="11"/>
      <c r="BH72" s="220"/>
      <c r="BI72" s="184"/>
      <c r="BJ72" s="184"/>
      <c r="BK72" s="184"/>
      <c r="BL72" s="184"/>
      <c r="BM72" s="184"/>
      <c r="BN72" s="184"/>
      <c r="BO72" s="184"/>
      <c r="BP72" s="184"/>
    </row>
  </sheetData>
  <mergeCells count="1">
    <mergeCell ref="D5:G5"/>
  </mergeCells>
  <hyperlinks>
    <hyperlink r:id="rId1" location="gid=1551873484" ref="K5"/>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hidden="1" min="1" max="2" width="20.88"/>
    <col customWidth="1" min="3" max="3" width="3.88"/>
    <col customWidth="1" min="4" max="4" width="25.13"/>
    <col customWidth="1" min="5" max="6" width="12.63"/>
    <col customWidth="1" hidden="1" min="7" max="7" width="12.63"/>
    <col customWidth="1" min="8" max="8" width="6.38"/>
    <col customWidth="1" min="9" max="9" width="25.13"/>
    <col customWidth="1" min="10" max="11" width="12.63"/>
    <col customWidth="1" hidden="1" min="12" max="12" width="12.63"/>
    <col customWidth="1" min="13" max="13" width="6.38"/>
    <col customWidth="1" min="14" max="14" width="25.13"/>
    <col customWidth="1" min="15" max="16" width="12.63"/>
    <col customWidth="1" hidden="1" min="17" max="17" width="12.63"/>
    <col customWidth="1" min="18" max="18" width="6.25"/>
    <col customWidth="1" min="19" max="19" width="25.13"/>
    <col customWidth="1" min="20" max="21" width="12.63"/>
    <col customWidth="1" hidden="1" min="22" max="22" width="12.63"/>
    <col customWidth="1" min="23" max="23" width="6.38"/>
    <col customWidth="1" min="24" max="24" width="25.13"/>
    <col customWidth="1" min="25" max="26" width="12.63"/>
    <col customWidth="1" hidden="1" min="27" max="27" width="12.63"/>
    <col customWidth="1" min="28" max="28" width="6.38"/>
    <col customWidth="1" min="29" max="29" width="25.13"/>
    <col customWidth="1" min="30" max="31" width="12.63"/>
    <col customWidth="1" hidden="1" min="32" max="32" width="12.63"/>
    <col customWidth="1" min="33" max="33" width="7.13"/>
    <col customWidth="1" min="34" max="34" width="25.13"/>
    <col customWidth="1" min="35" max="36" width="12.63"/>
    <col customWidth="1" hidden="1" min="37" max="37" width="12.63"/>
    <col customWidth="1" min="38" max="38" width="7.13"/>
    <col customWidth="1" min="39" max="39" width="25.13"/>
    <col customWidth="1" min="40" max="41" width="12.63"/>
    <col customWidth="1" hidden="1" min="42" max="42" width="12.63"/>
    <col customWidth="1" min="43" max="43" width="7.13"/>
    <col customWidth="1" min="44" max="44" width="25.13"/>
    <col customWidth="1" min="45" max="46" width="12.63"/>
    <col customWidth="1" hidden="1" min="47" max="47" width="12.63"/>
    <col customWidth="1" min="48" max="48" width="12.63"/>
    <col customWidth="1" min="49" max="49" width="25.13"/>
    <col customWidth="1" min="50" max="51" width="12.63"/>
    <col customWidth="1" hidden="1" min="52" max="52" width="12.63"/>
    <col customWidth="1" min="53" max="53" width="12.63"/>
    <col customWidth="1" min="54" max="54" width="25.13"/>
    <col customWidth="1" min="55" max="56" width="12.63"/>
    <col customWidth="1" hidden="1" min="57" max="57" width="12.63"/>
    <col customWidth="1" min="58" max="58" width="12.63"/>
    <col customWidth="1" min="59" max="59" width="25.13"/>
    <col customWidth="1" min="60" max="61" width="12.63"/>
    <col customWidth="1" hidden="1" min="62" max="62" width="12.63"/>
    <col customWidth="1" min="63" max="68" width="12.63"/>
  </cols>
  <sheetData>
    <row r="1">
      <c r="A1" s="275">
        <f>today()</f>
        <v>45991</v>
      </c>
      <c r="B1" s="276"/>
      <c r="C1" s="277"/>
      <c r="D1" s="278" t="s">
        <v>16</v>
      </c>
      <c r="E1" s="279"/>
      <c r="F1" s="279"/>
      <c r="G1" s="279"/>
      <c r="H1" s="280"/>
      <c r="I1" s="280"/>
      <c r="J1" s="279"/>
      <c r="K1" s="279"/>
      <c r="L1" s="279"/>
      <c r="M1" s="280"/>
      <c r="N1" s="277" t="s">
        <v>147</v>
      </c>
      <c r="O1" s="279"/>
      <c r="P1" s="279"/>
      <c r="Q1" s="279"/>
      <c r="R1" s="280"/>
      <c r="S1" s="280"/>
      <c r="T1" s="281"/>
      <c r="U1" s="281"/>
      <c r="V1" s="281"/>
      <c r="W1" s="280"/>
      <c r="X1" s="279"/>
      <c r="Y1" s="281"/>
      <c r="Z1" s="281"/>
      <c r="AA1" s="281"/>
      <c r="AB1" s="280"/>
      <c r="AC1" s="279"/>
      <c r="AD1" s="281"/>
      <c r="AE1" s="281"/>
      <c r="AF1" s="281"/>
      <c r="AG1" s="280"/>
      <c r="AH1" s="279"/>
      <c r="AI1" s="281"/>
      <c r="AJ1" s="281"/>
      <c r="AK1" s="281"/>
      <c r="AL1" s="280"/>
      <c r="AM1" s="279"/>
      <c r="AN1" s="281"/>
      <c r="AO1" s="281"/>
      <c r="AP1" s="281"/>
      <c r="AQ1" s="280"/>
      <c r="AR1" s="279"/>
      <c r="AS1" s="281"/>
      <c r="AT1" s="281"/>
      <c r="AU1" s="281"/>
      <c r="AV1" s="280"/>
      <c r="AW1" s="279"/>
      <c r="AX1" s="281"/>
      <c r="AY1" s="281"/>
      <c r="AZ1" s="281"/>
      <c r="BA1" s="280"/>
      <c r="BB1" s="279"/>
      <c r="BC1" s="281"/>
      <c r="BD1" s="281"/>
      <c r="BE1" s="281"/>
      <c r="BF1" s="280"/>
      <c r="BG1" s="279"/>
      <c r="BH1" s="281"/>
      <c r="BI1" s="281"/>
      <c r="BJ1" s="281"/>
      <c r="BK1" s="281"/>
      <c r="BL1" s="281"/>
      <c r="BM1" s="281"/>
      <c r="BN1" s="281"/>
      <c r="BO1" s="281"/>
      <c r="BP1" s="281"/>
    </row>
    <row r="2">
      <c r="A2" s="11"/>
      <c r="B2" s="183"/>
      <c r="C2" s="12"/>
      <c r="D2" s="12"/>
      <c r="E2" s="12"/>
      <c r="F2" s="12"/>
      <c r="G2" s="12"/>
      <c r="H2" s="11"/>
      <c r="I2" s="11"/>
      <c r="J2" s="12"/>
      <c r="K2" s="12"/>
      <c r="L2" s="12"/>
      <c r="M2" s="11"/>
      <c r="N2" s="12"/>
      <c r="O2" s="12"/>
      <c r="P2" s="12"/>
      <c r="Q2" s="12"/>
      <c r="R2" s="11"/>
      <c r="S2" s="11"/>
      <c r="T2" s="184"/>
      <c r="U2" s="184"/>
      <c r="V2" s="184"/>
      <c r="W2" s="11"/>
      <c r="X2" s="12"/>
      <c r="Y2" s="184"/>
      <c r="Z2" s="184"/>
      <c r="AA2" s="184"/>
      <c r="AB2" s="11"/>
      <c r="AC2" s="12"/>
      <c r="AD2" s="184"/>
      <c r="AE2" s="184"/>
      <c r="AF2" s="184"/>
      <c r="AG2" s="11"/>
      <c r="AH2" s="12"/>
      <c r="AI2" s="184"/>
      <c r="AJ2" s="184"/>
      <c r="AK2" s="184"/>
      <c r="AL2" s="11"/>
      <c r="AM2" s="12"/>
      <c r="AN2" s="184"/>
      <c r="AO2" s="184"/>
      <c r="AP2" s="184"/>
      <c r="AQ2" s="11"/>
      <c r="AR2" s="12"/>
      <c r="AS2" s="184"/>
      <c r="AT2" s="184"/>
      <c r="AU2" s="184"/>
      <c r="AV2" s="11"/>
      <c r="AW2" s="12"/>
      <c r="AX2" s="184"/>
      <c r="AY2" s="184"/>
      <c r="AZ2" s="184"/>
      <c r="BA2" s="11"/>
      <c r="BB2" s="12"/>
      <c r="BC2" s="184"/>
      <c r="BD2" s="184"/>
      <c r="BE2" s="184"/>
      <c r="BF2" s="11"/>
      <c r="BG2" s="12"/>
      <c r="BH2" s="184"/>
      <c r="BI2" s="184"/>
      <c r="BJ2" s="184"/>
      <c r="BK2" s="184"/>
      <c r="BL2" s="184"/>
      <c r="BM2" s="184"/>
      <c r="BN2" s="184"/>
      <c r="BO2" s="184"/>
      <c r="BP2" s="184"/>
    </row>
    <row r="3">
      <c r="A3" s="12"/>
      <c r="B3" s="185"/>
      <c r="C3" s="12"/>
      <c r="D3" s="12" t="str">
        <f t="array" ref="D3:D5">index(A3:A5,0)</f>
        <v/>
      </c>
      <c r="E3" s="12"/>
      <c r="F3" s="12"/>
      <c r="G3" s="12"/>
      <c r="H3" s="11"/>
      <c r="I3" s="11"/>
      <c r="J3" s="12"/>
      <c r="K3" s="12"/>
      <c r="L3" s="12"/>
      <c r="M3" s="11"/>
      <c r="N3" s="12"/>
      <c r="O3" s="12"/>
      <c r="P3" s="12"/>
      <c r="Q3" s="12"/>
      <c r="R3" s="11"/>
      <c r="S3" s="11"/>
      <c r="T3" s="184"/>
      <c r="U3" s="184"/>
      <c r="V3" s="184"/>
      <c r="W3" s="11"/>
      <c r="X3" s="12"/>
      <c r="Y3" s="184"/>
      <c r="Z3" s="184"/>
      <c r="AA3" s="184"/>
      <c r="AB3" s="11"/>
      <c r="AC3" s="12"/>
      <c r="AD3" s="184"/>
      <c r="AE3" s="184"/>
      <c r="AF3" s="184"/>
      <c r="AG3" s="11"/>
      <c r="AH3" s="12"/>
      <c r="AI3" s="184"/>
      <c r="AJ3" s="184"/>
      <c r="AK3" s="184"/>
      <c r="AL3" s="11"/>
      <c r="AM3" s="12"/>
      <c r="AN3" s="184"/>
      <c r="AO3" s="184"/>
      <c r="AP3" s="184"/>
      <c r="AQ3" s="11"/>
      <c r="AR3" s="12"/>
      <c r="AS3" s="184"/>
      <c r="AT3" s="184"/>
      <c r="AU3" s="184"/>
      <c r="AV3" s="11"/>
      <c r="AW3" s="12"/>
      <c r="AX3" s="184"/>
      <c r="AY3" s="184"/>
      <c r="AZ3" s="184"/>
      <c r="BA3" s="11"/>
      <c r="BB3" s="12"/>
      <c r="BC3" s="184"/>
      <c r="BD3" s="184"/>
      <c r="BE3" s="184"/>
      <c r="BF3" s="11"/>
      <c r="BG3" s="12"/>
      <c r="BH3" s="184"/>
      <c r="BI3" s="184"/>
      <c r="BJ3" s="184"/>
      <c r="BK3" s="184"/>
      <c r="BL3" s="184"/>
      <c r="BM3" s="184"/>
      <c r="BN3" s="184"/>
      <c r="BO3" s="184"/>
      <c r="BP3" s="184"/>
    </row>
    <row r="4">
      <c r="A4" s="186" t="s">
        <v>28</v>
      </c>
      <c r="B4" s="185"/>
      <c r="C4" s="12"/>
      <c r="D4" s="12" t="s">
        <v>28</v>
      </c>
      <c r="E4" s="12"/>
      <c r="F4" s="12"/>
      <c r="G4" s="12"/>
      <c r="H4" s="11"/>
      <c r="I4" s="11"/>
      <c r="J4" s="12"/>
      <c r="K4" s="12"/>
      <c r="L4" s="12"/>
      <c r="M4" s="11"/>
      <c r="N4" s="12"/>
      <c r="O4" s="12"/>
      <c r="P4" s="12"/>
      <c r="Q4" s="12"/>
      <c r="R4" s="11"/>
      <c r="S4" s="11"/>
      <c r="T4" s="184"/>
      <c r="U4" s="184"/>
      <c r="V4" s="184"/>
      <c r="W4" s="11"/>
      <c r="X4" s="12"/>
      <c r="Y4" s="184"/>
      <c r="Z4" s="184"/>
      <c r="AA4" s="184"/>
      <c r="AB4" s="11"/>
      <c r="AC4" s="12"/>
      <c r="AD4" s="184"/>
      <c r="AE4" s="184"/>
      <c r="AF4" s="184"/>
      <c r="AG4" s="11"/>
      <c r="AH4" s="12"/>
      <c r="AI4" s="184"/>
      <c r="AJ4" s="184"/>
      <c r="AK4" s="184"/>
      <c r="AL4" s="11"/>
      <c r="AM4" s="12"/>
      <c r="AN4" s="184"/>
      <c r="AO4" s="184"/>
      <c r="AP4" s="184"/>
      <c r="AQ4" s="11"/>
      <c r="AR4" s="12"/>
      <c r="AS4" s="184"/>
      <c r="AT4" s="184"/>
      <c r="AU4" s="184"/>
      <c r="AV4" s="11"/>
      <c r="AW4" s="12"/>
      <c r="AX4" s="184"/>
      <c r="AY4" s="184"/>
      <c r="AZ4" s="184"/>
      <c r="BA4" s="11"/>
      <c r="BB4" s="12"/>
      <c r="BC4" s="184"/>
      <c r="BD4" s="184"/>
      <c r="BE4" s="184"/>
      <c r="BF4" s="11"/>
      <c r="BG4" s="12"/>
      <c r="BH4" s="184"/>
      <c r="BI4" s="184"/>
      <c r="BJ4" s="184"/>
      <c r="BK4" s="184"/>
      <c r="BL4" s="184"/>
      <c r="BM4" s="184"/>
      <c r="BN4" s="184"/>
      <c r="BO4" s="184"/>
      <c r="BP4" s="184"/>
    </row>
    <row r="5" ht="225.0" customHeight="1">
      <c r="A5" s="187" t="str">
        <f>$A$7 &amp; $A$8 &amp; CHAR(10) &amp; $A$10 &amp; CHAR(10) &amp; CHAR(10) &amp; $A$11</f>
        <v>FABRIC TOKYO 有楽町 2025-11-30 お直し適用サイズ
◼︎ パンツ（対応着地：お直し）
《修正数値》
パンツウエスト : -2 cm
《仕上がり数値》
パンツウエスト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v>
      </c>
      <c r="B5" s="188" t="str">
        <f>"【お直し来店済み】" &amp; CHAR(10) &amp; 
 "来店⽇時：" &amp; text($A$1," yyyy/mm/dd")&amp; CHAR(10) &amp;
 "来店店舗：" &amp; $D$1 &amp; CHAR(10) &amp; CHAR(10) &amp;
 "お直し着地：" &amp; CHAR(10) &amp; $A$10</f>
        <v>【お直し来店済み】
来店⽇時： 2025/11/30
来店店舗：有楽町
お直し着地：
◼︎ パンツ（対応着地：お直し）
《修正数値》
パンツウエスト : -2 cm
《仕上がり数値》
パンツウエスト : cm</v>
      </c>
      <c r="C5" s="12"/>
      <c r="D5" s="189" t="s">
        <v>148</v>
      </c>
      <c r="H5" s="11"/>
      <c r="I5" s="190" t="str">
        <f>"【お直し来店済み】" &amp; CHAR(10) &amp; 
 "来店⽇時：" &amp; text($A$1," yyyy/mm/dd")&amp; CHAR(10) &amp;
 "来店店舗：" &amp; $D$1 &amp; CHAR(10) &amp; CHAR(10) &amp;
 "お直し着地：" &amp; CHAR(10) &amp; $A$10</f>
        <v>【お直し来店済み】
来店⽇時： 2025/11/30
来店店舗：有楽町
お直し着地：
◼︎ パンツ（対応着地：お直し）
《修正数値》
パンツウエスト : -2 cm
《仕上がり数値》
パンツウエスト : cm</v>
      </c>
      <c r="J5" s="12"/>
      <c r="K5" s="191" t="s">
        <v>30</v>
      </c>
      <c r="L5" s="12"/>
      <c r="M5" s="11"/>
      <c r="N5" s="12"/>
      <c r="O5" s="12"/>
      <c r="P5" s="12"/>
      <c r="Q5" s="12"/>
      <c r="R5" s="11"/>
      <c r="S5" s="11"/>
      <c r="T5" s="184"/>
      <c r="U5" s="184"/>
      <c r="V5" s="184"/>
      <c r="W5" s="11"/>
      <c r="X5" s="12"/>
      <c r="Y5" s="184"/>
      <c r="Z5" s="184"/>
      <c r="AA5" s="184"/>
      <c r="AB5" s="11"/>
      <c r="AC5" s="12"/>
      <c r="AD5" s="184"/>
      <c r="AE5" s="184"/>
      <c r="AF5" s="184"/>
      <c r="AG5" s="11"/>
      <c r="AH5" s="12"/>
      <c r="AI5" s="184"/>
      <c r="AJ5" s="184"/>
      <c r="AK5" s="184"/>
      <c r="AL5" s="11"/>
      <c r="AM5" s="12"/>
      <c r="AN5" s="184"/>
      <c r="AO5" s="184"/>
      <c r="AP5" s="184"/>
      <c r="AQ5" s="11"/>
      <c r="AR5" s="12"/>
      <c r="AS5" s="184"/>
      <c r="AT5" s="184"/>
      <c r="AU5" s="184"/>
      <c r="AV5" s="11"/>
      <c r="AW5" s="12"/>
      <c r="AX5" s="184"/>
      <c r="AY5" s="184"/>
      <c r="AZ5" s="184"/>
      <c r="BA5" s="11"/>
      <c r="BB5" s="12"/>
      <c r="BC5" s="184"/>
      <c r="BD5" s="184"/>
      <c r="BE5" s="184"/>
      <c r="BF5" s="11"/>
      <c r="BG5" s="12"/>
      <c r="BH5" s="184"/>
      <c r="BI5" s="184"/>
      <c r="BJ5" s="184"/>
      <c r="BK5" s="184"/>
      <c r="BL5" s="184"/>
      <c r="BM5" s="184"/>
      <c r="BN5" s="184"/>
      <c r="BO5" s="184"/>
      <c r="BP5" s="184"/>
    </row>
    <row r="6">
      <c r="A6" s="12"/>
      <c r="B6" s="186"/>
      <c r="C6" s="12"/>
      <c r="D6" s="12"/>
      <c r="E6" s="12"/>
      <c r="F6" s="12"/>
      <c r="G6" s="12"/>
      <c r="H6" s="11"/>
      <c r="I6" s="11"/>
      <c r="J6" s="12"/>
      <c r="K6" s="12"/>
      <c r="L6" s="12"/>
      <c r="M6" s="11"/>
      <c r="N6" s="12"/>
      <c r="O6" s="12"/>
      <c r="P6" s="12"/>
      <c r="Q6" s="12"/>
      <c r="R6" s="11"/>
      <c r="S6" s="11"/>
      <c r="T6" s="184"/>
      <c r="U6" s="184"/>
      <c r="V6" s="184"/>
      <c r="W6" s="11"/>
      <c r="X6" s="12"/>
      <c r="Y6" s="184"/>
      <c r="Z6" s="184"/>
      <c r="AA6" s="184"/>
      <c r="AB6" s="11"/>
      <c r="AC6" s="12"/>
      <c r="AD6" s="184"/>
      <c r="AE6" s="184"/>
      <c r="AF6" s="184"/>
      <c r="AG6" s="11"/>
      <c r="AH6" s="12"/>
      <c r="AI6" s="184"/>
      <c r="AJ6" s="184"/>
      <c r="AK6" s="184"/>
      <c r="AL6" s="11"/>
      <c r="AM6" s="12"/>
      <c r="AN6" s="184"/>
      <c r="AO6" s="184"/>
      <c r="AP6" s="184"/>
      <c r="AQ6" s="11"/>
      <c r="AR6" s="12"/>
      <c r="AS6" s="184"/>
      <c r="AT6" s="184"/>
      <c r="AU6" s="184"/>
      <c r="AV6" s="11"/>
      <c r="AW6" s="12"/>
      <c r="AX6" s="184"/>
      <c r="AY6" s="184"/>
      <c r="AZ6" s="184"/>
      <c r="BA6" s="11"/>
      <c r="BB6" s="12"/>
      <c r="BC6" s="184"/>
      <c r="BD6" s="184"/>
      <c r="BE6" s="184"/>
      <c r="BF6" s="11"/>
      <c r="BG6" s="12"/>
      <c r="BH6" s="184"/>
      <c r="BI6" s="184"/>
      <c r="BJ6" s="184"/>
      <c r="BK6" s="184"/>
      <c r="BL6" s="184"/>
      <c r="BM6" s="184"/>
      <c r="BN6" s="184"/>
      <c r="BO6" s="184"/>
      <c r="BP6" s="184"/>
    </row>
    <row r="7" ht="28.5" customHeight="1">
      <c r="A7" s="192" t="str">
        <f>IF((SUM(LEN(I11), LEN(N11), LEN(S11), LEN(X11), LEN(AC11), LEN(AH11), LEN(AM11), LEN(AR11), LEN(AW11), LEN(BB11), LEN(BG11)))&gt;0, "FABRIC TOKYO "&amp; $D$1 &amp; " " &amp; TEXT($A$1, "yyyy-m-d") &amp; " お直し適用サイズ" &amp; CHAR(10), "")</f>
        <v>FABRIC TOKYO 有楽町 2025-11-30 お直し適用サイズ
</v>
      </c>
      <c r="B7" s="193"/>
      <c r="C7" s="12"/>
      <c r="D7" s="194" t="s">
        <v>31</v>
      </c>
      <c r="E7" s="12"/>
      <c r="F7" s="12"/>
      <c r="G7" s="12"/>
      <c r="H7" s="11"/>
      <c r="I7" s="11"/>
      <c r="J7" s="12"/>
      <c r="K7" s="12"/>
      <c r="L7" s="12"/>
      <c r="M7" s="11"/>
      <c r="N7" s="12"/>
      <c r="O7" s="12"/>
      <c r="P7" s="12"/>
      <c r="Q7" s="12"/>
      <c r="R7" s="11"/>
      <c r="S7" s="11"/>
      <c r="T7" s="184"/>
      <c r="U7" s="184"/>
      <c r="V7" s="184"/>
      <c r="W7" s="11"/>
      <c r="X7" s="12"/>
      <c r="Y7" s="184"/>
      <c r="Z7" s="184"/>
      <c r="AA7" s="184"/>
      <c r="AB7" s="11"/>
      <c r="AC7" s="12"/>
      <c r="AD7" s="184"/>
      <c r="AE7" s="184"/>
      <c r="AF7" s="184"/>
      <c r="AG7" s="11"/>
      <c r="AH7" s="12"/>
      <c r="AI7" s="184"/>
      <c r="AJ7" s="184"/>
      <c r="AK7" s="184"/>
      <c r="AL7" s="11"/>
      <c r="AM7" s="12"/>
      <c r="AN7" s="184"/>
      <c r="AO7" s="184"/>
      <c r="AP7" s="184"/>
      <c r="AQ7" s="11"/>
      <c r="AR7" s="12"/>
      <c r="AS7" s="184"/>
      <c r="AT7" s="184"/>
      <c r="AU7" s="184"/>
      <c r="AV7" s="11"/>
      <c r="AW7" s="12"/>
      <c r="AX7" s="184"/>
      <c r="AY7" s="184"/>
      <c r="AZ7" s="184"/>
      <c r="BA7" s="11"/>
      <c r="BB7" s="12"/>
      <c r="BC7" s="184"/>
      <c r="BD7" s="184"/>
      <c r="BE7" s="184"/>
      <c r="BF7" s="11"/>
      <c r="BG7" s="12"/>
      <c r="BH7" s="184"/>
      <c r="BI7" s="184"/>
      <c r="BJ7" s="184"/>
      <c r="BK7" s="184"/>
      <c r="BL7" s="184"/>
      <c r="BM7" s="184"/>
      <c r="BN7" s="184"/>
      <c r="BO7" s="184"/>
      <c r="BP7" s="184"/>
    </row>
    <row r="8">
      <c r="A8" s="192" t="str">
        <f>ifs($D$11&lt;&gt;"", 
"FABRIC TOKYO "&amp; $D$1&amp; "" &amp; text($A$1," yyyy-m-d"&amp;" お直し適用サイズ ＊スーツサイズ")
&amp; CHAR(10) &amp;
"FABRIC TOKYO "&amp; $D$1&amp; "" &amp; text($A$1," yyyy-m-d"&amp;" お直し適用サイズ ＊ビジネスカジュアルサイズ" &amp; CHAR(10))
,
$D$11="", "")</f>
        <v/>
      </c>
      <c r="B8" s="193"/>
      <c r="C8" s="195"/>
      <c r="D8" s="196">
        <f>IF(OR($D$11="再製作", $I$11="再製作", $N$11="再製作"), "再製作", 
  IF(AND(COUNTIF($E$11:$O$11, "&gt;=" &amp;  TODAY()), COUNTIF($E$11:$O11, "&lt;&gt;")), MAX($D$11, $I$11, $N$11), ""))</f>
        <v>45996</v>
      </c>
      <c r="E8" s="197" t="s">
        <v>32</v>
      </c>
      <c r="F8" s="12"/>
      <c r="G8" s="12"/>
      <c r="H8" s="12"/>
      <c r="I8" s="12"/>
      <c r="J8" s="195"/>
      <c r="K8" s="195"/>
      <c r="L8" s="195"/>
      <c r="M8" s="11"/>
      <c r="N8" s="198" t="s">
        <v>33</v>
      </c>
      <c r="O8" s="12"/>
      <c r="P8" s="12"/>
      <c r="Q8" s="12"/>
      <c r="R8" s="11"/>
      <c r="S8" s="11"/>
      <c r="T8" s="184"/>
      <c r="U8" s="184"/>
      <c r="V8" s="184"/>
      <c r="W8" s="11"/>
      <c r="X8" s="12"/>
      <c r="Y8" s="184"/>
      <c r="Z8" s="184"/>
      <c r="AA8" s="184"/>
      <c r="AB8" s="11"/>
      <c r="AC8" s="12"/>
      <c r="AD8" s="184"/>
      <c r="AE8" s="184"/>
      <c r="AF8" s="184"/>
      <c r="AG8" s="11"/>
      <c r="AH8" s="12"/>
      <c r="AI8" s="184"/>
      <c r="AJ8" s="184"/>
      <c r="AK8" s="184"/>
      <c r="AL8" s="11"/>
      <c r="AM8" s="12"/>
      <c r="AN8" s="184"/>
      <c r="AO8" s="184"/>
      <c r="AP8" s="184"/>
      <c r="AQ8" s="11"/>
      <c r="AR8" s="12"/>
      <c r="AS8" s="184"/>
      <c r="AT8" s="184"/>
      <c r="AU8" s="184"/>
      <c r="AV8" s="11"/>
      <c r="AW8" s="12"/>
      <c r="AX8" s="184"/>
      <c r="AY8" s="184"/>
      <c r="AZ8" s="184"/>
      <c r="BA8" s="11"/>
      <c r="BB8" s="12"/>
      <c r="BC8" s="184"/>
      <c r="BD8" s="184"/>
      <c r="BE8" s="184"/>
      <c r="BF8" s="11"/>
      <c r="BG8" s="12"/>
      <c r="BH8" s="184"/>
      <c r="BI8" s="184"/>
      <c r="BJ8" s="184"/>
      <c r="BK8" s="184"/>
      <c r="BL8" s="184"/>
      <c r="BM8" s="184"/>
      <c r="BN8" s="184"/>
      <c r="BO8" s="184"/>
      <c r="BP8" s="184"/>
    </row>
    <row r="9">
      <c r="A9" s="12"/>
      <c r="B9" s="186"/>
      <c r="C9" s="12"/>
      <c r="D9" s="12"/>
      <c r="E9" s="11"/>
      <c r="F9" s="11"/>
      <c r="G9" s="11"/>
      <c r="H9" s="11"/>
      <c r="I9" s="11"/>
      <c r="J9" s="11"/>
      <c r="K9" s="11"/>
      <c r="L9" s="11"/>
      <c r="M9" s="11"/>
      <c r="N9" s="11"/>
      <c r="O9" s="11"/>
      <c r="P9" s="11"/>
      <c r="Q9" s="11"/>
      <c r="R9" s="11"/>
      <c r="S9" s="12"/>
      <c r="T9" s="184"/>
      <c r="U9" s="184"/>
      <c r="V9" s="184"/>
      <c r="W9" s="11"/>
      <c r="X9" s="12"/>
      <c r="Y9" s="184"/>
      <c r="Z9" s="184"/>
      <c r="AA9" s="184"/>
      <c r="AB9" s="11"/>
      <c r="AC9" s="12"/>
      <c r="AD9" s="184"/>
      <c r="AE9" s="184"/>
      <c r="AF9" s="184"/>
      <c r="AG9" s="11"/>
      <c r="AH9" s="12"/>
      <c r="AI9" s="184"/>
      <c r="AJ9" s="184"/>
      <c r="AK9" s="184"/>
      <c r="AL9" s="11"/>
      <c r="AM9" s="12"/>
      <c r="AN9" s="184"/>
      <c r="AO9" s="184"/>
      <c r="AP9" s="184"/>
      <c r="AQ9" s="11"/>
      <c r="AR9" s="12"/>
      <c r="AS9" s="184"/>
      <c r="AT9" s="184"/>
      <c r="AU9" s="184"/>
      <c r="AV9" s="11"/>
      <c r="AW9" s="12"/>
      <c r="AX9" s="184"/>
      <c r="AY9" s="184"/>
      <c r="AZ9" s="184"/>
      <c r="BA9" s="11"/>
      <c r="BB9" s="12"/>
      <c r="BC9" s="184"/>
      <c r="BD9" s="184"/>
      <c r="BE9" s="184"/>
      <c r="BF9" s="11"/>
      <c r="BG9" s="12"/>
      <c r="BH9" s="184"/>
      <c r="BI9" s="184"/>
      <c r="BJ9" s="184"/>
      <c r="BK9" s="184"/>
      <c r="BL9" s="184"/>
      <c r="BM9" s="184"/>
      <c r="BN9" s="184"/>
      <c r="BO9" s="184"/>
      <c r="BP9" s="184"/>
    </row>
    <row r="10" ht="15.75" customHeight="1">
      <c r="A10" s="199" t="str">
        <f t="array" ref="A10">TRIM(
 IF($A$14&lt;&gt;"",TEXTJOIN(CHAR(10),TRUE,IF($A$14:$A$17&lt;&gt;"",$A$14:$A$17,"")) &amp; CHAR(10) &amp; CHAR(10),"") &amp;
 IF($A$19&lt;&gt;"",TEXTJOIN(CHAR(10),TRUE,IF($A$19:$A$22&lt;&gt;"",$A$19:$A$22,"")) &amp; CHAR(10) &amp; CHAR(10),"") &amp;
 IF($A$24&lt;&gt;"",TEXTJOIN(CHAR(10),TRUE,IF($A$24:$A$27&lt;&gt;"",$A$24:$A$27,"")) &amp; CHAR(10) &amp; CHAR(10),"") &amp;
 IF($A$29&lt;&gt;"",TEXTJOIN(CHAR(10),TRUE,IF($A$29:$A$32&lt;&gt;"",$A$29:$A$32,"")) &amp; CHAR(10) &amp; CHAR(10),"") &amp;
 IF($A$34&lt;&gt;"",TEXTJOIN(CHAR(10),TRUE,IF($A$34:$A$37&lt;&gt;"",$A$34:$A$37,"")) &amp; CHAR(10) &amp; CHAR(10),"") &amp;
 IF($A$39&lt;&gt;"",TEXTJOIN(CHAR(10),TRUE,IF($A$39:$A$42&lt;&gt;"",$A$39:$A$42,"")) &amp; CHAR(10) &amp; CHAR(10),"") &amp;
 IF($A$44&lt;&gt;"",TEXTJOIN(CHAR(10),TRUE,IF($A$44:$A$47&lt;&gt;"",$A$44:$A$47,"")) &amp; CHAR(10) &amp; CHAR(10),"") &amp;
 IF($A$49&lt;&gt;"",TEXTJOIN(CHAR(10),TRUE,IF($A$49:$A$52&lt;&gt;"",$A$49:$A$52,"")) &amp; CHAR(10) &amp; CHAR(10),"") &amp;
 IF($A$54&lt;&gt;"",TEXTJOIN(CHAR(10),TRUE,IF($A$54:$A$57&lt;&gt;"",$A$54:$A$57,"")) &amp; CHAR(10) &amp; CHAR(10),"") &amp;
 IF($A$59&lt;&gt;"",TEXTJOIN(CHAR(10),TRUE,IF($A$59:$A$62&lt;&gt;"",$A$59:$A$62,"")) &amp; CHAR(10) &amp; CHAR(10),"") &amp;
 IF($A$64&lt;&gt;"",TEXTJOIN(CHAR(10),TRUE,IF($A$64:$A$67&lt;&gt;"",$A$64:$A$67,"")) &amp; CHAR(10) &amp; CHAR(10),"") &amp;
 IF($A$69&lt;&gt;"",TEXTJOIN(CHAR(10),TRUE,IF($A$69:$A$72&lt;&gt;"",$A$69:$A$72,"")) &amp; CHAR(10) &amp; CHAR(10),"") 
)
</f>
        <v>◼︎ パンツ（対応着地：お直し）
《修正数値》
パンツウエスト : -2 cm
《仕上がり数値》
パンツウエスト : cm</v>
      </c>
      <c r="B10" s="12"/>
      <c r="C10" s="12"/>
      <c r="D10" s="200" t="s">
        <v>34</v>
      </c>
      <c r="E10" s="201"/>
      <c r="F10" s="201"/>
      <c r="G10" s="202" t="s">
        <v>35</v>
      </c>
      <c r="H10" s="11"/>
      <c r="I10" s="200" t="s">
        <v>36</v>
      </c>
      <c r="J10" s="203"/>
      <c r="K10" s="201"/>
      <c r="L10" s="202" t="s">
        <v>35</v>
      </c>
      <c r="M10" s="11"/>
      <c r="N10" s="204" t="s">
        <v>37</v>
      </c>
      <c r="O10" s="203"/>
      <c r="P10" s="201"/>
      <c r="Q10" s="202" t="s">
        <v>35</v>
      </c>
      <c r="R10" s="11"/>
      <c r="S10" s="200" t="s">
        <v>38</v>
      </c>
      <c r="T10" s="203"/>
      <c r="U10" s="201"/>
      <c r="V10" s="202" t="s">
        <v>35</v>
      </c>
      <c r="W10" s="11"/>
      <c r="X10" s="200" t="s">
        <v>39</v>
      </c>
      <c r="Y10" s="203"/>
      <c r="Z10" s="201"/>
      <c r="AA10" s="202" t="s">
        <v>35</v>
      </c>
      <c r="AB10" s="11"/>
      <c r="AC10" s="200" t="s">
        <v>40</v>
      </c>
      <c r="AD10" s="203"/>
      <c r="AE10" s="201"/>
      <c r="AF10" s="202" t="s">
        <v>35</v>
      </c>
      <c r="AG10" s="11"/>
      <c r="AH10" s="200" t="s">
        <v>41</v>
      </c>
      <c r="AI10" s="203"/>
      <c r="AJ10" s="201"/>
      <c r="AK10" s="202" t="s">
        <v>35</v>
      </c>
      <c r="AL10" s="11"/>
      <c r="AM10" s="200" t="s">
        <v>42</v>
      </c>
      <c r="AN10" s="203"/>
      <c r="AO10" s="201"/>
      <c r="AP10" s="202" t="s">
        <v>35</v>
      </c>
      <c r="AQ10" s="11"/>
      <c r="AR10" s="200" t="s">
        <v>43</v>
      </c>
      <c r="AS10" s="203"/>
      <c r="AT10" s="201"/>
      <c r="AU10" s="202" t="s">
        <v>35</v>
      </c>
      <c r="AV10" s="12"/>
      <c r="AW10" s="200" t="s">
        <v>44</v>
      </c>
      <c r="AX10" s="203"/>
      <c r="AY10" s="201"/>
      <c r="AZ10" s="202" t="s">
        <v>35</v>
      </c>
      <c r="BA10" s="12"/>
      <c r="BB10" s="200" t="s">
        <v>45</v>
      </c>
      <c r="BC10" s="203"/>
      <c r="BD10" s="201"/>
      <c r="BE10" s="202" t="s">
        <v>35</v>
      </c>
      <c r="BF10" s="12"/>
      <c r="BG10" s="200" t="s">
        <v>46</v>
      </c>
      <c r="BH10" s="203"/>
      <c r="BI10" s="201"/>
      <c r="BJ10" s="202" t="s">
        <v>35</v>
      </c>
      <c r="BK10" s="12"/>
      <c r="BL10" s="200" t="s">
        <v>47</v>
      </c>
      <c r="BM10" s="201"/>
      <c r="BN10" s="201"/>
      <c r="BO10" s="202" t="s">
        <v>35</v>
      </c>
      <c r="BP10" s="12"/>
    </row>
    <row r="11" ht="37.5" customHeight="1">
      <c r="A11" s="205" t="s">
        <v>48</v>
      </c>
      <c r="B11" s="206"/>
      <c r="C11" s="207"/>
      <c r="D11" s="196" t="str">
        <f t="array" ref="D11">IFS( COUNTA(F$13:F27) = 0, "", COUNTIF(F$13:F27, "再製作") &gt; 0, "再製作", COUNTIF(F$13:F27, "&gt;0") = 1, INDEX(F$13:F27, MATCH(TRUE, ISNUMBER(F$13:F27), 0)), COUNTIF(F$13:F27, "&gt;0") = 2, 'アイテム別限界値DB'!$S$4, COUNTIF(F$13:F27, "&gt;0") &gt;= 3, 'アイテム別限界値DB'!$S$6, TRUE, "" ) </f>
        <v/>
      </c>
      <c r="E11" s="208" t="s">
        <v>49</v>
      </c>
      <c r="F11" s="202" t="s">
        <v>50</v>
      </c>
      <c r="G11" s="209">
        <f>sum(G12:G72)</f>
        <v>0</v>
      </c>
      <c r="H11" s="206"/>
      <c r="I11" s="196">
        <f t="array" ref="I11">IFS( COUNTA(K$13:K27) = 0, "", COUNTIF(K$13:K27, "再製作") &gt; 0, "再製作", COUNTIF(K$13:K27, "&gt;0") = 1, INDEX(K$13:K27, MATCH(TRUE, ISNUMBER(K$13:K27), 0)), COUNTIF(K$13:K27, "&gt;0") = 2, 'アイテム別限界値DB'!$S$8, COUNTIF(K$13:K27, "&gt;0") &gt;= 3, 'アイテム別限界値DB'!$S$10, TRUE, "" ) </f>
        <v>45996</v>
      </c>
      <c r="J11" s="210" t="s">
        <v>49</v>
      </c>
      <c r="K11" s="202" t="s">
        <v>50</v>
      </c>
      <c r="L11" s="209">
        <f>sum(L12:L72)</f>
        <v>0</v>
      </c>
      <c r="M11" s="206"/>
      <c r="N11" s="196" t="str">
        <f t="array" ref="N11">IFS( COUNTA(P$13:P27) = 0, "", COUNTIF(P$13:P27, "再製作") &gt; 0, "再製作", COUNTIF(P$13:P27, "&gt;0") = 1, INDEX(P$13:P27, MATCH(TRUE, ISNUMBER(P$13:P27), 0)), COUNTIF(P$13:P27, "&gt;0") = 2, 'アイテム別限界値DB'!$S$4, COUNTIF(P$13:P27, "&gt;0") &gt;= 3, 'アイテム別限界値DB'!$S$6, TRUE, "" ) </f>
        <v/>
      </c>
      <c r="O11" s="210" t="s">
        <v>49</v>
      </c>
      <c r="P11" s="202" t="s">
        <v>50</v>
      </c>
      <c r="Q11" s="209">
        <f>sum(Q12:Q72)</f>
        <v>0</v>
      </c>
      <c r="R11" s="211"/>
      <c r="S11" s="196" t="str">
        <f t="array" ref="S11">IFS( COUNTA(U$13:U27) = 0, "", COUNTIF(U$13:U27, "再製作") &gt; 0, "再製作", COUNTIF(U$13:U27, "&gt;0") = 1, INDEX(U$13:U27, MATCH(TRUE, ISNUMBER(U$13:U27), 0)), COUNTIF(U$13:U27, "&gt;0") = 2, 'アイテム別限界値DB'!$S$8, COUNTIF(U$13:U27, "&gt;0") &gt;= 3, 'アイテム別限界値DB'!$S$10, TRUE, "" ) </f>
        <v/>
      </c>
      <c r="T11" s="210" t="s">
        <v>49</v>
      </c>
      <c r="U11" s="202" t="s">
        <v>50</v>
      </c>
      <c r="V11" s="209">
        <f>sum(V12:V72)</f>
        <v>0</v>
      </c>
      <c r="W11" s="212"/>
      <c r="X11" s="196" t="str">
        <f t="array" ref="X11">IFS( COUNTA(Z$13:Z27) = 0, "", COUNTIF(Z$13:Z27, "再製作") &gt; 0, "再製作", COUNTIF(Z$13:Z27, "&gt;0") = 1, INDEX(Z$13:Z27, MATCH(TRUE, ISNUMBER(Z$13:Z27), 0)), COUNTIF(Z$13:Z27, "&gt;0") = 2, 'アイテム別限界値DB'!$S$4, COUNTIF(Z$13:Z27, "&gt;0") &gt;= 3, 'アイテム別限界値DB'!$S$6, TRUE, "" ) </f>
        <v/>
      </c>
      <c r="Y11" s="210" t="s">
        <v>49</v>
      </c>
      <c r="Z11" s="202" t="s">
        <v>50</v>
      </c>
      <c r="AA11" s="209">
        <f>sum(AA12:AA72)</f>
        <v>0</v>
      </c>
      <c r="AB11" s="211"/>
      <c r="AC11" s="196" t="str">
        <f t="array" ref="AC11">IFS( COUNTA(AE$13:AE27) = 0, "", COUNTIF(AE$13:AE27, "再製作") &gt; 0, "再製作", COUNTIF(AE$13:AE27, "&gt;0") = 1, INDEX(AE$13:AE27, MATCH(TRUE, ISNUMBER(AE$13:AE27), 0)), COUNTIF(AE$13:AE27, "&gt;0") = 2, 'アイテム別限界値DB'!$S$4, COUNTIF(AE$13:AE27, "&gt;0") &gt;= 3, 'アイテム別限界値DB'!$S$6, TRUE, "" ) </f>
        <v/>
      </c>
      <c r="AD11" s="210" t="s">
        <v>49</v>
      </c>
      <c r="AE11" s="202" t="s">
        <v>50</v>
      </c>
      <c r="AF11" s="209">
        <f>sum(AF12:AF72)</f>
        <v>0</v>
      </c>
      <c r="AG11" s="211"/>
      <c r="AH11" s="196" t="str">
        <f t="array" ref="AH11">IFS( COUNTA(AJ$13:AJ27) = 0, "", COUNTIF(AJ$13:AJ27, "再製作") &gt; 0, "再製作", COUNTIF(AJ$13:AJ27, "&gt;0") = 1, INDEX(AJ$13:AJ27, MATCH(TRUE, ISNUMBER(AJ$13:AJ27), 0)), COUNTIF(AJ$13:AJ27, "&gt;0") = 2, 'アイテム別限界値DB'!$S$4, COUNTIF(AJ$13:AJ27, "&gt;0") &gt;= 3, 'アイテム別限界値DB'!$S$6, TRUE, "" ) </f>
        <v/>
      </c>
      <c r="AI11" s="210" t="s">
        <v>49</v>
      </c>
      <c r="AJ11" s="202" t="s">
        <v>50</v>
      </c>
      <c r="AK11" s="209">
        <f>sum(AK12:AK72)</f>
        <v>0</v>
      </c>
      <c r="AL11" s="211"/>
      <c r="AM11" s="196" t="str">
        <f t="array" ref="AM11">IFS( COUNTA(AO$13:AO27) = 0, "", COUNTIF(AO$13:AO27, "再製作") &gt; 0, "再製作", COUNTIF(AO$13:AO27, "&gt;0") = 1, INDEX(AO$13:AO27, MATCH(TRUE, ISNUMBER(AO$13:AO27), 0)), COUNTIF(AO$13:AO27, "&gt;0") = 2, 'アイテム別限界値DB'!$S$4, COUNTIF(AO$13:AO27, "&gt;0") &gt;= 3, 'アイテム別限界値DB'!$S$6, TRUE, "" ) </f>
        <v/>
      </c>
      <c r="AN11" s="210" t="s">
        <v>49</v>
      </c>
      <c r="AO11" s="202" t="s">
        <v>50</v>
      </c>
      <c r="AP11" s="209">
        <f>sum(AP12:AP72)</f>
        <v>0</v>
      </c>
      <c r="AQ11" s="211"/>
      <c r="AR11" s="196" t="str">
        <f t="array" ref="AR11">IFS( COUNTA(AT$13:AT27) = 0, "", COUNTIF(AT$13:AT27, "再製作") &gt; 0, "再製作", COUNTIF(AT$13:AT27, "&gt;0") = 1, INDEX(AT$13:AT27, MATCH(TRUE, ISNUMBER(AT$13:AT27), 0)), COUNTIF(AT$13:AT27, "&gt;0") = 2, 'アイテム別限界値DB'!$S$4, COUNTIF(AT$13:AT27, "&gt;0") &gt;= 3, 'アイテム別限界値DB'!$S$6, TRUE, "" ) </f>
        <v/>
      </c>
      <c r="AS11" s="210" t="s">
        <v>49</v>
      </c>
      <c r="AT11" s="202" t="s">
        <v>50</v>
      </c>
      <c r="AU11" s="209">
        <f>sum(AU12:AU72)</f>
        <v>0</v>
      </c>
      <c r="AV11" s="213"/>
      <c r="AW11" s="196" t="str">
        <f t="array" ref="AW11">IFS( COUNTA(AY$13:AY27) = 0, "", COUNTIF(AY$13:AY27, "再製作") &gt; 0, "再製作", COUNTIF(AY$13:AY27, "&gt;0") = 1, INDEX(AY$13:AY27, MATCH(TRUE, ISNUMBER(AY$13:AY27), 0)), COUNTIF(AY$13:AY27, "&gt;0") = 2, 'アイテム別限界値DB'!$S$4, COUNTIF(AY$13:AY27, "&gt;0") &gt;= 3, 'アイテム別限界値DB'!$S$6, TRUE, "" ) </f>
        <v/>
      </c>
      <c r="AX11" s="210" t="s">
        <v>49</v>
      </c>
      <c r="AY11" s="202" t="s">
        <v>50</v>
      </c>
      <c r="AZ11" s="209">
        <f>sum(AZ12:AZ72)</f>
        <v>0</v>
      </c>
      <c r="BA11" s="213"/>
      <c r="BB11" s="196" t="str">
        <f t="array" ref="BB11">IFS( COUNTA(BD$13:BD27) = 0, "", COUNTIF(BD$13:BD27, "再製作") &gt; 0, "再製作", COUNTIF(BD$13:BD27, "&gt;0") = 1, INDEX(BD$13:BD27, MATCH(TRUE, ISNUMBER(BD$13:BD27), 0)), COUNTIF(BD$13:BD27, "&gt;0") = 2, 'アイテム別限界値DB'!$S$4, COUNTIF(BD$13:BD27, "&gt;0") &gt;= 3, 'アイテム別限界値DB'!$S$6, TRUE, "" ) </f>
        <v/>
      </c>
      <c r="BC11" s="210" t="s">
        <v>49</v>
      </c>
      <c r="BD11" s="202" t="s">
        <v>50</v>
      </c>
      <c r="BE11" s="209">
        <f>sum(BE12:BE72)</f>
        <v>0</v>
      </c>
      <c r="BF11" s="213"/>
      <c r="BG11" s="196" t="str">
        <f t="array" ref="BG11">IFS( COUNTA(BI$13:BI27) = 0, "", COUNTIF(BI$13:BI27, "再製作") &gt; 0, "再製作", COUNTIF(BI$13:BI27, "&gt;0") = 1, INDEX(BI$13:BI27, MATCH(TRUE, ISNUMBER(BI$13:BI27), 0)), COUNTIF(BI$13:BI27, "&gt;0") = 2, 'アイテム別限界値DB'!$S$4, COUNTIF(BI$13:BI27, "&gt;0") &gt;= 3, 'アイテム別限界値DB'!$S$6, TRUE, "" ) </f>
        <v/>
      </c>
      <c r="BH11" s="210" t="s">
        <v>49</v>
      </c>
      <c r="BI11" s="202" t="s">
        <v>50</v>
      </c>
      <c r="BJ11" s="209">
        <f>sum(BJ12:BJ72)</f>
        <v>0</v>
      </c>
      <c r="BK11" s="213"/>
      <c r="BL11" s="196">
        <f t="array" ref="BL11">IFS( COUNTA(BN$13:BN27) = 0, "", COUNTIF(BN$13:BN27, "再製作") &gt; 0, "再製作", COUNTIF(BN$13:BN27, "&gt;0") = 1, INDEX(BN$13:BN27, MATCH(TRUE, ISNUMBER(BN$13:BN27), 0)), COUNTIF(BN$13:BN27, "&gt;0") = 2, 'アイテム別限界値DB'!$S$4, COUNTIF(BN$13:BN27, "&gt;0") &gt;= 3, 'アイテム別限界値DB'!$S$6, TRUE, "" ) </f>
        <v>46003</v>
      </c>
      <c r="BM11" s="214" t="s">
        <v>49</v>
      </c>
      <c r="BN11" s="215" t="s">
        <v>50</v>
      </c>
      <c r="BO11" s="209">
        <f>sum(BO12:BO72)</f>
        <v>0</v>
      </c>
      <c r="BP11" s="213"/>
    </row>
    <row r="12" ht="15.75" hidden="1" customHeight="1">
      <c r="A12" s="11"/>
      <c r="B12" s="11"/>
      <c r="C12" s="11"/>
      <c r="D12" s="216" t="s">
        <v>51</v>
      </c>
      <c r="E12" s="217" t="str">
        <f>IF(D11="再製作", "再製作", IF(D11&lt;&gt;"", "お直し", ""))
</f>
        <v/>
      </c>
      <c r="F12" s="195"/>
      <c r="G12" s="218" t="str">
        <f t="array" ref="G12">IF(
  E12 = "再製作", 
  "", 
 if(E12="", "",
  IFERROR(
    INDEX(
      'アイテム別限界値DB'!$L:$L, 
      MATCH(
        1, 
        ('アイテム別限界値DB'!$B:$B = D$10) * 
        ('アイテム別限界値DB'!$C:$C = D12), 
        0
      )
    ), 
    "再製作"
  )
))
</f>
        <v/>
      </c>
      <c r="H12" s="12"/>
      <c r="I12" s="216" t="s">
        <v>51</v>
      </c>
      <c r="J12" s="217" t="str">
        <f>IF(I11="再製作", "再製作", IF(I11&lt;&gt;"", "お直し", ""))
</f>
        <v>お直し</v>
      </c>
      <c r="K12" s="195"/>
      <c r="L12" s="218" t="str">
        <f t="array" ref="L12">IF(
  J12 = "再製作", 
  "", 
 if(J12="", "",
  IFERROR(
    INDEX(
      'アイテム別限界値DB'!$L:$L, 
      MATCH(
        1, 
        ('アイテム別限界値DB'!$B:$B = I$10) * 
        ('アイテム別限界値DB'!$C:$C = I12), 
        0
      )
    ), 
    "再製作"
  )
))
</f>
        <v/>
      </c>
      <c r="M12" s="121"/>
      <c r="N12" s="216" t="s">
        <v>51</v>
      </c>
      <c r="O12" s="217" t="str">
        <f>IF(N11="再製作", "再製作", IF(N11&lt;&gt;"", "お直し", ""))
</f>
        <v/>
      </c>
      <c r="P12" s="195"/>
      <c r="Q12" s="218" t="str">
        <f t="array" ref="Q12">IF(
  O12 = "再製作", 
  "", 
 if(O12="", "",
  IFERROR(
    INDEX(
      'アイテム別限界値DB'!$L:$L, 
      MATCH(
        1, 
        ('アイテム別限界値DB'!$B:$B = N$10) * 
        ('アイテム別限界値DB'!$C:$C = N12), 
        0
      )
    ), 
    "再製作"
  )
))
</f>
        <v/>
      </c>
      <c r="R12" s="11"/>
      <c r="S12" s="216" t="s">
        <v>51</v>
      </c>
      <c r="T12" s="219" t="str">
        <f>IF(S11="再製作", "再製作", IF(S11&lt;&gt;"", "お直し", ""))
</f>
        <v/>
      </c>
      <c r="U12" s="220"/>
      <c r="V12" s="218" t="str">
        <f t="array" ref="V12">IF(
  T12 = "再製作", 
  "", 
 if(T12="", "",
  IFERROR(
    INDEX(
      'アイテム別限界値DB'!$L:$L, 
      MATCH(
        1, 
        ('アイテム別限界値DB'!$B:$B = S$10) * 
        ('アイテム別限界値DB'!$C:$C = S12), 
        0
      )
    ), 
    "再製作"
  )
))
</f>
        <v/>
      </c>
      <c r="W12" s="12"/>
      <c r="X12" s="216" t="s">
        <v>51</v>
      </c>
      <c r="Y12" s="219" t="str">
        <f>IF(X11="再製作", "再製作", IF(X11&lt;&gt;"", "お直し", ""))
</f>
        <v/>
      </c>
      <c r="Z12" s="220"/>
      <c r="AA12" s="218" t="str">
        <f t="array" ref="AA12">IF(
  Y12 = "再製作", 
  "", 
 if(Y12="", "",
  IFERROR(
    INDEX(
      'アイテム別限界値DB'!$L:$L, 
      MATCH(
        1, 
        ('アイテム別限界値DB'!$B:$B = X$10) * 
        ('アイテム別限界値DB'!$C:$C = X12), 
        0
      )
    ), 
    "再製作"
  )
))
</f>
        <v/>
      </c>
      <c r="AB12" s="11"/>
      <c r="AC12" s="216" t="s">
        <v>51</v>
      </c>
      <c r="AD12" s="219" t="str">
        <f>IF(AC11="再製作", "再製作", IF(AC11&lt;&gt;"", "お直し", ""))
</f>
        <v/>
      </c>
      <c r="AE12" s="220"/>
      <c r="AF12" s="218" t="str">
        <f t="array" ref="AF12">IF(
  AD12 = "再製作", 
  "", 
 if(AD12="", "",
  IFERROR(
    INDEX(
      'アイテム別限界値DB'!$L:$L, 
      MATCH(
        1, 
        ('アイテム別限界値DB'!$B:$B = AC$10) * 
        ('アイテム別限界値DB'!$C:$C = AC12), 
        0
      )
    ), 
    "再製作"
  )
))
</f>
        <v/>
      </c>
      <c r="AG12" s="11"/>
      <c r="AH12" s="216" t="s">
        <v>51</v>
      </c>
      <c r="AI12" s="219" t="str">
        <f>IF(AH11="再製作", "再製作", IF(AH11&lt;&gt;"", "お直し", ""))
</f>
        <v/>
      </c>
      <c r="AJ12" s="220"/>
      <c r="AK12" s="218" t="str">
        <f t="array" ref="AK12">IF(
  AI12 = "再製作", 
  "", 
 if(AI12="", "",
  IFERROR(
    INDEX(
      'アイテム別限界値DB'!$L:$L, 
      MATCH(
        1, 
        ('アイテム別限界値DB'!$B:$B = AH$10) * 
        ('アイテム別限界値DB'!$C:$C = AH12), 
        0
      )
    ), 
    "再製作"
  )
))
</f>
        <v/>
      </c>
      <c r="AL12" s="11"/>
      <c r="AM12" s="216" t="s">
        <v>51</v>
      </c>
      <c r="AN12" s="219" t="str">
        <f>IF(AM11="再製作", "再製作", IF(AM11&lt;&gt;"", "お直し", ""))
</f>
        <v/>
      </c>
      <c r="AO12" s="220"/>
      <c r="AP12" s="218" t="str">
        <f t="array" ref="AP12">IF(
  AN12 = "再製作", 
  "", 
 if(AN12="", "",
  IFERROR(
    INDEX(
      'アイテム別限界値DB'!$L:$L, 
      MATCH(
        1, 
        ('アイテム別限界値DB'!$B:$B = AM$10) * 
        ('アイテム別限界値DB'!$C:$C = AM12), 
        0
      )
    ), 
    "再製作"
  )
))
</f>
        <v/>
      </c>
      <c r="AQ12" s="11"/>
      <c r="AR12" s="216" t="s">
        <v>51</v>
      </c>
      <c r="AS12" s="219" t="str">
        <f>IF(AR11="再製作", "再製作", IF(AR11&lt;&gt;"", "お直し", ""))
</f>
        <v/>
      </c>
      <c r="AT12" s="220"/>
      <c r="AU12" s="218" t="str">
        <f t="array" ref="AU12">IF(
  AS12 = "再製作", 
  "", 
 if(AS12="", "",
  IFERROR(
    INDEX(
      'アイテム別限界値DB'!$L:$L, 
      MATCH(
        1, 
        ('アイテム別限界値DB'!$B:$B = AR$10) * 
        ('アイテム別限界値DB'!$C:$C = AR12), 
        0
      )
    ), 
    "再製作"
  )
))
</f>
        <v/>
      </c>
      <c r="AV12" s="121"/>
      <c r="AW12" s="216" t="s">
        <v>51</v>
      </c>
      <c r="AX12" s="219" t="str">
        <f>IF(AW11="再製作", "再製作", IF(AW11&lt;&gt;"", "お直し", ""))
</f>
        <v/>
      </c>
      <c r="AY12" s="220"/>
      <c r="AZ12" s="218" t="str">
        <f t="array" ref="AZ12">IF(
  AX12 = "再製作", 
  "", 
 if(AX12="", "",
  IFERROR(
    INDEX(
      'アイテム別限界値DB'!$L:$L, 
      MATCH(
        1, 
        ('アイテム別限界値DB'!$B:$B = AW$10) * 
        ('アイテム別限界値DB'!$C:$C = AW12), 
        0
      )
    ), 
    "再製作"
  )
))
</f>
        <v/>
      </c>
      <c r="BA12" s="121"/>
      <c r="BB12" s="216" t="s">
        <v>51</v>
      </c>
      <c r="BC12" s="217" t="str">
        <f>IF(BB11="再製作", "再製作", IF(BB11&lt;&gt;"", "お直し", ""))
</f>
        <v/>
      </c>
      <c r="BD12" s="195"/>
      <c r="BE12" s="218" t="str">
        <f t="array" ref="BE12">IF(
  BC12 = "再製作", 
  "", 
 if(BC12="", "",
  IFERROR(
    INDEX(
      'アイテム別限界値DB'!$L:$L, 
      MATCH(
        1, 
        ('アイテム別限界値DB'!$B:$B = BB$10) * 
        ('アイテム別限界値DB'!$C:$C = BB12), 
        0
      )
    ), 
    "再製作"
  )
))
</f>
        <v/>
      </c>
      <c r="BF12" s="121"/>
      <c r="BG12" s="216" t="s">
        <v>51</v>
      </c>
      <c r="BH12" s="217" t="str">
        <f>IF(BG11="再製作", "再製作", IF(BG11&lt;&gt;"", "お直し", ""))
</f>
        <v/>
      </c>
      <c r="BI12" s="195"/>
      <c r="BJ12" s="218" t="str">
        <f t="array" ref="BJ12">IF(
  BH12 = "再製作", 
  "", 
 if(BH12="", "",
  IFERROR(
    INDEX(
      'アイテム別限界値DB'!$L:$L, 
      MATCH(
        1, 
        ('アイテム別限界値DB'!$B:$B = BG$10) * 
        ('アイテム別限界値DB'!$C:$C = BG12), 
        0
      )
    ), 
    "再製作"
  )
))
</f>
        <v/>
      </c>
      <c r="BK12" s="121"/>
      <c r="BL12" s="221" t="s">
        <v>51</v>
      </c>
      <c r="BM12" s="219" t="str">
        <f>IF(BL11="再製作", "再製作", IF(BL11&lt;&gt;"", "お直し", ""))
</f>
        <v>お直し</v>
      </c>
      <c r="BN12" s="195"/>
      <c r="BO12" s="218" t="str">
        <f t="array" ref="BO12">IF(
  BM12 = "再製作", 
  "", 
 if(BM12="", "",
  IFERROR(
    INDEX(
      'アイテム別限界値DB'!$L:$L, 
      MATCH(
        1, 
        ('アイテム別限界値DB'!$B:$B = BL$10) * 
        ('アイテム別限界値DB'!$C:$C = BL12), 
        0
      )
    ), 
    "再製作"
  )
))
</f>
        <v/>
      </c>
      <c r="BP12" s="195"/>
    </row>
    <row r="13" ht="18.75" hidden="1" customHeight="1">
      <c r="A13" s="222" t="s">
        <v>52</v>
      </c>
      <c r="B13" s="12"/>
      <c r="C13" s="12"/>
      <c r="D13" s="223" t="b">
        <f t="array" ref="D13:D42">UNIQUE(IF( ('アイテム別限界値DB'!$B:$B = D$10) * ('アイテム別限界値DB'!$A:$A = "サイズ"),  IF('アイテム別限界値DB'!$B:$B = D$10, 'アイテム別限界値DB'!$F:$F, "") ))</f>
        <v>0</v>
      </c>
      <c r="E13" s="224"/>
      <c r="F13" s="12"/>
      <c r="G13" s="121"/>
      <c r="H13" s="12"/>
      <c r="I13" s="223" t="b">
        <f t="array" ref="I13:I27">UNIQUE(IF( ('アイテム別限界値DB'!$B:$B = I$10) * ('アイテム別限界値DB'!$A:$A = "サイズ"),  IF('アイテム別限界値DB'!$B:$B = I$10, 'アイテム別限界値DB'!$F:$F, "") ))</f>
        <v>0</v>
      </c>
      <c r="J13" s="224"/>
      <c r="K13" s="12"/>
      <c r="L13" s="121"/>
      <c r="M13" s="12"/>
      <c r="N13" s="223" t="b">
        <f t="array" ref="N13:N21">UNIQUE(IF( ('アイテム別限界値DB'!$B:$B = N$10) * ('アイテム別限界値DB'!$A:$A = "サイズ"),  IF('アイテム別限界値DB'!$B:$B = N$10, 'アイテム別限界値DB'!$C:$C, "") ))</f>
        <v>0</v>
      </c>
      <c r="O13" s="224"/>
      <c r="P13" s="12"/>
      <c r="Q13" s="121"/>
      <c r="R13" s="11"/>
      <c r="S13" s="223" t="b">
        <f t="array" ref="S13:S28">UNIQUE(IF( ('アイテム別限界値DB'!$B:$B = S$10) * ('アイテム別限界値DB'!$A:$A = "サイズ"),  IF('アイテム別限界値DB'!$B:$B = S$10, 'アイテム別限界値DB'!$F:$F, "") ))</f>
        <v>0</v>
      </c>
      <c r="T13" s="225"/>
      <c r="U13" s="226"/>
      <c r="V13" s="121"/>
      <c r="W13" s="12"/>
      <c r="X13" s="223" t="b">
        <f t="array" ref="X13:X31">UNIQUE(IF( ('アイテム別限界値DB'!$B:$B = X$10) * ('アイテム別限界値DB'!$A:$A = "サイズ"),  IF('アイテム別限界値DB'!$B:$B = X$10, 'アイテム別限界値DB'!$C:$C, "") ))</f>
        <v>0</v>
      </c>
      <c r="Y13" s="225"/>
      <c r="Z13" s="226"/>
      <c r="AA13" s="121"/>
      <c r="AB13" s="11"/>
      <c r="AC13" s="223" t="b">
        <f t="array" ref="AC13:AC29">UNIQUE(IF( ('アイテム別限界値DB'!$B:$B = AC$10) * ('アイテム別限界値DB'!$A:$A = "サイズ"),  IF('アイテム別限界値DB'!$B:$B = AC$10, 'アイテム別限界値DB'!$F:$F, "") ))</f>
        <v>0</v>
      </c>
      <c r="AD13" s="225"/>
      <c r="AE13" s="226"/>
      <c r="AF13" s="121"/>
      <c r="AG13" s="11"/>
      <c r="AH13" s="223" t="b">
        <f t="array" ref="AH13:AH20">UNIQUE(IF( ('アイテム別限界値DB'!$B:$B = AH$10) * ('アイテム別限界値DB'!$A:$A = "サイズ"),  IF('アイテム別限界値DB'!$B:$B = AH$10, 'アイテム別限界値DB'!$F:$F, "") ))</f>
        <v>0</v>
      </c>
      <c r="AI13" s="225"/>
      <c r="AJ13" s="226"/>
      <c r="AK13" s="121"/>
      <c r="AL13" s="11"/>
      <c r="AM13" s="223" t="b">
        <f t="array" ref="AM13:AM20">UNIQUE(IF( ('アイテム別限界値DB'!$B:$B = AM$10) * ('アイテム別限界値DB'!$A:$A = "サイズ"),  IF('アイテム別限界値DB'!$B:$B = AM$10, 'アイテム別限界値DB'!$F:$F, "") ))</f>
        <v>0</v>
      </c>
      <c r="AN13" s="225"/>
      <c r="AO13" s="226"/>
      <c r="AP13" s="121"/>
      <c r="AQ13" s="11"/>
      <c r="AR13" s="223" t="b">
        <f t="array" ref="AR13:AR20">UNIQUE(IF( ('アイテム別限界値DB'!$B:$B = AR$10) * ('アイテム別限界値DB'!$A:$A = "サイズ"),  IF('アイテム別限界値DB'!$B:$B = AR$10, 'アイテム別限界値DB'!$F:$F, "") ))</f>
        <v>0</v>
      </c>
      <c r="AS13" s="225"/>
      <c r="AT13" s="226"/>
      <c r="AU13" s="121"/>
      <c r="AV13" s="121"/>
      <c r="AW13" s="223" t="b">
        <f t="array" ref="AW13:AW20">UNIQUE(IF( ('アイテム別限界値DB'!$B:$B = AW$10) * ('アイテム別限界値DB'!$A:$A = "サイズ"),  IF('アイテム別限界値DB'!$B:$B = AW$10, 'アイテム別限界値DB'!$F:$F, "") ))</f>
        <v>0</v>
      </c>
      <c r="AX13" s="225"/>
      <c r="AY13" s="226"/>
      <c r="AZ13" s="121"/>
      <c r="BA13" s="121"/>
      <c r="BB13" s="223" t="b">
        <f t="array" ref="BB13:BB20">UNIQUE(IF( ('アイテム別限界値DB'!$B:$B = BB$10) * ('アイテム別限界値DB'!$A:$A = "サイズ"),  IF('アイテム別限界値DB'!$B:$B = BB$10, 'アイテム別限界値DB'!$F:$F, "") ))</f>
        <v>0</v>
      </c>
      <c r="BC13" s="224"/>
      <c r="BD13" s="12"/>
      <c r="BE13" s="121"/>
      <c r="BF13" s="121"/>
      <c r="BG13" s="223" t="b">
        <f t="array" ref="BG13:BG20">UNIQUE(IF( ('アイテム別限界値DB'!$B:$B = BG$10) * ('アイテム別限界値DB'!$A:$A = "サイズ"),  IF('アイテム別限界値DB'!$B:$B = BG$10, 'アイテム別限界値DB'!$F:$F, "") ))</f>
        <v>0</v>
      </c>
      <c r="BH13" s="224"/>
      <c r="BI13" s="12"/>
      <c r="BJ13" s="121"/>
      <c r="BK13" s="121"/>
      <c r="BL13" s="227" t="b">
        <f t="array" ref="BL13:BL23">UNIQUE(IF( ('アイテム別限界値DB'!$B:$B = BL$10) * ('アイテム別限界値DB'!$A:$A = "サイズ"),  IF('アイテム別限界値DB'!$B:$B = BL$10, 'アイテム別限界値DB'!$F:$F, "") ))</f>
        <v>0</v>
      </c>
      <c r="BM13" s="224"/>
      <c r="BN13" s="121"/>
      <c r="BO13" s="121"/>
      <c r="BP13" s="121"/>
    </row>
    <row r="14" ht="18.75" customHeight="1">
      <c r="A14" s="228" t="str">
        <f>IF($D$11 = "再製作", "◼︎ ジャケット（対応着地：再製作）" &amp; char(10) &amp; "《修正数値》", IF( $D$11 &lt;&gt;"", "◼︎ ジャケット（対応着地：お直し）" &amp; char(10) &amp; "《修正数値》", ""))</f>
        <v/>
      </c>
      <c r="B14" s="229"/>
      <c r="C14" s="224"/>
      <c r="D14" s="224" t="s">
        <v>51</v>
      </c>
      <c r="E14" s="232"/>
      <c r="F14" s="231" t="str">
        <f t="array" ref="F14">IF(
  E14 = 0, 
  "", 
  IFERROR(
    INDEX(
      'アイテム別限界値DB'!$K:$K, 
      MATCH(
        1, 
        ('アイテム別限界値DB'!$B:$B = D$10) * 
        ('アイテム別限界値DB'!$F:$F = D14) * 
        ('アイテム別限界値DB'!$H:$H = E14), 
        0
      )
    ), 
    "再製作"
  )
)
</f>
        <v/>
      </c>
      <c r="G14" s="218" t="str">
        <f t="array" ref="G14">IF(
  E14 = 0, 
  "", 
  IFERROR(
    INDEX(
      'アイテム別限界値DB'!$L:$L, 
      MATCH(
        1, 
        ('アイテム別限界値DB'!$B:$B = D$10) * 
        ('アイテム別限界値DB'!$C:$C = D14) * 
        ('アイテム別限界値DB'!$F:$F = E14), 
        0
      )
    ), 
    ""
  )
)
</f>
        <v/>
      </c>
      <c r="H14" s="195"/>
      <c r="I14" s="224" t="s">
        <v>51</v>
      </c>
      <c r="J14" s="232"/>
      <c r="K14" s="231" t="str">
        <f t="array" ref="K14">IF(
  J14 = 0, 
  "", 
  IFERROR(
    INDEX(
      'アイテム別限界値DB'!$K:$K, 
      MATCH(
        1, 
        ('アイテム別限界値DB'!$B:$B = I$10) * 
        ('アイテム別限界値DB'!$F:$F = I14) * 
        ('アイテム別限界値DB'!$H:$H = J14), 
        0
      )
    ), 
    "再製作"
  )
)
</f>
        <v/>
      </c>
      <c r="L14" s="218" t="str">
        <f t="array" ref="L14">IF(
  J14 = 0, 
  "", 
  IFERROR(
    INDEX(
      'アイテム別限界値DB'!$L:$L, 
      MATCH(
        1, 
        ('アイテム別限界値DB'!$B:$B = I$10) * 
        ('アイテム別限界値DB'!$C:$C = I14) * 
        ('アイテム別限界値DB'!$F:$F = J14), 
        0
      )
    ), 
    ""
  )
)
</f>
        <v/>
      </c>
      <c r="M14" s="12"/>
      <c r="N14" s="224" t="s">
        <v>51</v>
      </c>
      <c r="O14" s="232"/>
      <c r="P14" s="231" t="str">
        <f t="array" ref="P14">IF(
  O14 = 0, 
  "", 
  IFERROR(
    INDEX(
      'アイテム別限界値DB'!$K:$K, 
      MATCH(
        1, 
        ('アイテム別限界値DB'!$B:$B = N$10) * 
        ('アイテム別限界値DB'!$F:$F = N14) * 
        ('アイテム別限界値DB'!$H:$H = O14), 
        0
      )
    ), 
    "再製作"
  )
)
</f>
        <v/>
      </c>
      <c r="Q14" s="218" t="str">
        <f t="array" ref="Q14">IF(
  O14 = 0, 
  "", 
  IFERROR(
    INDEX(
      'アイテム別限界値DB'!$L:$L, 
      MATCH(
        1, 
        ('アイテム別限界値DB'!$B:$B = N$10) * 
        ('アイテム別限界値DB'!$C:$C = N14) * 
        ('アイテム別限界値DB'!$F:$F = O14), 
        0
      )
    ), 
    ""
  )
)
</f>
        <v/>
      </c>
      <c r="R14" s="12"/>
      <c r="S14" s="224" t="s">
        <v>51</v>
      </c>
      <c r="T14" s="232"/>
      <c r="U14" s="231" t="str">
        <f t="array" ref="U14">IF(
  T14 = 0, 
  "", 
  IFERROR(
    INDEX(
      'アイテム別限界値DB'!$K:$K, 
      MATCH(
        1, 
        ('アイテム別限界値DB'!$B:$B = S$10) * 
        ('アイテム別限界値DB'!$F:$F = S14) * 
        ('アイテム別限界値DB'!$H:$H = T14), 
        0
      )
    ), 
    "再製作"
  )
)
</f>
        <v/>
      </c>
      <c r="V14" s="218" t="str">
        <f t="array" ref="V14">IF(
  T14 = 0, 
  "", 
  IFERROR(
    INDEX(
      'アイテム別限界値DB'!$L:$L, 
      MATCH(
        1, 
        ('アイテム別限界値DB'!$B:$B = S$10) * 
        ('アイテム別限界値DB'!$C:$C = S14) * 
        ('アイテム別限界値DB'!$F:$F = T14), 
        0
      )
    ), 
    ""
  )
)
</f>
        <v/>
      </c>
      <c r="W14" s="12"/>
      <c r="X14" s="224" t="s">
        <v>51</v>
      </c>
      <c r="Y14" s="232"/>
      <c r="Z14" s="231" t="str">
        <f t="array" ref="Z14">IF(
  Y14 = 0, 
  "", 
  IFERROR(
    INDEX(
      'アイテム別限界値DB'!$K:$K, 
      MATCH(
        1, 
        ('アイテム別限界値DB'!$B:$B = X$10) * 
        ('アイテム別限界値DB'!$F:$F = X14) * 
        ('アイテム別限界値DB'!$H:$H = Y14), 
        0
      )
    ), 
    "再製作"
  )
)
</f>
        <v/>
      </c>
      <c r="AA14" s="218" t="str">
        <f t="array" ref="AA14">IF(
  Y14 = 0, 
  "", 
  IFERROR(
    INDEX(
      'アイテム別限界値DB'!$L:$L, 
      MATCH(
        1, 
        ('アイテム別限界値DB'!$B:$B = X$10) * 
        ('アイテム別限界値DB'!$C:$C = X14) * 
        ('アイテム別限界値DB'!$F:$F = Y14), 
        0
      )
    ), 
    ""
  )
)
</f>
        <v/>
      </c>
      <c r="AB14" s="11"/>
      <c r="AC14" s="224" t="s">
        <v>51</v>
      </c>
      <c r="AD14" s="232"/>
      <c r="AE14" s="231" t="str">
        <f t="array" ref="AE14">IF(
  AD14 = 0, 
  "", 
  IFERROR(
    INDEX(
      'アイテム別限界値DB'!$K:$K, 
      MATCH(
        1, 
        ('アイテム別限界値DB'!$B:$B = AC$10) * 
        ('アイテム別限界値DB'!$F:$F = AC14) * 
        ('アイテム別限界値DB'!$H:$H = AD14), 
        0
      )
    ), 
    "再製作"
  )
)
</f>
        <v/>
      </c>
      <c r="AF14" s="218" t="str">
        <f t="array" ref="AF14">IF(
  AD14 = 0, 
  "", 
  IFERROR(
    INDEX(
      'アイテム別限界値DB'!$L:$L, 
      MATCH(
        1, 
        ('アイテム別限界値DB'!$B:$B = AC$10) * 
        ('アイテム別限界値DB'!$C:$C = AC14) * 
        ('アイテム別限界値DB'!$F:$F = AD14), 
        0
      )
    ), 
    ""
  )
)
</f>
        <v/>
      </c>
      <c r="AG14" s="11"/>
      <c r="AH14" s="224" t="s">
        <v>51</v>
      </c>
      <c r="AI14" s="232"/>
      <c r="AJ14" s="231" t="str">
        <f t="array" ref="AJ14">IF(
  AI14 = 0, 
  "", 
  IFERROR(
    INDEX(
      'アイテム別限界値DB'!$K:$K, 
      MATCH(
        1, 
        ('アイテム別限界値DB'!$B:$B = AH$10) * 
        ('アイテム別限界値DB'!$F:$F = AH14) * 
        ('アイテム別限界値DB'!$H:$H = AI14), 
        0
      )
    ), 
    "再製作"
  )
)
</f>
        <v/>
      </c>
      <c r="AK14" s="218" t="str">
        <f t="array" ref="AK14">IF(
  AI14 = 0, 
  "", 
  IFERROR(
    INDEX(
      'アイテム別限界値DB'!$L:$L, 
      MATCH(
        1, 
        ('アイテム別限界値DB'!$B:$B = AH$10) * 
        ('アイテム別限界値DB'!$C:$C = AH14) * 
        ('アイテム別限界値DB'!$F:$F = AI14), 
        0
      )
    ), 
    ""
  )
)
</f>
        <v/>
      </c>
      <c r="AL14" s="11"/>
      <c r="AM14" s="224" t="s">
        <v>51</v>
      </c>
      <c r="AN14" s="232"/>
      <c r="AO14" s="231" t="str">
        <f t="array" ref="AO14">IF(
  AN14 = 0, 
  "", 
  IFERROR(
    INDEX(
      'アイテム別限界値DB'!$K:$K, 
      MATCH(
        1, 
        ('アイテム別限界値DB'!$B:$B = AM$10) * 
        ('アイテム別限界値DB'!$F:$F = AM14) * 
        ('アイテム別限界値DB'!$H:$H = AN14), 
        0
      )
    ), 
    "再製作"
  )
)
</f>
        <v/>
      </c>
      <c r="AP14" s="218" t="str">
        <f t="array" ref="AP14">IF(
  AN14 = 0, 
  "", 
  IFERROR(
    INDEX(
      'アイテム別限界値DB'!$L:$L, 
      MATCH(
        1, 
        ('アイテム別限界値DB'!$B:$B = AM$10) * 
        ('アイテム別限界値DB'!$C:$C = AM14) * 
        ('アイテム別限界値DB'!$F:$F = AN14), 
        0
      )
    ), 
    ""
  )
)
</f>
        <v/>
      </c>
      <c r="AQ14" s="11"/>
      <c r="AR14" s="224" t="s">
        <v>51</v>
      </c>
      <c r="AS14" s="232"/>
      <c r="AT14" s="231" t="str">
        <f t="array" ref="AT14">IF(
  AS14 = 0, 
  "", 
  IFERROR(
    INDEX(
      'アイテム別限界値DB'!$K:$K, 
      MATCH(
        1, 
        ('アイテム別限界値DB'!$B:$B = AR$10) * 
        ('アイテム別限界値DB'!$F:$F = AR14) * 
        ('アイテム別限界値DB'!$H:$H = AS14), 
        0
      )
    ), 
    "再製作"
  )
)
</f>
        <v/>
      </c>
      <c r="AU14" s="218" t="str">
        <f t="array" ref="AU14">IF(
  AS14 = 0, 
  "", 
  IFERROR(
    INDEX(
      'アイテム別限界値DB'!$L:$L, 
      MATCH(
        1, 
        ('アイテム別限界値DB'!$B:$B = AR$10) * 
        ('アイテム別限界値DB'!$C:$C = AR14) * 
        ('アイテム別限界値DB'!$F:$F = AS14), 
        0
      )
    ), 
    ""
  )
)
</f>
        <v/>
      </c>
      <c r="AV14" s="121"/>
      <c r="AW14" s="224" t="s">
        <v>51</v>
      </c>
      <c r="AX14" s="232"/>
      <c r="AY14" s="231" t="str">
        <f t="array" ref="AY14">IF(
  AX14 = 0, 
  "", 
  IFERROR(
    INDEX(
      'アイテム別限界値DB'!$K:$K, 
      MATCH(
        1, 
        ('アイテム別限界値DB'!$B:$B = AW$10) * 
        ('アイテム別限界値DB'!$F:$F = AW14) * 
        ('アイテム別限界値DB'!$H:$H = AX14), 
        0
      )
    ), 
    "再製作"
  )
)
</f>
        <v/>
      </c>
      <c r="AZ14" s="218" t="str">
        <f t="array" ref="AZ14">IF(
  AX14 = 0, 
  "", 
  IFERROR(
    INDEX(
      'アイテム別限界値DB'!$L:$L, 
      MATCH(
        1, 
        ('アイテム別限界値DB'!$B:$B = AW$10) * 
        ('アイテム別限界値DB'!$C:$C = AW14) * 
        ('アイテム別限界値DB'!$F:$F = AX14), 
        0
      )
    ), 
    ""
  )
)
</f>
        <v/>
      </c>
      <c r="BA14" s="121"/>
      <c r="BB14" s="224" t="s">
        <v>51</v>
      </c>
      <c r="BC14" s="232"/>
      <c r="BD14" s="231" t="str">
        <f t="array" ref="BD14">IF(
  BC14 = 0, 
  "", 
  IFERROR(
    INDEX(
      'アイテム別限界値DB'!$K:$K, 
      MATCH(
        1, 
        ('アイテム別限界値DB'!$B:$B = BB$10) * 
        ('アイテム別限界値DB'!$F:$F = BB14) * 
        ('アイテム別限界値DB'!$H:$H = BC14), 
        0
      )
    ), 
    "再製作"
  )
)
</f>
        <v/>
      </c>
      <c r="BE14" s="218" t="str">
        <f t="array" ref="BE14">IF(
  BC14 = 0, 
  "", 
  IFERROR(
    INDEX(
      'アイテム別限界値DB'!$L:$L, 
      MATCH(
        1, 
        ('アイテム別限界値DB'!$B:$B = BB$10) * 
        ('アイテム別限界値DB'!$C:$C = BB14) * 
        ('アイテム別限界値DB'!$F:$F = BC14), 
        0
      )
    ), 
    ""
  )
)
</f>
        <v/>
      </c>
      <c r="BF14" s="121"/>
      <c r="BG14" s="224" t="s">
        <v>51</v>
      </c>
      <c r="BH14" s="233"/>
      <c r="BI14" s="234" t="str">
        <f t="array" ref="BI14">IF(
  BH14 = 0, 
  "", 
  IFERROR(
    INDEX(
      'アイテム別限界値DB'!$K:$K, 
      MATCH(
        1, 
        ('アイテム別限界値DB'!$B:$B = BG$10) * 
        ('アイテム別限界値DB'!$F:$F = BG14) * 
        ('アイテム別限界値DB'!$H:$H = BH14), 
        0
      )
    ), 
    "再製作"
  )
)
</f>
        <v/>
      </c>
      <c r="BJ14" s="218" t="str">
        <f t="array" ref="BJ14">IF(
  BH14 = 0, 
  "", 
  IFERROR(
    INDEX(
      'アイテム別限界値DB'!$L:$L, 
      MATCH(
        1, 
        ('アイテム別限界値DB'!$B:$B = BG$10) * 
        ('アイテム別限界値DB'!$C:$C = BG14) * 
        ('アイテム別限界値DB'!$F:$F = BH14), 
        0
      )
    ), 
    ""
  )
)
</f>
        <v/>
      </c>
      <c r="BK14" s="121"/>
      <c r="BL14" s="224" t="s">
        <v>51</v>
      </c>
      <c r="BM14" s="232"/>
      <c r="BN14" s="231" t="str">
        <f t="array" ref="BN14">IF(
  BM14 = 0, 
  "", 
  IFERROR(
    INDEX(
      'アイテム別限界値DB'!$K:$K, 
      MATCH(
        1, 
        ('アイテム別限界値DB'!$B:$B = BL$10) * 
        ('アイテム別限界値DB'!$F:$F = BL14) * 
        ('アイテム別限界値DB'!$H:$H = BM14), 
        0
      )
    ), 
    "再製作"
  )
)
</f>
        <v/>
      </c>
      <c r="BO14" s="218" t="str">
        <f t="array" ref="BO14">IF(
  BM14 = 0, 
  "", 
  IFERROR(
    INDEX(
      'アイテム別限界値DB'!$L:$L, 
      MATCH(
        1, 
        ('アイテム別限界値DB'!$B:$B = BL$10) * 
        ('アイテム別限界値DB'!$C:$C = BL14) * 
        ('アイテム別限界値DB'!$F:$F = BM14), 
        0
      )
    ), 
    ""
  )
)
</f>
        <v/>
      </c>
      <c r="BP14" s="195"/>
    </row>
    <row r="15" ht="18.75" customHeight="1">
      <c r="A15" s="228" t="str">
        <f>IFERROR(__xludf.DUMMYFUNCTION("TEXTJOIN(CHAR(10),TRUE,FILTER(ARRAYFORMULA(IF(E$14:E72&lt;&gt;"""",D$14:D72&amp;"" : ""&amp; E$14:E72 &amp;"" cm"","""")), D$14:D72 &lt;&gt;""""))"),"")</f>
        <v/>
      </c>
      <c r="B15" s="235"/>
      <c r="C15" s="224"/>
      <c r="D15" s="224" t="s">
        <v>53</v>
      </c>
      <c r="E15" s="230"/>
      <c r="F15" s="231" t="str">
        <f t="array" ref="F15">IF(
  E15 = 0, 
  "", 
  IFERROR(
    INDEX(
      'アイテム別限界値DB'!$K:$K, 
      MATCH(
        1, 
        ('アイテム別限界値DB'!$B:$B = D$10) * 
        ('アイテム別限界値DB'!$F:$F = D15) * 
        ('アイテム別限界値DB'!$H:$H = E15), 
        0
      )
    ), 
    "再製作"
  )
)
</f>
        <v/>
      </c>
      <c r="G15" s="218" t="str">
        <f t="array" ref="G15">IF(
  E15 = 0, 
  "", 
  IFERROR(
    INDEX(
      'アイテム別限界値DB'!$L:$L, 
      MATCH(
        1, 
        ('アイテム別限界値DB'!$B:$B = D$10) * 
        ('アイテム別限界値DB'!$C:$C = D15) * 
        ('アイテム別限界値DB'!$F:$F = E15), 
        0
      )
    ), 
    ""
  )
)
</f>
        <v/>
      </c>
      <c r="H15" s="12"/>
      <c r="I15" s="224" t="s">
        <v>54</v>
      </c>
      <c r="J15" s="230" t="s">
        <v>129</v>
      </c>
      <c r="K15" s="231">
        <f t="array" ref="K15">IF(
  J15 = 0, 
  "", 
  IFERROR(
    INDEX(
      'アイテム別限界値DB'!$K:$K, 
      MATCH(
        1, 
        ('アイテム別限界値DB'!$B:$B = I$10) * 
        ('アイテム別限界値DB'!$F:$F = I15) * 
        ('アイテム別限界値DB'!$H:$H = J15), 
        0
      )
    ), 
    "再製作"
  )
)
</f>
        <v>45996</v>
      </c>
      <c r="L15" s="218" t="str">
        <f t="array" ref="L15">IF(
  J15 = 0, 
  "", 
  IFERROR(
    INDEX(
      'アイテム別限界値DB'!$L:$L, 
      MATCH(
        1, 
        ('アイテム別限界値DB'!$B:$B = I$10) * 
        ('アイテム別限界値DB'!$C:$C = I15) * 
        ('アイテム別限界値DB'!$F:$F = J15), 
        0
      )
    ), 
    ""
  )
)
</f>
        <v/>
      </c>
      <c r="M15" s="12"/>
      <c r="N15" s="224" t="s">
        <v>55</v>
      </c>
      <c r="O15" s="230"/>
      <c r="P15" s="231" t="str">
        <f t="array" ref="P15">IF(
  O15 = 0, 
  "", 
  IFERROR(
    INDEX(
      'アイテム別限界値DB'!$K:$K, 
      MATCH(
        1, 
        ('アイテム別限界値DB'!$B:$B = N$10) * 
        ('アイテム別限界値DB'!$F:$F = N15) * 
        ('アイテム別限界値DB'!$H:$H = O15), 
        0
      )
    ), 
    "再製作"
  )
)
</f>
        <v/>
      </c>
      <c r="Q15" s="218" t="str">
        <f t="array" ref="Q15">IF(
  O15 = 0, 
  "", 
  IFERROR(
    INDEX(
      'アイテム別限界値DB'!$L:$L, 
      MATCH(
        1, 
        ('アイテム別限界値DB'!$B:$B = N$10) * 
        ('アイテム別限界値DB'!$C:$C = N15) * 
        ('アイテム別限界値DB'!$F:$F = O15), 
        0
      )
    ), 
    ""
  )
)
</f>
        <v/>
      </c>
      <c r="R15" s="12"/>
      <c r="S15" s="224" t="s">
        <v>54</v>
      </c>
      <c r="T15" s="232"/>
      <c r="U15" s="231" t="str">
        <f t="array" ref="U15">IF(
  T15 = 0, 
  "", 
  IFERROR(
    INDEX(
      'アイテム別限界値DB'!$K:$K, 
      MATCH(
        1, 
        ('アイテム別限界値DB'!$B:$B = S$10) * 
        ('アイテム別限界値DB'!$F:$F = S15) * 
        ('アイテム別限界値DB'!$H:$H = T15), 
        0
      )
    ), 
    "再製作"
  )
)
</f>
        <v/>
      </c>
      <c r="V15" s="218" t="str">
        <f t="array" ref="V15">IF(
  T15 = 0, 
  "", 
  IFERROR(
    INDEX(
      'アイテム別限界値DB'!$L:$L, 
      MATCH(
        1, 
        ('アイテム別限界値DB'!$B:$B = S$10) * 
        ('アイテム別限界値DB'!$C:$C = S15) * 
        ('アイテム別限界値DB'!$F:$F = T15), 
        0
      )
    ), 
    ""
  )
)
</f>
        <v/>
      </c>
      <c r="W15" s="12"/>
      <c r="X15" s="224" t="s">
        <v>53</v>
      </c>
      <c r="Y15" s="232"/>
      <c r="Z15" s="231" t="str">
        <f t="array" ref="Z15">IF(
  Y15 = 0, 
  "", 
  IFERROR(
    INDEX(
      'アイテム別限界値DB'!$K:$K, 
      MATCH(
        1, 
        ('アイテム別限界値DB'!$B:$B = X$10) * 
        ('アイテム別限界値DB'!$F:$F = X15) * 
        ('アイテム別限界値DB'!$H:$H = Y15), 
        0
      )
    ), 
    "再製作"
  )
)
</f>
        <v/>
      </c>
      <c r="AA15" s="218" t="str">
        <f t="array" ref="AA15">IF(
  Y15 = 0, 
  "", 
  IFERROR(
    INDEX(
      'アイテム別限界値DB'!$L:$L, 
      MATCH(
        1, 
        ('アイテム別限界値DB'!$B:$B = X$10) * 
        ('アイテム別限界値DB'!$C:$C = X15) * 
        ('アイテム別限界値DB'!$F:$F = Y15), 
        0
      )
    ), 
    ""
  )
)
</f>
        <v/>
      </c>
      <c r="AB15" s="11"/>
      <c r="AC15" s="224" t="s">
        <v>53</v>
      </c>
      <c r="AD15" s="232"/>
      <c r="AE15" s="231" t="str">
        <f t="array" ref="AE15">IF(
  AD15 = 0, 
  "", 
  IFERROR(
    INDEX(
      'アイテム別限界値DB'!$K:$K, 
      MATCH(
        1, 
        ('アイテム別限界値DB'!$B:$B = AC$10) * 
        ('アイテム別限界値DB'!$F:$F = AC15) * 
        ('アイテム別限界値DB'!$H:$H = AD15), 
        0
      )
    ), 
    "再製作"
  )
)
</f>
        <v/>
      </c>
      <c r="AF15" s="218" t="str">
        <f t="array" ref="AF15">IF(
  AD15 = 0, 
  "", 
  IFERROR(
    INDEX(
      'アイテム別限界値DB'!$L:$L, 
      MATCH(
        1, 
        ('アイテム別限界値DB'!$B:$B = AC$10) * 
        ('アイテム別限界値DB'!$C:$C = AC15) * 
        ('アイテム別限界値DB'!$F:$F = AD15), 
        0
      )
    ), 
    ""
  )
)
</f>
        <v/>
      </c>
      <c r="AG15" s="11"/>
      <c r="AH15" s="224" t="s">
        <v>53</v>
      </c>
      <c r="AI15" s="232"/>
      <c r="AJ15" s="231" t="str">
        <f t="array" ref="AJ15">IF(
  AI15 = 0, 
  "", 
  IFERROR(
    INDEX(
      'アイテム別限界値DB'!$K:$K, 
      MATCH(
        1, 
        ('アイテム別限界値DB'!$B:$B = AH$10) * 
        ('アイテム別限界値DB'!$F:$F = AH15) * 
        ('アイテム別限界値DB'!$H:$H = AI15), 
        0
      )
    ), 
    "再製作"
  )
)
</f>
        <v/>
      </c>
      <c r="AK15" s="218" t="str">
        <f t="array" ref="AK15">IF(
  AI15 = 0, 
  "", 
  IFERROR(
    INDEX(
      'アイテム別限界値DB'!$L:$L, 
      MATCH(
        1, 
        ('アイテム別限界値DB'!$B:$B = AH$10) * 
        ('アイテム別限界値DB'!$C:$C = AH15) * 
        ('アイテム別限界値DB'!$F:$F = AI15), 
        0
      )
    ), 
    ""
  )
)
</f>
        <v/>
      </c>
      <c r="AL15" s="11"/>
      <c r="AM15" s="224" t="s">
        <v>53</v>
      </c>
      <c r="AN15" s="232"/>
      <c r="AO15" s="231" t="str">
        <f t="array" ref="AO15">IF(
  AN15 = 0, 
  "", 
  IFERROR(
    INDEX(
      'アイテム別限界値DB'!$K:$K, 
      MATCH(
        1, 
        ('アイテム別限界値DB'!$B:$B = AM$10) * 
        ('アイテム別限界値DB'!$F:$F = AM15) * 
        ('アイテム別限界値DB'!$H:$H = AN15), 
        0
      )
    ), 
    "再製作"
  )
)
</f>
        <v/>
      </c>
      <c r="AP15" s="218" t="str">
        <f t="array" ref="AP15">IF(
  AN15 = 0, 
  "", 
  IFERROR(
    INDEX(
      'アイテム別限界値DB'!$L:$L, 
      MATCH(
        1, 
        ('アイテム別限界値DB'!$B:$B = AM$10) * 
        ('アイテム別限界値DB'!$C:$C = AM15) * 
        ('アイテム別限界値DB'!$F:$F = AN15), 
        0
      )
    ), 
    ""
  )
)
</f>
        <v/>
      </c>
      <c r="AQ15" s="11"/>
      <c r="AR15" s="224" t="s">
        <v>53</v>
      </c>
      <c r="AS15" s="232"/>
      <c r="AT15" s="231" t="str">
        <f t="array" ref="AT15">IF(
  AS15 = 0, 
  "", 
  IFERROR(
    INDEX(
      'アイテム別限界値DB'!$K:$K, 
      MATCH(
        1, 
        ('アイテム別限界値DB'!$B:$B = AR$10) * 
        ('アイテム別限界値DB'!$F:$F = AR15) * 
        ('アイテム別限界値DB'!$H:$H = AS15), 
        0
      )
    ), 
    "再製作"
  )
)
</f>
        <v/>
      </c>
      <c r="AU15" s="218" t="str">
        <f t="array" ref="AU15">IF(
  AS15 = 0, 
  "", 
  IFERROR(
    INDEX(
      'アイテム別限界値DB'!$L:$L, 
      MATCH(
        1, 
        ('アイテム別限界値DB'!$B:$B = AR$10) * 
        ('アイテム別限界値DB'!$C:$C = AR15) * 
        ('アイテム別限界値DB'!$F:$F = AS15), 
        0
      )
    ), 
    ""
  )
)
</f>
        <v/>
      </c>
      <c r="AV15" s="121"/>
      <c r="AW15" s="224" t="s">
        <v>53</v>
      </c>
      <c r="AX15" s="232"/>
      <c r="AY15" s="231" t="str">
        <f t="array" ref="AY15">IF(
  AX15 = 0, 
  "", 
  IFERROR(
    INDEX(
      'アイテム別限界値DB'!$K:$K, 
      MATCH(
        1, 
        ('アイテム別限界値DB'!$B:$B = AW$10) * 
        ('アイテム別限界値DB'!$F:$F = AW15) * 
        ('アイテム別限界値DB'!$H:$H = AX15), 
        0
      )
    ), 
    "再製作"
  )
)
</f>
        <v/>
      </c>
      <c r="AZ15" s="218" t="str">
        <f t="array" ref="AZ15">IF(
  AX15 = 0, 
  "", 
  IFERROR(
    INDEX(
      'アイテム別限界値DB'!$L:$L, 
      MATCH(
        1, 
        ('アイテム別限界値DB'!$B:$B = AW$10) * 
        ('アイテム別限界値DB'!$C:$C = AW15) * 
        ('アイテム別限界値DB'!$F:$F = AX15), 
        0
      )
    ), 
    ""
  )
)
</f>
        <v/>
      </c>
      <c r="BA15" s="121"/>
      <c r="BB15" s="224" t="s">
        <v>53</v>
      </c>
      <c r="BC15" s="232"/>
      <c r="BD15" s="231" t="str">
        <f t="array" ref="BD15">IF(
  BC15 = 0, 
  "", 
  IFERROR(
    INDEX(
      'アイテム別限界値DB'!$K:$K, 
      MATCH(
        1, 
        ('アイテム別限界値DB'!$B:$B = BB$10) * 
        ('アイテム別限界値DB'!$F:$F = BB15) * 
        ('アイテム別限界値DB'!$H:$H = BC15), 
        0
      )
    ), 
    "再製作"
  )
)
</f>
        <v/>
      </c>
      <c r="BE15" s="218" t="str">
        <f t="array" ref="BE15">IF(
  BC15 = 0, 
  "", 
  IFERROR(
    INDEX(
      'アイテム別限界値DB'!$L:$L, 
      MATCH(
        1, 
        ('アイテム別限界値DB'!$B:$B = BB$10) * 
        ('アイテム別限界値DB'!$C:$C = BB15) * 
        ('アイテム別限界値DB'!$F:$F = BC15), 
        0
      )
    ), 
    ""
  )
)
</f>
        <v/>
      </c>
      <c r="BF15" s="121"/>
      <c r="BG15" s="224" t="s">
        <v>53</v>
      </c>
      <c r="BH15" s="232"/>
      <c r="BI15" s="231" t="str">
        <f t="array" ref="BI15">IF(
  BH15 = 0, 
  "", 
  IFERROR(
    INDEX(
      'アイテム別限界値DB'!$K:$K, 
      MATCH(
        1, 
        ('アイテム別限界値DB'!$B:$B = BG$10) * 
        ('アイテム別限界値DB'!$F:$F = BG15) * 
        ('アイテム別限界値DB'!$H:$H = BH15), 
        0
      )
    ), 
    "再製作"
  )
)
</f>
        <v/>
      </c>
      <c r="BJ15" s="218" t="str">
        <f t="array" ref="BJ15">IF(
  BH15 = 0, 
  "", 
  IFERROR(
    INDEX(
      'アイテム別限界値DB'!$L:$L, 
      MATCH(
        1, 
        ('アイテム別限界値DB'!$B:$B = BG$10) * 
        ('アイテム別限界値DB'!$C:$C = BG15) * 
        ('アイテム別限界値DB'!$F:$F = BH15), 
        0
      )
    ), 
    ""
  )
)
</f>
        <v/>
      </c>
      <c r="BK15" s="121"/>
      <c r="BL15" s="224" t="s">
        <v>53</v>
      </c>
      <c r="BM15" s="232"/>
      <c r="BN15" s="231" t="str">
        <f t="array" ref="BN15">IF(
  BM15 = 0, 
  "", 
  IFERROR(
    INDEX(
      'アイテム別限界値DB'!$K:$K, 
      MATCH(
        1, 
        ('アイテム別限界値DB'!$B:$B = BL$10) * 
        ('アイテム別限界値DB'!$F:$F = BL15) * 
        ('アイテム別限界値DB'!$H:$H = BM15), 
        0
      )
    ), 
    "再製作"
  )
)
</f>
        <v/>
      </c>
      <c r="BO15" s="218" t="str">
        <f t="array" ref="BO15">IF(
  BM15 = 0, 
  "", 
  IFERROR(
    INDEX(
      'アイテム別限界値DB'!$L:$L, 
      MATCH(
        1, 
        ('アイテム別限界値DB'!$B:$B = BL$10) * 
        ('アイテム別限界値DB'!$C:$C = BL15) * 
        ('アイテム別限界値DB'!$F:$F = BM15), 
        0
      )
    ), 
    ""
  )
)
</f>
        <v/>
      </c>
      <c r="BP15" s="195"/>
    </row>
    <row r="16" ht="18.75" customHeight="1">
      <c r="A16" s="236" t="str">
        <f>if($A$14&lt;&gt;"", "《仕上がり数値》","")</f>
        <v/>
      </c>
      <c r="B16" s="224"/>
      <c r="C16" s="224"/>
      <c r="D16" s="224" t="s">
        <v>55</v>
      </c>
      <c r="E16" s="230"/>
      <c r="F16" s="231" t="str">
        <f t="array" ref="F16">IF(
  E16 = 0, 
  "", 
  IFERROR(
    INDEX(
      'アイテム別限界値DB'!$K:$K, 
      MATCH(
        1, 
        ('アイテム別限界値DB'!$B:$B = D$10) * 
        ('アイテム別限界値DB'!$F:$F = D16) * 
        ('アイテム別限界値DB'!$H:$H = E16), 
        0
      )
    ), 
    "再製作"
  )
)
</f>
        <v/>
      </c>
      <c r="G16" s="218" t="str">
        <f t="array" ref="G16">IF(
  E16 = 0, 
  "", 
  IFERROR(
    INDEX(
      'アイテム別限界値DB'!$L:$L, 
      MATCH(
        1, 
        ('アイテム別限界値DB'!$B:$B = D$10) * 
        ('アイテム別限界値DB'!$C:$C = D16) * 
        ('アイテム別限界値DB'!$F:$F = E16), 
        0
      )
    ), 
    ""
  )
)
</f>
        <v/>
      </c>
      <c r="H16" s="12"/>
      <c r="I16" s="224" t="s">
        <v>56</v>
      </c>
      <c r="J16" s="230"/>
      <c r="K16" s="231" t="str">
        <f t="array" ref="K16">IF(
  J16 = 0, 
  "", 
  IFERROR(
    INDEX(
      'アイテム別限界値DB'!$K:$K, 
      MATCH(
        1, 
        ('アイテム別限界値DB'!$B:$B = I$10) * 
        ('アイテム別限界値DB'!$F:$F = I16) * 
        ('アイテム別限界値DB'!$H:$H = J16), 
        0
      )
    ), 
    "再製作"
  )
)
</f>
        <v/>
      </c>
      <c r="L16" s="218" t="str">
        <f t="array" ref="L16">IF(
  J16 = 0, 
  "", 
  IFERROR(
    INDEX(
      'アイテム別限界値DB'!$L:$L, 
      MATCH(
        1, 
        ('アイテム別限界値DB'!$B:$B = I$10) * 
        ('アイテム別限界値DB'!$C:$C = I16) * 
        ('アイテム別限界値DB'!$F:$F = J16), 
        0
      )
    ), 
    ""
  )
)
</f>
        <v/>
      </c>
      <c r="M16" s="12"/>
      <c r="N16" s="224" t="s">
        <v>57</v>
      </c>
      <c r="O16" s="230"/>
      <c r="P16" s="231" t="str">
        <f t="array" ref="P16">IF(
  O16 = 0, 
  "", 
  IFERROR(
    INDEX(
      'アイテム別限界値DB'!$K:$K, 
      MATCH(
        1, 
        ('アイテム別限界値DB'!$B:$B = N$10) * 
        ('アイテム別限界値DB'!$F:$F = N16) * 
        ('アイテム別限界値DB'!$H:$H = O16), 
        0
      )
    ), 
    "再製作"
  )
)
</f>
        <v/>
      </c>
      <c r="Q16" s="218" t="str">
        <f t="array" ref="Q16">IF(
  O16 = 0, 
  "", 
  IFERROR(
    INDEX(
      'アイテム別限界値DB'!$L:$L, 
      MATCH(
        1, 
        ('アイテム別限界値DB'!$B:$B = N$10) * 
        ('アイテム別限界値DB'!$C:$C = N16) * 
        ('アイテム別限界値DB'!$F:$F = O16), 
        0
      )
    ), 
    ""
  )
)
</f>
        <v/>
      </c>
      <c r="R16" s="12"/>
      <c r="S16" s="224" t="s">
        <v>56</v>
      </c>
      <c r="T16" s="232"/>
      <c r="U16" s="231" t="str">
        <f t="array" ref="U16">IF(
  T16 = 0, 
  "", 
  IFERROR(
    INDEX(
      'アイテム別限界値DB'!$K:$K, 
      MATCH(
        1, 
        ('アイテム別限界値DB'!$B:$B = S$10) * 
        ('アイテム別限界値DB'!$F:$F = S16) * 
        ('アイテム別限界値DB'!$H:$H = T16), 
        0
      )
    ), 
    "再製作"
  )
)
</f>
        <v/>
      </c>
      <c r="V16" s="218" t="str">
        <f t="array" ref="V16">IF(
  T16 = 0, 
  "", 
  IFERROR(
    INDEX(
      'アイテム別限界値DB'!$L:$L, 
      MATCH(
        1, 
        ('アイテム別限界値DB'!$B:$B = S$10) * 
        ('アイテム別限界値DB'!$C:$C = S16) * 
        ('アイテム別限界値DB'!$F:$F = T16), 
        0
      )
    ), 
    ""
  )
)
</f>
        <v/>
      </c>
      <c r="W16" s="12"/>
      <c r="X16" s="224" t="s">
        <v>58</v>
      </c>
      <c r="Y16" s="230"/>
      <c r="Z16" s="231" t="str">
        <f t="array" ref="Z16">IF(
  Y16 = 0, 
  "", 
  IFERROR(
    INDEX(
      'アイテム別限界値DB'!$K:$K, 
      MATCH(
        1, 
        ('アイテム別限界値DB'!$B:$B = X$10) * 
        ('アイテム別限界値DB'!$F:$F = X16) * 
        ('アイテム別限界値DB'!$H:$H = Y16), 
        0
      )
    ), 
    "再製作"
  )
)
</f>
        <v/>
      </c>
      <c r="AA16" s="218" t="str">
        <f t="array" ref="AA16">IF(
  Y16 = 0, 
  "", 
  IFERROR(
    INDEX(
      'アイテム別限界値DB'!$L:$L, 
      MATCH(
        1, 
        ('アイテム別限界値DB'!$B:$B = X$10) * 
        ('アイテム別限界値DB'!$C:$C = X16) * 
        ('アイテム別限界値DB'!$F:$F = Y16), 
        0
      )
    ), 
    ""
  )
)
</f>
        <v/>
      </c>
      <c r="AB16" s="11"/>
      <c r="AC16" s="224" t="s">
        <v>55</v>
      </c>
      <c r="AD16" s="232"/>
      <c r="AE16" s="231" t="str">
        <f t="array" ref="AE16">IF(
  AD16 = 0, 
  "", 
  IFERROR(
    INDEX(
      'アイテム別限界値DB'!$K:$K, 
      MATCH(
        1, 
        ('アイテム別限界値DB'!$B:$B = AC$10) * 
        ('アイテム別限界値DB'!$F:$F = AC16) * 
        ('アイテム別限界値DB'!$H:$H = AD16), 
        0
      )
    ), 
    "再製作"
  )
)
</f>
        <v/>
      </c>
      <c r="AF16" s="218" t="str">
        <f t="array" ref="AF16">IF(
  AD16 = 0, 
  "", 
  IFERROR(
    INDEX(
      'アイテム別限界値DB'!$L:$L, 
      MATCH(
        1, 
        ('アイテム別限界値DB'!$B:$B = AC$10) * 
        ('アイテム別限界値DB'!$C:$C = AC16) * 
        ('アイテム別限界値DB'!$F:$F = AD16), 
        0
      )
    ), 
    ""
  )
)
</f>
        <v/>
      </c>
      <c r="AG16" s="11"/>
      <c r="AH16" s="224" t="s">
        <v>55</v>
      </c>
      <c r="AI16" s="232"/>
      <c r="AJ16" s="231" t="str">
        <f t="array" ref="AJ16">IF(
  AI16 = 0, 
  "", 
  IFERROR(
    INDEX(
      'アイテム別限界値DB'!$K:$K, 
      MATCH(
        1, 
        ('アイテム別限界値DB'!$B:$B = AH$10) * 
        ('アイテム別限界値DB'!$F:$F = AH16) * 
        ('アイテム別限界値DB'!$H:$H = AI16), 
        0
      )
    ), 
    "再製作"
  )
)
</f>
        <v/>
      </c>
      <c r="AK16" s="218" t="str">
        <f t="array" ref="AK16">IF(
  AI16 = 0, 
  "", 
  IFERROR(
    INDEX(
      'アイテム別限界値DB'!$L:$L, 
      MATCH(
        1, 
        ('アイテム別限界値DB'!$B:$B = AH$10) * 
        ('アイテム別限界値DB'!$C:$C = AH16) * 
        ('アイテム別限界値DB'!$F:$F = AI16), 
        0
      )
    ), 
    ""
  )
)
</f>
        <v/>
      </c>
      <c r="AL16" s="11"/>
      <c r="AM16" s="224" t="s">
        <v>55</v>
      </c>
      <c r="AN16" s="232"/>
      <c r="AO16" s="231" t="str">
        <f t="array" ref="AO16">IF(
  AN16 = 0, 
  "", 
  IFERROR(
    INDEX(
      'アイテム別限界値DB'!$K:$K, 
      MATCH(
        1, 
        ('アイテム別限界値DB'!$B:$B = AM$10) * 
        ('アイテム別限界値DB'!$F:$F = AM16) * 
        ('アイテム別限界値DB'!$H:$H = AN16), 
        0
      )
    ), 
    "再製作"
  )
)
</f>
        <v/>
      </c>
      <c r="AP16" s="218" t="str">
        <f t="array" ref="AP16">IF(
  AN16 = 0, 
  "", 
  IFERROR(
    INDEX(
      'アイテム別限界値DB'!$L:$L, 
      MATCH(
        1, 
        ('アイテム別限界値DB'!$B:$B = AM$10) * 
        ('アイテム別限界値DB'!$C:$C = AM16) * 
        ('アイテム別限界値DB'!$F:$F = AN16), 
        0
      )
    ), 
    ""
  )
)
</f>
        <v/>
      </c>
      <c r="AQ16" s="11"/>
      <c r="AR16" s="224" t="s">
        <v>55</v>
      </c>
      <c r="AS16" s="232"/>
      <c r="AT16" s="231" t="str">
        <f t="array" ref="AT16">IF(
  AS16 = 0, 
  "", 
  IFERROR(
    INDEX(
      'アイテム別限界値DB'!$K:$K, 
      MATCH(
        1, 
        ('アイテム別限界値DB'!$B:$B = AR$10) * 
        ('アイテム別限界値DB'!$F:$F = AR16) * 
        ('アイテム別限界値DB'!$H:$H = AS16), 
        0
      )
    ), 
    "再製作"
  )
)
</f>
        <v/>
      </c>
      <c r="AU16" s="218" t="str">
        <f t="array" ref="AU16">IF(
  AS16 = 0, 
  "", 
  IFERROR(
    INDEX(
      'アイテム別限界値DB'!$L:$L, 
      MATCH(
        1, 
        ('アイテム別限界値DB'!$B:$B = AR$10) * 
        ('アイテム別限界値DB'!$C:$C = AR16) * 
        ('アイテム別限界値DB'!$F:$F = AS16), 
        0
      )
    ), 
    ""
  )
)
</f>
        <v/>
      </c>
      <c r="AV16" s="121"/>
      <c r="AW16" s="224" t="s">
        <v>55</v>
      </c>
      <c r="AX16" s="232"/>
      <c r="AY16" s="231" t="str">
        <f t="array" ref="AY16">IF(
  AX16 = 0, 
  "", 
  IFERROR(
    INDEX(
      'アイテム別限界値DB'!$K:$K, 
      MATCH(
        1, 
        ('アイテム別限界値DB'!$B:$B = AW$10) * 
        ('アイテム別限界値DB'!$F:$F = AW16) * 
        ('アイテム別限界値DB'!$H:$H = AX16), 
        0
      )
    ), 
    "再製作"
  )
)
</f>
        <v/>
      </c>
      <c r="AZ16" s="218" t="str">
        <f t="array" ref="AZ16">IF(
  AX16 = 0, 
  "", 
  IFERROR(
    INDEX(
      'アイテム別限界値DB'!$L:$L, 
      MATCH(
        1, 
        ('アイテム別限界値DB'!$B:$B = AW$10) * 
        ('アイテム別限界値DB'!$C:$C = AW16) * 
        ('アイテム別限界値DB'!$F:$F = AX16), 
        0
      )
    ), 
    ""
  )
)
</f>
        <v/>
      </c>
      <c r="BA16" s="121"/>
      <c r="BB16" s="224" t="s">
        <v>55</v>
      </c>
      <c r="BC16" s="232"/>
      <c r="BD16" s="231" t="str">
        <f t="array" ref="BD16">IF(
  BC16 = 0, 
  "", 
  IFERROR(
    INDEX(
      'アイテム別限界値DB'!$K:$K, 
      MATCH(
        1, 
        ('アイテム別限界値DB'!$B:$B = BB$10) * 
        ('アイテム別限界値DB'!$F:$F = BB16) * 
        ('アイテム別限界値DB'!$H:$H = BC16), 
        0
      )
    ), 
    "再製作"
  )
)
</f>
        <v/>
      </c>
      <c r="BE16" s="218" t="str">
        <f t="array" ref="BE16">IF(
  BC16 = 0, 
  "", 
  IFERROR(
    INDEX(
      'アイテム別限界値DB'!$L:$L, 
      MATCH(
        1, 
        ('アイテム別限界値DB'!$B:$B = BB$10) * 
        ('アイテム別限界値DB'!$C:$C = BB16) * 
        ('アイテム別限界値DB'!$F:$F = BC16), 
        0
      )
    ), 
    ""
  )
)
</f>
        <v/>
      </c>
      <c r="BF16" s="121"/>
      <c r="BG16" s="224" t="s">
        <v>55</v>
      </c>
      <c r="BH16" s="232"/>
      <c r="BI16" s="231" t="str">
        <f t="array" ref="BI16">IF(
  BH16 = 0, 
  "", 
  IFERROR(
    INDEX(
      'アイテム別限界値DB'!$K:$K, 
      MATCH(
        1, 
        ('アイテム別限界値DB'!$B:$B = BG$10) * 
        ('アイテム別限界値DB'!$F:$F = BG16) * 
        ('アイテム別限界値DB'!$H:$H = BH16), 
        0
      )
    ), 
    "再製作"
  )
)
</f>
        <v/>
      </c>
      <c r="BJ16" s="218" t="str">
        <f t="array" ref="BJ16">IF(
  BH16 = 0, 
  "", 
  IFERROR(
    INDEX(
      'アイテム別限界値DB'!$L:$L, 
      MATCH(
        1, 
        ('アイテム別限界値DB'!$B:$B = BG$10) * 
        ('アイテム別限界値DB'!$C:$C = BG16) * 
        ('アイテム別限界値DB'!$F:$F = BH16), 
        0
      )
    ), 
    ""
  )
)
</f>
        <v/>
      </c>
      <c r="BK16" s="121"/>
      <c r="BL16" s="224" t="s">
        <v>55</v>
      </c>
      <c r="BM16" s="232" t="s">
        <v>59</v>
      </c>
      <c r="BN16" s="231">
        <f t="array" ref="BN16">IF(
  BM16 = 0, 
  "", 
  IFERROR(
    INDEX(
      'アイテム別限界値DB'!$K:$K, 
      MATCH(
        1, 
        ('アイテム別限界値DB'!$B:$B = BL$10) * 
        ('アイテム別限界値DB'!$F:$F = BL16) * 
        ('アイテム別限界値DB'!$H:$H = BM16), 
        0
      )
    ), 
    "再製作"
  )
)
</f>
        <v>46000</v>
      </c>
      <c r="BO16" s="218" t="str">
        <f t="array" ref="BO16">IF(
  BM16 = 0, 
  "", 
  IFERROR(
    INDEX(
      'アイテム別限界値DB'!$L:$L, 
      MATCH(
        1, 
        ('アイテム別限界値DB'!$B:$B = BL$10) * 
        ('アイテム別限界値DB'!$C:$C = BL16) * 
        ('アイテム別限界値DB'!$F:$F = BM16), 
        0
      )
    ), 
    ""
  )
)
</f>
        <v/>
      </c>
      <c r="BP16" s="195"/>
    </row>
    <row r="17" ht="18.75" customHeight="1">
      <c r="A17" s="228" t="str">
        <f>IFERROR(__xludf.DUMMYFUNCTION("TEXTJOIN(CHAR(10),TRUE,FILTER(ARRAYFORMULA(IF(E$14:E72&lt;&gt;"""",D$14:D72&amp;"" :  cm"","""")), D$14:D72 &lt;&gt;""""))"),"")</f>
        <v/>
      </c>
      <c r="B17" s="229"/>
      <c r="C17" s="224"/>
      <c r="D17" s="224" t="s">
        <v>60</v>
      </c>
      <c r="E17" s="232"/>
      <c r="F17" s="231" t="str">
        <f t="array" ref="F17">IF(
  E17 = 0, 
  "", 
  IFERROR(
    INDEX(
      'アイテム別限界値DB'!$K:$K, 
      MATCH(
        1, 
        ('アイテム別限界値DB'!$B:$B = D$10) * 
        ('アイテム別限界値DB'!$F:$F = D17) * 
        ('アイテム別限界値DB'!$H:$H = E17), 
        0
      )
    ), 
    "再製作"
  )
)
</f>
        <v/>
      </c>
      <c r="G17" s="218" t="str">
        <f t="array" ref="G17">IF(
  E17 = 0, 
  "", 
  IFERROR(
    INDEX(
      'アイテム別限界値DB'!$L:$L, 
      MATCH(
        1, 
        ('アイテム別限界値DB'!$B:$B = D$10) * 
        ('アイテム別限界値DB'!$C:$C = D17) * 
        ('アイテム別限界値DB'!$F:$F = E17), 
        0
      )
    ), 
    ""
  )
)
</f>
        <v/>
      </c>
      <c r="H17" s="12"/>
      <c r="I17" s="224" t="s">
        <v>61</v>
      </c>
      <c r="J17" s="230"/>
      <c r="K17" s="231" t="str">
        <f t="array" ref="K17">IF(
  J17 = 0, 
  "", 
  IFERROR(
    INDEX(
      'アイテム別限界値DB'!$K:$K, 
      MATCH(
        1, 
        ('アイテム別限界値DB'!$B:$B = I$10) * 
        ('アイテム別限界値DB'!$F:$F = I17) * 
        ('アイテム別限界値DB'!$H:$H = J17), 
        0
      )
    ), 
    "再製作"
  )
)
</f>
        <v/>
      </c>
      <c r="L17" s="218" t="str">
        <f t="array" ref="L17">IF(
  J17 = 0, 
  "", 
  IFERROR(
    INDEX(
      'アイテム別限界値DB'!$L:$L, 
      MATCH(
        1, 
        ('アイテム別限界値DB'!$B:$B = I$10) * 
        ('アイテム別限界値DB'!$C:$C = I17) * 
        ('アイテム別限界値DB'!$F:$F = J17), 
        0
      )
    ), 
    ""
  )
)
</f>
        <v/>
      </c>
      <c r="M17" s="12"/>
      <c r="N17" s="224" t="s">
        <v>62</v>
      </c>
      <c r="O17" s="230"/>
      <c r="P17" s="231" t="str">
        <f t="array" ref="P17">IF(
  O17 = 0, 
  "", 
  IFERROR(
    INDEX(
      'アイテム別限界値DB'!$K:$K, 
      MATCH(
        1, 
        ('アイテム別限界値DB'!$B:$B = N$10) * 
        ('アイテム別限界値DB'!$F:$F = N17) * 
        ('アイテム別限界値DB'!$H:$H = O17), 
        0
      )
    ), 
    "再製作"
  )
)
</f>
        <v/>
      </c>
      <c r="Q17" s="218" t="str">
        <f t="array" ref="Q17">IF(
  O17 = 0, 
  "", 
  IFERROR(
    INDEX(
      'アイテム別限界値DB'!$L:$L, 
      MATCH(
        1, 
        ('アイテム別限界値DB'!$B:$B = N$10) * 
        ('アイテム別限界値DB'!$C:$C = N17) * 
        ('アイテム別限界値DB'!$F:$F = O17), 
        0
      )
    ), 
    ""
  )
)
</f>
        <v/>
      </c>
      <c r="R17" s="11"/>
      <c r="S17" s="224" t="s">
        <v>61</v>
      </c>
      <c r="T17" s="232"/>
      <c r="U17" s="231" t="str">
        <f t="array" ref="U17">IF(
  T17 = 0, 
  "", 
  IFERROR(
    INDEX(
      'アイテム別限界値DB'!$K:$K, 
      MATCH(
        1, 
        ('アイテム別限界値DB'!$B:$B = S$10) * 
        ('アイテム別限界値DB'!$F:$F = S17) * 
        ('アイテム別限界値DB'!$H:$H = T17), 
        0
      )
    ), 
    "再製作"
  )
)
</f>
        <v/>
      </c>
      <c r="V17" s="218" t="str">
        <f t="array" ref="V17">IF(
  T17 = 0, 
  "", 
  IFERROR(
    INDEX(
      'アイテム別限界値DB'!$L:$L, 
      MATCH(
        1, 
        ('アイテム別限界値DB'!$B:$B = S$10) * 
        ('アイテム別限界値DB'!$C:$C = S17) * 
        ('アイテム別限界値DB'!$F:$F = T17), 
        0
      )
    ), 
    ""
  )
)
</f>
        <v/>
      </c>
      <c r="W17" s="12"/>
      <c r="X17" s="224" t="s">
        <v>63</v>
      </c>
      <c r="Y17" s="232"/>
      <c r="Z17" s="231" t="str">
        <f t="array" ref="Z17">IF(
  Y17 = 0, 
  "", 
  IFERROR(
    INDEX(
      'アイテム別限界値DB'!$K:$K, 
      MATCH(
        1, 
        ('アイテム別限界値DB'!$B:$B = X$10) * 
        ('アイテム別限界値DB'!$F:$F = X17) * 
        ('アイテム別限界値DB'!$H:$H = Y17), 
        0
      )
    ), 
    "再製作"
  )
)
</f>
        <v/>
      </c>
      <c r="AA17" s="218" t="str">
        <f t="array" ref="AA17">IF(
  Y17 = 0, 
  "", 
  IFERROR(
    INDEX(
      'アイテム別限界値DB'!$L:$L, 
      MATCH(
        1, 
        ('アイテム別限界値DB'!$B:$B = X$10) * 
        ('アイテム別限界値DB'!$C:$C = X17) * 
        ('アイテム別限界値DB'!$F:$F = Y17), 
        0
      )
    ), 
    ""
  )
)
</f>
        <v/>
      </c>
      <c r="AB17" s="11"/>
      <c r="AC17" s="224" t="s">
        <v>57</v>
      </c>
      <c r="AD17" s="232"/>
      <c r="AE17" s="231" t="str">
        <f t="array" ref="AE17">IF(
  AD17 = 0, 
  "", 
  IFERROR(
    INDEX(
      'アイテム別限界値DB'!$K:$K, 
      MATCH(
        1, 
        ('アイテム別限界値DB'!$B:$B = AC$10) * 
        ('アイテム別限界値DB'!$F:$F = AC17) * 
        ('アイテム別限界値DB'!$H:$H = AD17), 
        0
      )
    ), 
    "再製作"
  )
)
</f>
        <v/>
      </c>
      <c r="AF17" s="218" t="str">
        <f t="array" ref="AF17">IF(
  AD17 = 0, 
  "", 
  IFERROR(
    INDEX(
      'アイテム別限界値DB'!$L:$L, 
      MATCH(
        1, 
        ('アイテム別限界値DB'!$B:$B = AC$10) * 
        ('アイテム別限界値DB'!$C:$C = AC17) * 
        ('アイテム別限界値DB'!$F:$F = AD17), 
        0
      )
    ), 
    ""
  )
)
</f>
        <v/>
      </c>
      <c r="AG17" s="11"/>
      <c r="AH17" s="224" t="s">
        <v>57</v>
      </c>
      <c r="AI17" s="232"/>
      <c r="AJ17" s="231" t="str">
        <f t="array" ref="AJ17">IF(
  AI17 = 0, 
  "", 
  IFERROR(
    INDEX(
      'アイテム別限界値DB'!$K:$K, 
      MATCH(
        1, 
        ('アイテム別限界値DB'!$B:$B = AH$10) * 
        ('アイテム別限界値DB'!$F:$F = AH17) * 
        ('アイテム別限界値DB'!$H:$H = AI17), 
        0
      )
    ), 
    "再製作"
  )
)
</f>
        <v/>
      </c>
      <c r="AK17" s="218" t="str">
        <f t="array" ref="AK17">IF(
  AI17 = 0, 
  "", 
  IFERROR(
    INDEX(
      'アイテム別限界値DB'!$L:$L, 
      MATCH(
        1, 
        ('アイテム別限界値DB'!$B:$B = AH$10) * 
        ('アイテム別限界値DB'!$C:$C = AH17) * 
        ('アイテム別限界値DB'!$F:$F = AI17), 
        0
      )
    ), 
    ""
  )
)
</f>
        <v/>
      </c>
      <c r="AL17" s="11"/>
      <c r="AM17" s="224" t="s">
        <v>57</v>
      </c>
      <c r="AN17" s="232"/>
      <c r="AO17" s="231" t="str">
        <f t="array" ref="AO17">IF(
  AN17 = 0, 
  "", 
  IFERROR(
    INDEX(
      'アイテム別限界値DB'!$K:$K, 
      MATCH(
        1, 
        ('アイテム別限界値DB'!$B:$B = AM$10) * 
        ('アイテム別限界値DB'!$F:$F = AM17) * 
        ('アイテム別限界値DB'!$H:$H = AN17), 
        0
      )
    ), 
    "再製作"
  )
)
</f>
        <v/>
      </c>
      <c r="AP17" s="218" t="str">
        <f t="array" ref="AP17">IF(
  AN17 = 0, 
  "", 
  IFERROR(
    INDEX(
      'アイテム別限界値DB'!$L:$L, 
      MATCH(
        1, 
        ('アイテム別限界値DB'!$B:$B = AM$10) * 
        ('アイテム別限界値DB'!$C:$C = AM17) * 
        ('アイテム別限界値DB'!$F:$F = AN17), 
        0
      )
    ), 
    ""
  )
)
</f>
        <v/>
      </c>
      <c r="AQ17" s="11"/>
      <c r="AR17" s="224" t="s">
        <v>57</v>
      </c>
      <c r="AS17" s="232"/>
      <c r="AT17" s="231" t="str">
        <f t="array" ref="AT17">IF(
  AS17 = 0, 
  "", 
  IFERROR(
    INDEX(
      'アイテム別限界値DB'!$K:$K, 
      MATCH(
        1, 
        ('アイテム別限界値DB'!$B:$B = AR$10) * 
        ('アイテム別限界値DB'!$F:$F = AR17) * 
        ('アイテム別限界値DB'!$H:$H = AS17), 
        0
      )
    ), 
    "再製作"
  )
)
</f>
        <v/>
      </c>
      <c r="AU17" s="218" t="str">
        <f t="array" ref="AU17">IF(
  AS17 = 0, 
  "", 
  IFERROR(
    INDEX(
      'アイテム別限界値DB'!$L:$L, 
      MATCH(
        1, 
        ('アイテム別限界値DB'!$B:$B = AR$10) * 
        ('アイテム別限界値DB'!$C:$C = AR17) * 
        ('アイテム別限界値DB'!$F:$F = AS17), 
        0
      )
    ), 
    ""
  )
)
</f>
        <v/>
      </c>
      <c r="AV17" s="121"/>
      <c r="AW17" s="224" t="s">
        <v>57</v>
      </c>
      <c r="AX17" s="232"/>
      <c r="AY17" s="231" t="str">
        <f t="array" ref="AY17">IF(
  AX17 = 0, 
  "", 
  IFERROR(
    INDEX(
      'アイテム別限界値DB'!$K:$K, 
      MATCH(
        1, 
        ('アイテム別限界値DB'!$B:$B = AW$10) * 
        ('アイテム別限界値DB'!$F:$F = AW17) * 
        ('アイテム別限界値DB'!$H:$H = AX17), 
        0
      )
    ), 
    "再製作"
  )
)
</f>
        <v/>
      </c>
      <c r="AZ17" s="218" t="str">
        <f t="array" ref="AZ17">IF(
  AX17 = 0, 
  "", 
  IFERROR(
    INDEX(
      'アイテム別限界値DB'!$L:$L, 
      MATCH(
        1, 
        ('アイテム別限界値DB'!$B:$B = AW$10) * 
        ('アイテム別限界値DB'!$C:$C = AW17) * 
        ('アイテム別限界値DB'!$F:$F = AX17), 
        0
      )
    ), 
    ""
  )
)
</f>
        <v/>
      </c>
      <c r="BA17" s="121"/>
      <c r="BB17" s="224" t="s">
        <v>57</v>
      </c>
      <c r="BC17" s="232"/>
      <c r="BD17" s="231" t="str">
        <f t="array" ref="BD17">IF(
  BC17 = 0, 
  "", 
  IFERROR(
    INDEX(
      'アイテム別限界値DB'!$K:$K, 
      MATCH(
        1, 
        ('アイテム別限界値DB'!$B:$B = BB$10) * 
        ('アイテム別限界値DB'!$F:$F = BB17) * 
        ('アイテム別限界値DB'!$H:$H = BC17), 
        0
      )
    ), 
    "再製作"
  )
)
</f>
        <v/>
      </c>
      <c r="BE17" s="218" t="str">
        <f t="array" ref="BE17">IF(
  BC17 = 0, 
  "", 
  IFERROR(
    INDEX(
      'アイテム別限界値DB'!$L:$L, 
      MATCH(
        1, 
        ('アイテム別限界値DB'!$B:$B = BB$10) * 
        ('アイテム別限界値DB'!$C:$C = BB17) * 
        ('アイテム別限界値DB'!$F:$F = BC17), 
        0
      )
    ), 
    ""
  )
)
</f>
        <v/>
      </c>
      <c r="BF17" s="121"/>
      <c r="BG17" s="224" t="s">
        <v>57</v>
      </c>
      <c r="BH17" s="232"/>
      <c r="BI17" s="231" t="str">
        <f t="array" ref="BI17">IF(
  BH17 = 0, 
  "", 
  IFERROR(
    INDEX(
      'アイテム別限界値DB'!$K:$K, 
      MATCH(
        1, 
        ('アイテム別限界値DB'!$B:$B = BG$10) * 
        ('アイテム別限界値DB'!$F:$F = BG17) * 
        ('アイテム別限界値DB'!$H:$H = BH17), 
        0
      )
    ), 
    "再製作"
  )
)
</f>
        <v/>
      </c>
      <c r="BJ17" s="218" t="str">
        <f t="array" ref="BJ17">IF(
  BH17 = 0, 
  "", 
  IFERROR(
    INDEX(
      'アイテム別限界値DB'!$L:$L, 
      MATCH(
        1, 
        ('アイテム別限界値DB'!$B:$B = BG$10) * 
        ('アイテム別限界値DB'!$C:$C = BG17) * 
        ('アイテム別限界値DB'!$F:$F = BH17), 
        0
      )
    ), 
    ""
  )
)
</f>
        <v/>
      </c>
      <c r="BK17" s="121"/>
      <c r="BL17" s="224" t="s">
        <v>57</v>
      </c>
      <c r="BM17" s="232" t="s">
        <v>59</v>
      </c>
      <c r="BN17" s="231">
        <f t="array" ref="BN17">IF(
  BM17 = 0, 
  "", 
  IFERROR(
    INDEX(
      'アイテム別限界値DB'!$K:$K, 
      MATCH(
        1, 
        ('アイテム別限界値DB'!$B:$B = BL$10) * 
        ('アイテム別限界値DB'!$F:$F = BL17) * 
        ('アイテム別限界値DB'!$H:$H = BM17), 
        0
      )
    ), 
    "再製作"
  )
)
</f>
        <v>46000</v>
      </c>
      <c r="BO17" s="218" t="str">
        <f t="array" ref="BO17">IF(
  BM17 = 0, 
  "", 
  IFERROR(
    INDEX(
      'アイテム別限界値DB'!$L:$L, 
      MATCH(
        1, 
        ('アイテム別限界値DB'!$B:$B = BL$10) * 
        ('アイテム別限界値DB'!$C:$C = BL17) * 
        ('アイテム別限界値DB'!$F:$F = BM17), 
        0
      )
    ), 
    ""
  )
)
</f>
        <v/>
      </c>
      <c r="BP17" s="195"/>
    </row>
    <row r="18" ht="18.75" customHeight="1">
      <c r="A18" s="237" t="s">
        <v>64</v>
      </c>
      <c r="B18" s="235"/>
      <c r="C18" s="224"/>
      <c r="D18" s="224" t="s">
        <v>65</v>
      </c>
      <c r="E18" s="233"/>
      <c r="F18" s="231" t="str">
        <f t="array" ref="F18">IF(
  E18 = 0, 
  "", 
  IFERROR(
    INDEX(
      'アイテム別限界値DB'!$K:$K, 
      MATCH(
        1, 
        ('アイテム別限界値DB'!$B:$B = D$10) * 
        ('アイテム別限界値DB'!$F:$F = D18) * 
        ('アイテム別限界値DB'!$H:$H = E18), 
        0
      )
    ), 
    "再製作"
  )
)
</f>
        <v/>
      </c>
      <c r="G18" s="218" t="str">
        <f t="array" ref="G18">IF(
  E18 = 0, 
  "", 
  IFERROR(
    INDEX(
      'アイテム別限界値DB'!$L:$L, 
      MATCH(
        1, 
        ('アイテム別限界値DB'!$B:$B = D$10) * 
        ('アイテム別限界値DB'!$C:$C = D18) * 
        ('アイテム別限界値DB'!$F:$F = E18), 
        0
      )
    ), 
    ""
  )
)
</f>
        <v/>
      </c>
      <c r="H18" s="12"/>
      <c r="I18" s="224" t="s">
        <v>66</v>
      </c>
      <c r="J18" s="230"/>
      <c r="K18" s="231" t="str">
        <f t="array" ref="K18">IF(
  J18 = 0, 
  "", 
  IFERROR(
    INDEX(
      'アイテム別限界値DB'!$K:$K, 
      MATCH(
        1, 
        ('アイテム別限界値DB'!$B:$B = I$10) * 
        ('アイテム別限界値DB'!$F:$F = I18) * 
        ('アイテム別限界値DB'!$H:$H = J18), 
        0
      )
    ), 
    "再製作"
  )
)
</f>
        <v/>
      </c>
      <c r="L18" s="218" t="str">
        <f t="array" ref="L18">IF(
  J18 = 0, 
  "", 
  IFERROR(
    INDEX(
      'アイテム別限界値DB'!$L:$L, 
      MATCH(
        1, 
        ('アイテム別限界値DB'!$B:$B = I$10) * 
        ('アイテム別限界値DB'!$C:$C = I18) * 
        ('アイテム別限界値DB'!$F:$F = J18), 
        0
      )
    ), 
    ""
  )
)
</f>
        <v/>
      </c>
      <c r="M18" s="12"/>
      <c r="N18" s="224" t="s">
        <v>67</v>
      </c>
      <c r="O18" s="232"/>
      <c r="P18" s="231" t="str">
        <f t="array" ref="P18">IF(
  O18 = 0, 
  "", 
  IFERROR(
    INDEX(
      'アイテム別限界値DB'!$K:$K, 
      MATCH(
        1, 
        ('アイテム別限界値DB'!$B:$B = N$10) * 
        ('アイテム別限界値DB'!$F:$F = N18) * 
        ('アイテム別限界値DB'!$H:$H = O18), 
        0
      )
    ), 
    "再製作"
  )
)
</f>
        <v/>
      </c>
      <c r="Q18" s="218" t="str">
        <f t="array" ref="Q18">IF(
  O18 = 0, 
  "", 
  IFERROR(
    INDEX(
      'アイテム別限界値DB'!$L:$L, 
      MATCH(
        1, 
        ('アイテム別限界値DB'!$B:$B = N$10) * 
        ('アイテム別限界値DB'!$C:$C = N18) * 
        ('アイテム別限界値DB'!$F:$F = O18), 
        0
      )
    ), 
    ""
  )
)
</f>
        <v/>
      </c>
      <c r="R18" s="11"/>
      <c r="S18" s="224" t="s">
        <v>68</v>
      </c>
      <c r="T18" s="232"/>
      <c r="U18" s="231" t="str">
        <f t="array" ref="U18">IF(
  T18 = 0, 
  "", 
  IFERROR(
    INDEX(
      'アイテム別限界値DB'!$K:$K, 
      MATCH(
        1, 
        ('アイテム別限界値DB'!$B:$B = S$10) * 
        ('アイテム別限界値DB'!$F:$F = S18) * 
        ('アイテム別限界値DB'!$H:$H = T18), 
        0
      )
    ), 
    "再製作"
  )
)
</f>
        <v/>
      </c>
      <c r="V18" s="218" t="str">
        <f t="array" ref="V18">IF(
  T18 = 0, 
  "", 
  IFERROR(
    INDEX(
      'アイテム別限界値DB'!$L:$L, 
      MATCH(
        1, 
        ('アイテム別限界値DB'!$B:$B = S$10) * 
        ('アイテム別限界値DB'!$C:$C = S18) * 
        ('アイテム別限界値DB'!$F:$F = T18), 
        0
      )
    ), 
    ""
  )
)
</f>
        <v/>
      </c>
      <c r="W18" s="11"/>
      <c r="X18" s="224" t="s">
        <v>57</v>
      </c>
      <c r="Y18" s="230"/>
      <c r="Z18" s="231" t="str">
        <f t="array" ref="Z18">IF(
  Y18 = 0, 
  "", 
  IFERROR(
    INDEX(
      'アイテム別限界値DB'!$K:$K, 
      MATCH(
        1, 
        ('アイテム別限界値DB'!$B:$B = X$10) * 
        ('アイテム別限界値DB'!$F:$F = X18) * 
        ('アイテム別限界値DB'!$H:$H = Y18), 
        0
      )
    ), 
    "再製作"
  )
)
</f>
        <v/>
      </c>
      <c r="AA18" s="218" t="str">
        <f t="array" ref="AA18">IF(
  Y18 = 0, 
  "", 
  IFERROR(
    INDEX(
      'アイテム別限界値DB'!$L:$L, 
      MATCH(
        1, 
        ('アイテム別限界値DB'!$B:$B = X$10) * 
        ('アイテム別限界値DB'!$C:$C = X18) * 
        ('アイテム別限界値DB'!$F:$F = Y18), 
        0
      )
    ), 
    ""
  )
)
</f>
        <v/>
      </c>
      <c r="AB18" s="11"/>
      <c r="AC18" s="224" t="s">
        <v>69</v>
      </c>
      <c r="AD18" s="232"/>
      <c r="AE18" s="231" t="str">
        <f t="array" ref="AE18">IF(
  AD18 = 0, 
  "", 
  IFERROR(
    INDEX(
      'アイテム別限界値DB'!$K:$K, 
      MATCH(
        1, 
        ('アイテム別限界値DB'!$B:$B = AC$10) * 
        ('アイテム別限界値DB'!$F:$F = AC18) * 
        ('アイテム別限界値DB'!$H:$H = AD18), 
        0
      )
    ), 
    "再製作"
  )
)
</f>
        <v/>
      </c>
      <c r="AF18" s="218" t="str">
        <f t="array" ref="AF18">IF(
  AD18 = 0, 
  "", 
  IFERROR(
    INDEX(
      'アイテム別限界値DB'!$L:$L, 
      MATCH(
        1, 
        ('アイテム別限界値DB'!$B:$B = AC$10) * 
        ('アイテム別限界値DB'!$C:$C = AC18) * 
        ('アイテム別限界値DB'!$F:$F = AD18), 
        0
      )
    ), 
    ""
  )
)
</f>
        <v/>
      </c>
      <c r="AG18" s="11"/>
      <c r="AH18" s="224" t="s">
        <v>70</v>
      </c>
      <c r="AI18" s="232"/>
      <c r="AJ18" s="231" t="str">
        <f t="array" ref="AJ18">IF(
  AI18 = 0, 
  "", 
  IFERROR(
    INDEX(
      'アイテム別限界値DB'!$K:$K, 
      MATCH(
        1, 
        ('アイテム別限界値DB'!$B:$B = AH$10) * 
        ('アイテム別限界値DB'!$F:$F = AH18) * 
        ('アイテム別限界値DB'!$H:$H = AI18), 
        0
      )
    ), 
    "再製作"
  )
)
</f>
        <v/>
      </c>
      <c r="AK18" s="218" t="str">
        <f t="array" ref="AK18">IF(
  AI18 = 0, 
  "", 
  IFERROR(
    INDEX(
      'アイテム別限界値DB'!$L:$L, 
      MATCH(
        1, 
        ('アイテム別限界値DB'!$B:$B = AH$10) * 
        ('アイテム別限界値DB'!$C:$C = AH18) * 
        ('アイテム別限界値DB'!$F:$F = AI18), 
        0
      )
    ), 
    ""
  )
)
</f>
        <v/>
      </c>
      <c r="AL18" s="11"/>
      <c r="AM18" s="224" t="s">
        <v>71</v>
      </c>
      <c r="AN18" s="232"/>
      <c r="AO18" s="231" t="str">
        <f t="array" ref="AO18">IF(
  AN18 = 0, 
  "", 
  IFERROR(
    INDEX(
      'アイテム別限界値DB'!$K:$K, 
      MATCH(
        1, 
        ('アイテム別限界値DB'!$B:$B = AM$10) * 
        ('アイテム別限界値DB'!$F:$F = AM18) * 
        ('アイテム別限界値DB'!$H:$H = AN18), 
        0
      )
    ), 
    "再製作"
  )
)
</f>
        <v/>
      </c>
      <c r="AP18" s="218" t="str">
        <f t="array" ref="AP18">IF(
  AN18 = 0, 
  "", 
  IFERROR(
    INDEX(
      'アイテム別限界値DB'!$L:$L, 
      MATCH(
        1, 
        ('アイテム別限界値DB'!$B:$B = AM$10) * 
        ('アイテム別限界値DB'!$C:$C = AM18) * 
        ('アイテム別限界値DB'!$F:$F = AN18), 
        0
      )
    ), 
    ""
  )
)
</f>
        <v/>
      </c>
      <c r="AQ18" s="11"/>
      <c r="AR18" s="224" t="s">
        <v>71</v>
      </c>
      <c r="AS18" s="232"/>
      <c r="AT18" s="231" t="str">
        <f t="array" ref="AT18">IF(
  AS18 = 0, 
  "", 
  IFERROR(
    INDEX(
      'アイテム別限界値DB'!$K:$K, 
      MATCH(
        1, 
        ('アイテム別限界値DB'!$B:$B = AR$10) * 
        ('アイテム別限界値DB'!$F:$F = AR18) * 
        ('アイテム別限界値DB'!$H:$H = AS18), 
        0
      )
    ), 
    "再製作"
  )
)
</f>
        <v/>
      </c>
      <c r="AU18" s="218" t="str">
        <f t="array" ref="AU18">IF(
  AS18 = 0, 
  "", 
  IFERROR(
    INDEX(
      'アイテム別限界値DB'!$L:$L, 
      MATCH(
        1, 
        ('アイテム別限界値DB'!$B:$B = AR$10) * 
        ('アイテム別限界値DB'!$C:$C = AR18) * 
        ('アイテム別限界値DB'!$F:$F = AS18), 
        0
      )
    ), 
    ""
  )
)
</f>
        <v/>
      </c>
      <c r="AV18" s="121"/>
      <c r="AW18" s="224" t="s">
        <v>71</v>
      </c>
      <c r="AX18" s="232"/>
      <c r="AY18" s="231" t="str">
        <f t="array" ref="AY18">IF(
  AX18 = 0, 
  "", 
  IFERROR(
    INDEX(
      'アイテム別限界値DB'!$K:$K, 
      MATCH(
        1, 
        ('アイテム別限界値DB'!$B:$B = AW$10) * 
        ('アイテム別限界値DB'!$F:$F = AW18) * 
        ('アイテム別限界値DB'!$H:$H = AX18), 
        0
      )
    ), 
    "再製作"
  )
)
</f>
        <v/>
      </c>
      <c r="AZ18" s="218" t="str">
        <f t="array" ref="AZ18">IF(
  AX18 = 0, 
  "", 
  IFERROR(
    INDEX(
      'アイテム別限界値DB'!$L:$L, 
      MATCH(
        1, 
        ('アイテム別限界値DB'!$B:$B = AW$10) * 
        ('アイテム別限界値DB'!$C:$C = AW18) * 
        ('アイテム別限界値DB'!$F:$F = AX18), 
        0
      )
    ), 
    ""
  )
)
</f>
        <v/>
      </c>
      <c r="BA18" s="121"/>
      <c r="BB18" s="224" t="s">
        <v>71</v>
      </c>
      <c r="BC18" s="232"/>
      <c r="BD18" s="231" t="str">
        <f t="array" ref="BD18">IF(
  BC18 = 0, 
  "", 
  IFERROR(
    INDEX(
      'アイテム別限界値DB'!$K:$K, 
      MATCH(
        1, 
        ('アイテム別限界値DB'!$B:$B = BB$10) * 
        ('アイテム別限界値DB'!$F:$F = BB18) * 
        ('アイテム別限界値DB'!$H:$H = BC18), 
        0
      )
    ), 
    "再製作"
  )
)
</f>
        <v/>
      </c>
      <c r="BE18" s="218" t="str">
        <f t="array" ref="BE18">IF(
  BC18 = 0, 
  "", 
  IFERROR(
    INDEX(
      'アイテム別限界値DB'!$L:$L, 
      MATCH(
        1, 
        ('アイテム別限界値DB'!$B:$B = BB$10) * 
        ('アイテム別限界値DB'!$C:$C = BB18) * 
        ('アイテム別限界値DB'!$F:$F = BC18), 
        0
      )
    ), 
    ""
  )
)
</f>
        <v/>
      </c>
      <c r="BF18" s="121"/>
      <c r="BG18" s="224" t="s">
        <v>71</v>
      </c>
      <c r="BH18" s="232"/>
      <c r="BI18" s="231" t="str">
        <f t="array" ref="BI18">IF(
  BH18 = 0, 
  "", 
  IFERROR(
    INDEX(
      'アイテム別限界値DB'!$K:$K, 
      MATCH(
        1, 
        ('アイテム別限界値DB'!$B:$B = BG$10) * 
        ('アイテム別限界値DB'!$F:$F = BG18) * 
        ('アイテム別限界値DB'!$H:$H = BH18), 
        0
      )
    ), 
    "再製作"
  )
)
</f>
        <v/>
      </c>
      <c r="BJ18" s="218" t="str">
        <f t="array" ref="BJ18">IF(
  BH18 = 0, 
  "", 
  IFERROR(
    INDEX(
      'アイテム別限界値DB'!$L:$L, 
      MATCH(
        1, 
        ('アイテム別限界値DB'!$B:$B = BG$10) * 
        ('アイテム別限界値DB'!$C:$C = BG18) * 
        ('アイテム別限界値DB'!$F:$F = BH18), 
        0
      )
    ), 
    ""
  )
)
</f>
        <v/>
      </c>
      <c r="BK18" s="121"/>
      <c r="BL18" s="224" t="s">
        <v>69</v>
      </c>
      <c r="BM18" s="232"/>
      <c r="BN18" s="231" t="str">
        <f t="array" ref="BN18">IF(
  BM18 = 0, 
  "", 
  IFERROR(
    INDEX(
      'アイテム別限界値DB'!$K:$K, 
      MATCH(
        1, 
        ('アイテム別限界値DB'!$B:$B = BL$10) * 
        ('アイテム別限界値DB'!$F:$F = BL18) * 
        ('アイテム別限界値DB'!$H:$H = BM18), 
        0
      )
    ), 
    "再製作"
  )
)
</f>
        <v/>
      </c>
      <c r="BO18" s="218" t="str">
        <f t="array" ref="BO18">IF(
  BM18 = 0, 
  "", 
  IFERROR(
    INDEX(
      'アイテム別限界値DB'!$L:$L, 
      MATCH(
        1, 
        ('アイテム別限界値DB'!$B:$B = BL$10) * 
        ('アイテム別限界値DB'!$C:$C = BL18) * 
        ('アイテム別限界値DB'!$F:$F = BM18), 
        0
      )
    ), 
    ""
  )
)
</f>
        <v/>
      </c>
      <c r="BP18" s="195"/>
    </row>
    <row r="19" ht="18.75" customHeight="1">
      <c r="A19" s="228" t="str">
        <f>IF($I$11 ="再製作", "◼︎ パンツ（対応着地：再製作）"　&amp; char(10) &amp; "《修正数値》", IF($I$11 &lt;&gt; "", "◼︎ パンツ（対応着地：お直し）"　&amp; char(10) &amp; "《修正数値》", ""))</f>
        <v>◼︎ パンツ（対応着地：お直し）
《修正数値》</v>
      </c>
      <c r="B19" s="224"/>
      <c r="C19" s="224"/>
      <c r="D19" s="238" t="s">
        <v>72</v>
      </c>
      <c r="E19" s="233"/>
      <c r="F19" s="231" t="str">
        <f t="array" ref="F19">IF(
  E19 = 0, 
  "", 
  IFERROR(
    INDEX(
      'アイテム別限界値DB'!$K:$K, 
      MATCH(
        1, 
        ('アイテム別限界値DB'!$B:$B = D$10) * 
        ('アイテム別限界値DB'!$F:$F = D19) * 
        ('アイテム別限界値DB'!$H:$H = E19), 
        0
      )
    ), 
    "再製作"
  )
)
</f>
        <v/>
      </c>
      <c r="G19" s="218" t="str">
        <f t="array" ref="G19">IF(
  E19 = 0, 
  "", 
  IFERROR(
    INDEX(
      'アイテム別限界値DB'!$L:$L, 
      MATCH(
        1, 
        ('アイテム別限界値DB'!$B:$B = D$10) * 
        ('アイテム別限界値DB'!$C:$C = D19) * 
        ('アイテム別限界値DB'!$F:$F = E19), 
        0
      )
    ), 
    ""
  )
)
</f>
        <v/>
      </c>
      <c r="H19" s="12"/>
      <c r="I19" s="238" t="s">
        <v>73</v>
      </c>
      <c r="J19" s="232"/>
      <c r="K19" s="231" t="str">
        <f t="array" ref="K19">IF(
  J19 = 0, 
  "", 
  IFERROR(
    INDEX(
      'アイテム別限界値DB'!$K:$K, 
      MATCH(
        1, 
        ('アイテム別限界値DB'!$B:$B = I$10) * 
        ('アイテム別限界値DB'!$F:$F = I19) * 
        ('アイテム別限界値DB'!$H:$H = J19), 
        0
      )
    ), 
    "再製作"
  )
)
</f>
        <v/>
      </c>
      <c r="L19" s="218" t="str">
        <f t="array" ref="L19">IF(
  J19 = 0, 
  "", 
  IFERROR(
    INDEX(
      'アイテム別限界値DB'!$L:$L, 
      MATCH(
        1, 
        ('アイテム別限界値DB'!$B:$B = I$10) * 
        ('アイテム別限界値DB'!$C:$C = I19) * 
        ('アイテム別限界値DB'!$F:$F = J19), 
        0
      )
    ), 
    ""
  )
)
</f>
        <v/>
      </c>
      <c r="M19" s="12"/>
      <c r="N19" s="238" t="s">
        <v>74</v>
      </c>
      <c r="O19" s="232"/>
      <c r="P19" s="231" t="str">
        <f t="array" ref="P19">IF(
  O19 = 0, 
  "", 
  IFERROR(
    INDEX(
      'アイテム別限界値DB'!$K:$K, 
      MATCH(
        1, 
        ('アイテム別限界値DB'!$B:$B = N$10) * 
        ('アイテム別限界値DB'!$F:$F = N19) * 
        ('アイテム別限界値DB'!$H:$H = O19), 
        0
      )
    ), 
    "再製作"
  )
)
</f>
        <v/>
      </c>
      <c r="Q19" s="218" t="str">
        <f t="array" ref="Q19">IF(
  O19 = 0, 
  "", 
  IFERROR(
    INDEX(
      'アイテム別限界値DB'!$L:$L, 
      MATCH(
        1, 
        ('アイテム別限界値DB'!$B:$B = N$10) * 
        ('アイテム別限界値DB'!$C:$C = N19) * 
        ('アイテム別限界値DB'!$F:$F = O19), 
        0
      )
    ), 
    ""
  )
)
</f>
        <v/>
      </c>
      <c r="R19" s="11"/>
      <c r="S19" s="238" t="s">
        <v>75</v>
      </c>
      <c r="T19" s="232"/>
      <c r="U19" s="231" t="str">
        <f t="array" ref="U19">IF(
  T19 = 0, 
  "", 
  IFERROR(
    INDEX(
      'アイテム別限界値DB'!$K:$K, 
      MATCH(
        1, 
        ('アイテム別限界値DB'!$B:$B = S$10) * 
        ('アイテム別限界値DB'!$F:$F = S19) * 
        ('アイテム別限界値DB'!$H:$H = T19), 
        0
      )
    ), 
    "再製作"
  )
)
</f>
        <v/>
      </c>
      <c r="V19" s="218" t="str">
        <f t="array" ref="V19">IF(
  T19 = 0, 
  "", 
  IFERROR(
    INDEX(
      'アイテム別限界値DB'!$L:$L, 
      MATCH(
        1, 
        ('アイテム別限界値DB'!$B:$B = S$10) * 
        ('アイテム別限界値DB'!$C:$C = S19) * 
        ('アイテム別限界値DB'!$F:$F = T19), 
        0
      )
    ), 
    ""
  )
)
</f>
        <v/>
      </c>
      <c r="W19" s="11"/>
      <c r="X19" s="238" t="s">
        <v>69</v>
      </c>
      <c r="Y19" s="232"/>
      <c r="Z19" s="231" t="str">
        <f t="array" ref="Z19">IF(
  Y19 = 0, 
  "", 
  IFERROR(
    INDEX(
      'アイテム別限界値DB'!$K:$K, 
      MATCH(
        1, 
        ('アイテム別限界値DB'!$B:$B = X$10) * 
        ('アイテム別限界値DB'!$F:$F = X19) * 
        ('アイテム別限界値DB'!$H:$H = Y19), 
        0
      )
    ), 
    "再製作"
  )
)
</f>
        <v/>
      </c>
      <c r="AA19" s="218" t="str">
        <f t="array" ref="AA19">IF(
  Y19 = 0, 
  "", 
  IFERROR(
    INDEX(
      'アイテム別限界値DB'!$L:$L, 
      MATCH(
        1, 
        ('アイテム別限界値DB'!$B:$B = X$10) * 
        ('アイテム別限界値DB'!$C:$C = X19) * 
        ('アイテム別限界値DB'!$F:$F = Y19), 
        0
      )
    ), 
    ""
  )
)
</f>
        <v/>
      </c>
      <c r="AB19" s="11"/>
      <c r="AC19" s="238" t="s">
        <v>76</v>
      </c>
      <c r="AD19" s="232"/>
      <c r="AE19" s="231" t="str">
        <f t="array" ref="AE19">IF(
  AD19 = 0, 
  "", 
  IFERROR(
    INDEX(
      'アイテム別限界値DB'!$K:$K, 
      MATCH(
        1, 
        ('アイテム別限界値DB'!$B:$B = AC$10) * 
        ('アイテム別限界値DB'!$F:$F = AC19) * 
        ('アイテム別限界値DB'!$H:$H = AD19), 
        0
      )
    ), 
    "再製作"
  )
)
</f>
        <v/>
      </c>
      <c r="AF19" s="218" t="str">
        <f t="array" ref="AF19">IF(
  AD19 = 0, 
  "", 
  IFERROR(
    INDEX(
      'アイテム別限界値DB'!$L:$L, 
      MATCH(
        1, 
        ('アイテム別限界値DB'!$B:$B = AC$10) * 
        ('アイテム別限界値DB'!$C:$C = AC19) * 
        ('アイテム別限界値DB'!$F:$F = AD19), 
        0
      )
    ), 
    ""
  )
)
</f>
        <v/>
      </c>
      <c r="AG19" s="11"/>
      <c r="AH19" s="238" t="s">
        <v>71</v>
      </c>
      <c r="AI19" s="232"/>
      <c r="AJ19" s="231" t="str">
        <f t="array" ref="AJ19">IF(
  AI19 = 0, 
  "", 
  IFERROR(
    INDEX(
      'アイテム別限界値DB'!$K:$K, 
      MATCH(
        1, 
        ('アイテム別限界値DB'!$B:$B = AH$10) * 
        ('アイテム別限界値DB'!$F:$F = AH19) * 
        ('アイテム別限界値DB'!$H:$H = AI19), 
        0
      )
    ), 
    "再製作"
  )
)
</f>
        <v/>
      </c>
      <c r="AK19" s="218" t="str">
        <f t="array" ref="AK19">IF(
  AI19 = 0, 
  "", 
  IFERROR(
    INDEX(
      'アイテム別限界値DB'!$L:$L, 
      MATCH(
        1, 
        ('アイテム別限界値DB'!$B:$B = AH$10) * 
        ('アイテム別限界値DB'!$C:$C = AH19) * 
        ('アイテム別限界値DB'!$F:$F = AI19), 
        0
      )
    ), 
    ""
  )
)
</f>
        <v/>
      </c>
      <c r="AL19" s="11"/>
      <c r="AM19" s="238" t="s">
        <v>62</v>
      </c>
      <c r="AN19" s="232"/>
      <c r="AO19" s="231" t="str">
        <f t="array" ref="AO19">IF(
  AN19 = 0, 
  "", 
  IFERROR(
    INDEX(
      'アイテム別限界値DB'!$K:$K, 
      MATCH(
        1, 
        ('アイテム別限界値DB'!$B:$B = AM$10) * 
        ('アイテム別限界値DB'!$F:$F = AM19) * 
        ('アイテム別限界値DB'!$H:$H = AN19), 
        0
      )
    ), 
    "再製作"
  )
)
</f>
        <v/>
      </c>
      <c r="AP19" s="218" t="str">
        <f t="array" ref="AP19">IF(
  AN19 = 0, 
  "", 
  IFERROR(
    INDEX(
      'アイテム別限界値DB'!$L:$L, 
      MATCH(
        1, 
        ('アイテム別限界値DB'!$B:$B = AM$10) * 
        ('アイテム別限界値DB'!$C:$C = AM19) * 
        ('アイテム別限界値DB'!$F:$F = AN19), 
        0
      )
    ), 
    ""
  )
)
</f>
        <v/>
      </c>
      <c r="AQ19" s="11"/>
      <c r="AR19" s="238" t="s">
        <v>62</v>
      </c>
      <c r="AS19" s="232"/>
      <c r="AT19" s="231" t="str">
        <f t="array" ref="AT19">IF(
  AS19 = 0, 
  "", 
  IFERROR(
    INDEX(
      'アイテム別限界値DB'!$K:$K, 
      MATCH(
        1, 
        ('アイテム別限界値DB'!$B:$B = AR$10) * 
        ('アイテム別限界値DB'!$F:$F = AR19) * 
        ('アイテム別限界値DB'!$H:$H = AS19), 
        0
      )
    ), 
    "再製作"
  )
)
</f>
        <v/>
      </c>
      <c r="AU19" s="218" t="str">
        <f t="array" ref="AU19">IF(
  AS19 = 0, 
  "", 
  IFERROR(
    INDEX(
      'アイテム別限界値DB'!$L:$L, 
      MATCH(
        1, 
        ('アイテム別限界値DB'!$B:$B = AR$10) * 
        ('アイテム別限界値DB'!$C:$C = AR19) * 
        ('アイテム別限界値DB'!$F:$F = AS19), 
        0
      )
    ), 
    ""
  )
)
</f>
        <v/>
      </c>
      <c r="AV19" s="121"/>
      <c r="AW19" s="224" t="s">
        <v>62</v>
      </c>
      <c r="AX19" s="232"/>
      <c r="AY19" s="231" t="str">
        <f t="array" ref="AY19">IF(
  AX19 = 0, 
  "", 
  IFERROR(
    INDEX(
      'アイテム別限界値DB'!$K:$K, 
      MATCH(
        1, 
        ('アイテム別限界値DB'!$B:$B = AW$10) * 
        ('アイテム別限界値DB'!$F:$F = AW19) * 
        ('アイテム別限界値DB'!$H:$H = AX19), 
        0
      )
    ), 
    "再製作"
  )
)
</f>
        <v/>
      </c>
      <c r="AZ19" s="218" t="str">
        <f t="array" ref="AZ19">IF(
  AX19 = 0, 
  "", 
  IFERROR(
    INDEX(
      'アイテム別限界値DB'!$L:$L, 
      MATCH(
        1, 
        ('アイテム別限界値DB'!$B:$B = AW$10) * 
        ('アイテム別限界値DB'!$C:$C = AW19) * 
        ('アイテム別限界値DB'!$F:$F = AX19), 
        0
      )
    ), 
    ""
  )
)
</f>
        <v/>
      </c>
      <c r="BA19" s="121"/>
      <c r="BB19" s="224" t="s">
        <v>62</v>
      </c>
      <c r="BC19" s="232"/>
      <c r="BD19" s="231" t="str">
        <f t="array" ref="BD19">IF(
  BC19 = 0, 
  "", 
  IFERROR(
    INDEX(
      'アイテム別限界値DB'!$K:$K, 
      MATCH(
        1, 
        ('アイテム別限界値DB'!$B:$B = BB$10) * 
        ('アイテム別限界値DB'!$F:$F = BB19) * 
        ('アイテム別限界値DB'!$H:$H = BC19), 
        0
      )
    ), 
    "再製作"
  )
)
</f>
        <v/>
      </c>
      <c r="BE19" s="218" t="str">
        <f t="array" ref="BE19">IF(
  BC19 = 0, 
  "", 
  IFERROR(
    INDEX(
      'アイテム別限界値DB'!$L:$L, 
      MATCH(
        1, 
        ('アイテム別限界値DB'!$B:$B = BB$10) * 
        ('アイテム別限界値DB'!$C:$C = BB19) * 
        ('アイテム別限界値DB'!$F:$F = BC19), 
        0
      )
    ), 
    ""
  )
)
</f>
        <v/>
      </c>
      <c r="BF19" s="121"/>
      <c r="BG19" s="224" t="s">
        <v>62</v>
      </c>
      <c r="BH19" s="232"/>
      <c r="BI19" s="231" t="str">
        <f t="array" ref="BI19">IF(
  BH19 = 0, 
  "", 
  IFERROR(
    INDEX(
      'アイテム別限界値DB'!$K:$K, 
      MATCH(
        1, 
        ('アイテム別限界値DB'!$B:$B = BG$10) * 
        ('アイテム別限界値DB'!$F:$F = BG19) * 
        ('アイテム別限界値DB'!$H:$H = BH19), 
        0
      )
    ), 
    "再製作"
  )
)
</f>
        <v/>
      </c>
      <c r="BJ19" s="218" t="str">
        <f t="array" ref="BJ19">IF(
  BH19 = 0, 
  "", 
  IFERROR(
    INDEX(
      'アイテム別限界値DB'!$L:$L, 
      MATCH(
        1, 
        ('アイテム別限界値DB'!$B:$B = BG$10) * 
        ('アイテム別限界値DB'!$C:$C = BG19) * 
        ('アイテム別限界値DB'!$F:$F = BH19), 
        0
      )
    ), 
    ""
  )
)
</f>
        <v/>
      </c>
      <c r="BK19" s="121"/>
      <c r="BL19" s="224" t="s">
        <v>76</v>
      </c>
      <c r="BM19" s="232"/>
      <c r="BN19" s="231" t="str">
        <f t="array" ref="BN19">IF(
  BM19 = 0, 
  "", 
  IFERROR(
    INDEX(
      'アイテム別限界値DB'!$K:$K, 
      MATCH(
        1, 
        ('アイテム別限界値DB'!$B:$B = BL$10) * 
        ('アイテム別限界値DB'!$F:$F = BL19) * 
        ('アイテム別限界値DB'!$H:$H = BM19), 
        0
      )
    ), 
    "再製作"
  )
)
</f>
        <v/>
      </c>
      <c r="BO19" s="218" t="str">
        <f t="array" ref="BO19">IF(
  BM19 = 0, 
  "", 
  IFERROR(
    INDEX(
      'アイテム別限界値DB'!$L:$L, 
      MATCH(
        1, 
        ('アイテム別限界値DB'!$B:$B = BL$10) * 
        ('アイテム別限界値DB'!$C:$C = BL19) * 
        ('アイテム別限界値DB'!$F:$F = BM19), 
        0
      )
    ), 
    ""
  )
)
</f>
        <v/>
      </c>
      <c r="BP19" s="195"/>
    </row>
    <row r="20" ht="18.75" customHeight="1">
      <c r="A20" s="228" t="str">
        <f>IFERROR(__xludf.DUMMYFUNCTION("TEXTJOIN(CHAR(10),TRUE,FILTER(ARRAYFORMULA(IF(J$14:J72&lt;&gt;"""", I$14:I72 &amp;"" : ""&amp; J$14:J72 &amp;"" cm"","""")), I$14:I72 &lt;&gt;""""))"),"パンツウエスト : -2 cm")</f>
        <v>パンツウエスト : -2 cm</v>
      </c>
      <c r="B20" s="229"/>
      <c r="C20" s="224"/>
      <c r="D20" s="238" t="s">
        <v>77</v>
      </c>
      <c r="E20" s="230"/>
      <c r="F20" s="231" t="str">
        <f t="array" ref="F20">IF(
  E20 = 0, 
  "", 
  IFERROR(
    INDEX(
      'アイテム別限界値DB'!$K:$K, 
      MATCH(
        1, 
        ('アイテム別限界値DB'!$B:$B = D$10) * 
        ('アイテム別限界値DB'!$F:$F = D20) * 
        ('アイテム別限界値DB'!$H:$H = E20), 
        0
      )
    ), 
    "再製作"
  )
)
</f>
        <v/>
      </c>
      <c r="G20" s="218" t="str">
        <f t="array" ref="G20">IF(
  E20 = 0, 
  "", 
  IFERROR(
    INDEX(
      'アイテム別限界値DB'!$L:$L, 
      MATCH(
        1, 
        ('アイテム別限界値DB'!$B:$B = D$10) * 
        ('アイテム別限界値DB'!$C:$C = D20) * 
        ('アイテム別限界値DB'!$F:$F = E20), 
        0
      )
    ), 
    ""
  )
)
</f>
        <v/>
      </c>
      <c r="H20" s="12"/>
      <c r="I20" s="238" t="s">
        <v>78</v>
      </c>
      <c r="J20" s="230"/>
      <c r="K20" s="231" t="str">
        <f t="array" ref="K20">IF(
  J20 = 0, 
  "", 
  IFERROR(
    INDEX(
      'アイテム別限界値DB'!$K:$K, 
      MATCH(
        1, 
        ('アイテム別限界値DB'!$B:$B = I$10) * 
        ('アイテム別限界値DB'!$F:$F = I20) * 
        ('アイテム別限界値DB'!$H:$H = J20), 
        0
      )
    ), 
    "再製作"
  )
)
</f>
        <v/>
      </c>
      <c r="L20" s="218" t="str">
        <f t="array" ref="L20">IF(
  J20 = 0, 
  "", 
  IFERROR(
    INDEX(
      'アイテム別限界値DB'!$L:$L, 
      MATCH(
        1, 
        ('アイテム別限界値DB'!$B:$B = I$10) * 
        ('アイテム別限界値DB'!$C:$C = I20) * 
        ('アイテム別限界値DB'!$F:$F = J20), 
        0
      )
    ), 
    ""
  )
)
</f>
        <v/>
      </c>
      <c r="M20" s="12"/>
      <c r="N20" s="238" t="s">
        <v>79</v>
      </c>
      <c r="O20" s="232"/>
      <c r="P20" s="231" t="str">
        <f t="array" ref="P20">IF(
  O20 = 0, 
  "", 
  IFERROR(
    INDEX(
      'アイテム別限界値DB'!$K:$K, 
      MATCH(
        1, 
        ('アイテム別限界値DB'!$B:$B = N$10) * 
        ('アイテム別限界値DB'!$F:$F = N20) * 
        ('アイテム別限界値DB'!$H:$H = O20), 
        0
      )
    ), 
    "再製作"
  )
)
</f>
        <v/>
      </c>
      <c r="Q20" s="218" t="str">
        <f t="array" ref="Q20">IF(
  O20 = 0, 
  "", 
  IFERROR(
    INDEX(
      'アイテム別限界値DB'!$L:$L, 
      MATCH(
        1, 
        ('アイテム別限界値DB'!$B:$B = N$10) * 
        ('アイテム別限界値DB'!$C:$C = N20) * 
        ('アイテム別限界値DB'!$F:$F = O20), 
        0
      )
    ), 
    ""
  )
)
</f>
        <v/>
      </c>
      <c r="R20" s="11"/>
      <c r="S20" s="238" t="s">
        <v>78</v>
      </c>
      <c r="T20" s="230"/>
      <c r="U20" s="231" t="str">
        <f t="array" ref="U20">IF(
  T20 = 0, 
  "", 
  IFERROR(
    INDEX(
      'アイテム別限界値DB'!$K:$K, 
      MATCH(
        1, 
        ('アイテム別限界値DB'!$B:$B = S$10) * 
        ('アイテム別限界値DB'!$F:$F = S20) * 
        ('アイテム別限界値DB'!$H:$H = T20), 
        0
      )
    ), 
    "再製作"
  )
)
</f>
        <v/>
      </c>
      <c r="V20" s="218" t="str">
        <f t="array" ref="V20">IF(
  T20 = 0, 
  "", 
  IFERROR(
    INDEX(
      'アイテム別限界値DB'!$L:$L, 
      MATCH(
        1, 
        ('アイテム別限界値DB'!$B:$B = S$10) * 
        ('アイテム別限界値DB'!$C:$C = S20) * 
        ('アイテム別限界値DB'!$F:$F = T20), 
        0
      )
    ), 
    ""
  )
)
</f>
        <v/>
      </c>
      <c r="W20" s="11"/>
      <c r="X20" s="238" t="s">
        <v>76</v>
      </c>
      <c r="Y20" s="232"/>
      <c r="Z20" s="231" t="str">
        <f t="array" ref="Z20">IF(
  Y20 = 0, 
  "", 
  IFERROR(
    INDEX(
      'アイテム別限界値DB'!$K:$K, 
      MATCH(
        1, 
        ('アイテム別限界値DB'!$B:$B = X$10) * 
        ('アイテム別限界値DB'!$F:$F = X20) * 
        ('アイテム別限界値DB'!$H:$H = Y20), 
        0
      )
    ), 
    "再製作"
  )
)
</f>
        <v/>
      </c>
      <c r="AA20" s="218" t="str">
        <f t="array" ref="AA20">IF(
  Y20 = 0, 
  "", 
  IFERROR(
    INDEX(
      'アイテム別限界値DB'!$L:$L, 
      MATCH(
        1, 
        ('アイテム別限界値DB'!$B:$B = X$10) * 
        ('アイテム別限界値DB'!$C:$C = X20) * 
        ('アイテム別限界値DB'!$F:$F = Y20), 
        0
      )
    ), 
    ""
  )
)
</f>
        <v/>
      </c>
      <c r="AB20" s="11"/>
      <c r="AC20" s="238" t="s">
        <v>80</v>
      </c>
      <c r="AD20" s="232"/>
      <c r="AE20" s="231" t="str">
        <f t="array" ref="AE20">IF(
  AD20 = 0, 
  "", 
  IFERROR(
    INDEX(
      'アイテム別限界値DB'!$K:$K, 
      MATCH(
        1, 
        ('アイテム別限界値DB'!$B:$B = AC$10) * 
        ('アイテム別限界値DB'!$F:$F = AC20) * 
        ('アイテム別限界値DB'!$H:$H = AD20), 
        0
      )
    ), 
    "再製作"
  )
)
</f>
        <v/>
      </c>
      <c r="AF20" s="218" t="str">
        <f t="array" ref="AF20">IF(
  AD20 = 0, 
  "", 
  IFERROR(
    INDEX(
      'アイテム別限界値DB'!$L:$L, 
      MATCH(
        1, 
        ('アイテム別限界値DB'!$B:$B = AC$10) * 
        ('アイテム別限界値DB'!$C:$C = AC20) * 
        ('アイテム別限界値DB'!$F:$F = AD20), 
        0
      )
    ), 
    ""
  )
)
</f>
        <v/>
      </c>
      <c r="AG20" s="11"/>
      <c r="AH20" s="224" t="s">
        <v>62</v>
      </c>
      <c r="AI20" s="232"/>
      <c r="AJ20" s="231" t="str">
        <f t="array" ref="AJ20">IF(
  AI20 = 0, 
  "", 
  IFERROR(
    INDEX(
      'アイテム別限界値DB'!$K:$K, 
      MATCH(
        1, 
        ('アイテム別限界値DB'!$B:$B = AH$10) * 
        ('アイテム別限界値DB'!$F:$F = AH20) * 
        ('アイテム別限界値DB'!$H:$H = AI20), 
        0
      )
    ), 
    "再製作"
  )
)
</f>
        <v/>
      </c>
      <c r="AK20" s="218" t="str">
        <f t="array" ref="AK20">IF(
  AI20 = 0, 
  "", 
  IFERROR(
    INDEX(
      'アイテム別限界値DB'!$L:$L, 
      MATCH(
        1, 
        ('アイテム別限界値DB'!$B:$B = AH$10) * 
        ('アイテム別限界値DB'!$C:$C = AH20) * 
        ('アイテム別限界値DB'!$F:$F = AI20), 
        0
      )
    ), 
    ""
  )
)
</f>
        <v/>
      </c>
      <c r="AL20" s="11"/>
      <c r="AM20" s="224" t="s">
        <v>70</v>
      </c>
      <c r="AN20" s="232"/>
      <c r="AO20" s="231" t="str">
        <f t="array" ref="AO20">IF(
  AN20 = 0, 
  "", 
  IFERROR(
    INDEX(
      'アイテム別限界値DB'!$K:$K, 
      MATCH(
        1, 
        ('アイテム別限界値DB'!$B:$B = AM$10) * 
        ('アイテム別限界値DB'!$F:$F = AM20) * 
        ('アイテム別限界値DB'!$H:$H = AN20), 
        0
      )
    ), 
    "再製作"
  )
)
</f>
        <v/>
      </c>
      <c r="AP20" s="218" t="str">
        <f t="array" ref="AP20">IF(
  AN20 = 0, 
  "", 
  IFERROR(
    INDEX(
      'アイテム別限界値DB'!$L:$L, 
      MATCH(
        1, 
        ('アイテム別限界値DB'!$B:$B = AM$10) * 
        ('アイテム別限界値DB'!$C:$C = AM20) * 
        ('アイテム別限界値DB'!$F:$F = AN20), 
        0
      )
    ), 
    ""
  )
)
</f>
        <v/>
      </c>
      <c r="AQ20" s="11"/>
      <c r="AR20" s="224" t="s">
        <v>70</v>
      </c>
      <c r="AS20" s="232"/>
      <c r="AT20" s="231" t="str">
        <f t="array" ref="AT20">IF(
  AS20 = 0, 
  "", 
  IFERROR(
    INDEX(
      'アイテム別限界値DB'!$K:$K, 
      MATCH(
        1, 
        ('アイテム別限界値DB'!$B:$B = AR$10) * 
        ('アイテム別限界値DB'!$F:$F = AR20) * 
        ('アイテム別限界値DB'!$H:$H = AS20), 
        0
      )
    ), 
    "再製作"
  )
)
</f>
        <v/>
      </c>
      <c r="AU20" s="218" t="str">
        <f t="array" ref="AU20">IF(
  AS20 = 0, 
  "", 
  IFERROR(
    INDEX(
      'アイテム別限界値DB'!$L:$L, 
      MATCH(
        1, 
        ('アイテム別限界値DB'!$B:$B = AR$10) * 
        ('アイテム別限界値DB'!$C:$C = AR20) * 
        ('アイテム別限界値DB'!$F:$F = AS20), 
        0
      )
    ), 
    ""
  )
)
</f>
        <v/>
      </c>
      <c r="AV20" s="121"/>
      <c r="AW20" s="224" t="s">
        <v>70</v>
      </c>
      <c r="AX20" s="232"/>
      <c r="AY20" s="231" t="str">
        <f t="array" ref="AY20">IF(
  AX20 = 0, 
  "", 
  IFERROR(
    INDEX(
      'アイテム別限界値DB'!$K:$K, 
      MATCH(
        1, 
        ('アイテム別限界値DB'!$B:$B = AW$10) * 
        ('アイテム別限界値DB'!$F:$F = AW20) * 
        ('アイテム別限界値DB'!$H:$H = AX20), 
        0
      )
    ), 
    "再製作"
  )
)
</f>
        <v/>
      </c>
      <c r="AZ20" s="218" t="str">
        <f t="array" ref="AZ20">IF(
  AX20 = 0, 
  "", 
  IFERROR(
    INDEX(
      'アイテム別限界値DB'!$L:$L, 
      MATCH(
        1, 
        ('アイテム別限界値DB'!$B:$B = AW$10) * 
        ('アイテム別限界値DB'!$C:$C = AW20) * 
        ('アイテム別限界値DB'!$F:$F = AX20), 
        0
      )
    ), 
    ""
  )
)
</f>
        <v/>
      </c>
      <c r="BA20" s="121"/>
      <c r="BB20" s="224" t="s">
        <v>70</v>
      </c>
      <c r="BC20" s="232"/>
      <c r="BD20" s="231" t="str">
        <f t="array" ref="BD20">IF(
  BC20 = 0, 
  "", 
  IFERROR(
    INDEX(
      'アイテム別限界値DB'!$K:$K, 
      MATCH(
        1, 
        ('アイテム別限界値DB'!$B:$B = BB$10) * 
        ('アイテム別限界値DB'!$F:$F = BB20) * 
        ('アイテム別限界値DB'!$H:$H = BC20), 
        0
      )
    ), 
    "再製作"
  )
)
</f>
        <v/>
      </c>
      <c r="BE20" s="218" t="str">
        <f t="array" ref="BE20">IF(
  BC20 = 0, 
  "", 
  IFERROR(
    INDEX(
      'アイテム別限界値DB'!$L:$L, 
      MATCH(
        1, 
        ('アイテム別限界値DB'!$B:$B = BB$10) * 
        ('アイテム別限界値DB'!$C:$C = BB20) * 
        ('アイテム別限界値DB'!$F:$F = BC20), 
        0
      )
    ), 
    ""
  )
)
</f>
        <v/>
      </c>
      <c r="BF20" s="121"/>
      <c r="BG20" s="224" t="s">
        <v>70</v>
      </c>
      <c r="BH20" s="232"/>
      <c r="BI20" s="231" t="str">
        <f t="array" ref="BI20">IF(
  BH20 = 0, 
  "", 
  IFERROR(
    INDEX(
      'アイテム別限界値DB'!$K:$K, 
      MATCH(
        1, 
        ('アイテム別限界値DB'!$B:$B = BG$10) * 
        ('アイテム別限界値DB'!$F:$F = BG20) * 
        ('アイテム別限界値DB'!$H:$H = BH20), 
        0
      )
    ), 
    "再製作"
  )
)
</f>
        <v/>
      </c>
      <c r="BJ20" s="218" t="str">
        <f t="array" ref="BJ20">IF(
  BH20 = 0, 
  "", 
  IFERROR(
    INDEX(
      'アイテム別限界値DB'!$L:$L, 
      MATCH(
        1, 
        ('アイテム別限界値DB'!$B:$B = BG$10) * 
        ('アイテム別限界値DB'!$C:$C = BG20) * 
        ('アイテム別限界値DB'!$F:$F = BH20), 
        0
      )
    ), 
    ""
  )
)
</f>
        <v/>
      </c>
      <c r="BK20" s="121"/>
      <c r="BL20" s="224" t="s">
        <v>80</v>
      </c>
      <c r="BM20" s="232"/>
      <c r="BN20" s="231" t="str">
        <f t="array" ref="BN20">IF(
  BM20 = 0, 
  "", 
  IFERROR(
    INDEX(
      'アイテム別限界値DB'!$K:$K, 
      MATCH(
        1, 
        ('アイテム別限界値DB'!$B:$B = BL$10) * 
        ('アイテム別限界値DB'!$F:$F = BL20) * 
        ('アイテム別限界値DB'!$H:$H = BM20), 
        0
      )
    ), 
    "再製作"
  )
)
</f>
        <v/>
      </c>
      <c r="BO20" s="218" t="str">
        <f t="array" ref="BO20">IF(
  BM20 = 0, 
  "", 
  IFERROR(
    INDEX(
      'アイテム別限界値DB'!$L:$L, 
      MATCH(
        1, 
        ('アイテム別限界値DB'!$B:$B = BL$10) * 
        ('アイテム別限界値DB'!$C:$C = BL20) * 
        ('アイテム別限界値DB'!$F:$F = BM20), 
        0
      )
    ), 
    ""
  )
)
</f>
        <v/>
      </c>
      <c r="BP20" s="195"/>
    </row>
    <row r="21" ht="18.75" customHeight="1">
      <c r="A21" s="236" t="str">
        <f>if($A$19&lt;&gt;"", "《仕上がり数値》","")</f>
        <v>《仕上がり数値》</v>
      </c>
      <c r="B21" s="229"/>
      <c r="C21" s="224"/>
      <c r="D21" s="238" t="s">
        <v>81</v>
      </c>
      <c r="E21" s="232"/>
      <c r="F21" s="231" t="str">
        <f t="array" ref="F21">IF(
  E21 = 0, 
  "", 
  IFERROR(
    INDEX(
      'アイテム別限界値DB'!$K:$K, 
      MATCH(
        1, 
        ('アイテム別限界値DB'!$B:$B = D$10) * 
        ('アイテム別限界値DB'!$F:$F = D21) * 
        ('アイテム別限界値DB'!$H:$H = E21), 
        0
      )
    ), 
    "再製作"
  )
)
</f>
        <v/>
      </c>
      <c r="G21" s="218" t="str">
        <f t="array" ref="G21">IF(
  E21 = 0, 
  "", 
  IFERROR(
    INDEX(
      'アイテム別限界値DB'!$L:$L, 
      MATCH(
        1, 
        ('アイテム別限界値DB'!$B:$B = D$10) * 
        ('アイテム別限界値DB'!$C:$C = D21) * 
        ('アイテム別限界値DB'!$F:$F = E21), 
        0
      )
    ), 
    ""
  )
)
</f>
        <v/>
      </c>
      <c r="H21" s="12"/>
      <c r="I21" s="238" t="s">
        <v>82</v>
      </c>
      <c r="J21" s="230"/>
      <c r="K21" s="231" t="str">
        <f t="array" ref="K21">IF(
  J21 = 0, 
  "", 
  IFERROR(
    INDEX(
      'アイテム別限界値DB'!$K:$K, 
      MATCH(
        1, 
        ('アイテム別限界値DB'!$B:$B = I$10) * 
        ('アイテム別限界値DB'!$F:$F = I21) * 
        ('アイテム別限界値DB'!$H:$H = J21), 
        0
      )
    ), 
    "再製作"
  )
)
</f>
        <v/>
      </c>
      <c r="L21" s="218" t="str">
        <f t="array" ref="L21">IF(
  J21 = 0, 
  "", 
  IFERROR(
    INDEX(
      'アイテム別限界値DB'!$L:$L, 
      MATCH(
        1, 
        ('アイテム別限界値DB'!$B:$B = I$10) * 
        ('アイテム別限界値DB'!$C:$C = I21) * 
        ('アイテム別限界値DB'!$F:$F = J21), 
        0
      )
    ), 
    ""
  )
)
</f>
        <v/>
      </c>
      <c r="M21" s="12"/>
      <c r="N21" s="224" t="s">
        <v>83</v>
      </c>
      <c r="O21" s="232"/>
      <c r="P21" s="231" t="str">
        <f t="array" ref="P21">IF(
  O21 = 0, 
  "", 
  IFERROR(
    INDEX(
      'アイテム別限界値DB'!$K:$K, 
      MATCH(
        1, 
        ('アイテム別限界値DB'!$B:$B = N$10) * 
        ('アイテム別限界値DB'!$F:$F = N21) * 
        ('アイテム別限界値DB'!$H:$H = O21), 
        0
      )
    ), 
    "再製作"
  )
)
</f>
        <v/>
      </c>
      <c r="Q21" s="121" t="str">
        <f t="array" ref="Q21">IF(
  O21 = 0, 
  "", 
  IFERROR(
    INDEX(
      'アイテム別限界値DB'!$L:$L, 
      MATCH(
        1, 
        ('アイテム別限界値DB'!$B:$B = N$10) * 
        ('アイテム別限界値DB'!$C:$C = N21) * 
        ('アイテム別限界値DB'!$F:$F = O21), 
        0
      )
    ), 
    ""
  )
)
</f>
        <v/>
      </c>
      <c r="R21" s="11"/>
      <c r="S21" s="238" t="s">
        <v>82</v>
      </c>
      <c r="T21" s="230"/>
      <c r="U21" s="231" t="str">
        <f t="array" ref="U21">IF(
  T21 = 0, 
  "", 
  IFERROR(
    INDEX(
      'アイテム別限界値DB'!$K:$K, 
      MATCH(
        1, 
        ('アイテム別限界値DB'!$B:$B = S$10) * 
        ('アイテム別限界値DB'!$F:$F = S21) * 
        ('アイテム別限界値DB'!$H:$H = T21), 
        0
      )
    ), 
    "再製作"
  )
)
</f>
        <v/>
      </c>
      <c r="V21" s="218" t="str">
        <f t="array" ref="V21">IF(
  T21 = 0, 
  "", 
  IFERROR(
    INDEX(
      'アイテム別限界値DB'!$L:$L, 
      MATCH(
        1, 
        ('アイテム別限界値DB'!$B:$B = S$10) * 
        ('アイテム別限界値DB'!$C:$C = S21) * 
        ('アイテム別限界値DB'!$F:$F = T21), 
        0
      )
    ), 
    ""
  )
)
</f>
        <v/>
      </c>
      <c r="W21" s="11"/>
      <c r="X21" s="238" t="s">
        <v>84</v>
      </c>
      <c r="Y21" s="230"/>
      <c r="Z21" s="231" t="str">
        <f t="array" ref="Z21">IF(
  Y21 = 0, 
  "", 
  IFERROR(
    INDEX(
      'アイテム別限界値DB'!$K:$K, 
      MATCH(
        1, 
        ('アイテム別限界値DB'!$B:$B = X$10) * 
        ('アイテム別限界値DB'!$F:$F = X21) * 
        ('アイテム別限界値DB'!$H:$H = Y21), 
        0
      )
    ), 
    "再製作"
  )
)
</f>
        <v/>
      </c>
      <c r="AA21" s="218" t="str">
        <f t="array" ref="AA21">IF(
  Y21 = 0, 
  "", 
  IFERROR(
    INDEX(
      'アイテム別限界値DB'!$L:$L, 
      MATCH(
        1, 
        ('アイテム別限界値DB'!$B:$B = X$10) * 
        ('アイテム別限界値DB'!$C:$C = X21) * 
        ('アイテム別限界値DB'!$F:$F = Y21), 
        0
      )
    ), 
    ""
  )
)
</f>
        <v/>
      </c>
      <c r="AB21" s="11"/>
      <c r="AC21" s="238" t="s">
        <v>85</v>
      </c>
      <c r="AD21" s="232"/>
      <c r="AE21" s="231" t="str">
        <f t="array" ref="AE21">IF(
  AD21 = 0, 
  "", 
  IFERROR(
    INDEX(
      'アイテム別限界値DB'!$K:$K, 
      MATCH(
        1, 
        ('アイテム別限界値DB'!$B:$B = AC$10) * 
        ('アイテム別限界値DB'!$F:$F = AC21) * 
        ('アイテム別限界値DB'!$H:$H = AD21), 
        0
      )
    ), 
    "再製作"
  )
)
</f>
        <v/>
      </c>
      <c r="AF21" s="218" t="str">
        <f t="array" ref="AF21">IF(
  AD21 = 0, 
  "", 
  IFERROR(
    INDEX(
      'アイテム別限界値DB'!$L:$L, 
      MATCH(
        1, 
        ('アイテム別限界値DB'!$B:$B = AC$10) * 
        ('アイテム別限界値DB'!$C:$C = AC21) * 
        ('アイテム別限界値DB'!$F:$F = AD21), 
        0
      )
    ), 
    ""
  )
)
</f>
        <v/>
      </c>
      <c r="AG21" s="11"/>
      <c r="AH21" s="224"/>
      <c r="AI21" s="225"/>
      <c r="AJ21" s="220" t="str">
        <f t="array" ref="AJ21">IF(
  AI21 = 0, 
  "", 
  IFERROR(
    INDEX(
      'アイテム別限界値DB'!$I:$I, 
      MATCH(
        1, 
        ('アイテム別限界値DB'!$B:$B = AH$10) * 
        ('アイテム別限界値DB'!$C:$C = AH21) * 
        ('アイテム別限界値DB'!$F:$F = AI21), 
        0
      )
    ), 
    "再製作"
  )
)
</f>
        <v/>
      </c>
      <c r="AK21" s="121" t="str">
        <f t="array" ref="AK21">IF(
  AI21 = 0, 
  "", 
  IFERROR(
    INDEX(
      'アイテム別限界値DB'!$L:$L, 
      MATCH(
        1, 
        ('アイテム別限界値DB'!$B:$B = AH$10) * 
        ('アイテム別限界値DB'!$C:$C = AH21) * 
        ('アイテム別限界値DB'!$F:$F = AI21), 
        0
      )
    ), 
    ""
  )
)
</f>
        <v/>
      </c>
      <c r="AL21" s="11"/>
      <c r="AM21" s="224"/>
      <c r="AN21" s="225"/>
      <c r="AO21" s="220" t="str">
        <f t="array" ref="AO21">IF(
  AN21 = 0, 
  "", 
  IFERROR(
    INDEX(
      'アイテム別限界値DB'!$I:$I, 
      MATCH(
        1, 
        ('アイテム別限界値DB'!$B:$B = AM$10) * 
        ('アイテム別限界値DB'!$C:$C = AM21) * 
        ('アイテム別限界値DB'!$F:$F = AN21), 
        0
      )
    ), 
    "再製作"
  )
)
</f>
        <v/>
      </c>
      <c r="AP21" s="121" t="str">
        <f t="array" ref="AP21">IF(
  AN21 = 0, 
  "", 
  IFERROR(
    INDEX(
      'アイテム別限界値DB'!$L:$L, 
      MATCH(
        1, 
        ('アイテム別限界値DB'!$B:$B = AM$10) * 
        ('アイテム別限界値DB'!$C:$C = AM21) * 
        ('アイテム別限界値DB'!$F:$F = AN21), 
        0
      )
    ), 
    ""
  )
)
</f>
        <v/>
      </c>
      <c r="AQ21" s="11"/>
      <c r="AR21" s="224"/>
      <c r="AS21" s="225"/>
      <c r="AT21" s="220" t="str">
        <f t="array" ref="AT21">IF(
  AS21 = 0, 
  "", 
  IFERROR(
    INDEX(
      'アイテム別限界値DB'!$I:$I, 
      MATCH(
        1, 
        ('アイテム別限界値DB'!$B:$B = AR$10) * 
        ('アイテム別限界値DB'!$C:$C = AR21) * 
        ('アイテム別限界値DB'!$F:$F = AS21), 
        0
      )
    ), 
    "再製作"
  )
)
</f>
        <v/>
      </c>
      <c r="AU21" s="121" t="str">
        <f t="array" ref="AU21">IF(
  AS21 = 0, 
  "", 
  IFERROR(
    INDEX(
      'アイテム別限界値DB'!$L:$L, 
      MATCH(
        1, 
        ('アイテム別限界値DB'!$B:$B = AR$10) * 
        ('アイテム別限界値DB'!$C:$C = AR21) * 
        ('アイテム別限界値DB'!$F:$F = AS21), 
        0
      )
    ), 
    ""
  )
)
</f>
        <v/>
      </c>
      <c r="AV21" s="121"/>
      <c r="AW21" s="224"/>
      <c r="AX21" s="225"/>
      <c r="AY21" s="220" t="str">
        <f t="array" ref="AY21">IF(
  AX21 = 0, 
  "", 
  IFERROR(
    INDEX(
      'アイテム別限界値DB'!$I:$I, 
      MATCH(
        1, 
        ('アイテム別限界値DB'!$B:$B = AW$10) * 
        ('アイテム別限界値DB'!$C:$C = AW21) * 
        ('アイテム別限界値DB'!$F:$F = AX21), 
        0
      )
    ), 
    "再製作"
  )
)
</f>
        <v/>
      </c>
      <c r="AZ21" s="121" t="str">
        <f t="array" ref="AZ21">IF(
  AX21 = 0, 
  "", 
  IFERROR(
    INDEX(
      'アイテム別限界値DB'!$L:$L, 
      MATCH(
        1, 
        ('アイテム別限界値DB'!$B:$B = AW$10) * 
        ('アイテム別限界値DB'!$C:$C = AW21) * 
        ('アイテム別限界値DB'!$F:$F = AX21), 
        0
      )
    ), 
    ""
  )
)
</f>
        <v/>
      </c>
      <c r="BA21" s="121"/>
      <c r="BB21" s="224"/>
      <c r="BC21" s="225"/>
      <c r="BD21" s="220" t="str">
        <f t="array" ref="BD21">IF(
  BC21 = 0, 
  "", 
  IFERROR(
    INDEX(
      'アイテム別限界値DB'!$I:$I, 
      MATCH(
        1, 
        ('アイテム別限界値DB'!$B:$B = BB$10) * 
        ('アイテム別限界値DB'!$C:$C = BB21) * 
        ('アイテム別限界値DB'!$F:$F = BC21), 
        0
      )
    ), 
    "再製作"
  )
)
</f>
        <v/>
      </c>
      <c r="BE21" s="121" t="str">
        <f t="array" ref="BE21">IF(
  BC21 = 0, 
  "", 
  IFERROR(
    INDEX(
      'アイテム別限界値DB'!$L:$L, 
      MATCH(
        1, 
        ('アイテム別限界値DB'!$B:$B = BB$10) * 
        ('アイテム別限界値DB'!$C:$C = BB21) * 
        ('アイテム別限界値DB'!$F:$F = BC21), 
        0
      )
    ), 
    ""
  )
)
</f>
        <v/>
      </c>
      <c r="BF21" s="121"/>
      <c r="BG21" s="224"/>
      <c r="BH21" s="225"/>
      <c r="BI21" s="220" t="str">
        <f t="array" ref="BI21">IF(
  BH21 = 0, 
  "", 
  IFERROR(
    INDEX(
      'アイテム別限界値DB'!$I:$I, 
      MATCH(
        1, 
        ('アイテム別限界値DB'!$B:$B = BG$10) * 
        ('アイテム別限界値DB'!$C:$C = BG21) * 
        ('アイテム別限界値DB'!$F:$F = BH21), 
        0
      )
    ), 
    "再製作"
  )
)
</f>
        <v/>
      </c>
      <c r="BJ21" s="121" t="str">
        <f t="array" ref="BJ21">IF(
  BH21 = 0, 
  "", 
  IFERROR(
    INDEX(
      'アイテム別限界値DB'!$L:$L, 
      MATCH(
        1, 
        ('アイテム別限界値DB'!$B:$B = BG$10) * 
        ('アイテム別限界値DB'!$C:$C = BG21) * 
        ('アイテム別限界値DB'!$F:$F = BH21), 
        0
      )
    ), 
    ""
  )
)
</f>
        <v/>
      </c>
      <c r="BK21" s="121"/>
      <c r="BL21" s="224" t="s">
        <v>85</v>
      </c>
      <c r="BM21" s="232"/>
      <c r="BN21" s="231" t="str">
        <f t="array" ref="BN21">IF(
  BM21 = 0, 
  "", 
  IFERROR(
    INDEX(
      'アイテム別限界値DB'!$K:$K, 
      MATCH(
        1, 
        ('アイテム別限界値DB'!$B:$B = BL$10) * 
        ('アイテム別限界値DB'!$F:$F = BL21) * 
        ('アイテム別限界値DB'!$H:$H = BM21), 
        0
      )
    ), 
    "再製作"
  )
)
</f>
        <v/>
      </c>
      <c r="BO21" s="218" t="str">
        <f t="array" ref="BO21">IF(
  BM21 = 0, 
  "", 
  IFERROR(
    INDEX(
      'アイテム別限界値DB'!$L:$L, 
      MATCH(
        1, 
        ('アイテム別限界値DB'!$B:$B = BL$10) * 
        ('アイテム別限界値DB'!$C:$C = BL21) * 
        ('アイテム別限界値DB'!$F:$F = BM21), 
        0
      )
    ), 
    ""
  )
)
</f>
        <v/>
      </c>
      <c r="BP21" s="195"/>
    </row>
    <row r="22" ht="18.75" customHeight="1">
      <c r="A22" s="228" t="str">
        <f>IFERROR(__xludf.DUMMYFUNCTION("TEXTJOIN(CHAR(10),TRUE,FILTER(ARRAYFORMULA(IF(J$14:J72&lt;&gt;"""", I$14:I72 &amp;"" :  cm"","""")), I$14:I72 &lt;&gt;""""))"),"パンツウエスト :  cm")</f>
        <v>パンツウエスト :  cm</v>
      </c>
      <c r="B22" s="224"/>
      <c r="C22" s="224"/>
      <c r="D22" s="238" t="s">
        <v>86</v>
      </c>
      <c r="E22" s="230"/>
      <c r="F22" s="231" t="str">
        <f t="array" ref="F22">IF(
  E22 = 0, 
  "", 
  IFERROR(
    INDEX(
      'アイテム別限界値DB'!$K:$K, 
      MATCH(
        1, 
        ('アイテム別限界値DB'!$B:$B = D$10) * 
        ('アイテム別限界値DB'!$F:$F = D22) * 
        ('アイテム別限界値DB'!$H:$H = E22), 
        0
      )
    ), 
    "再製作"
  )
)
</f>
        <v/>
      </c>
      <c r="G22" s="218" t="str">
        <f t="array" ref="G22">IF(
  E22 = 0, 
  "", 
  IFERROR(
    INDEX(
      'アイテム別限界値DB'!$L:$L, 
      MATCH(
        1, 
        ('アイテム別限界値DB'!$B:$B = D$10) * 
        ('アイテム別限界値DB'!$C:$C = D22) * 
        ('アイテム別限界値DB'!$F:$F = E22), 
        0
      )
    ), 
    ""
  )
)
</f>
        <v/>
      </c>
      <c r="H22" s="12"/>
      <c r="I22" s="238" t="s">
        <v>87</v>
      </c>
      <c r="J22" s="230"/>
      <c r="K22" s="231" t="str">
        <f t="array" ref="K22">IF(
  J22 = 0, 
  "", 
  IFERROR(
    INDEX(
      'アイテム別限界値DB'!$K:$K, 
      MATCH(
        1, 
        ('アイテム別限界値DB'!$B:$B = I$10) * 
        ('アイテム別限界値DB'!$F:$F = I22) * 
        ('アイテム別限界値DB'!$H:$H = J22), 
        0
      )
    ), 
    "再製作"
  )
)
</f>
        <v/>
      </c>
      <c r="L22" s="218" t="str">
        <f t="array" ref="L22">IF(
  J22 = 0, 
  "", 
  IFERROR(
    INDEX(
      'アイテム別限界値DB'!$L:$L, 
      MATCH(
        1, 
        ('アイテム別限界値DB'!$B:$B = I$10) * 
        ('アイテム別限界値DB'!$C:$C = I22) * 
        ('アイテム別限界値DB'!$F:$F = J22), 
        0
      )
    ), 
    ""
  )
)
</f>
        <v/>
      </c>
      <c r="M22" s="11"/>
      <c r="N22" s="224"/>
      <c r="O22" s="220"/>
      <c r="P22" s="220" t="str">
        <f t="array" ref="P22">IF(
  O22 = 0, 
  "", 
  IFERROR(
    INDEX(
      'アイテム別限界値DB'!$I:$I, 
      MATCH(
        1, 
        ('アイテム別限界値DB'!$B:$B = N$10) * 
        ('アイテム別限界値DB'!$C:$C = N22) * 
        ('アイテム別限界値DB'!$F:$F = O22), 
        0
      )
    ), 
    "再製作"
  )
)
</f>
        <v/>
      </c>
      <c r="Q22" s="121" t="str">
        <f t="array" ref="Q22">IF(
  O22 = 0, 
  "", 
  IFERROR(
    INDEX(
      'アイテム別限界値DB'!$L:$L, 
      MATCH(
        1, 
        ('アイテム別限界値DB'!$B:$B = N$10) * 
        ('アイテム別限界値DB'!$C:$C = N22) * 
        ('アイテム別限界値DB'!$F:$F = O22), 
        0
      )
    ), 
    ""
  )
)
</f>
        <v/>
      </c>
      <c r="R22" s="11"/>
      <c r="S22" s="238" t="s">
        <v>87</v>
      </c>
      <c r="T22" s="230"/>
      <c r="U22" s="231" t="str">
        <f t="array" ref="U22">IF(
  T22 = 0, 
  "", 
  IFERROR(
    INDEX(
      'アイテム別限界値DB'!$K:$K, 
      MATCH(
        1, 
        ('アイテム別限界値DB'!$B:$B = S$10) * 
        ('アイテム別限界値DB'!$F:$F = S22) * 
        ('アイテム別限界値DB'!$H:$H = T22), 
        0
      )
    ), 
    "再製作"
  )
)
</f>
        <v/>
      </c>
      <c r="V22" s="218" t="str">
        <f t="array" ref="V22">IF(
  T22 = 0, 
  "", 
  IFERROR(
    INDEX(
      'アイテム別限界値DB'!$L:$L, 
      MATCH(
        1, 
        ('アイテム別限界値DB'!$B:$B = S$10) * 
        ('アイテム別限界値DB'!$C:$C = S22) * 
        ('アイテム別限界値DB'!$F:$F = T22), 
        0
      )
    ), 
    ""
  )
)
</f>
        <v/>
      </c>
      <c r="W22" s="11"/>
      <c r="X22" s="238" t="s">
        <v>88</v>
      </c>
      <c r="Y22" s="230"/>
      <c r="Z22" s="231" t="str">
        <f t="array" ref="Z22">IF(
  Y22 = 0, 
  "", 
  IFERROR(
    INDEX(
      'アイテム別限界値DB'!$K:$K, 
      MATCH(
        1, 
        ('アイテム別限界値DB'!$B:$B = X$10) * 
        ('アイテム別限界値DB'!$F:$F = X22) * 
        ('アイテム別限界値DB'!$H:$H = Y22), 
        0
      )
    ), 
    "再製作"
  )
)
</f>
        <v/>
      </c>
      <c r="AA22" s="218" t="str">
        <f t="array" ref="AA22">IF(
  Y22 = 0, 
  "", 
  IFERROR(
    INDEX(
      'アイテム別限界値DB'!$L:$L, 
      MATCH(
        1, 
        ('アイテム別限界値DB'!$B:$B = X$10) * 
        ('アイテム別限界値DB'!$C:$C = X22) * 
        ('アイテム別限界値DB'!$F:$F = Y22), 
        0
      )
    ), 
    ""
  )
)
</f>
        <v/>
      </c>
      <c r="AB22" s="11"/>
      <c r="AC22" s="238" t="s">
        <v>89</v>
      </c>
      <c r="AD22" s="232"/>
      <c r="AE22" s="231" t="str">
        <f t="array" ref="AE22">IF(
  AD22 = 0, 
  "", 
  IFERROR(
    INDEX(
      'アイテム別限界値DB'!$K:$K, 
      MATCH(
        1, 
        ('アイテム別限界値DB'!$B:$B = AC$10) * 
        ('アイテム別限界値DB'!$F:$F = AC22) * 
        ('アイテム別限界値DB'!$H:$H = AD22), 
        0
      )
    ), 
    "再製作"
  )
)
</f>
        <v/>
      </c>
      <c r="AF22" s="218" t="str">
        <f t="array" ref="AF22">IF(
  AD22 = 0, 
  "", 
  IFERROR(
    INDEX(
      'アイテム別限界値DB'!$L:$L, 
      MATCH(
        1, 
        ('アイテム別限界値DB'!$B:$B = AC$10) * 
        ('アイテム別限界値DB'!$C:$C = AC22) * 
        ('アイテム別限界値DB'!$F:$F = AD22), 
        0
      )
    ), 
    ""
  )
)
</f>
        <v/>
      </c>
      <c r="AG22" s="11"/>
      <c r="AH22" s="224"/>
      <c r="AI22" s="225"/>
      <c r="AJ22" s="220" t="str">
        <f t="array" ref="AJ22">IF(
  AI22 = 0, 
  "", 
  IFERROR(
    INDEX(
      'アイテム別限界値DB'!$I:$I, 
      MATCH(
        1, 
        ('アイテム別限界値DB'!$B:$B = AH$10) * 
        ('アイテム別限界値DB'!$C:$C = AH22) * 
        ('アイテム別限界値DB'!$F:$F = AI22), 
        0
      )
    ), 
    "再製作"
  )
)
</f>
        <v/>
      </c>
      <c r="AK22" s="121" t="str">
        <f t="array" ref="AK22">IF(
  AI22 = 0, 
  "", 
  IFERROR(
    INDEX(
      'アイテム別限界値DB'!$L:$L, 
      MATCH(
        1, 
        ('アイテム別限界値DB'!$B:$B = AH$10) * 
        ('アイテム別限界値DB'!$C:$C = AH22) * 
        ('アイテム別限界値DB'!$F:$F = AI22), 
        0
      )
    ), 
    ""
  )
)
</f>
        <v/>
      </c>
      <c r="AL22" s="11"/>
      <c r="AM22" s="224"/>
      <c r="AN22" s="225"/>
      <c r="AO22" s="220" t="str">
        <f t="array" ref="AO22">IF(
  AN22 = 0, 
  "", 
  IFERROR(
    INDEX(
      'アイテム別限界値DB'!$I:$I, 
      MATCH(
        1, 
        ('アイテム別限界値DB'!$B:$B = AM$10) * 
        ('アイテム別限界値DB'!$C:$C = AM22) * 
        ('アイテム別限界値DB'!$F:$F = AN22), 
        0
      )
    ), 
    "再製作"
  )
)
</f>
        <v/>
      </c>
      <c r="AP22" s="121" t="str">
        <f t="array" ref="AP22">IF(
  AN22 = 0, 
  "", 
  IFERROR(
    INDEX(
      'アイテム別限界値DB'!$L:$L, 
      MATCH(
        1, 
        ('アイテム別限界値DB'!$B:$B = AM$10) * 
        ('アイテム別限界値DB'!$C:$C = AM22) * 
        ('アイテム別限界値DB'!$F:$F = AN22), 
        0
      )
    ), 
    ""
  )
)
</f>
        <v/>
      </c>
      <c r="AQ22" s="11"/>
      <c r="AR22" s="224"/>
      <c r="AS22" s="225"/>
      <c r="AT22" s="220" t="str">
        <f t="array" ref="AT22">IF(
  AS22 = 0, 
  "", 
  IFERROR(
    INDEX(
      'アイテム別限界値DB'!$I:$I, 
      MATCH(
        1, 
        ('アイテム別限界値DB'!$B:$B = AR$10) * 
        ('アイテム別限界値DB'!$C:$C = AR22) * 
        ('アイテム別限界値DB'!$F:$F = AS22), 
        0
      )
    ), 
    "再製作"
  )
)
</f>
        <v/>
      </c>
      <c r="AU22" s="121" t="str">
        <f t="array" ref="AU22">IF(
  AS22 = 0, 
  "", 
  IFERROR(
    INDEX(
      'アイテム別限界値DB'!$L:$L, 
      MATCH(
        1, 
        ('アイテム別限界値DB'!$B:$B = AR$10) * 
        ('アイテム別限界値DB'!$C:$C = AR22) * 
        ('アイテム別限界値DB'!$F:$F = AS22), 
        0
      )
    ), 
    ""
  )
)
</f>
        <v/>
      </c>
      <c r="AV22" s="121"/>
      <c r="AW22" s="224"/>
      <c r="AX22" s="225"/>
      <c r="AY22" s="220" t="str">
        <f t="array" ref="AY22">IF(
  AX22 = 0, 
  "", 
  IFERROR(
    INDEX(
      'アイテム別限界値DB'!$I:$I, 
      MATCH(
        1, 
        ('アイテム別限界値DB'!$B:$B = AW$10) * 
        ('アイテム別限界値DB'!$C:$C = AW22) * 
        ('アイテム別限界値DB'!$F:$F = AX22), 
        0
      )
    ), 
    "再製作"
  )
)
</f>
        <v/>
      </c>
      <c r="AZ22" s="121" t="str">
        <f t="array" ref="AZ22">IF(
  AX22 = 0, 
  "", 
  IFERROR(
    INDEX(
      'アイテム別限界値DB'!$L:$L, 
      MATCH(
        1, 
        ('アイテム別限界値DB'!$B:$B = AW$10) * 
        ('アイテム別限界値DB'!$C:$C = AW22) * 
        ('アイテム別限界値DB'!$F:$F = AX22), 
        0
      )
    ), 
    ""
  )
)
</f>
        <v/>
      </c>
      <c r="BA22" s="121"/>
      <c r="BB22" s="224"/>
      <c r="BC22" s="225"/>
      <c r="BD22" s="220" t="str">
        <f t="array" ref="BD22">IF(
  BC22 = 0, 
  "", 
  IFERROR(
    INDEX(
      'アイテム別限界値DB'!$I:$I, 
      MATCH(
        1, 
        ('アイテム別限界値DB'!$B:$B = BB$10) * 
        ('アイテム別限界値DB'!$C:$C = BB22) * 
        ('アイテム別限界値DB'!$F:$F = BC22), 
        0
      )
    ), 
    "再製作"
  )
)
</f>
        <v/>
      </c>
      <c r="BE22" s="121" t="str">
        <f t="array" ref="BE22">IF(
  BC22 = 0, 
  "", 
  IFERROR(
    INDEX(
      'アイテム別限界値DB'!$L:$L, 
      MATCH(
        1, 
        ('アイテム別限界値DB'!$B:$B = BB$10) * 
        ('アイテム別限界値DB'!$C:$C = BB22) * 
        ('アイテム別限界値DB'!$F:$F = BC22), 
        0
      )
    ), 
    ""
  )
)
</f>
        <v/>
      </c>
      <c r="BF22" s="121"/>
      <c r="BG22" s="224"/>
      <c r="BH22" s="225"/>
      <c r="BI22" s="220" t="str">
        <f t="array" ref="BI22">IF(
  BH22 = 0, 
  "", 
  IFERROR(
    INDEX(
      'アイテム別限界値DB'!$I:$I, 
      MATCH(
        1, 
        ('アイテム別限界値DB'!$B:$B = BG$10) * 
        ('アイテム別限界値DB'!$C:$C = BG22) * 
        ('アイテム別限界値DB'!$F:$F = BH22), 
        0
      )
    ), 
    "再製作"
  )
)
</f>
        <v/>
      </c>
      <c r="BJ22" s="121" t="str">
        <f t="array" ref="BJ22">IF(
  BH22 = 0, 
  "", 
  IFERROR(
    INDEX(
      'アイテム別限界値DB'!$L:$L, 
      MATCH(
        1, 
        ('アイテム別限界値DB'!$B:$B = BG$10) * 
        ('アイテム別限界値DB'!$C:$C = BG22) * 
        ('アイテム別限界値DB'!$F:$F = BH22), 
        0
      )
    ), 
    ""
  )
)
</f>
        <v/>
      </c>
      <c r="BK22" s="121"/>
      <c r="BL22" s="224" t="s">
        <v>90</v>
      </c>
      <c r="BM22" s="232"/>
      <c r="BN22" s="231" t="str">
        <f t="array" ref="BN22">IF(
  BM22 = 0, 
  "", 
  IFERROR(
    INDEX(
      'アイテム別限界値DB'!$K:$K, 
      MATCH(
        1, 
        ('アイテム別限界値DB'!$B:$B = BL$10) * 
        ('アイテム別限界値DB'!$F:$F = BL22) * 
        ('アイテム別限界値DB'!$H:$H = BM22), 
        0
      )
    ), 
    "再製作"
  )
)
</f>
        <v/>
      </c>
      <c r="BO22" s="218" t="str">
        <f t="array" ref="BO22">IF(
  BM22 = 0, 
  "", 
  IFERROR(
    INDEX(
      'アイテム別限界値DB'!$L:$L, 
      MATCH(
        1, 
        ('アイテム別限界値DB'!$B:$B = BL$10) * 
        ('アイテム別限界値DB'!$C:$C = BL22) * 
        ('アイテム別限界値DB'!$F:$F = BM22), 
        0
      )
    ), 
    ""
  )
)
</f>
        <v/>
      </c>
      <c r="BP22" s="195"/>
    </row>
    <row r="23" ht="18.75" customHeight="1">
      <c r="A23" s="237" t="s">
        <v>91</v>
      </c>
      <c r="B23" s="229"/>
      <c r="C23" s="224"/>
      <c r="D23" s="238" t="s">
        <v>92</v>
      </c>
      <c r="E23" s="230"/>
      <c r="F23" s="231" t="str">
        <f t="array" ref="F23">IF(
  E23 = 0, 
  "", 
  IFERROR(
    INDEX(
      'アイテム別限界値DB'!$K:$K, 
      MATCH(
        1, 
        ('アイテム別限界値DB'!$B:$B = D$10) * 
        ('アイテム別限界値DB'!$F:$F = D23) * 
        ('アイテム別限界値DB'!$H:$H = E23), 
        0
      )
    ), 
    "再製作"
  )
)
</f>
        <v/>
      </c>
      <c r="G23" s="218" t="str">
        <f t="array" ref="G23">IF(
  E23 = 0, 
  "", 
  IFERROR(
    INDEX(
      'アイテム別限界値DB'!$L:$L, 
      MATCH(
        1, 
        ('アイテム別限界値DB'!$B:$B = D$10) * 
        ('アイテム別限界値DB'!$C:$C = D23) * 
        ('アイテム別限界値DB'!$F:$F = E23), 
        0
      )
    ), 
    ""
  )
)
</f>
        <v/>
      </c>
      <c r="H23" s="12"/>
      <c r="I23" s="238" t="s">
        <v>93</v>
      </c>
      <c r="J23" s="230"/>
      <c r="K23" s="231" t="str">
        <f t="array" ref="K23">IF(
  J23 = 0, 
  "", 
  IFERROR(
    INDEX(
      'アイテム別限界値DB'!$K:$K, 
      MATCH(
        1, 
        ('アイテム別限界値DB'!$B:$B = I$10) * 
        ('アイテム別限界値DB'!$F:$F = I23) * 
        ('アイテム別限界値DB'!$H:$H = J23), 
        0
      )
    ), 
    "再製作"
  )
)
</f>
        <v/>
      </c>
      <c r="L23" s="218" t="str">
        <f t="array" ref="L23">IF(
  J23 = 0, 
  "", 
  IFERROR(
    INDEX(
      'アイテム別限界値DB'!$L:$L, 
      MATCH(
        1, 
        ('アイテム別限界値DB'!$B:$B = I$10) * 
        ('アイテム別限界値DB'!$C:$C = I23) * 
        ('アイテム別限界値DB'!$F:$F = J23), 
        0
      )
    ), 
    ""
  )
)
</f>
        <v/>
      </c>
      <c r="M23" s="11"/>
      <c r="N23" s="224"/>
      <c r="O23" s="220"/>
      <c r="P23" s="220" t="str">
        <f t="array" ref="P23">IF(
  O23 = 0, 
  "", 
  IFERROR(
    INDEX(
      'アイテム別限界値DB'!$I:$I, 
      MATCH(
        1, 
        ('アイテム別限界値DB'!$B:$B = N$10) * 
        ('アイテム別限界値DB'!$C:$C = N23) * 
        ('アイテム別限界値DB'!$F:$F = O23), 
        0
      )
    ), 
    "再製作"
  )
)
</f>
        <v/>
      </c>
      <c r="Q23" s="121" t="str">
        <f t="array" ref="Q23">IF(
  O23 = 0, 
  "", 
  IFERROR(
    INDEX(
      'アイテム別限界値DB'!$L:$L, 
      MATCH(
        1, 
        ('アイテム別限界値DB'!$B:$B = N$10) * 
        ('アイテム別限界値DB'!$C:$C = N23) * 
        ('アイテム別限界値DB'!$F:$F = O23), 
        0
      )
    ), 
    ""
  )
)
</f>
        <v/>
      </c>
      <c r="R23" s="11"/>
      <c r="S23" s="238" t="s">
        <v>93</v>
      </c>
      <c r="T23" s="232"/>
      <c r="U23" s="231" t="str">
        <f t="array" ref="U23">IF(
  T23 = 0, 
  "", 
  IFERROR(
    INDEX(
      'アイテム別限界値DB'!$K:$K, 
      MATCH(
        1, 
        ('アイテム別限界値DB'!$B:$B = S$10) * 
        ('アイテム別限界値DB'!$F:$F = S23) * 
        ('アイテム別限界値DB'!$H:$H = T23), 
        0
      )
    ), 
    "再製作"
  )
)
</f>
        <v/>
      </c>
      <c r="V23" s="218" t="str">
        <f t="array" ref="V23">IF(
  T23 = 0, 
  "", 
  IFERROR(
    INDEX(
      'アイテム別限界値DB'!$L:$L, 
      MATCH(
        1, 
        ('アイテム別限界値DB'!$B:$B = S$10) * 
        ('アイテム別限界値DB'!$C:$C = S23) * 
        ('アイテム別限界値DB'!$F:$F = T23), 
        0
      )
    ), 
    ""
  )
)
</f>
        <v/>
      </c>
      <c r="W23" s="11"/>
      <c r="X23" s="238" t="s">
        <v>89</v>
      </c>
      <c r="Y23" s="232"/>
      <c r="Z23" s="231" t="str">
        <f t="array" ref="Z23">IF(
  Y23 = 0, 
  "", 
  IFERROR(
    INDEX(
      'アイテム別限界値DB'!$K:$K, 
      MATCH(
        1, 
        ('アイテム別限界値DB'!$B:$B = X$10) * 
        ('アイテム別限界値DB'!$F:$F = X23) * 
        ('アイテム別限界値DB'!$H:$H = Y23), 
        0
      )
    ), 
    "再製作"
  )
)
</f>
        <v/>
      </c>
      <c r="AA23" s="218" t="str">
        <f t="array" ref="AA23">IF(
  Y23 = 0, 
  "", 
  IFERROR(
    INDEX(
      'アイテム別限界値DB'!$L:$L, 
      MATCH(
        1, 
        ('アイテム別限界値DB'!$B:$B = X$10) * 
        ('アイテム別限界値DB'!$C:$C = X23) * 
        ('アイテム別限界値DB'!$F:$F = Y23), 
        0
      )
    ), 
    ""
  )
)
</f>
        <v/>
      </c>
      <c r="AB23" s="11"/>
      <c r="AC23" s="238" t="s">
        <v>90</v>
      </c>
      <c r="AD23" s="232"/>
      <c r="AE23" s="231" t="str">
        <f t="array" ref="AE23">IF(
  AD23 = 0, 
  "", 
  IFERROR(
    INDEX(
      'アイテム別限界値DB'!$K:$K, 
      MATCH(
        1, 
        ('アイテム別限界値DB'!$B:$B = AC$10) * 
        ('アイテム別限界値DB'!$F:$F = AC23) * 
        ('アイテム別限界値DB'!$H:$H = AD23), 
        0
      )
    ), 
    "再製作"
  )
)
</f>
        <v/>
      </c>
      <c r="AF23" s="218" t="str">
        <f t="array" ref="AF23">IF(
  AD23 = 0, 
  "", 
  IFERROR(
    INDEX(
      'アイテム別限界値DB'!$L:$L, 
      MATCH(
        1, 
        ('アイテム別限界値DB'!$B:$B = AC$10) * 
        ('アイテム別限界値DB'!$C:$C = AC23) * 
        ('アイテム別限界値DB'!$F:$F = AD23), 
        0
      )
    ), 
    ""
  )
)
</f>
        <v/>
      </c>
      <c r="AG23" s="11"/>
      <c r="AH23" s="224"/>
      <c r="AI23" s="225"/>
      <c r="AJ23" s="220" t="str">
        <f t="array" ref="AJ23">IF(
  AI23 = 0, 
  "", 
  IFERROR(
    INDEX(
      'アイテム別限界値DB'!$I:$I, 
      MATCH(
        1, 
        ('アイテム別限界値DB'!$B:$B = AH$10) * 
        ('アイテム別限界値DB'!$C:$C = AH23) * 
        ('アイテム別限界値DB'!$F:$F = AI23), 
        0
      )
    ), 
    "再製作"
  )
)
</f>
        <v/>
      </c>
      <c r="AK23" s="121" t="str">
        <f t="array" ref="AK23">IF(
  AI23 = 0, 
  "", 
  IFERROR(
    INDEX(
      'アイテム別限界値DB'!$L:$L, 
      MATCH(
        1, 
        ('アイテム別限界値DB'!$B:$B = AH$10) * 
        ('アイテム別限界値DB'!$C:$C = AH23) * 
        ('アイテム別限界値DB'!$F:$F = AI23), 
        0
      )
    ), 
    ""
  )
)
</f>
        <v/>
      </c>
      <c r="AL23" s="11"/>
      <c r="AM23" s="224"/>
      <c r="AN23" s="225"/>
      <c r="AO23" s="220" t="str">
        <f t="array" ref="AO23">IF(
  AN23 = 0, 
  "", 
  IFERROR(
    INDEX(
      'アイテム別限界値DB'!$I:$I, 
      MATCH(
        1, 
        ('アイテム別限界値DB'!$B:$B = AM$10) * 
        ('アイテム別限界値DB'!$C:$C = AM23) * 
        ('アイテム別限界値DB'!$F:$F = AN23), 
        0
      )
    ), 
    "再製作"
  )
)
</f>
        <v/>
      </c>
      <c r="AP23" s="121" t="str">
        <f t="array" ref="AP23">IF(
  AN23 = 0, 
  "", 
  IFERROR(
    INDEX(
      'アイテム別限界値DB'!$L:$L, 
      MATCH(
        1, 
        ('アイテム別限界値DB'!$B:$B = AM$10) * 
        ('アイテム別限界値DB'!$C:$C = AM23) * 
        ('アイテム別限界値DB'!$F:$F = AN23), 
        0
      )
    ), 
    ""
  )
)
</f>
        <v/>
      </c>
      <c r="AQ23" s="11"/>
      <c r="AR23" s="224"/>
      <c r="AS23" s="225"/>
      <c r="AT23" s="220" t="str">
        <f t="array" ref="AT23">IF(
  AS23 = 0, 
  "", 
  IFERROR(
    INDEX(
      'アイテム別限界値DB'!$I:$I, 
      MATCH(
        1, 
        ('アイテム別限界値DB'!$B:$B = AR$10) * 
        ('アイテム別限界値DB'!$C:$C = AR23) * 
        ('アイテム別限界値DB'!$F:$F = AS23), 
        0
      )
    ), 
    "再製作"
  )
)
</f>
        <v/>
      </c>
      <c r="AU23" s="121" t="str">
        <f t="array" ref="AU23">IF(
  AS23 = 0, 
  "", 
  IFERROR(
    INDEX(
      'アイテム別限界値DB'!$L:$L, 
      MATCH(
        1, 
        ('アイテム別限界値DB'!$B:$B = AR$10) * 
        ('アイテム別限界値DB'!$C:$C = AR23) * 
        ('アイテム別限界値DB'!$F:$F = AS23), 
        0
      )
    ), 
    ""
  )
)
</f>
        <v/>
      </c>
      <c r="AV23" s="121"/>
      <c r="AW23" s="224"/>
      <c r="AX23" s="225"/>
      <c r="AY23" s="220" t="str">
        <f t="array" ref="AY23">IF(
  AX23 = 0, 
  "", 
  IFERROR(
    INDEX(
      'アイテム別限界値DB'!$I:$I, 
      MATCH(
        1, 
        ('アイテム別限界値DB'!$B:$B = AW$10) * 
        ('アイテム別限界値DB'!$C:$C = AW23) * 
        ('アイテム別限界値DB'!$F:$F = AX23), 
        0
      )
    ), 
    "再製作"
  )
)
</f>
        <v/>
      </c>
      <c r="AZ23" s="121" t="str">
        <f t="array" ref="AZ23">IF(
  AX23 = 0, 
  "", 
  IFERROR(
    INDEX(
      'アイテム別限界値DB'!$L:$L, 
      MATCH(
        1, 
        ('アイテム別限界値DB'!$B:$B = AW$10) * 
        ('アイテム別限界値DB'!$C:$C = AW23) * 
        ('アイテム別限界値DB'!$F:$F = AX23), 
        0
      )
    ), 
    ""
  )
)
</f>
        <v/>
      </c>
      <c r="BA23" s="121"/>
      <c r="BB23" s="224"/>
      <c r="BC23" s="225"/>
      <c r="BD23" s="220" t="str">
        <f t="array" ref="BD23">IF(
  BC23 = 0, 
  "", 
  IFERROR(
    INDEX(
      'アイテム別限界値DB'!$I:$I, 
      MATCH(
        1, 
        ('アイテム別限界値DB'!$B:$B = BB$10) * 
        ('アイテム別限界値DB'!$C:$C = BB23) * 
        ('アイテム別限界値DB'!$F:$F = BC23), 
        0
      )
    ), 
    "再製作"
  )
)
</f>
        <v/>
      </c>
      <c r="BE23" s="121" t="str">
        <f t="array" ref="BE23">IF(
  BC23 = 0, 
  "", 
  IFERROR(
    INDEX(
      'アイテム別限界値DB'!$L:$L, 
      MATCH(
        1, 
        ('アイテム別限界値DB'!$B:$B = BB$10) * 
        ('アイテム別限界値DB'!$C:$C = BB23) * 
        ('アイテム別限界値DB'!$F:$F = BC23), 
        0
      )
    ), 
    ""
  )
)
</f>
        <v/>
      </c>
      <c r="BF23" s="121"/>
      <c r="BG23" s="224"/>
      <c r="BH23" s="225"/>
      <c r="BI23" s="220" t="str">
        <f t="array" ref="BI23">IF(
  BH23 = 0, 
  "", 
  IFERROR(
    INDEX(
      'アイテム別限界値DB'!$I:$I, 
      MATCH(
        1, 
        ('アイテム別限界値DB'!$B:$B = BG$10) * 
        ('アイテム別限界値DB'!$C:$C = BG23) * 
        ('アイテム別限界値DB'!$F:$F = BH23), 
        0
      )
    ), 
    "再製作"
  )
)
</f>
        <v/>
      </c>
      <c r="BJ23" s="121" t="str">
        <f t="array" ref="BJ23">IF(
  BH23 = 0, 
  "", 
  IFERROR(
    INDEX(
      'アイテム別限界値DB'!$L:$L, 
      MATCH(
        1, 
        ('アイテム別限界値DB'!$B:$B = BG$10) * 
        ('アイテム別限界値DB'!$C:$C = BG23) * 
        ('アイテム別限界値DB'!$F:$F = BH23), 
        0
      )
    ), 
    ""
  )
)
</f>
        <v/>
      </c>
      <c r="BK23" s="121"/>
      <c r="BL23" s="224" t="s">
        <v>62</v>
      </c>
      <c r="BM23" s="232"/>
      <c r="BN23" s="231" t="str">
        <f t="array" ref="BN23">IF(
  BM23 = 0, 
  "", 
  IFERROR(
    INDEX(
      'アイテム別限界値DB'!$K:$K, 
      MATCH(
        1, 
        ('アイテム別限界値DB'!$B:$B = BL$10) * 
        ('アイテム別限界値DB'!$F:$F = BL23) * 
        ('アイテム別限界値DB'!$H:$H = BM23), 
        0
      )
    ), 
    "再製作"
  )
)
</f>
        <v/>
      </c>
      <c r="BO23" s="218" t="str">
        <f t="array" ref="BO23">IF(
  BM23 = 0, 
  "", 
  IFERROR(
    INDEX(
      'アイテム別限界値DB'!$L:$L, 
      MATCH(
        1, 
        ('アイテム別限界値DB'!$B:$B = BL$10) * 
        ('アイテム別限界値DB'!$C:$C = BL23) * 
        ('アイテム別限界値DB'!$F:$F = BM23), 
        0
      )
    ), 
    ""
  )
)
</f>
        <v/>
      </c>
      <c r="BP23" s="195"/>
    </row>
    <row r="24" ht="18.75" customHeight="1">
      <c r="A24" s="228" t="str">
        <f>IF($N$11="再製作", "◼︎ ベスト（対応着地：再製作）" &amp; char(10) &amp; "《修正数値》", IF($N$11&lt;&gt;"", "◼︎ ベスト（対応着地：お直し）" &amp; char(10) &amp; "《修正数値》", ""))</f>
        <v/>
      </c>
      <c r="B24" s="229"/>
      <c r="C24" s="224"/>
      <c r="D24" s="239" t="s">
        <v>94</v>
      </c>
      <c r="E24" s="232"/>
      <c r="F24" s="231" t="str">
        <f t="array" ref="F24">IF(
  E24 = 0, 
  "", 
  IFERROR(
    INDEX(
      'アイテム別限界値DB'!$K:$K, 
      MATCH(
        1, 
        ('アイテム別限界値DB'!$B:$B = D$10) * 
        ('アイテム別限界値DB'!$F:$F = D24) * 
        ('アイテム別限界値DB'!$H:$H = E24), 
        0
      )
    ), 
    "再製作"
  )
)
</f>
        <v/>
      </c>
      <c r="G24" s="218" t="str">
        <f t="array" ref="G24">IF(
  E24 = 0, 
  "", 
  IFERROR(
    INDEX(
      'アイテム別限界値DB'!$L:$L, 
      MATCH(
        1, 
        ('アイテム別限界値DB'!$B:$B = D$10) * 
        ('アイテム別限界値DB'!$C:$C = D24) * 
        ('アイテム別限界値DB'!$F:$F = E24), 
        0
      )
    ), 
    ""
  )
)
</f>
        <v/>
      </c>
      <c r="H24" s="12"/>
      <c r="I24" s="239" t="s">
        <v>95</v>
      </c>
      <c r="J24" s="232"/>
      <c r="K24" s="231" t="str">
        <f t="array" ref="K24">IF(
  J24 = 0, 
  "", 
  IFERROR(
    INDEX(
      'アイテム別限界値DB'!$K:$K, 
      MATCH(
        1, 
        ('アイテム別限界値DB'!$B:$B = I$10) * 
        ('アイテム別限界値DB'!$F:$F = I24) * 
        ('アイテム別限界値DB'!$H:$H = J24), 
        0
      )
    ), 
    "再製作"
  )
)
</f>
        <v/>
      </c>
      <c r="L24" s="218" t="str">
        <f t="array" ref="L24">IF(
  J24 = 0, 
  "", 
  IFERROR(
    INDEX(
      'アイテム別限界値DB'!$L:$L, 
      MATCH(
        1, 
        ('アイテム別限界値DB'!$B:$B = I$10) * 
        ('アイテム別限界値DB'!$C:$C = I24) * 
        ('アイテム別限界値DB'!$F:$F = J24), 
        0
      )
    ), 
    ""
  )
)
</f>
        <v/>
      </c>
      <c r="M24" s="11"/>
      <c r="N24" s="224"/>
      <c r="O24" s="220"/>
      <c r="P24" s="220" t="str">
        <f t="array" ref="P24">IF(
  O24 = 0, 
  "", 
  IFERROR(
    INDEX(
      'アイテム別限界値DB'!$I:$I, 
      MATCH(
        1, 
        ('アイテム別限界値DB'!$B:$B = N$10) * 
        ('アイテム別限界値DB'!$C:$C = N24) * 
        ('アイテム別限界値DB'!$F:$F = O24), 
        0
      )
    ), 
    "再製作"
  )
)
</f>
        <v/>
      </c>
      <c r="Q24" s="121" t="str">
        <f t="array" ref="Q24">IF(
  O24 = 0, 
  "", 
  IFERROR(
    INDEX(
      'アイテム別限界値DB'!$L:$L, 
      MATCH(
        1, 
        ('アイテム別限界値DB'!$B:$B = N$10) * 
        ('アイテム別限界値DB'!$C:$C = N24) * 
        ('アイテム別限界値DB'!$F:$F = O24), 
        0
      )
    ), 
    ""
  )
)
</f>
        <v/>
      </c>
      <c r="R24" s="11"/>
      <c r="S24" s="239" t="s">
        <v>96</v>
      </c>
      <c r="T24" s="232"/>
      <c r="U24" s="231" t="str">
        <f t="array" ref="U24">IF(
  T24 = 0, 
  "", 
  IFERROR(
    INDEX(
      'アイテム別限界値DB'!$K:$K, 
      MATCH(
        1, 
        ('アイテム別限界値DB'!$B:$B = S$10) * 
        ('アイテム別限界値DB'!$F:$F = S24) * 
        ('アイテム別限界値DB'!$H:$H = T24), 
        0
      )
    ), 
    "再製作"
  )
)
</f>
        <v/>
      </c>
      <c r="V24" s="218" t="str">
        <f t="array" ref="V24">IF(
  T24 = 0, 
  "", 
  IFERROR(
    INDEX(
      'アイテム別限界値DB'!$L:$L, 
      MATCH(
        1, 
        ('アイテム別限界値DB'!$B:$B = S$10) * 
        ('アイテム別限界値DB'!$C:$C = S24) * 
        ('アイテム別限界値DB'!$F:$F = T24), 
        0
      )
    ), 
    ""
  )
)
</f>
        <v/>
      </c>
      <c r="W24" s="11"/>
      <c r="X24" s="239" t="s">
        <v>97</v>
      </c>
      <c r="Y24" s="230"/>
      <c r="Z24" s="231" t="str">
        <f t="array" ref="Z24">IF(
  Y24 = 0, 
  "", 
  IFERROR(
    INDEX(
      'アイテム別限界値DB'!$K:$K, 
      MATCH(
        1, 
        ('アイテム別限界値DB'!$B:$B = X$10) * 
        ('アイテム別限界値DB'!$F:$F = X24) * 
        ('アイテム別限界値DB'!$H:$H = Y24), 
        0
      )
    ), 
    "再製作"
  )
)
</f>
        <v/>
      </c>
      <c r="AA24" s="218" t="str">
        <f t="array" ref="AA24">IF(
  Y24 = 0, 
  "", 
  IFERROR(
    INDEX(
      'アイテム別限界値DB'!$L:$L, 
      MATCH(
        1, 
        ('アイテム別限界値DB'!$B:$B = X$10) * 
        ('アイテム別限界値DB'!$C:$C = X24) * 
        ('アイテム別限界値DB'!$F:$F = Y24), 
        0
      )
    ), 
    ""
  )
)
</f>
        <v/>
      </c>
      <c r="AB24" s="11"/>
      <c r="AC24" s="239" t="s">
        <v>62</v>
      </c>
      <c r="AD24" s="232"/>
      <c r="AE24" s="231" t="str">
        <f t="array" ref="AE24">IF(
  AD24 = 0, 
  "", 
  IFERROR(
    INDEX(
      'アイテム別限界値DB'!$K:$K, 
      MATCH(
        1, 
        ('アイテム別限界値DB'!$B:$B = AC$10) * 
        ('アイテム別限界値DB'!$F:$F = AC24) * 
        ('アイテム別限界値DB'!$H:$H = AD24), 
        0
      )
    ), 
    "再製作"
  )
)
</f>
        <v/>
      </c>
      <c r="AF24" s="218" t="str">
        <f t="array" ref="AF24">IF(
  AD24 = 0, 
  "", 
  IFERROR(
    INDEX(
      'アイテム別限界値DB'!$L:$L, 
      MATCH(
        1, 
        ('アイテム別限界値DB'!$B:$B = AC$10) * 
        ('アイテム別限界値DB'!$C:$C = AC24) * 
        ('アイテム別限界値DB'!$F:$F = AD24), 
        0
      )
    ), 
    ""
  )
)
</f>
        <v/>
      </c>
      <c r="AG24" s="11"/>
      <c r="AH24" s="224"/>
      <c r="AI24" s="225"/>
      <c r="AJ24" s="220" t="str">
        <f t="array" ref="AJ24">IF(
  AI24 = 0, 
  "", 
  IFERROR(
    INDEX(
      'アイテム別限界値DB'!$I:$I, 
      MATCH(
        1, 
        ('アイテム別限界値DB'!$B:$B = AH$10) * 
        ('アイテム別限界値DB'!$C:$C = AH24) * 
        ('アイテム別限界値DB'!$F:$F = AI24), 
        0
      )
    ), 
    "再製作"
  )
)
</f>
        <v/>
      </c>
      <c r="AK24" s="121" t="str">
        <f t="array" ref="AK24">IF(
  AI24 = 0, 
  "", 
  IFERROR(
    INDEX(
      'アイテム別限界値DB'!$L:$L, 
      MATCH(
        1, 
        ('アイテム別限界値DB'!$B:$B = AH$10) * 
        ('アイテム別限界値DB'!$C:$C = AH24) * 
        ('アイテム別限界値DB'!$F:$F = AI24), 
        0
      )
    ), 
    ""
  )
)
</f>
        <v/>
      </c>
      <c r="AL24" s="11"/>
      <c r="AM24" s="224"/>
      <c r="AN24" s="225"/>
      <c r="AO24" s="220" t="str">
        <f t="array" ref="AO24">IF(
  AN24 = 0, 
  "", 
  IFERROR(
    INDEX(
      'アイテム別限界値DB'!$I:$I, 
      MATCH(
        1, 
        ('アイテム別限界値DB'!$B:$B = AM$10) * 
        ('アイテム別限界値DB'!$C:$C = AM24) * 
        ('アイテム別限界値DB'!$F:$F = AN24), 
        0
      )
    ), 
    "再製作"
  )
)
</f>
        <v/>
      </c>
      <c r="AP24" s="121" t="str">
        <f t="array" ref="AP24">IF(
  AN24 = 0, 
  "", 
  IFERROR(
    INDEX(
      'アイテム別限界値DB'!$L:$L, 
      MATCH(
        1, 
        ('アイテム別限界値DB'!$B:$B = AM$10) * 
        ('アイテム別限界値DB'!$C:$C = AM24) * 
        ('アイテム別限界値DB'!$F:$F = AN24), 
        0
      )
    ), 
    ""
  )
)
</f>
        <v/>
      </c>
      <c r="AQ24" s="11"/>
      <c r="AR24" s="224"/>
      <c r="AS24" s="225"/>
      <c r="AT24" s="220" t="str">
        <f t="array" ref="AT24">IF(
  AS24 = 0, 
  "", 
  IFERROR(
    INDEX(
      'アイテム別限界値DB'!$I:$I, 
      MATCH(
        1, 
        ('アイテム別限界値DB'!$B:$B = AR$10) * 
        ('アイテム別限界値DB'!$C:$C = AR24) * 
        ('アイテム別限界値DB'!$F:$F = AS24), 
        0
      )
    ), 
    "再製作"
  )
)
</f>
        <v/>
      </c>
      <c r="AU24" s="121" t="str">
        <f t="array" ref="AU24">IF(
  AS24 = 0, 
  "", 
  IFERROR(
    INDEX(
      'アイテム別限界値DB'!$L:$L, 
      MATCH(
        1, 
        ('アイテム別限界値DB'!$B:$B = AR$10) * 
        ('アイテム別限界値DB'!$C:$C = AR24) * 
        ('アイテム別限界値DB'!$F:$F = AS24), 
        0
      )
    ), 
    ""
  )
)
</f>
        <v/>
      </c>
      <c r="AV24" s="121"/>
      <c r="AW24" s="224"/>
      <c r="AX24" s="225"/>
      <c r="AY24" s="220" t="str">
        <f t="array" ref="AY24">IF(
  AX24 = 0, 
  "", 
  IFERROR(
    INDEX(
      'アイテム別限界値DB'!$I:$I, 
      MATCH(
        1, 
        ('アイテム別限界値DB'!$B:$B = AW$10) * 
        ('アイテム別限界値DB'!$C:$C = AW24) * 
        ('アイテム別限界値DB'!$F:$F = AX24), 
        0
      )
    ), 
    "再製作"
  )
)
</f>
        <v/>
      </c>
      <c r="AZ24" s="121" t="str">
        <f t="array" ref="AZ24">IF(
  AX24 = 0, 
  "", 
  IFERROR(
    INDEX(
      'アイテム別限界値DB'!$L:$L, 
      MATCH(
        1, 
        ('アイテム別限界値DB'!$B:$B = AW$10) * 
        ('アイテム別限界値DB'!$C:$C = AW24) * 
        ('アイテム別限界値DB'!$F:$F = AX24), 
        0
      )
    ), 
    ""
  )
)
</f>
        <v/>
      </c>
      <c r="BA24" s="121"/>
      <c r="BB24" s="224"/>
      <c r="BC24" s="225"/>
      <c r="BD24" s="220" t="str">
        <f t="array" ref="BD24">IF(
  BC24 = 0, 
  "", 
  IFERROR(
    INDEX(
      'アイテム別限界値DB'!$I:$I, 
      MATCH(
        1, 
        ('アイテム別限界値DB'!$B:$B = BB$10) * 
        ('アイテム別限界値DB'!$C:$C = BB24) * 
        ('アイテム別限界値DB'!$F:$F = BC24), 
        0
      )
    ), 
    "再製作"
  )
)
</f>
        <v/>
      </c>
      <c r="BE24" s="121" t="str">
        <f t="array" ref="BE24">IF(
  BC24 = 0, 
  "", 
  IFERROR(
    INDEX(
      'アイテム別限界値DB'!$L:$L, 
      MATCH(
        1, 
        ('アイテム別限界値DB'!$B:$B = BB$10) * 
        ('アイテム別限界値DB'!$C:$C = BB24) * 
        ('アイテム別限界値DB'!$F:$F = BC24), 
        0
      )
    ), 
    ""
  )
)
</f>
        <v/>
      </c>
      <c r="BF24" s="121"/>
      <c r="BG24" s="224"/>
      <c r="BH24" s="225"/>
      <c r="BI24" s="220" t="str">
        <f t="array" ref="BI24">IF(
  BH24 = 0, 
  "", 
  IFERROR(
    INDEX(
      'アイテム別限界値DB'!$I:$I, 
      MATCH(
        1, 
        ('アイテム別限界値DB'!$B:$B = BG$10) * 
        ('アイテム別限界値DB'!$C:$C = BG24) * 
        ('アイテム別限界値DB'!$F:$F = BH24), 
        0
      )
    ), 
    "再製作"
  )
)
</f>
        <v/>
      </c>
      <c r="BJ24" s="121" t="str">
        <f t="array" ref="BJ24">IF(
  BH24 = 0, 
  "", 
  IFERROR(
    INDEX(
      'アイテム別限界値DB'!$L:$L, 
      MATCH(
        1, 
        ('アイテム別限界値DB'!$B:$B = BG$10) * 
        ('アイテム別限界値DB'!$C:$C = BG24) * 
        ('アイテム別限界値DB'!$F:$F = BH24), 
        0
      )
    ), 
    ""
  )
)
</f>
        <v/>
      </c>
      <c r="BK24" s="121"/>
      <c r="BL24" s="224"/>
      <c r="BM24" s="225"/>
      <c r="BN24" s="220" t="str">
        <f t="array" ref="BN24">IF(
  BM24 = 0, 
  "", 
  IFERROR(
    INDEX(
      'アイテム別限界値DB'!$I:$I, 
      MATCH(
        1, 
        ('アイテム別限界値DB'!$B:$B = BL$10) * 
        ('アイテム別限界値DB'!$C:$C = BL24) * 
        ('アイテム別限界値DB'!$F:$F = BM24), 
        0
      )
    ), 
    "再製作"
  )
)
</f>
        <v/>
      </c>
      <c r="BO24" s="121" t="str">
        <f t="array" ref="BO24">IF(
  BM24 = 0, 
  "", 
  IFERROR(
    INDEX(
      'アイテム別限界値DB'!$L:$L, 
      MATCH(
        1, 
        ('アイテム別限界値DB'!$B:$B = BL$10) * 
        ('アイテム別限界値DB'!$C:$C = BL24) * 
        ('アイテム別限界値DB'!$F:$F = BM24), 
        0
      )
    ), 
    ""
  )
)
</f>
        <v/>
      </c>
      <c r="BP24" s="195"/>
    </row>
    <row r="25" ht="18.75" customHeight="1">
      <c r="A25" s="228" t="str">
        <f>IFERROR(__xludf.DUMMYFUNCTION("TEXTJOIN(CHAR(10),TRUE,FILTER(ARRAYFORMULA(IF(O$14:O72&lt;&gt;"""",N$14:N72 &amp;"" : ""&amp; O$14:O72 &amp;"" cm"","""")), N$14:N72 &lt;&gt;""""))"),"")</f>
        <v/>
      </c>
      <c r="B25" s="224"/>
      <c r="C25" s="224"/>
      <c r="D25" s="239" t="s">
        <v>98</v>
      </c>
      <c r="E25" s="232"/>
      <c r="F25" s="231" t="str">
        <f t="array" ref="F25">IF(
  E25 = 0, 
  "", 
  IFERROR(
    INDEX(
      'アイテム別限界値DB'!$K:$K, 
      MATCH(
        1, 
        ('アイテム別限界値DB'!$B:$B = D$10) * 
        ('アイテム別限界値DB'!$F:$F = D25) * 
        ('アイテム別限界値DB'!$H:$H = E25), 
        0
      )
    ), 
    "再製作"
  )
)
</f>
        <v/>
      </c>
      <c r="G25" s="218" t="str">
        <f t="array" ref="G25">IF(
  E25 = 0, 
  "", 
  IFERROR(
    INDEX(
      'アイテム別限界値DB'!$L:$L, 
      MATCH(
        1, 
        ('アイテム別限界値DB'!$B:$B = D$10) * 
        ('アイテム別限界値DB'!$C:$C = D25) * 
        ('アイテム別限界値DB'!$F:$F = E25), 
        0
      )
    ), 
    ""
  )
)
</f>
        <v/>
      </c>
      <c r="H25" s="12"/>
      <c r="I25" s="224" t="s">
        <v>99</v>
      </c>
      <c r="J25" s="232"/>
      <c r="K25" s="231" t="str">
        <f t="array" ref="K25">IF(
  J25 = 0, 
  "", 
  IFERROR(
    INDEX(
      'アイテム別限界値DB'!$K:$K, 
      MATCH(
        1, 
        ('アイテム別限界値DB'!$B:$B = I$10) * 
        ('アイテム別限界値DB'!$F:$F = I25) * 
        ('アイテム別限界値DB'!$H:$H = J25), 
        0
      )
    ), 
    "再製作"
  )
)
</f>
        <v/>
      </c>
      <c r="L25" s="195"/>
      <c r="M25" s="11"/>
      <c r="N25" s="11"/>
      <c r="O25" s="220"/>
      <c r="P25" s="184"/>
      <c r="Q25" s="11"/>
      <c r="R25" s="11"/>
      <c r="S25" s="186" t="s">
        <v>100</v>
      </c>
      <c r="T25" s="232"/>
      <c r="U25" s="231" t="str">
        <f t="array" ref="U25">IF(
  T25 = 0, 
  "", 
  IFERROR(
    INDEX(
      'アイテム別限界値DB'!$K:$K, 
      MATCH(
        1, 
        ('アイテム別限界値DB'!$B:$B = S$10) * 
        ('アイテム別限界値DB'!$F:$F = S25) * 
        ('アイテム別限界値DB'!$H:$H = T25), 
        0
      )
    ), 
    "再製作"
  )
)
</f>
        <v/>
      </c>
      <c r="V25" s="234"/>
      <c r="W25" s="11"/>
      <c r="X25" s="186" t="s">
        <v>101</v>
      </c>
      <c r="Y25" s="232"/>
      <c r="Z25" s="231" t="str">
        <f t="array" ref="Z25">IF(
  Y25 = 0, 
  "", 
  IFERROR(
    INDEX(
      'アイテム別限界値DB'!$K:$K, 
      MATCH(
        1, 
        ('アイテム別限界値DB'!$B:$B = X$10) * 
        ('アイテム別限界値DB'!$F:$F = X25) * 
        ('アイテム別限界値DB'!$H:$H = Y25), 
        0
      )
    ), 
    "再製作"
  )
)
</f>
        <v/>
      </c>
      <c r="AA25" s="218" t="str">
        <f t="array" ref="AA25">IF(
  Y25 = 0, 
  "", 
  IFERROR(
    INDEX(
      'アイテム別限界値DB'!$L:$L, 
      MATCH(
        1, 
        ('アイテム別限界値DB'!$B:$B = X$10) * 
        ('アイテム別限界値DB'!$C:$C = X25) * 
        ('アイテム別限界値DB'!$F:$F = Y25), 
        0
      )
    ), 
    ""
  )
)
</f>
        <v/>
      </c>
      <c r="AB25" s="11"/>
      <c r="AC25" s="186" t="s">
        <v>74</v>
      </c>
      <c r="AD25" s="232"/>
      <c r="AE25" s="231" t="str">
        <f t="array" ref="AE25">IF(
  AD25 = 0, 
  "", 
  IFERROR(
    INDEX(
      'アイテム別限界値DB'!$K:$K, 
      MATCH(
        1, 
        ('アイテム別限界値DB'!$B:$B = AC$10) * 
        ('アイテム別限界値DB'!$F:$F = AC25) * 
        ('アイテム別限界値DB'!$H:$H = AD25), 
        0
      )
    ), 
    "再製作"
  )
)
</f>
        <v/>
      </c>
      <c r="AF25" s="218" t="str">
        <f t="array" ref="AF25">IF(
  AD25 = 0, 
  "", 
  IFERROR(
    INDEX(
      'アイテム別限界値DB'!$L:$L, 
      MATCH(
        1, 
        ('アイテム別限界値DB'!$B:$B = AC$10) * 
        ('アイテム別限界値DB'!$C:$C = AC25) * 
        ('アイテム別限界値DB'!$F:$F = AD25), 
        0
      )
    ), 
    ""
  )
)
</f>
        <v/>
      </c>
      <c r="AG25" s="11"/>
      <c r="AH25" s="12"/>
      <c r="AI25" s="220"/>
      <c r="AJ25" s="220" t="str">
        <f t="array" ref="AJ25">IF(
  AI25 = 0, 
  "", 
  IFERROR(
    INDEX(
      'アイテム別限界値DB'!$I:$I, 
      MATCH(
        1, 
        ('アイテム別限界値DB'!$B:$B = AH$10) * 
        ('アイテム別限界値DB'!$C:$C = AH25) * 
        ('アイテム別限界値DB'!$F:$F = AI25), 
        0
      )
    ), 
    "再製作"
  )
)
</f>
        <v/>
      </c>
      <c r="AK25" s="195"/>
      <c r="AL25" s="11"/>
      <c r="AM25" s="12"/>
      <c r="AN25" s="220"/>
      <c r="AO25" s="220" t="str">
        <f t="array" ref="AO25">IF(
  AN25 = 0, 
  "", 
  IFERROR(
    INDEX(
      'アイテム別限界値DB'!$I:$I, 
      MATCH(
        1, 
        ('アイテム別限界値DB'!$B:$B = AM$10) * 
        ('アイテム別限界値DB'!$C:$C = AM25) * 
        ('アイテム別限界値DB'!$F:$F = AN25), 
        0
      )
    ), 
    "再製作"
  )
)
</f>
        <v/>
      </c>
      <c r="AP25" s="195"/>
      <c r="AQ25" s="11"/>
      <c r="AR25" s="12"/>
      <c r="AS25" s="220"/>
      <c r="AT25" s="220" t="str">
        <f t="array" ref="AT25">IF(
  AS25 = 0, 
  "", 
  IFERROR(
    INDEX(
      'アイテム別限界値DB'!$I:$I, 
      MATCH(
        1, 
        ('アイテム別限界値DB'!$B:$B = AR$10) * 
        ('アイテム別限界値DB'!$C:$C = AR25) * 
        ('アイテム別限界値DB'!$F:$F = AS25), 
        0
      )
    ), 
    "再製作"
  )
)
</f>
        <v/>
      </c>
      <c r="AU25" s="195"/>
      <c r="AV25" s="195"/>
      <c r="AW25" s="12"/>
      <c r="AX25" s="220"/>
      <c r="AY25" s="220" t="str">
        <f t="array" ref="AY25">IF(
  AX25 = 0, 
  "", 
  IFERROR(
    INDEX(
      'アイテム別限界値DB'!$I:$I, 
      MATCH(
        1, 
        ('アイテム別限界値DB'!$B:$B = AW$10) * 
        ('アイテム別限界値DB'!$C:$C = AW25) * 
        ('アイテム別限界値DB'!$F:$F = AX25), 
        0
      )
    ), 
    "再製作"
  )
)
</f>
        <v/>
      </c>
      <c r="AZ25" s="195"/>
      <c r="BA25" s="195"/>
      <c r="BB25" s="12"/>
      <c r="BC25" s="220"/>
      <c r="BD25" s="220" t="str">
        <f t="array" ref="BD25">IF(
  BC25 = 0, 
  "", 
  IFERROR(
    INDEX(
      'アイテム別限界値DB'!$I:$I, 
      MATCH(
        1, 
        ('アイテム別限界値DB'!$B:$B = BB$10) * 
        ('アイテム別限界値DB'!$C:$C = BB25) * 
        ('アイテム別限界値DB'!$F:$F = BC25), 
        0
      )
    ), 
    "再製作"
  )
)
</f>
        <v/>
      </c>
      <c r="BE25" s="195"/>
      <c r="BF25" s="195"/>
      <c r="BG25" s="12"/>
      <c r="BH25" s="220"/>
      <c r="BI25" s="220" t="str">
        <f t="array" ref="BI25">IF(
  BH25 = 0, 
  "", 
  IFERROR(
    INDEX(
      'アイテム別限界値DB'!$I:$I, 
      MATCH(
        1, 
        ('アイテム別限界値DB'!$B:$B = BG$10) * 
        ('アイテム別限界値DB'!$C:$C = BG25) * 
        ('アイテム別限界値DB'!$F:$F = BH25), 
        0
      )
    ), 
    "再製作"
  )
)
</f>
        <v/>
      </c>
      <c r="BJ25" s="195"/>
      <c r="BK25" s="195"/>
      <c r="BL25" s="195"/>
      <c r="BM25" s="220"/>
      <c r="BN25" s="220" t="str">
        <f t="array" ref="BN25">IF(
  BM25 = 0, 
  "", 
  IFERROR(
    INDEX(
      'アイテム別限界値DB'!$I:$I, 
      MATCH(
        1, 
        ('アイテム別限界値DB'!$B:$B = BL$10) * 
        ('アイテム別限界値DB'!$C:$C = BL25) * 
        ('アイテム別限界値DB'!$F:$F = BM25), 
        0
      )
    ), 
    "再製作"
  )
)
</f>
        <v/>
      </c>
      <c r="BO25" s="195"/>
      <c r="BP25" s="195"/>
    </row>
    <row r="26" ht="18.75" customHeight="1">
      <c r="A26" s="236" t="str">
        <f>if($A$24&lt;&gt;"", "《仕上がり数値》","")</f>
        <v/>
      </c>
      <c r="B26" s="229"/>
      <c r="C26" s="224"/>
      <c r="D26" s="239" t="s">
        <v>74</v>
      </c>
      <c r="E26" s="232"/>
      <c r="F26" s="231" t="str">
        <f t="array" ref="F26">IF(
  E26 = 0, 
  "", 
  IFERROR(
    INDEX(
      'アイテム別限界値DB'!$K:$K, 
      MATCH(
        1, 
        ('アイテム別限界値DB'!$B:$B = D$10) * 
        ('アイテム別限界値DB'!$F:$F = D26) * 
        ('アイテム別限界値DB'!$H:$H = E26), 
        0
      )
    ), 
    "再製作"
  )
)
</f>
        <v/>
      </c>
      <c r="G26" s="218" t="str">
        <f t="array" ref="G26">IF(
  E26 = 0, 
  "", 
  IFERROR(
    INDEX(
      'アイテム別限界値DB'!$L:$L, 
      MATCH(
        1, 
        ('アイテム別限界値DB'!$B:$B = D$10) * 
        ('アイテム別限界値DB'!$C:$C = D26) * 
        ('アイテム別限界値DB'!$F:$F = E26), 
        0
      )
    ), 
    ""
  )
)
</f>
        <v/>
      </c>
      <c r="H26" s="12"/>
      <c r="I26" s="11" t="s">
        <v>100</v>
      </c>
      <c r="J26" s="232"/>
      <c r="K26" s="231" t="str">
        <f t="array" ref="K26">IF(
  J26 = 0, 
  "", 
  IFERROR(
    INDEX(
      'アイテム別限界値DB'!$K:$K, 
      MATCH(
        1, 
        ('アイテム別限界値DB'!$B:$B = I$10) * 
        ('アイテム別限界値DB'!$F:$F = I26) * 
        ('アイテム別限界値DB'!$H:$H = J26), 
        0
      )
    ), 
    "再製作"
  )
)
</f>
        <v/>
      </c>
      <c r="L26" s="195"/>
      <c r="M26" s="11"/>
      <c r="N26" s="11"/>
      <c r="O26" s="220"/>
      <c r="P26" s="184"/>
      <c r="Q26" s="11"/>
      <c r="R26" s="11"/>
      <c r="S26" s="12" t="s">
        <v>95</v>
      </c>
      <c r="T26" s="232"/>
      <c r="U26" s="231" t="str">
        <f t="array" ref="U26">IF(
  T26 = 0, 
  "", 
  IFERROR(
    INDEX(
      'アイテム別限界値DB'!$K:$K, 
      MATCH(
        1, 
        ('アイテム別限界値DB'!$B:$B = S$10) * 
        ('アイテム別限界値DB'!$F:$F = S26) * 
        ('アイテム別限界値DB'!$H:$H = T26), 
        0
      )
    ), 
    "再製作"
  )
)
</f>
        <v/>
      </c>
      <c r="V26" s="195"/>
      <c r="W26" s="11"/>
      <c r="X26" s="186" t="s">
        <v>62</v>
      </c>
      <c r="Y26" s="230"/>
      <c r="Z26" s="231" t="str">
        <f t="array" ref="Z26">IF(
  Y26 = 0, 
  "", 
  IFERROR(
    INDEX(
      'アイテム別限界値DB'!$K:$K, 
      MATCH(
        1, 
        ('アイテム別限界値DB'!$B:$B = X$10) * 
        ('アイテム別限界値DB'!$F:$F = X26) * 
        ('アイテム別限界値DB'!$H:$H = Y26), 
        0
      )
    ), 
    "再製作"
  )
)
</f>
        <v/>
      </c>
      <c r="AA26" s="218" t="str">
        <f t="array" ref="AA26">IF(
  Y26 = 0, 
  "", 
  IFERROR(
    INDEX(
      'アイテム別限界値DB'!$L:$L, 
      MATCH(
        1, 
        ('アイテム別限界値DB'!$B:$B = X$10) * 
        ('アイテム別限界値DB'!$C:$C = X26) * 
        ('アイテム別限界値DB'!$F:$F = Y26), 
        0
      )
    ), 
    ""
  )
)
</f>
        <v/>
      </c>
      <c r="AB26" s="11"/>
      <c r="AC26" s="186" t="s">
        <v>67</v>
      </c>
      <c r="AD26" s="232"/>
      <c r="AE26" s="231" t="str">
        <f t="array" ref="AE26">IF(
  AD26 = 0, 
  "", 
  IFERROR(
    INDEX(
      'アイテム別限界値DB'!$K:$K, 
      MATCH(
        1, 
        ('アイテム別限界値DB'!$B:$B = AC$10) * 
        ('アイテム別限界値DB'!$F:$F = AC26) * 
        ('アイテム別限界値DB'!$H:$H = AD26), 
        0
      )
    ), 
    "再製作"
  )
)
</f>
        <v/>
      </c>
      <c r="AF26" s="218" t="str">
        <f t="array" ref="AF26">IF(
  AD26 = 0, 
  "", 
  IFERROR(
    INDEX(
      'アイテム別限界値DB'!$L:$L, 
      MATCH(
        1, 
        ('アイテム別限界値DB'!$B:$B = AC$10) * 
        ('アイテム別限界値DB'!$C:$C = AC26) * 
        ('アイテム別限界値DB'!$F:$F = AD26), 
        0
      )
    ), 
    ""
  )
)
</f>
        <v/>
      </c>
      <c r="AG26" s="11"/>
      <c r="AH26" s="12"/>
      <c r="AI26" s="220"/>
      <c r="AJ26" s="220" t="str">
        <f t="array" ref="AJ26">IF(
  AI26 = 0, 
  "", 
  IFERROR(
    INDEX(
      'アイテム別限界値DB'!$I:$I, 
      MATCH(
        1, 
        ('アイテム別限界値DB'!$B:$B = AH$10) * 
        ('アイテム別限界値DB'!$C:$C = AH26) * 
        ('アイテム別限界値DB'!$F:$F = AI26), 
        0
      )
    ), 
    "再製作"
  )
)
</f>
        <v/>
      </c>
      <c r="AK26" s="195"/>
      <c r="AL26" s="11"/>
      <c r="AM26" s="12"/>
      <c r="AN26" s="220"/>
      <c r="AO26" s="220" t="str">
        <f t="array" ref="AO26">IF(
  AN26 = 0, 
  "", 
  IFERROR(
    INDEX(
      'アイテム別限界値DB'!$I:$I, 
      MATCH(
        1, 
        ('アイテム別限界値DB'!$B:$B = AM$10) * 
        ('アイテム別限界値DB'!$C:$C = AM26) * 
        ('アイテム別限界値DB'!$F:$F = AN26), 
        0
      )
    ), 
    "再製作"
  )
)
</f>
        <v/>
      </c>
      <c r="AP26" s="195"/>
      <c r="AQ26" s="11"/>
      <c r="AR26" s="12"/>
      <c r="AS26" s="220"/>
      <c r="AT26" s="220" t="str">
        <f t="array" ref="AT26">IF(
  AS26 = 0, 
  "", 
  IFERROR(
    INDEX(
      'アイテム別限界値DB'!$I:$I, 
      MATCH(
        1, 
        ('アイテム別限界値DB'!$B:$B = AR$10) * 
        ('アイテム別限界値DB'!$C:$C = AR26) * 
        ('アイテム別限界値DB'!$F:$F = AS26), 
        0
      )
    ), 
    "再製作"
  )
)
</f>
        <v/>
      </c>
      <c r="AU26" s="195"/>
      <c r="AV26" s="195"/>
      <c r="AW26" s="12"/>
      <c r="AX26" s="220"/>
      <c r="AY26" s="220" t="str">
        <f t="array" ref="AY26">IF(
  AX26 = 0, 
  "", 
  IFERROR(
    INDEX(
      'アイテム別限界値DB'!$I:$I, 
      MATCH(
        1, 
        ('アイテム別限界値DB'!$B:$B = AW$10) * 
        ('アイテム別限界値DB'!$C:$C = AW26) * 
        ('アイテム別限界値DB'!$F:$F = AX26), 
        0
      )
    ), 
    "再製作"
  )
)
</f>
        <v/>
      </c>
      <c r="AZ26" s="195"/>
      <c r="BA26" s="195"/>
      <c r="BB26" s="12"/>
      <c r="BC26" s="220"/>
      <c r="BD26" s="220" t="str">
        <f t="array" ref="BD26">IF(
  BC26 = 0, 
  "", 
  IFERROR(
    INDEX(
      'アイテム別限界値DB'!$I:$I, 
      MATCH(
        1, 
        ('アイテム別限界値DB'!$B:$B = BB$10) * 
        ('アイテム別限界値DB'!$C:$C = BB26) * 
        ('アイテム別限界値DB'!$F:$F = BC26), 
        0
      )
    ), 
    "再製作"
  )
)
</f>
        <v/>
      </c>
      <c r="BE26" s="195"/>
      <c r="BF26" s="195"/>
      <c r="BG26" s="12"/>
      <c r="BH26" s="220"/>
      <c r="BI26" s="220" t="str">
        <f t="array" ref="BI26">IF(
  BH26 = 0, 
  "", 
  IFERROR(
    INDEX(
      'アイテム別限界値DB'!$I:$I, 
      MATCH(
        1, 
        ('アイテム別限界値DB'!$B:$B = BG$10) * 
        ('アイテム別限界値DB'!$C:$C = BG26) * 
        ('アイテム別限界値DB'!$F:$F = BH26), 
        0
      )
    ), 
    "再製作"
  )
)
</f>
        <v/>
      </c>
      <c r="BJ26" s="195"/>
      <c r="BK26" s="195"/>
      <c r="BL26" s="195"/>
      <c r="BM26" s="220"/>
      <c r="BN26" s="220" t="str">
        <f t="array" ref="BN26">IF(
  BM26 = 0, 
  "", 
  IFERROR(
    INDEX(
      'アイテム別限界値DB'!$I:$I, 
      MATCH(
        1, 
        ('アイテム別限界値DB'!$B:$B = BL$10) * 
        ('アイテム別限界値DB'!$C:$C = BL26) * 
        ('アイテム別限界値DB'!$F:$F = BM26), 
        0
      )
    ), 
    "再製作"
  )
)
</f>
        <v/>
      </c>
      <c r="BO26" s="195"/>
      <c r="BP26" s="195"/>
    </row>
    <row r="27" ht="18.75" customHeight="1">
      <c r="A27" s="228" t="str">
        <f>IFERROR(__xludf.DUMMYFUNCTION("TEXTJOIN(CHAR(10),TRUE,FILTER(ARRAYFORMULA(IF(O$14:O72&lt;&gt;"""",N$14:N72 &amp;"" :  cm"","""")), N$14:N72 &lt;&gt;""""))"),"")</f>
        <v/>
      </c>
      <c r="B27" s="229"/>
      <c r="C27" s="224"/>
      <c r="D27" s="239" t="s">
        <v>67</v>
      </c>
      <c r="E27" s="230"/>
      <c r="F27" s="231" t="str">
        <f t="array" ref="F27">IF(
  E27 = 0, 
  "", 
  IFERROR(
    INDEX(
      'アイテム別限界値DB'!$K:$K, 
      MATCH(
        1, 
        ('アイテム別限界値DB'!$B:$B = D$10) * 
        ('アイテム別限界値DB'!$F:$F = D27) * 
        ('アイテム別限界値DB'!$H:$H = E27), 
        0
      )
    ), 
    "再製作"
  )
)
</f>
        <v/>
      </c>
      <c r="G27" s="218" t="str">
        <f t="array" ref="G27">IF(
  E27 = 0, 
  "", 
  IFERROR(
    INDEX(
      'アイテム別限界値DB'!$L:$L, 
      MATCH(
        1, 
        ('アイテム別限界値DB'!$B:$B = D$10) * 
        ('アイテム別限界値DB'!$C:$C = D27) * 
        ('アイテム別限界値DB'!$F:$F = E27), 
        0
      )
    ), 
    ""
  )
)
</f>
        <v/>
      </c>
      <c r="H27" s="12"/>
      <c r="I27" s="11" t="s">
        <v>103</v>
      </c>
      <c r="J27" s="232"/>
      <c r="K27" s="231" t="str">
        <f t="array" ref="K27">IF(
  J27 = 0, 
  "", 
  IFERROR(
    INDEX(
      'アイテム別限界値DB'!$K:$K, 
      MATCH(
        1, 
        ('アイテム別限界値DB'!$B:$B = I$10) * 
        ('アイテム別限界値DB'!$F:$F = I27) * 
        ('アイテム別限界値DB'!$H:$H = J27), 
        0
      )
    ), 
    "再製作"
  )
)
</f>
        <v/>
      </c>
      <c r="L27" s="11"/>
      <c r="M27" s="11"/>
      <c r="N27" s="11"/>
      <c r="O27" s="220"/>
      <c r="P27" s="184"/>
      <c r="Q27" s="11"/>
      <c r="R27" s="11"/>
      <c r="S27" s="12" t="s">
        <v>99</v>
      </c>
      <c r="T27" s="232"/>
      <c r="U27" s="231" t="str">
        <f t="array" ref="U27">IF(
  T27 = 0, 
  "", 
  IFERROR(
    INDEX(
      'アイテム別限界値DB'!$K:$K, 
      MATCH(
        1, 
        ('アイテム別限界値DB'!$B:$B = S$10) * 
        ('アイテム別限界値DB'!$F:$F = S27) * 
        ('アイテム別限界値DB'!$H:$H = T27), 
        0
      )
    ), 
    "再製作"
  )
)
</f>
        <v/>
      </c>
      <c r="V27" s="12"/>
      <c r="W27" s="11"/>
      <c r="X27" s="240" t="s">
        <v>74</v>
      </c>
      <c r="Y27" s="230"/>
      <c r="Z27" s="231" t="str">
        <f t="array" ref="Z27">IF(
  Y27 = 0, 
  "", 
  IFERROR(
    INDEX(
      'アイテム別限界値DB'!$K:$K, 
      MATCH(
        1, 
        ('アイテム別限界値DB'!$B:$B = X$10) * 
        ('アイテム別限界値DB'!$F:$F = X27) * 
        ('アイテム別限界値DB'!$H:$H = Y27), 
        0
      )
    ), 
    "再製作"
  )
)
</f>
        <v/>
      </c>
      <c r="AA27" s="218" t="str">
        <f t="array" ref="AA27">IF(
  Y27 = 0, 
  "", 
  IFERROR(
    INDEX(
      'アイテム別限界値DB'!$L:$L, 
      MATCH(
        1, 
        ('アイテム別限界値DB'!$B:$B = X$10) * 
        ('アイテム別限界値DB'!$C:$C = X27) * 
        ('アイテム別限界値DB'!$F:$F = Y27), 
        0
      )
    ), 
    ""
  )
)
</f>
        <v/>
      </c>
      <c r="AB27" s="11"/>
      <c r="AC27" s="240" t="s">
        <v>79</v>
      </c>
      <c r="AD27" s="232"/>
      <c r="AE27" s="231" t="str">
        <f t="array" ref="AE27">IF(
  AD27 = 0, 
  "", 
  IFERROR(
    INDEX(
      'アイテム別限界値DB'!$K:$K, 
      MATCH(
        1, 
        ('アイテム別限界値DB'!$B:$B = AC$10) * 
        ('アイテム別限界値DB'!$F:$F = AC27) * 
        ('アイテム別限界値DB'!$H:$H = AD27), 
        0
      )
    ), 
    "再製作"
  )
)
</f>
        <v/>
      </c>
      <c r="AF27" s="218" t="str">
        <f t="array" ref="AF27">IF(
  AD27 = 0, 
  "", 
  IFERROR(
    INDEX(
      'アイテム別限界値DB'!$L:$L, 
      MATCH(
        1, 
        ('アイテム別限界値DB'!$B:$B = AC$10) * 
        ('アイテム別限界値DB'!$C:$C = AC27) * 
        ('アイテム別限界値DB'!$F:$F = AD27), 
        0
      )
    ), 
    ""
  )
)
</f>
        <v/>
      </c>
      <c r="AG27" s="11"/>
      <c r="AH27" s="11"/>
      <c r="AI27" s="220"/>
      <c r="AJ27" s="184"/>
      <c r="AK27" s="11"/>
      <c r="AL27" s="11"/>
      <c r="AM27" s="11"/>
      <c r="AN27" s="220"/>
      <c r="AO27" s="184"/>
      <c r="AP27" s="11"/>
      <c r="AQ27" s="11"/>
      <c r="AR27" s="11"/>
      <c r="AS27" s="220"/>
      <c r="AT27" s="184"/>
      <c r="AU27" s="11"/>
      <c r="AV27" s="11"/>
      <c r="AW27" s="11"/>
      <c r="AX27" s="220"/>
      <c r="AY27" s="184"/>
      <c r="AZ27" s="11"/>
      <c r="BA27" s="11"/>
      <c r="BB27" s="11"/>
      <c r="BC27" s="220"/>
      <c r="BD27" s="184"/>
      <c r="BE27" s="11"/>
      <c r="BF27" s="11"/>
      <c r="BG27" s="11"/>
      <c r="BH27" s="220"/>
      <c r="BI27" s="184"/>
      <c r="BJ27" s="11"/>
      <c r="BK27" s="11"/>
      <c r="BL27" s="11"/>
      <c r="BM27" s="220"/>
      <c r="BN27" s="184"/>
      <c r="BO27" s="11"/>
      <c r="BP27" s="11"/>
    </row>
    <row r="28" ht="15.75" customHeight="1">
      <c r="A28" s="237" t="s">
        <v>104</v>
      </c>
      <c r="B28" s="11"/>
      <c r="C28" s="11"/>
      <c r="D28" s="11" t="s">
        <v>79</v>
      </c>
      <c r="E28" s="232"/>
      <c r="F28" s="231" t="str">
        <f t="array" ref="F28">IF(
  E28 = 0, 
  "", 
  IFERROR(
    INDEX(
      'アイテム別限界値DB'!$K:$K, 
      MATCH(
        1, 
        ('アイテム別限界値DB'!$B:$B = D$10) * 
        ('アイテム別限界値DB'!$F:$F = D28) * 
        ('アイテム別限界値DB'!$H:$H = E28), 
        0
      )
    ), 
    "再製作"
  )
)
</f>
        <v/>
      </c>
      <c r="G28" s="218" t="str">
        <f t="array" ref="G28">IF(
  E28 = 0, 
  "", 
  IFERROR(
    INDEX(
      'アイテム別限界値DB'!$L:$L, 
      MATCH(
        1, 
        ('アイテム別限界値DB'!$B:$B = D$10) * 
        ('アイテム別限界値DB'!$C:$C = D28) * 
        ('アイテム別限界値DB'!$F:$F = E28), 
        0
      )
    ), 
    ""
  )
)
</f>
        <v/>
      </c>
      <c r="H28" s="11"/>
      <c r="I28" s="11"/>
      <c r="J28" s="220"/>
      <c r="K28" s="184"/>
      <c r="L28" s="11"/>
      <c r="M28" s="11"/>
      <c r="N28" s="11"/>
      <c r="O28" s="220"/>
      <c r="P28" s="184"/>
      <c r="Q28" s="11"/>
      <c r="R28" s="12"/>
      <c r="S28" s="11" t="s">
        <v>103</v>
      </c>
      <c r="T28" s="232"/>
      <c r="U28" s="231" t="str">
        <f t="array" ref="U28">IF(
  T28 = 0, 
  "", 
  IFERROR(
    INDEX(
      'アイテム別限界値DB'!$K:$K, 
      MATCH(
        1, 
        ('アイテム別限界値DB'!$B:$B = S$10) * 
        ('アイテム別限界値DB'!$F:$F = S28) * 
        ('アイテム別限界値DB'!$H:$H = T28), 
        0
      )
    ), 
    "再製作"
  )
)
</f>
        <v/>
      </c>
      <c r="V28" s="11"/>
      <c r="W28" s="11"/>
      <c r="X28" s="11" t="s">
        <v>67</v>
      </c>
      <c r="Y28" s="241"/>
      <c r="Z28" s="231" t="str">
        <f t="array" ref="Z28">IF(
  Y28 = 0, 
  "", 
  IFERROR(
    INDEX(
      'アイテム別限界値DB'!$K:$K, 
      MATCH(
        1, 
        ('アイテム別限界値DB'!$B:$B = X$10) * 
        ('アイテム別限界値DB'!$F:$F = X28) * 
        ('アイテム別限界値DB'!$H:$H = Y28), 
        0
      )
    ), 
    "再製作"
  )
)
</f>
        <v/>
      </c>
      <c r="AA28" s="218" t="str">
        <f t="array" ref="AA28">IF(
  Y28 = 0, 
  "", 
  IFERROR(
    INDEX(
      'アイテム別限界値DB'!$L:$L, 
      MATCH(
        1, 
        ('アイテム別限界値DB'!$B:$B = X$10) * 
        ('アイテム別限界値DB'!$C:$C = X28) * 
        ('アイテム別限界値DB'!$F:$F = Y28), 
        0
      )
    ), 
    ""
  )
)
</f>
        <v/>
      </c>
      <c r="AB28" s="11"/>
      <c r="AC28" s="11" t="s">
        <v>83</v>
      </c>
      <c r="AD28" s="232"/>
      <c r="AE28" s="231" t="str">
        <f t="array" ref="AE28">IF(
  AD28 = 0, 
  "", 
  IFERROR(
    INDEX(
      'アイテム別限界値DB'!$K:$K, 
      MATCH(
        1, 
        ('アイテム別限界値DB'!$B:$B = AC$10) * 
        ('アイテム別限界値DB'!$F:$F = AC28) * 
        ('アイテム別限界値DB'!$H:$H = AD28), 
        0
      )
    ), 
    "再製作"
  )
)
</f>
        <v/>
      </c>
      <c r="AF28" s="218" t="str">
        <f t="array" ref="AF28">IF(
  AD28 = 0, 
  "", 
  IFERROR(
    INDEX(
      'アイテム別限界値DB'!$L:$L, 
      MATCH(
        1, 
        ('アイテム別限界値DB'!$B:$B = AC$10) * 
        ('アイテム別限界値DB'!$C:$C = AC28) * 
        ('アイテム別限界値DB'!$F:$F = AD28), 
        0
      )
    ), 
    ""
  )
)
</f>
        <v/>
      </c>
      <c r="AG28" s="11"/>
      <c r="AH28" s="11"/>
      <c r="AI28" s="220"/>
      <c r="AJ28" s="184"/>
      <c r="AK28" s="11"/>
      <c r="AL28" s="11"/>
      <c r="AM28" s="11"/>
      <c r="AN28" s="220"/>
      <c r="AO28" s="184"/>
      <c r="AP28" s="11"/>
      <c r="AQ28" s="11"/>
      <c r="AR28" s="11"/>
      <c r="AS28" s="220"/>
      <c r="AT28" s="184"/>
      <c r="AU28" s="11"/>
      <c r="AV28" s="11"/>
      <c r="AW28" s="11"/>
      <c r="AX28" s="220"/>
      <c r="AY28" s="184"/>
      <c r="AZ28" s="11"/>
      <c r="BA28" s="11"/>
      <c r="BB28" s="11"/>
      <c r="BC28" s="220"/>
      <c r="BD28" s="184"/>
      <c r="BE28" s="11"/>
      <c r="BF28" s="11"/>
      <c r="BG28" s="11"/>
      <c r="BH28" s="220"/>
      <c r="BI28" s="184"/>
      <c r="BJ28" s="11"/>
      <c r="BK28" s="11"/>
      <c r="BL28" s="11"/>
      <c r="BM28" s="220"/>
      <c r="BN28" s="184"/>
      <c r="BO28" s="11"/>
      <c r="BP28" s="11"/>
    </row>
    <row r="29" ht="15.75" customHeight="1">
      <c r="A29" s="228" t="str">
        <f>IF($S$11="再製作", "◼︎ チノ（対応着地：再製作）" &amp; char(10) &amp; "《修正数値》", IF($S$11&lt;&gt;"", "◼︎ チノ（対応着地：お直し）" &amp; char(10) &amp; "《修正数値》", ""))</f>
        <v/>
      </c>
      <c r="B29" s="160"/>
      <c r="C29" s="11"/>
      <c r="D29" s="11" t="s">
        <v>83</v>
      </c>
      <c r="E29" s="230"/>
      <c r="F29" s="231" t="str">
        <f t="array" ref="F29">IF(
  E29 = 0, 
  "", 
  IFERROR(
    INDEX(
      'アイテム別限界値DB'!$K:$K, 
      MATCH(
        1, 
        ('アイテム別限界値DB'!$B:$B = D$10) * 
        ('アイテム別限界値DB'!$F:$F = D29) * 
        ('アイテム別限界値DB'!$H:$H = E29), 
        0
      )
    ), 
    "再製作"
  )
)
</f>
        <v/>
      </c>
      <c r="G29" s="218" t="str">
        <f t="array" ref="G29">IF(
  E29 = 0, 
  "", 
  IFERROR(
    INDEX(
      'アイテム別限界値DB'!$L:$L, 
      MATCH(
        1, 
        ('アイテム別限界値DB'!$B:$B = D$10) * 
        ('アイテム別限界値DB'!$C:$C = D29) * 
        ('アイテム別限界値DB'!$F:$F = E29), 
        0
      )
    ), 
    ""
  )
)
</f>
        <v/>
      </c>
      <c r="H29" s="11"/>
      <c r="I29" s="11"/>
      <c r="J29" s="220"/>
      <c r="K29" s="184"/>
      <c r="L29" s="11"/>
      <c r="M29" s="11"/>
      <c r="N29" s="11"/>
      <c r="O29" s="220"/>
      <c r="P29" s="184"/>
      <c r="Q29" s="11"/>
      <c r="R29" s="12"/>
      <c r="S29" s="11"/>
      <c r="T29" s="220"/>
      <c r="U29" s="184"/>
      <c r="V29" s="11"/>
      <c r="W29" s="11"/>
      <c r="X29" s="11" t="s">
        <v>79</v>
      </c>
      <c r="Y29" s="230"/>
      <c r="Z29" s="231" t="str">
        <f t="array" ref="Z29">IF(
  Y29 = 0, 
  "", 
  IFERROR(
    INDEX(
      'アイテム別限界値DB'!$K:$K, 
      MATCH(
        1, 
        ('アイテム別限界値DB'!$B:$B = X$10) * 
        ('アイテム別限界値DB'!$F:$F = X29) * 
        ('アイテム別限界値DB'!$H:$H = Y29), 
        0
      )
    ), 
    "再製作"
  )
)
</f>
        <v/>
      </c>
      <c r="AA29" s="11"/>
      <c r="AB29" s="11"/>
      <c r="AC29" s="11" t="s">
        <v>105</v>
      </c>
      <c r="AD29" s="232"/>
      <c r="AE29" s="231" t="str">
        <f t="array" ref="AE29">IF(
  AD29 = 0, 
  "", 
  IFERROR(
    INDEX(
      'アイテム別限界値DB'!$K:$K, 
      MATCH(
        1, 
        ('アイテム別限界値DB'!$B:$B = AC$10) * 
        ('アイテム別限界値DB'!$F:$F = AC29) * 
        ('アイテム別限界値DB'!$H:$H = AD29), 
        0
      )
    ), 
    "再製作"
  )
)
</f>
        <v/>
      </c>
      <c r="AF29" s="11"/>
      <c r="AG29" s="11"/>
      <c r="AH29" s="11"/>
      <c r="AI29" s="220"/>
      <c r="AJ29" s="184"/>
      <c r="AK29" s="11"/>
      <c r="AL29" s="11"/>
      <c r="AM29" s="11"/>
      <c r="AN29" s="220"/>
      <c r="AO29" s="184"/>
      <c r="AP29" s="11"/>
      <c r="AQ29" s="11"/>
      <c r="AR29" s="11"/>
      <c r="AS29" s="220"/>
      <c r="AT29" s="184"/>
      <c r="AU29" s="11"/>
      <c r="AV29" s="11"/>
      <c r="AW29" s="11"/>
      <c r="AX29" s="220"/>
      <c r="AY29" s="184"/>
      <c r="AZ29" s="11"/>
      <c r="BA29" s="11"/>
      <c r="BB29" s="11"/>
      <c r="BC29" s="220"/>
      <c r="BD29" s="184"/>
      <c r="BE29" s="11"/>
      <c r="BF29" s="11"/>
      <c r="BG29" s="11"/>
      <c r="BH29" s="220"/>
      <c r="BI29" s="184"/>
      <c r="BJ29" s="11"/>
      <c r="BK29" s="11"/>
      <c r="BL29" s="11"/>
      <c r="BM29" s="220"/>
      <c r="BN29" s="184"/>
      <c r="BO29" s="11"/>
      <c r="BP29" s="11"/>
    </row>
    <row r="30" ht="15.75" customHeight="1">
      <c r="A30" s="228" t="str">
        <f>IFERROR(__xludf.DUMMYFUNCTION("TEXTJOIN(CHAR(10),TRUE,FILTER(ARRAYFORMULA(IF(T$14:T72&lt;&gt;"""", S$14:S72 &amp;"" : ""&amp; T$14:T72 &amp;"" cm"","""")), S$14:S72 &lt;&gt;""""))"),"")</f>
        <v/>
      </c>
      <c r="B30" s="229"/>
      <c r="C30" s="11"/>
      <c r="D30" s="11" t="s">
        <v>106</v>
      </c>
      <c r="E30" s="232"/>
      <c r="F30" s="231" t="str">
        <f t="array" ref="F30">IF(
  E30 = 0, 
  "", 
  IFERROR(
    INDEX(
      'アイテム別限界値DB'!$K:$K, 
      MATCH(
        1, 
        ('アイテム別限界値DB'!$B:$B = D$10) * 
        ('アイテム別限界値DB'!$F:$F = D30) * 
        ('アイテム別限界値DB'!$H:$H = E30), 
        0
      )
    ), 
    "再製作"
  )
)
</f>
        <v/>
      </c>
      <c r="G30" s="218" t="str">
        <f t="array" ref="G30">IF(
  E30 = 0, 
  "", 
  IFERROR(
    INDEX(
      'アイテム別限界値DB'!$L:$L, 
      MATCH(
        1, 
        ('アイテム別限界値DB'!$B:$B = D$10) * 
        ('アイテム別限界値DB'!$C:$C = D30) * 
        ('アイテム別限界値DB'!$F:$F = E30), 
        0
      )
    ), 
    ""
  )
)
</f>
        <v/>
      </c>
      <c r="H30" s="11"/>
      <c r="I30" s="11"/>
      <c r="J30" s="220"/>
      <c r="K30" s="184"/>
      <c r="L30" s="11"/>
      <c r="M30" s="11"/>
      <c r="N30" s="11"/>
      <c r="O30" s="220"/>
      <c r="P30" s="184"/>
      <c r="Q30" s="11"/>
      <c r="R30" s="12"/>
      <c r="S30" s="11"/>
      <c r="T30" s="220"/>
      <c r="U30" s="184"/>
      <c r="V30" s="11"/>
      <c r="W30" s="11"/>
      <c r="X30" s="11" t="s">
        <v>83</v>
      </c>
      <c r="Y30" s="232"/>
      <c r="Z30" s="231" t="str">
        <f t="array" ref="Z30">IF(
  Y30 = 0, 
  "", 
  IFERROR(
    INDEX(
      'アイテム別限界値DB'!$K:$K, 
      MATCH(
        1, 
        ('アイテム別限界値DB'!$B:$B = X$10) * 
        ('アイテム別限界値DB'!$F:$F = X30) * 
        ('アイテム別限界値DB'!$H:$H = Y30), 
        0
      )
    ), 
    "再製作"
  )
)
</f>
        <v/>
      </c>
      <c r="AA30" s="11"/>
      <c r="AB30" s="11"/>
      <c r="AC30" s="11"/>
      <c r="AD30" s="220"/>
      <c r="AE30" s="184"/>
      <c r="AF30" s="11"/>
      <c r="AG30" s="11"/>
      <c r="AH30" s="11"/>
      <c r="AI30" s="220"/>
      <c r="AJ30" s="184"/>
      <c r="AK30" s="11"/>
      <c r="AL30" s="11"/>
      <c r="AM30" s="11"/>
      <c r="AN30" s="220"/>
      <c r="AO30" s="184"/>
      <c r="AP30" s="11"/>
      <c r="AQ30" s="11"/>
      <c r="AR30" s="11"/>
      <c r="AS30" s="220"/>
      <c r="AT30" s="184"/>
      <c r="AU30" s="11"/>
      <c r="AV30" s="11"/>
      <c r="AW30" s="11"/>
      <c r="AX30" s="220"/>
      <c r="AY30" s="184"/>
      <c r="AZ30" s="11"/>
      <c r="BA30" s="11"/>
      <c r="BB30" s="11"/>
      <c r="BC30" s="220"/>
      <c r="BD30" s="184"/>
      <c r="BE30" s="11"/>
      <c r="BF30" s="11"/>
      <c r="BG30" s="11"/>
      <c r="BH30" s="220"/>
      <c r="BI30" s="184"/>
      <c r="BJ30" s="11"/>
      <c r="BK30" s="11"/>
      <c r="BL30" s="11"/>
      <c r="BM30" s="220"/>
      <c r="BN30" s="184"/>
      <c r="BO30" s="11"/>
      <c r="BP30" s="11"/>
    </row>
    <row r="31" ht="15.75" customHeight="1">
      <c r="A31" s="242" t="str">
        <f>if($A$29&lt;&gt;"", "《仕上がり数値》","")</f>
        <v/>
      </c>
      <c r="B31" s="12"/>
      <c r="C31" s="11"/>
      <c r="D31" s="11" t="s">
        <v>107</v>
      </c>
      <c r="E31" s="232"/>
      <c r="F31" s="231" t="str">
        <f t="array" ref="F31">IF(
  E31 = 0, 
  "", 
  IFERROR(
    INDEX(
      'アイテム別限界値DB'!$K:$K, 
      MATCH(
        1, 
        ('アイテム別限界値DB'!$B:$B = D$10) * 
        ('アイテム別限界値DB'!$F:$F = D31) * 
        ('アイテム別限界値DB'!$H:$H = E31), 
        0
      )
    ), 
    "再製作"
  )
)
</f>
        <v/>
      </c>
      <c r="G31" s="218" t="str">
        <f t="array" ref="G31">IF(
  E31 = 0, 
  "", 
  IFERROR(
    INDEX(
      'アイテム別限界値DB'!$L:$L, 
      MATCH(
        1, 
        ('アイテム別限界値DB'!$B:$B = D$10) * 
        ('アイテム別限界値DB'!$C:$C = D31) * 
        ('アイテム別限界値DB'!$F:$F = E31), 
        0
      )
    ), 
    ""
  )
)
</f>
        <v/>
      </c>
      <c r="H31" s="11"/>
      <c r="I31" s="11"/>
      <c r="J31" s="220"/>
      <c r="K31" s="184"/>
      <c r="L31" s="11"/>
      <c r="M31" s="11"/>
      <c r="N31" s="11"/>
      <c r="O31" s="220"/>
      <c r="P31" s="184"/>
      <c r="Q31" s="11"/>
      <c r="R31" s="12"/>
      <c r="S31" s="11"/>
      <c r="T31" s="220"/>
      <c r="U31" s="184"/>
      <c r="V31" s="11"/>
      <c r="W31" s="11"/>
      <c r="X31" s="11" t="s">
        <v>105</v>
      </c>
      <c r="Y31" s="230"/>
      <c r="Z31" s="231" t="str">
        <f t="array" ref="Z31">IF(
  Y31 = 0, 
  "", 
  IFERROR(
    INDEX(
      'アイテム別限界値DB'!$K:$K, 
      MATCH(
        1, 
        ('アイテム別限界値DB'!$B:$B = X$10) * 
        ('アイテム別限界値DB'!$F:$F = X31) * 
        ('アイテム別限界値DB'!$H:$H = Y31), 
        0
      )
    ), 
    "再製作"
  )
)
</f>
        <v/>
      </c>
      <c r="AA31" s="11"/>
      <c r="AB31" s="11"/>
      <c r="AC31" s="11"/>
      <c r="AD31" s="220"/>
      <c r="AE31" s="184"/>
      <c r="AF31" s="11"/>
      <c r="AG31" s="11"/>
      <c r="AH31" s="11"/>
      <c r="AI31" s="220"/>
      <c r="AJ31" s="184"/>
      <c r="AK31" s="11"/>
      <c r="AL31" s="11"/>
      <c r="AM31" s="11"/>
      <c r="AN31" s="220"/>
      <c r="AO31" s="184"/>
      <c r="AP31" s="11"/>
      <c r="AQ31" s="11"/>
      <c r="AR31" s="11"/>
      <c r="AS31" s="220"/>
      <c r="AT31" s="184"/>
      <c r="AU31" s="11"/>
      <c r="AV31" s="11"/>
      <c r="AW31" s="11"/>
      <c r="AX31" s="220"/>
      <c r="AY31" s="184"/>
      <c r="AZ31" s="11"/>
      <c r="BA31" s="11"/>
      <c r="BB31" s="11"/>
      <c r="BC31" s="220"/>
      <c r="BD31" s="184"/>
      <c r="BE31" s="11"/>
      <c r="BF31" s="11"/>
      <c r="BG31" s="11"/>
      <c r="BH31" s="220"/>
      <c r="BI31" s="184"/>
      <c r="BJ31" s="11"/>
      <c r="BK31" s="11"/>
      <c r="BL31" s="11"/>
      <c r="BM31" s="220"/>
      <c r="BN31" s="184"/>
      <c r="BO31" s="11"/>
      <c r="BP31" s="11"/>
    </row>
    <row r="32" ht="15.75" customHeight="1">
      <c r="A32" s="228" t="str">
        <f>IFERROR(__xludf.DUMMYFUNCTION("TEXTJOIN(CHAR(10),TRUE,FILTER(ARRAYFORMULA(IF(T$14:T72&lt;&gt;"""", S$14:S72 &amp;"" :  cm"","""")), S$14:S72 &lt;&gt;""""))"),"")</f>
        <v/>
      </c>
      <c r="B32" s="160"/>
      <c r="C32" s="11"/>
      <c r="D32" s="11" t="s">
        <v>108</v>
      </c>
      <c r="E32" s="232"/>
      <c r="F32" s="231" t="str">
        <f t="array" ref="F32">IF(
  E32 = 0, 
  "", 
  IFERROR(
    INDEX(
      'アイテム別限界値DB'!$K:$K, 
      MATCH(
        1, 
        ('アイテム別限界値DB'!$B:$B = D$10) * 
        ('アイテム別限界値DB'!$F:$F = D32) * 
        ('アイテム別限界値DB'!$H:$H = E32), 
        0
      )
    ), 
    "再製作"
  )
)
</f>
        <v/>
      </c>
      <c r="G32" s="218" t="str">
        <f t="array" ref="G32">IF(
  E32 = 0, 
  "", 
  IFERROR(
    INDEX(
      'アイテム別限界値DB'!$L:$L, 
      MATCH(
        1, 
        ('アイテム別限界値DB'!$B:$B = D$10) * 
        ('アイテム別限界値DB'!$C:$C = D32) * 
        ('アイテム別限界値DB'!$F:$F = E32), 
        0
      )
    ), 
    ""
  )
)
</f>
        <v/>
      </c>
      <c r="H32" s="11"/>
      <c r="I32" s="11"/>
      <c r="J32" s="220"/>
      <c r="K32" s="184"/>
      <c r="L32" s="11"/>
      <c r="M32" s="11"/>
      <c r="N32" s="11"/>
      <c r="O32" s="220"/>
      <c r="P32" s="184"/>
      <c r="Q32" s="11"/>
      <c r="R32" s="12"/>
      <c r="S32" s="11"/>
      <c r="T32" s="220"/>
      <c r="U32" s="184"/>
      <c r="V32" s="11"/>
      <c r="W32" s="11"/>
      <c r="X32" s="11"/>
      <c r="Y32" s="220"/>
      <c r="Z32" s="184"/>
      <c r="AA32" s="11"/>
      <c r="AB32" s="11"/>
      <c r="AC32" s="11"/>
      <c r="AD32" s="220"/>
      <c r="AE32" s="184"/>
      <c r="AF32" s="11"/>
      <c r="AG32" s="11"/>
      <c r="AH32" s="11"/>
      <c r="AI32" s="220"/>
      <c r="AJ32" s="184"/>
      <c r="AK32" s="11"/>
      <c r="AL32" s="11"/>
      <c r="AM32" s="11"/>
      <c r="AN32" s="220"/>
      <c r="AO32" s="184"/>
      <c r="AP32" s="11"/>
      <c r="AQ32" s="11"/>
      <c r="AR32" s="11"/>
      <c r="AS32" s="220"/>
      <c r="AT32" s="184"/>
      <c r="AU32" s="11"/>
      <c r="AV32" s="11"/>
      <c r="AW32" s="11"/>
      <c r="AX32" s="220"/>
      <c r="AY32" s="184"/>
      <c r="AZ32" s="11"/>
      <c r="BA32" s="11"/>
      <c r="BB32" s="11"/>
      <c r="BC32" s="220"/>
      <c r="BD32" s="184"/>
      <c r="BE32" s="11"/>
      <c r="BF32" s="11"/>
      <c r="BG32" s="11"/>
      <c r="BH32" s="220"/>
      <c r="BI32" s="184"/>
      <c r="BJ32" s="11"/>
      <c r="BK32" s="11"/>
      <c r="BL32" s="11"/>
      <c r="BM32" s="220"/>
      <c r="BN32" s="184"/>
      <c r="BO32" s="11"/>
      <c r="BP32" s="11"/>
    </row>
    <row r="33" ht="15.75" customHeight="1">
      <c r="A33" s="237" t="s">
        <v>109</v>
      </c>
      <c r="B33" s="229"/>
      <c r="C33" s="11"/>
      <c r="D33" s="11" t="s">
        <v>110</v>
      </c>
      <c r="E33" s="230"/>
      <c r="F33" s="231" t="str">
        <f t="array" ref="F33">IF(
  E33 = 0, 
  "", 
  IFERROR(
    INDEX(
      'アイテム別限界値DB'!$K:$K, 
      MATCH(
        1, 
        ('アイテム別限界値DB'!$B:$B = D$10) * 
        ('アイテム別限界値DB'!$F:$F = D33) * 
        ('アイテム別限界値DB'!$H:$H = E33), 
        0
      )
    ), 
    "再製作"
  )
)
</f>
        <v/>
      </c>
      <c r="G33" s="218" t="str">
        <f t="array" ref="G33">IF(
  E33 = 0, 
  "", 
  IFERROR(
    INDEX(
      'アイテム別限界値DB'!$L:$L, 
      MATCH(
        1, 
        ('アイテム別限界値DB'!$B:$B = D$10) * 
        ('アイテム別限界値DB'!$C:$C = D33) * 
        ('アイテム別限界値DB'!$F:$F = E33), 
        0
      )
    ), 
    ""
  )
)
</f>
        <v/>
      </c>
      <c r="H33" s="11"/>
      <c r="I33" s="11"/>
      <c r="J33" s="220"/>
      <c r="K33" s="184"/>
      <c r="L33" s="11"/>
      <c r="M33" s="11"/>
      <c r="N33" s="11"/>
      <c r="O33" s="220"/>
      <c r="P33" s="184"/>
      <c r="Q33" s="11"/>
      <c r="R33" s="12"/>
      <c r="S33" s="11"/>
      <c r="T33" s="220"/>
      <c r="U33" s="184"/>
      <c r="V33" s="11"/>
      <c r="W33" s="11"/>
      <c r="X33" s="11"/>
      <c r="Y33" s="220"/>
      <c r="Z33" s="184"/>
      <c r="AA33" s="11"/>
      <c r="AB33" s="11"/>
      <c r="AC33" s="11"/>
      <c r="AD33" s="220"/>
      <c r="AE33" s="184"/>
      <c r="AF33" s="11"/>
      <c r="AG33" s="11"/>
      <c r="AH33" s="11"/>
      <c r="AI33" s="220"/>
      <c r="AJ33" s="184"/>
      <c r="AK33" s="11"/>
      <c r="AL33" s="11"/>
      <c r="AM33" s="11"/>
      <c r="AN33" s="220"/>
      <c r="AO33" s="184"/>
      <c r="AP33" s="11"/>
      <c r="AQ33" s="11"/>
      <c r="AR33" s="11"/>
      <c r="AS33" s="220"/>
      <c r="AT33" s="184"/>
      <c r="AU33" s="11"/>
      <c r="AV33" s="11"/>
      <c r="AW33" s="11"/>
      <c r="AX33" s="220"/>
      <c r="AY33" s="184"/>
      <c r="AZ33" s="11"/>
      <c r="BA33" s="11"/>
      <c r="BB33" s="11"/>
      <c r="BC33" s="220"/>
      <c r="BD33" s="184"/>
      <c r="BE33" s="11"/>
      <c r="BF33" s="11"/>
      <c r="BG33" s="11"/>
      <c r="BH33" s="220"/>
      <c r="BI33" s="184"/>
      <c r="BJ33" s="11"/>
      <c r="BK33" s="11"/>
      <c r="BL33" s="11"/>
      <c r="BM33" s="220"/>
      <c r="BN33" s="184"/>
      <c r="BO33" s="11"/>
      <c r="BP33" s="11"/>
    </row>
    <row r="34" ht="15.75" customHeight="1">
      <c r="A34" s="228" t="str">
        <f>IF($X$11="再製作", "◼︎ シャツ（対応着地：再製作）" &amp; char(10) &amp; "《修正数値》" , IF($X$11&lt;&gt;"", "◼︎ シャツ（対応着地：お直し）" &amp; char(10) &amp; "《修正数値》", ""))</f>
        <v/>
      </c>
      <c r="B34" s="12"/>
      <c r="C34" s="11"/>
      <c r="D34" s="11" t="s">
        <v>111</v>
      </c>
      <c r="E34" s="232"/>
      <c r="F34" s="231" t="str">
        <f t="array" ref="F34">IF(
  E34 = 0, 
  "", 
  IFERROR(
    INDEX(
      'アイテム別限界値DB'!$K:$K, 
      MATCH(
        1, 
        ('アイテム別限界値DB'!$B:$B = D$10) * 
        ('アイテム別限界値DB'!$F:$F = D34) * 
        ('アイテム別限界値DB'!$H:$H = E34), 
        0
      )
    ), 
    "再製作"
  )
)
</f>
        <v/>
      </c>
      <c r="G34" s="218" t="str">
        <f t="array" ref="G34">IF(
  E34 = 0, 
  "", 
  IFERROR(
    INDEX(
      'アイテム別限界値DB'!$L:$L, 
      MATCH(
        1, 
        ('アイテム別限界値DB'!$B:$B = D$10) * 
        ('アイテム別限界値DB'!$C:$C = D34) * 
        ('アイテム別限界値DB'!$F:$F = E34), 
        0
      )
    ), 
    ""
  )
)
</f>
        <v/>
      </c>
      <c r="H34" s="11"/>
      <c r="I34" s="11"/>
      <c r="J34" s="220"/>
      <c r="K34" s="184"/>
      <c r="L34" s="11"/>
      <c r="M34" s="11"/>
      <c r="N34" s="11"/>
      <c r="O34" s="220"/>
      <c r="P34" s="184"/>
      <c r="Q34" s="11"/>
      <c r="R34" s="12"/>
      <c r="S34" s="11"/>
      <c r="T34" s="220"/>
      <c r="U34" s="184"/>
      <c r="V34" s="11"/>
      <c r="W34" s="11"/>
      <c r="X34" s="11"/>
      <c r="Y34" s="220"/>
      <c r="Z34" s="184"/>
      <c r="AA34" s="11"/>
      <c r="AB34" s="11"/>
      <c r="AC34" s="11"/>
      <c r="AD34" s="220"/>
      <c r="AE34" s="184"/>
      <c r="AF34" s="11"/>
      <c r="AG34" s="11"/>
      <c r="AH34" s="11"/>
      <c r="AI34" s="220"/>
      <c r="AJ34" s="184"/>
      <c r="AK34" s="11"/>
      <c r="AL34" s="11"/>
      <c r="AM34" s="11"/>
      <c r="AN34" s="220"/>
      <c r="AO34" s="184"/>
      <c r="AP34" s="11"/>
      <c r="AQ34" s="11"/>
      <c r="AR34" s="11"/>
      <c r="AS34" s="220"/>
      <c r="AT34" s="184"/>
      <c r="AU34" s="11"/>
      <c r="AV34" s="11"/>
      <c r="AW34" s="11"/>
      <c r="AX34" s="220"/>
      <c r="AY34" s="184"/>
      <c r="AZ34" s="11"/>
      <c r="BA34" s="11"/>
      <c r="BB34" s="11"/>
      <c r="BC34" s="220"/>
      <c r="BD34" s="184"/>
      <c r="BE34" s="11"/>
      <c r="BF34" s="11"/>
      <c r="BG34" s="11"/>
      <c r="BH34" s="220"/>
      <c r="BI34" s="184"/>
      <c r="BJ34" s="11"/>
      <c r="BK34" s="11"/>
      <c r="BL34" s="11"/>
      <c r="BM34" s="220"/>
      <c r="BN34" s="184"/>
      <c r="BO34" s="11"/>
      <c r="BP34" s="11"/>
    </row>
    <row r="35" ht="15.75" customHeight="1">
      <c r="A35" s="228" t="str">
        <f>IFERROR(__xludf.DUMMYFUNCTION("TEXTJOIN(CHAR(10),TRUE,FILTER(ARRAYFORMULA(IF(Y$14:Y72&lt;&gt;"""", X$14:X72 &amp;"" : ""&amp; Y$14:Y72 &amp;"" cm"","""")), X$14:X72 &lt;&gt;""""))"),"")</f>
        <v/>
      </c>
      <c r="B35" s="160"/>
      <c r="C35" s="11"/>
      <c r="D35" s="11" t="s">
        <v>112</v>
      </c>
      <c r="E35" s="232"/>
      <c r="F35" s="231" t="str">
        <f t="array" ref="F35">IF(
  E35 = 0, 
  "", 
  IFERROR(
    INDEX(
      'アイテム別限界値DB'!$K:$K, 
      MATCH(
        1, 
        ('アイテム別限界値DB'!$B:$B = D$10) * 
        ('アイテム別限界値DB'!$F:$F = D35) * 
        ('アイテム別限界値DB'!$H:$H = E35), 
        0
      )
    ), 
    "再製作"
  )
)
</f>
        <v/>
      </c>
      <c r="G35" s="218" t="str">
        <f t="array" ref="G35">IF(
  E35 = 0, 
  "", 
  IFERROR(
    INDEX(
      'アイテム別限界値DB'!$L:$L, 
      MATCH(
        1, 
        ('アイテム別限界値DB'!$B:$B = D$10) * 
        ('アイテム別限界値DB'!$C:$C = D35) * 
        ('アイテム別限界値DB'!$F:$F = E35), 
        0
      )
    ), 
    ""
  )
)
</f>
        <v/>
      </c>
      <c r="H35" s="11"/>
      <c r="I35" s="11"/>
      <c r="J35" s="220"/>
      <c r="K35" s="184"/>
      <c r="L35" s="11"/>
      <c r="M35" s="11"/>
      <c r="N35" s="11"/>
      <c r="O35" s="220"/>
      <c r="P35" s="184"/>
      <c r="Q35" s="11"/>
      <c r="R35" s="12"/>
      <c r="S35" s="11"/>
      <c r="T35" s="220"/>
      <c r="U35" s="184"/>
      <c r="V35" s="11"/>
      <c r="W35" s="11"/>
      <c r="X35" s="11"/>
      <c r="Y35" s="220"/>
      <c r="Z35" s="184"/>
      <c r="AA35" s="11"/>
      <c r="AB35" s="11"/>
      <c r="AC35" s="11"/>
      <c r="AD35" s="220"/>
      <c r="AE35" s="184"/>
      <c r="AF35" s="11"/>
      <c r="AG35" s="11"/>
      <c r="AH35" s="11"/>
      <c r="AI35" s="220"/>
      <c r="AJ35" s="184"/>
      <c r="AK35" s="11"/>
      <c r="AL35" s="11"/>
      <c r="AM35" s="11"/>
      <c r="AN35" s="220"/>
      <c r="AO35" s="184"/>
      <c r="AP35" s="11"/>
      <c r="AQ35" s="11"/>
      <c r="AR35" s="11"/>
      <c r="AS35" s="220"/>
      <c r="AT35" s="184"/>
      <c r="AU35" s="11"/>
      <c r="AV35" s="11"/>
      <c r="AW35" s="11"/>
      <c r="AX35" s="220"/>
      <c r="AY35" s="184"/>
      <c r="AZ35" s="11"/>
      <c r="BA35" s="11"/>
      <c r="BB35" s="11"/>
      <c r="BC35" s="220"/>
      <c r="BD35" s="184"/>
      <c r="BE35" s="11"/>
      <c r="BF35" s="11"/>
      <c r="BG35" s="11"/>
      <c r="BH35" s="220"/>
      <c r="BI35" s="184"/>
      <c r="BJ35" s="11"/>
      <c r="BK35" s="11"/>
      <c r="BL35" s="11"/>
      <c r="BM35" s="220"/>
      <c r="BN35" s="184"/>
      <c r="BO35" s="11"/>
      <c r="BP35" s="11"/>
    </row>
    <row r="36" ht="15.75" customHeight="1">
      <c r="A36" s="236" t="str">
        <f>if($A$34&lt;&gt;"", "《仕上がり数値》","")</f>
        <v/>
      </c>
      <c r="B36" s="229"/>
      <c r="C36" s="11"/>
      <c r="D36" s="11" t="s">
        <v>113</v>
      </c>
      <c r="E36" s="230"/>
      <c r="F36" s="231" t="str">
        <f t="array" ref="F36">IF(
  E36 = 0, 
  "", 
  IFERROR(
    INDEX(
      'アイテム別限界値DB'!$K:$K, 
      MATCH(
        1, 
        ('アイテム別限界値DB'!$B:$B = D$10) * 
        ('アイテム別限界値DB'!$F:$F = D36) * 
        ('アイテム別限界値DB'!$H:$H = E36), 
        0
      )
    ), 
    "再製作"
  )
)
</f>
        <v/>
      </c>
      <c r="G36" s="218" t="str">
        <f t="array" ref="G36">IF(
  E36 = 0, 
  "", 
  IFERROR(
    INDEX(
      'アイテム別限界値DB'!$L:$L, 
      MATCH(
        1, 
        ('アイテム別限界値DB'!$B:$B = D$10) * 
        ('アイテム別限界値DB'!$C:$C = D36) * 
        ('アイテム別限界値DB'!$F:$F = E36), 
        0
      )
    ), 
    ""
  )
)
</f>
        <v/>
      </c>
      <c r="H36" s="11"/>
      <c r="I36" s="11"/>
      <c r="J36" s="220"/>
      <c r="K36" s="184"/>
      <c r="L36" s="11"/>
      <c r="M36" s="11"/>
      <c r="N36" s="11"/>
      <c r="O36" s="220"/>
      <c r="P36" s="184"/>
      <c r="Q36" s="11"/>
      <c r="R36" s="12"/>
      <c r="S36" s="11"/>
      <c r="T36" s="220"/>
      <c r="U36" s="184"/>
      <c r="V36" s="11"/>
      <c r="W36" s="11"/>
      <c r="X36" s="11"/>
      <c r="Y36" s="220"/>
      <c r="Z36" s="184"/>
      <c r="AA36" s="11"/>
      <c r="AB36" s="11"/>
      <c r="AC36" s="11"/>
      <c r="AD36" s="220"/>
      <c r="AE36" s="184"/>
      <c r="AF36" s="11"/>
      <c r="AG36" s="11"/>
      <c r="AH36" s="11"/>
      <c r="AI36" s="220"/>
      <c r="AJ36" s="184"/>
      <c r="AK36" s="11"/>
      <c r="AL36" s="11"/>
      <c r="AM36" s="11"/>
      <c r="AN36" s="220"/>
      <c r="AO36" s="184"/>
      <c r="AP36" s="11"/>
      <c r="AQ36" s="11"/>
      <c r="AR36" s="11"/>
      <c r="AS36" s="220"/>
      <c r="AT36" s="184"/>
      <c r="AU36" s="11"/>
      <c r="AV36" s="11"/>
      <c r="AW36" s="11"/>
      <c r="AX36" s="220"/>
      <c r="AY36" s="184"/>
      <c r="AZ36" s="11"/>
      <c r="BA36" s="11"/>
      <c r="BB36" s="11"/>
      <c r="BC36" s="220"/>
      <c r="BD36" s="184"/>
      <c r="BE36" s="11"/>
      <c r="BF36" s="11"/>
      <c r="BG36" s="11"/>
      <c r="BH36" s="220"/>
      <c r="BI36" s="184"/>
      <c r="BJ36" s="11"/>
      <c r="BK36" s="11"/>
      <c r="BL36" s="11"/>
      <c r="BM36" s="220"/>
      <c r="BN36" s="184"/>
      <c r="BO36" s="11"/>
      <c r="BP36" s="11"/>
    </row>
    <row r="37">
      <c r="A37" s="228" t="str">
        <f>IFERROR(__xludf.DUMMYFUNCTION("TEXTJOIN(CHAR(10),TRUE,FILTER(ARRAYFORMULA(IF(Y$14:Y72&lt;&gt;"""", X$14:X72 &amp;"" :  cm"","""")), X$14:X72 &lt;&gt;""""))"),"")</f>
        <v/>
      </c>
      <c r="B37" s="12"/>
      <c r="C37" s="11"/>
      <c r="D37" s="11" t="s">
        <v>114</v>
      </c>
      <c r="E37" s="232"/>
      <c r="F37" s="231" t="str">
        <f t="array" ref="F37">IF(
  E37 = 0, 
  "", 
  IFERROR(
    INDEX(
      'アイテム別限界値DB'!$K:$K, 
      MATCH(
        1, 
        ('アイテム別限界値DB'!$B:$B = D$10) * 
        ('アイテム別限界値DB'!$F:$F = D37) * 
        ('アイテム別限界値DB'!$H:$H = E37), 
        0
      )
    ), 
    "再製作"
  )
)
</f>
        <v/>
      </c>
      <c r="G37" s="218" t="str">
        <f t="array" ref="G37">IF(
  E37 = 0, 
  "", 
  IFERROR(
    INDEX(
      'アイテム別限界値DB'!$L:$L, 
      MATCH(
        1, 
        ('アイテム別限界値DB'!$B:$B = D$10) * 
        ('アイテム別限界値DB'!$C:$C = D37) * 
        ('アイテム別限界値DB'!$F:$F = E37), 
        0
      )
    ), 
    ""
  )
)
</f>
        <v/>
      </c>
      <c r="H37" s="11"/>
      <c r="I37" s="11"/>
      <c r="J37" s="220"/>
      <c r="K37" s="184"/>
      <c r="L37" s="11"/>
      <c r="M37" s="11"/>
      <c r="N37" s="11"/>
      <c r="O37" s="220"/>
      <c r="P37" s="184"/>
      <c r="Q37" s="11"/>
      <c r="R37" s="12"/>
      <c r="S37" s="11"/>
      <c r="T37" s="220"/>
      <c r="U37" s="184"/>
      <c r="V37" s="11"/>
      <c r="W37" s="11"/>
      <c r="X37" s="11"/>
      <c r="Y37" s="220"/>
      <c r="Z37" s="184"/>
      <c r="AA37" s="11"/>
      <c r="AB37" s="11"/>
      <c r="AC37" s="11"/>
      <c r="AD37" s="220"/>
      <c r="AE37" s="184"/>
      <c r="AF37" s="11"/>
      <c r="AG37" s="11"/>
      <c r="AH37" s="11"/>
      <c r="AI37" s="220"/>
      <c r="AJ37" s="184"/>
      <c r="AK37" s="11"/>
      <c r="AL37" s="11"/>
      <c r="AM37" s="11"/>
      <c r="AN37" s="220"/>
      <c r="AO37" s="184"/>
      <c r="AP37" s="11"/>
      <c r="AQ37" s="11"/>
      <c r="AR37" s="11"/>
      <c r="AS37" s="220"/>
      <c r="AT37" s="184"/>
      <c r="AU37" s="11"/>
      <c r="AV37" s="11"/>
      <c r="AW37" s="11"/>
      <c r="AX37" s="220"/>
      <c r="AY37" s="184"/>
      <c r="AZ37" s="11"/>
      <c r="BA37" s="11"/>
      <c r="BB37" s="11"/>
      <c r="BC37" s="220"/>
      <c r="BD37" s="184"/>
      <c r="BE37" s="11"/>
      <c r="BF37" s="11"/>
      <c r="BG37" s="11"/>
      <c r="BH37" s="220"/>
      <c r="BI37" s="184"/>
      <c r="BJ37" s="11"/>
      <c r="BK37" s="11"/>
      <c r="BL37" s="11"/>
      <c r="BM37" s="220"/>
      <c r="BN37" s="184"/>
      <c r="BO37" s="11"/>
      <c r="BP37" s="11"/>
    </row>
    <row r="38">
      <c r="A38" s="243" t="s">
        <v>115</v>
      </c>
      <c r="B38" s="160"/>
      <c r="C38" s="11"/>
      <c r="D38" s="11" t="s">
        <v>116</v>
      </c>
      <c r="E38" s="232"/>
      <c r="F38" s="231" t="str">
        <f t="array" ref="F38">IF(
  E38 = 0, 
  "", 
  IFERROR(
    INDEX(
      'アイテム別限界値DB'!$K:$K, 
      MATCH(
        1, 
        ('アイテム別限界値DB'!$B:$B = D$10) * 
        ('アイテム別限界値DB'!$F:$F = D38) * 
        ('アイテム別限界値DB'!$H:$H = E38), 
        0
      )
    ), 
    "再製作"
  )
)
</f>
        <v/>
      </c>
      <c r="G38" s="218" t="str">
        <f t="array" ref="G38">IF(
  E38 = 0, 
  "", 
  IFERROR(
    INDEX(
      'アイテム別限界値DB'!$L:$L, 
      MATCH(
        1, 
        ('アイテム別限界値DB'!$B:$B = D$10) * 
        ('アイテム別限界値DB'!$C:$C = D38) * 
        ('アイテム別限界値DB'!$F:$F = E38), 
        0
      )
    ), 
    ""
  )
)
</f>
        <v/>
      </c>
      <c r="H38" s="11"/>
      <c r="I38" s="11"/>
      <c r="J38" s="220"/>
      <c r="K38" s="184"/>
      <c r="L38" s="11"/>
      <c r="M38" s="11"/>
      <c r="N38" s="11"/>
      <c r="O38" s="220"/>
      <c r="P38" s="184"/>
      <c r="Q38" s="11"/>
      <c r="R38" s="12"/>
      <c r="S38" s="11"/>
      <c r="T38" s="220"/>
      <c r="U38" s="184"/>
      <c r="V38" s="11"/>
      <c r="W38" s="11"/>
      <c r="X38" s="11"/>
      <c r="Y38" s="220"/>
      <c r="Z38" s="184"/>
      <c r="AA38" s="11"/>
      <c r="AB38" s="11"/>
      <c r="AC38" s="11"/>
      <c r="AD38" s="220"/>
      <c r="AE38" s="184"/>
      <c r="AF38" s="11"/>
      <c r="AG38" s="11"/>
      <c r="AH38" s="11"/>
      <c r="AI38" s="220"/>
      <c r="AJ38" s="184"/>
      <c r="AK38" s="11"/>
      <c r="AL38" s="11"/>
      <c r="AM38" s="11"/>
      <c r="AN38" s="220"/>
      <c r="AO38" s="184"/>
      <c r="AP38" s="11"/>
      <c r="AQ38" s="11"/>
      <c r="AR38" s="11"/>
      <c r="AS38" s="220"/>
      <c r="AT38" s="184"/>
      <c r="AU38" s="11"/>
      <c r="AV38" s="11"/>
      <c r="AW38" s="11"/>
      <c r="AX38" s="220"/>
      <c r="AY38" s="184"/>
      <c r="AZ38" s="11"/>
      <c r="BA38" s="11"/>
      <c r="BB38" s="11"/>
      <c r="BC38" s="220"/>
      <c r="BD38" s="184"/>
      <c r="BE38" s="11"/>
      <c r="BF38" s="11"/>
      <c r="BG38" s="11"/>
      <c r="BH38" s="220"/>
      <c r="BI38" s="184"/>
      <c r="BJ38" s="11"/>
      <c r="BK38" s="11"/>
      <c r="BL38" s="11"/>
      <c r="BM38" s="220"/>
      <c r="BN38" s="184"/>
      <c r="BO38" s="11"/>
      <c r="BP38" s="11"/>
    </row>
    <row r="39">
      <c r="A39" s="228" t="str">
        <f>IF( $AC$11 = "再製作", "◼︎ ポロシャツ（対応着地：再製作）" &amp; char(10) &amp; "《修正数値》" , IF($AC$11 &lt;&gt; "", "◼︎ ポロシャツ（対応着地：お直し）" &amp; char(10) &amp; "《修正数値》" , ""))</f>
        <v/>
      </c>
      <c r="B39" s="229"/>
      <c r="C39" s="11"/>
      <c r="D39" s="11" t="s">
        <v>117</v>
      </c>
      <c r="E39" s="232"/>
      <c r="F39" s="231" t="str">
        <f t="array" ref="F39">IF(
  E39 = 0, 
  "", 
  IFERROR(
    INDEX(
      'アイテム別限界値DB'!$I:$I, 
      MATCH(
        1, 
        ('アイテム別限界値DB'!$B:$B = D$10) * 
        ('アイテム別限界値DB'!$C:$C = D39) * 
        ('アイテム別限界値DB'!$F:$F = E39), 
        0
      )
    ), 
    "再製作"
  )
)
</f>
        <v/>
      </c>
      <c r="G39" s="218" t="str">
        <f t="array" ref="G39">IF(
  E39 = 0, 
  "", 
  IFERROR(
    INDEX(
      'アイテム別限界値DB'!$L:$L, 
      MATCH(
        1, 
        ('アイテム別限界値DB'!$B:$B = D$10) * 
        ('アイテム別限界値DB'!$C:$C = D39) * 
        ('アイテム別限界値DB'!$F:$F = E39), 
        0
      )
    ), 
    ""
  )
)
</f>
        <v/>
      </c>
      <c r="H39" s="11"/>
      <c r="I39" s="11"/>
      <c r="J39" s="220"/>
      <c r="K39" s="184"/>
      <c r="L39" s="11"/>
      <c r="M39" s="11"/>
      <c r="N39" s="11"/>
      <c r="O39" s="220"/>
      <c r="P39" s="184"/>
      <c r="Q39" s="11"/>
      <c r="R39" s="12"/>
      <c r="S39" s="11"/>
      <c r="T39" s="220"/>
      <c r="U39" s="184"/>
      <c r="V39" s="11"/>
      <c r="W39" s="11"/>
      <c r="X39" s="11"/>
      <c r="Y39" s="220"/>
      <c r="Z39" s="184"/>
      <c r="AA39" s="11"/>
      <c r="AB39" s="11"/>
      <c r="AC39" s="11"/>
      <c r="AD39" s="220"/>
      <c r="AE39" s="184"/>
      <c r="AF39" s="11"/>
      <c r="AG39" s="11"/>
      <c r="AH39" s="11"/>
      <c r="AI39" s="220"/>
      <c r="AJ39" s="184"/>
      <c r="AK39" s="11"/>
      <c r="AL39" s="11"/>
      <c r="AM39" s="11"/>
      <c r="AN39" s="220"/>
      <c r="AO39" s="184"/>
      <c r="AP39" s="11"/>
      <c r="AQ39" s="11"/>
      <c r="AR39" s="11"/>
      <c r="AS39" s="220"/>
      <c r="AT39" s="184"/>
      <c r="AU39" s="11"/>
      <c r="AV39" s="11"/>
      <c r="AW39" s="11"/>
      <c r="AX39" s="220"/>
      <c r="AY39" s="184"/>
      <c r="AZ39" s="11"/>
      <c r="BA39" s="11"/>
      <c r="BB39" s="11"/>
      <c r="BC39" s="220"/>
      <c r="BD39" s="184"/>
      <c r="BE39" s="11"/>
      <c r="BF39" s="11"/>
      <c r="BG39" s="11"/>
      <c r="BH39" s="220"/>
      <c r="BI39" s="184"/>
      <c r="BJ39" s="11"/>
      <c r="BK39" s="11"/>
      <c r="BL39" s="11"/>
      <c r="BM39" s="220"/>
      <c r="BN39" s="184"/>
      <c r="BO39" s="11"/>
      <c r="BP39" s="11"/>
    </row>
    <row r="40">
      <c r="A40" s="228" t="str">
        <f>IFERROR(__xludf.DUMMYFUNCTION("TEXTJOIN(CHAR(10),TRUE,FILTER(ARRAYFORMULA(IF(AD$14:AD72&lt;&gt;"""",AC$14:AC72&amp;"" : ""&amp; AD$14:AD72 &amp;"" cm"","""")), AC$14:AC72 &lt;&gt;""""))"),"")</f>
        <v/>
      </c>
      <c r="B40" s="12"/>
      <c r="C40" s="11"/>
      <c r="D40" s="11" t="s">
        <v>118</v>
      </c>
      <c r="E40" s="232"/>
      <c r="F40" s="231" t="str">
        <f t="array" ref="F40">IF(
  E40 = 0, 
  "", 
  IFERROR(
    INDEX(
      'アイテム別限界値DB'!$I:$I, 
      MATCH(
        1, 
        ('アイテム別限界値DB'!$B:$B = D$10) * 
        ('アイテム別限界値DB'!$C:$C = D40) * 
        ('アイテム別限界値DB'!$F:$F = E40), 
        0
      )
    ), 
    "再製作"
  )
)
</f>
        <v/>
      </c>
      <c r="G40" s="121"/>
      <c r="H40" s="11"/>
      <c r="I40" s="11"/>
      <c r="J40" s="220"/>
      <c r="K40" s="184"/>
      <c r="L40" s="11"/>
      <c r="M40" s="11"/>
      <c r="N40" s="11"/>
      <c r="O40" s="220"/>
      <c r="P40" s="184"/>
      <c r="Q40" s="11"/>
      <c r="R40" s="12"/>
      <c r="S40" s="11"/>
      <c r="T40" s="220"/>
      <c r="U40" s="184"/>
      <c r="V40" s="11"/>
      <c r="W40" s="11"/>
      <c r="X40" s="11"/>
      <c r="Y40" s="220"/>
      <c r="Z40" s="184"/>
      <c r="AA40" s="11"/>
      <c r="AB40" s="11"/>
      <c r="AC40" s="11"/>
      <c r="AD40" s="220"/>
      <c r="AE40" s="184"/>
      <c r="AF40" s="11"/>
      <c r="AG40" s="11"/>
      <c r="AH40" s="11"/>
      <c r="AI40" s="220"/>
      <c r="AJ40" s="184"/>
      <c r="AK40" s="11"/>
      <c r="AL40" s="11"/>
      <c r="AM40" s="11"/>
      <c r="AN40" s="220"/>
      <c r="AO40" s="184"/>
      <c r="AP40" s="11"/>
      <c r="AQ40" s="11"/>
      <c r="AR40" s="11"/>
      <c r="AS40" s="220"/>
      <c r="AT40" s="184"/>
      <c r="AU40" s="11"/>
      <c r="AV40" s="11"/>
      <c r="AW40" s="11"/>
      <c r="AX40" s="220"/>
      <c r="AY40" s="184"/>
      <c r="AZ40" s="11"/>
      <c r="BA40" s="11"/>
      <c r="BB40" s="11"/>
      <c r="BC40" s="220"/>
      <c r="BD40" s="184"/>
      <c r="BE40" s="11"/>
      <c r="BF40" s="11"/>
      <c r="BG40" s="11"/>
      <c r="BH40" s="220"/>
      <c r="BI40" s="184"/>
      <c r="BJ40" s="11"/>
      <c r="BK40" s="11"/>
      <c r="BL40" s="11"/>
      <c r="BM40" s="220"/>
      <c r="BN40" s="184"/>
      <c r="BO40" s="11"/>
      <c r="BP40" s="11"/>
    </row>
    <row r="41">
      <c r="A41" s="244" t="str">
        <f>if($A$39&lt;&gt;"", "《仕上がり数値》","")</f>
        <v/>
      </c>
      <c r="B41" s="160"/>
      <c r="C41" s="11"/>
      <c r="D41" s="11" t="s">
        <v>119</v>
      </c>
      <c r="E41" s="230"/>
      <c r="F41" s="231" t="str">
        <f t="array" ref="F41">IF(
  E41 = 0, 
  "", 
  IFERROR(
    INDEX(
      'アイテム別限界値DB'!$I:$I, 
      MATCH(
        1, 
        ('アイテム別限界値DB'!$B:$B = D$10) * 
        ('アイテム別限界値DB'!$C:$C = D41) * 
        ('アイテム別限界値DB'!$F:$F = E41), 
        0
      )
    ), 
    "再製作"
  )
)
</f>
        <v/>
      </c>
      <c r="G41" s="195"/>
      <c r="H41" s="11"/>
      <c r="I41" s="11"/>
      <c r="J41" s="220"/>
      <c r="K41" s="184"/>
      <c r="L41" s="11"/>
      <c r="M41" s="11"/>
      <c r="N41" s="11"/>
      <c r="O41" s="220"/>
      <c r="P41" s="184"/>
      <c r="Q41" s="11"/>
      <c r="R41" s="12"/>
      <c r="S41" s="11"/>
      <c r="T41" s="220"/>
      <c r="U41" s="184"/>
      <c r="V41" s="11"/>
      <c r="W41" s="11"/>
      <c r="X41" s="11"/>
      <c r="Y41" s="220"/>
      <c r="Z41" s="184"/>
      <c r="AA41" s="11"/>
      <c r="AB41" s="11"/>
      <c r="AC41" s="11"/>
      <c r="AD41" s="220"/>
      <c r="AE41" s="184"/>
      <c r="AF41" s="11"/>
      <c r="AG41" s="11"/>
      <c r="AH41" s="11"/>
      <c r="AI41" s="220"/>
      <c r="AJ41" s="184"/>
      <c r="AK41" s="11"/>
      <c r="AL41" s="11"/>
      <c r="AM41" s="11"/>
      <c r="AN41" s="220"/>
      <c r="AO41" s="184"/>
      <c r="AP41" s="11"/>
      <c r="AQ41" s="11"/>
      <c r="AR41" s="11"/>
      <c r="AS41" s="220"/>
      <c r="AT41" s="184"/>
      <c r="AU41" s="11"/>
      <c r="AV41" s="11"/>
      <c r="AW41" s="11"/>
      <c r="AX41" s="220"/>
      <c r="AY41" s="184"/>
      <c r="AZ41" s="11"/>
      <c r="BA41" s="11"/>
      <c r="BB41" s="11"/>
      <c r="BC41" s="220"/>
      <c r="BD41" s="184"/>
      <c r="BE41" s="11"/>
      <c r="BF41" s="11"/>
      <c r="BG41" s="11"/>
      <c r="BH41" s="220"/>
      <c r="BI41" s="184"/>
      <c r="BJ41" s="11"/>
      <c r="BK41" s="11"/>
      <c r="BL41" s="11"/>
      <c r="BM41" s="220"/>
      <c r="BN41" s="184"/>
      <c r="BO41" s="11"/>
      <c r="BP41" s="11"/>
    </row>
    <row r="42">
      <c r="A42" s="228" t="str">
        <f>IFERROR(__xludf.DUMMYFUNCTION("TEXTJOIN(CHAR(10),TRUE,FILTER(ARRAYFORMULA(IF(AD$14:AD72&lt;&gt;"""",AC$14:AC72&amp;"" :  cm"","""")), AC$14:AC72 &lt;&gt;""""))"),"")</f>
        <v/>
      </c>
      <c r="B42" s="229"/>
      <c r="C42" s="11"/>
      <c r="D42" s="11" t="s">
        <v>120</v>
      </c>
      <c r="E42" s="232"/>
      <c r="F42" s="231" t="str">
        <f t="array" ref="F42">IF(
  E42 = 0, 
  "", 
  IFERROR(
    INDEX(
      'アイテム別限界値DB'!$I:$I, 
      MATCH(
        1, 
        ('アイテム別限界値DB'!$B:$B = D$10) * 
        ('アイテム別限界値DB'!$C:$C = D42) * 
        ('アイテム別限界値DB'!$F:$F = E42), 
        0
      )
    ), 
    "再製作"
  )
)
</f>
        <v/>
      </c>
      <c r="G42" s="195"/>
      <c r="H42" s="11"/>
      <c r="I42" s="11"/>
      <c r="J42" s="220"/>
      <c r="K42" s="184"/>
      <c r="L42" s="11"/>
      <c r="M42" s="11"/>
      <c r="N42" s="11"/>
      <c r="O42" s="220"/>
      <c r="P42" s="184"/>
      <c r="Q42" s="11"/>
      <c r="R42" s="12"/>
      <c r="S42" s="11"/>
      <c r="T42" s="220"/>
      <c r="U42" s="184"/>
      <c r="V42" s="11"/>
      <c r="W42" s="11"/>
      <c r="X42" s="11"/>
      <c r="Y42" s="220"/>
      <c r="Z42" s="184"/>
      <c r="AA42" s="11"/>
      <c r="AB42" s="11"/>
      <c r="AC42" s="11"/>
      <c r="AD42" s="220"/>
      <c r="AE42" s="184"/>
      <c r="AF42" s="11"/>
      <c r="AG42" s="11"/>
      <c r="AH42" s="11"/>
      <c r="AI42" s="220"/>
      <c r="AJ42" s="184"/>
      <c r="AK42" s="11"/>
      <c r="AL42" s="11"/>
      <c r="AM42" s="11"/>
      <c r="AN42" s="220"/>
      <c r="AO42" s="184"/>
      <c r="AP42" s="11"/>
      <c r="AQ42" s="11"/>
      <c r="AR42" s="11"/>
      <c r="AS42" s="220"/>
      <c r="AT42" s="184"/>
      <c r="AU42" s="11"/>
      <c r="AV42" s="11"/>
      <c r="AW42" s="11"/>
      <c r="AX42" s="220"/>
      <c r="AY42" s="184"/>
      <c r="AZ42" s="11"/>
      <c r="BA42" s="11"/>
      <c r="BB42" s="11"/>
      <c r="BC42" s="220"/>
      <c r="BD42" s="184"/>
      <c r="BE42" s="11"/>
      <c r="BF42" s="11"/>
      <c r="BG42" s="11"/>
      <c r="BH42" s="220"/>
      <c r="BI42" s="184"/>
      <c r="BJ42" s="11"/>
      <c r="BK42" s="11"/>
      <c r="BL42" s="11"/>
      <c r="BM42" s="220"/>
      <c r="BN42" s="184"/>
      <c r="BO42" s="11"/>
      <c r="BP42" s="11"/>
    </row>
    <row r="43">
      <c r="A43" s="222" t="s">
        <v>121</v>
      </c>
      <c r="B43" s="185"/>
      <c r="C43" s="11"/>
      <c r="D43" s="11"/>
      <c r="E43" s="220"/>
      <c r="F43" s="220"/>
      <c r="G43" s="220"/>
      <c r="H43" s="11"/>
      <c r="I43" s="11"/>
      <c r="J43" s="220"/>
      <c r="K43" s="184"/>
      <c r="L43" s="184"/>
      <c r="M43" s="11"/>
      <c r="N43" s="11"/>
      <c r="O43" s="195"/>
      <c r="P43" s="11"/>
      <c r="Q43" s="11"/>
      <c r="R43" s="12"/>
      <c r="S43" s="11"/>
      <c r="T43" s="220"/>
      <c r="U43" s="184"/>
      <c r="V43" s="184"/>
      <c r="W43" s="11"/>
      <c r="X43" s="11"/>
      <c r="Y43" s="220"/>
      <c r="Z43" s="184"/>
      <c r="AA43" s="184"/>
      <c r="AB43" s="11"/>
      <c r="AC43" s="11"/>
      <c r="AD43" s="220"/>
      <c r="AE43" s="184"/>
      <c r="AF43" s="184"/>
      <c r="AG43" s="11"/>
      <c r="AH43" s="11"/>
      <c r="AI43" s="220"/>
      <c r="AJ43" s="184"/>
      <c r="AK43" s="184"/>
      <c r="AL43" s="11"/>
      <c r="AM43" s="11"/>
      <c r="AN43" s="220"/>
      <c r="AO43" s="184"/>
      <c r="AP43" s="184"/>
      <c r="AQ43" s="11"/>
      <c r="AR43" s="11"/>
      <c r="AS43" s="220"/>
      <c r="AT43" s="184"/>
      <c r="AU43" s="184"/>
      <c r="AV43" s="11"/>
      <c r="AW43" s="11"/>
      <c r="AX43" s="220"/>
      <c r="AY43" s="184"/>
      <c r="AZ43" s="184"/>
      <c r="BA43" s="11"/>
      <c r="BB43" s="11"/>
      <c r="BC43" s="220"/>
      <c r="BD43" s="184"/>
      <c r="BE43" s="184"/>
      <c r="BF43" s="11"/>
      <c r="BG43" s="11"/>
      <c r="BH43" s="220"/>
      <c r="BI43" s="184"/>
      <c r="BJ43" s="184"/>
      <c r="BK43" s="184"/>
      <c r="BL43" s="184"/>
      <c r="BM43" s="184"/>
      <c r="BN43" s="184"/>
      <c r="BO43" s="184"/>
      <c r="BP43" s="184"/>
    </row>
    <row r="44">
      <c r="A44" s="245" t="str">
        <f>IF( $AH$11 = "再製作", "◼︎ アルスターコート（対応着地：再製作）" &amp; char(10) &amp; "《修正数値》", IF($AH$11 &lt;&gt; "", "◼︎ アルスターコート（対応着地：お直し）" &amp; char(10) &amp; "《修正数値》", ""))</f>
        <v/>
      </c>
      <c r="B44" s="187"/>
      <c r="C44" s="11"/>
      <c r="D44" s="11"/>
      <c r="E44" s="220"/>
      <c r="F44" s="220"/>
      <c r="G44" s="220"/>
      <c r="H44" s="11"/>
      <c r="I44" s="11"/>
      <c r="J44" s="220"/>
      <c r="K44" s="184"/>
      <c r="L44" s="184"/>
      <c r="M44" s="11"/>
      <c r="N44" s="11"/>
      <c r="O44" s="195"/>
      <c r="P44" s="11"/>
      <c r="Q44" s="11"/>
      <c r="R44" s="12"/>
      <c r="S44" s="11"/>
      <c r="T44" s="220"/>
      <c r="U44" s="184"/>
      <c r="V44" s="184"/>
      <c r="W44" s="11"/>
      <c r="X44" s="11"/>
      <c r="Y44" s="220"/>
      <c r="Z44" s="184"/>
      <c r="AA44" s="184"/>
      <c r="AB44" s="11"/>
      <c r="AC44" s="11"/>
      <c r="AD44" s="220"/>
      <c r="AE44" s="184"/>
      <c r="AF44" s="184"/>
      <c r="AG44" s="11"/>
      <c r="AH44" s="11"/>
      <c r="AI44" s="220"/>
      <c r="AJ44" s="184"/>
      <c r="AK44" s="184"/>
      <c r="AL44" s="11"/>
      <c r="AM44" s="11"/>
      <c r="AN44" s="220"/>
      <c r="AO44" s="184"/>
      <c r="AP44" s="184"/>
      <c r="AQ44" s="11"/>
      <c r="AR44" s="11"/>
      <c r="AS44" s="220"/>
      <c r="AT44" s="184"/>
      <c r="AU44" s="184"/>
      <c r="AV44" s="11"/>
      <c r="AW44" s="11"/>
      <c r="AX44" s="220"/>
      <c r="AY44" s="184"/>
      <c r="AZ44" s="184"/>
      <c r="BA44" s="11"/>
      <c r="BB44" s="11"/>
      <c r="BC44" s="220"/>
      <c r="BD44" s="184"/>
      <c r="BE44" s="184"/>
      <c r="BF44" s="11"/>
      <c r="BG44" s="11"/>
      <c r="BH44" s="220"/>
      <c r="BI44" s="184"/>
      <c r="BJ44" s="184"/>
      <c r="BK44" s="184"/>
      <c r="BL44" s="184"/>
      <c r="BM44" s="184"/>
      <c r="BN44" s="184"/>
      <c r="BO44" s="184"/>
      <c r="BP44" s="184"/>
    </row>
    <row r="45">
      <c r="A45" s="228" t="str">
        <f>IFERROR(__xludf.DUMMYFUNCTION("TEXTJOIN(CHAR(10),TRUE,FILTER(ARRAYFORMULA(IF($AI$14:$AI72&lt;&gt;"""",AH$14:AH72&amp;"" : ""&amp; AI$14:AI72 &amp;"" cm"","""")), AH$14:AH72 &lt;&gt;""""))"),"")</f>
        <v/>
      </c>
      <c r="B45" s="246"/>
      <c r="C45" s="11"/>
      <c r="D45" s="11"/>
      <c r="E45" s="220"/>
      <c r="F45" s="220"/>
      <c r="G45" s="220"/>
      <c r="H45" s="11"/>
      <c r="I45" s="11"/>
      <c r="J45" s="220"/>
      <c r="K45" s="184"/>
      <c r="L45" s="184"/>
      <c r="M45" s="11"/>
      <c r="N45" s="11"/>
      <c r="O45" s="195"/>
      <c r="P45" s="11"/>
      <c r="Q45" s="11"/>
      <c r="R45" s="12"/>
      <c r="S45" s="11"/>
      <c r="T45" s="220"/>
      <c r="U45" s="184"/>
      <c r="V45" s="184"/>
      <c r="W45" s="11"/>
      <c r="X45" s="11"/>
      <c r="Y45" s="220"/>
      <c r="Z45" s="184"/>
      <c r="AA45" s="184"/>
      <c r="AB45" s="11"/>
      <c r="AC45" s="11"/>
      <c r="AD45" s="220"/>
      <c r="AE45" s="184"/>
      <c r="AF45" s="184"/>
      <c r="AG45" s="11"/>
      <c r="AH45" s="11"/>
      <c r="AI45" s="220"/>
      <c r="AJ45" s="184"/>
      <c r="AK45" s="184"/>
      <c r="AL45" s="11"/>
      <c r="AM45" s="11"/>
      <c r="AN45" s="220"/>
      <c r="AO45" s="184"/>
      <c r="AP45" s="184"/>
      <c r="AQ45" s="11"/>
      <c r="AR45" s="11"/>
      <c r="AS45" s="220"/>
      <c r="AT45" s="184"/>
      <c r="AU45" s="184"/>
      <c r="AV45" s="11"/>
      <c r="AW45" s="11"/>
      <c r="AX45" s="220"/>
      <c r="AY45" s="184"/>
      <c r="AZ45" s="184"/>
      <c r="BA45" s="11"/>
      <c r="BB45" s="11"/>
      <c r="BC45" s="220"/>
      <c r="BD45" s="184"/>
      <c r="BE45" s="184"/>
      <c r="BF45" s="11"/>
      <c r="BG45" s="11"/>
      <c r="BH45" s="220"/>
      <c r="BI45" s="184"/>
      <c r="BJ45" s="184"/>
      <c r="BK45" s="184"/>
      <c r="BL45" s="184"/>
      <c r="BM45" s="184"/>
      <c r="BN45" s="184"/>
      <c r="BO45" s="184"/>
      <c r="BP45" s="184"/>
    </row>
    <row r="46">
      <c r="A46" s="242" t="str">
        <f>if($A$44&lt;&gt;"", "《仕上がり数値》","")</f>
        <v/>
      </c>
      <c r="B46" s="240"/>
      <c r="C46" s="11"/>
      <c r="D46" s="11"/>
      <c r="E46" s="220"/>
      <c r="F46" s="220"/>
      <c r="G46" s="220"/>
      <c r="H46" s="11"/>
      <c r="I46" s="11"/>
      <c r="J46" s="220"/>
      <c r="K46" s="184"/>
      <c r="L46" s="184"/>
      <c r="M46" s="11"/>
      <c r="N46" s="11"/>
      <c r="O46" s="195"/>
      <c r="P46" s="11"/>
      <c r="Q46" s="11"/>
      <c r="R46" s="12"/>
      <c r="S46" s="11"/>
      <c r="T46" s="220"/>
      <c r="U46" s="184"/>
      <c r="V46" s="184"/>
      <c r="W46" s="11"/>
      <c r="X46" s="11"/>
      <c r="Y46" s="220"/>
      <c r="Z46" s="184"/>
      <c r="AA46" s="184"/>
      <c r="AB46" s="11"/>
      <c r="AC46" s="11"/>
      <c r="AD46" s="220"/>
      <c r="AE46" s="184"/>
      <c r="AF46" s="184"/>
      <c r="AG46" s="11"/>
      <c r="AH46" s="11"/>
      <c r="AI46" s="220"/>
      <c r="AJ46" s="184"/>
      <c r="AK46" s="184"/>
      <c r="AL46" s="11"/>
      <c r="AM46" s="11"/>
      <c r="AN46" s="220"/>
      <c r="AO46" s="184"/>
      <c r="AP46" s="184"/>
      <c r="AQ46" s="11"/>
      <c r="AR46" s="11"/>
      <c r="AS46" s="220"/>
      <c r="AT46" s="184"/>
      <c r="AU46" s="184"/>
      <c r="AV46" s="11"/>
      <c r="AW46" s="11"/>
      <c r="AX46" s="220"/>
      <c r="AY46" s="184"/>
      <c r="AZ46" s="184"/>
      <c r="BA46" s="11"/>
      <c r="BB46" s="11"/>
      <c r="BC46" s="220"/>
      <c r="BD46" s="184"/>
      <c r="BE46" s="184"/>
      <c r="BF46" s="11"/>
      <c r="BG46" s="11"/>
      <c r="BH46" s="220"/>
      <c r="BI46" s="184"/>
      <c r="BJ46" s="184"/>
      <c r="BK46" s="184"/>
      <c r="BL46" s="184"/>
      <c r="BM46" s="184"/>
      <c r="BN46" s="184"/>
      <c r="BO46" s="184"/>
      <c r="BP46" s="184"/>
    </row>
    <row r="47">
      <c r="A47" s="228" t="str">
        <f>IFERROR(__xludf.DUMMYFUNCTION("TEXTJOIN(CHAR(10),TRUE,FILTER(ARRAYFORMULA(IF($AI$14:$AI72&lt;&gt;"""",AH$14:AH72&amp;"" :  cm"","""")), AH$14:AH72 &lt;&gt;""""))"),"")</f>
        <v/>
      </c>
      <c r="B47" s="240"/>
      <c r="C47" s="11"/>
      <c r="D47" s="11"/>
      <c r="E47" s="220"/>
      <c r="F47" s="220"/>
      <c r="G47" s="220"/>
      <c r="H47" s="11"/>
      <c r="I47" s="11"/>
      <c r="J47" s="220"/>
      <c r="K47" s="184"/>
      <c r="L47" s="184"/>
      <c r="M47" s="11"/>
      <c r="N47" s="11"/>
      <c r="O47" s="195"/>
      <c r="P47" s="11"/>
      <c r="Q47" s="11"/>
      <c r="R47" s="12"/>
      <c r="S47" s="11"/>
      <c r="T47" s="220"/>
      <c r="U47" s="184"/>
      <c r="V47" s="184"/>
      <c r="W47" s="11"/>
      <c r="X47" s="11"/>
      <c r="Y47" s="220"/>
      <c r="Z47" s="184"/>
      <c r="AA47" s="184"/>
      <c r="AB47" s="11"/>
      <c r="AC47" s="11"/>
      <c r="AD47" s="220"/>
      <c r="AE47" s="184"/>
      <c r="AF47" s="184"/>
      <c r="AG47" s="11"/>
      <c r="AH47" s="11"/>
      <c r="AI47" s="220"/>
      <c r="AJ47" s="184"/>
      <c r="AK47" s="184"/>
      <c r="AL47" s="11"/>
      <c r="AM47" s="11"/>
      <c r="AN47" s="220"/>
      <c r="AO47" s="184"/>
      <c r="AP47" s="184"/>
      <c r="AQ47" s="11"/>
      <c r="AR47" s="11"/>
      <c r="AS47" s="220"/>
      <c r="AT47" s="184"/>
      <c r="AU47" s="184"/>
      <c r="AV47" s="11"/>
      <c r="AW47" s="11"/>
      <c r="AX47" s="220"/>
      <c r="AY47" s="184"/>
      <c r="AZ47" s="184"/>
      <c r="BA47" s="11"/>
      <c r="BB47" s="11"/>
      <c r="BC47" s="220"/>
      <c r="BD47" s="184"/>
      <c r="BE47" s="184"/>
      <c r="BF47" s="11"/>
      <c r="BG47" s="11"/>
      <c r="BH47" s="220"/>
      <c r="BI47" s="184"/>
      <c r="BJ47" s="184"/>
      <c r="BK47" s="184"/>
      <c r="BL47" s="184"/>
      <c r="BM47" s="184"/>
      <c r="BN47" s="184"/>
      <c r="BO47" s="184"/>
      <c r="BP47" s="184"/>
    </row>
    <row r="48">
      <c r="A48" s="237" t="s">
        <v>122</v>
      </c>
      <c r="B48" s="240"/>
      <c r="C48" s="11"/>
      <c r="D48" s="11"/>
      <c r="E48" s="220"/>
      <c r="F48" s="220"/>
      <c r="G48" s="220"/>
      <c r="H48" s="11"/>
      <c r="I48" s="11"/>
      <c r="J48" s="220"/>
      <c r="K48" s="184"/>
      <c r="L48" s="184"/>
      <c r="M48" s="11"/>
      <c r="N48" s="11"/>
      <c r="O48" s="195"/>
      <c r="P48" s="11"/>
      <c r="Q48" s="11"/>
      <c r="R48" s="12"/>
      <c r="S48" s="11"/>
      <c r="T48" s="220"/>
      <c r="U48" s="184"/>
      <c r="V48" s="184"/>
      <c r="W48" s="11"/>
      <c r="X48" s="11"/>
      <c r="Y48" s="220"/>
      <c r="Z48" s="184"/>
      <c r="AA48" s="184"/>
      <c r="AB48" s="11"/>
      <c r="AC48" s="11"/>
      <c r="AD48" s="220"/>
      <c r="AE48" s="184"/>
      <c r="AF48" s="184"/>
      <c r="AG48" s="11"/>
      <c r="AH48" s="11"/>
      <c r="AI48" s="220"/>
      <c r="AJ48" s="184"/>
      <c r="AK48" s="184"/>
      <c r="AL48" s="11"/>
      <c r="AM48" s="11"/>
      <c r="AN48" s="220"/>
      <c r="AO48" s="184"/>
      <c r="AP48" s="184"/>
      <c r="AQ48" s="11"/>
      <c r="AR48" s="11"/>
      <c r="AS48" s="220"/>
      <c r="AT48" s="184"/>
      <c r="AU48" s="184"/>
      <c r="AV48" s="11"/>
      <c r="AW48" s="11"/>
      <c r="AX48" s="220"/>
      <c r="AY48" s="184"/>
      <c r="AZ48" s="184"/>
      <c r="BA48" s="11"/>
      <c r="BB48" s="11"/>
      <c r="BC48" s="220"/>
      <c r="BD48" s="184"/>
      <c r="BE48" s="184"/>
      <c r="BF48" s="11"/>
      <c r="BG48" s="11"/>
      <c r="BH48" s="220"/>
      <c r="BI48" s="184"/>
      <c r="BJ48" s="184"/>
      <c r="BK48" s="184"/>
      <c r="BL48" s="184"/>
      <c r="BM48" s="184"/>
      <c r="BN48" s="184"/>
      <c r="BO48" s="184"/>
      <c r="BP48" s="184"/>
    </row>
    <row r="49">
      <c r="A49" s="245" t="str">
        <f>IF( $AM$11 = "再製作", "◼︎ ショートステンカラーコート（対応着地：再製作）" &amp; char(10) &amp; "《修正数値》", IF($AM$11 &lt;&gt; "", "◼︎ ショートステンカラーコート（対応着地：お直し）"  &amp; char(10) &amp; "《修正数値》", ""))</f>
        <v/>
      </c>
      <c r="B49" s="240"/>
      <c r="C49" s="11"/>
      <c r="D49" s="11"/>
      <c r="E49" s="220"/>
      <c r="F49" s="220"/>
      <c r="G49" s="220"/>
      <c r="H49" s="11"/>
      <c r="I49" s="11"/>
      <c r="J49" s="220"/>
      <c r="K49" s="184"/>
      <c r="L49" s="184"/>
      <c r="M49" s="11"/>
      <c r="N49" s="11"/>
      <c r="O49" s="195"/>
      <c r="P49" s="11"/>
      <c r="Q49" s="11"/>
      <c r="R49" s="12"/>
      <c r="S49" s="11"/>
      <c r="T49" s="220"/>
      <c r="U49" s="184"/>
      <c r="V49" s="184"/>
      <c r="W49" s="11"/>
      <c r="X49" s="11"/>
      <c r="Y49" s="220"/>
      <c r="Z49" s="184"/>
      <c r="AA49" s="184"/>
      <c r="AB49" s="11"/>
      <c r="AC49" s="11"/>
      <c r="AD49" s="220"/>
      <c r="AE49" s="184"/>
      <c r="AF49" s="184"/>
      <c r="AG49" s="11"/>
      <c r="AH49" s="11"/>
      <c r="AI49" s="220"/>
      <c r="AJ49" s="184"/>
      <c r="AK49" s="184"/>
      <c r="AL49" s="11"/>
      <c r="AM49" s="11"/>
      <c r="AN49" s="220"/>
      <c r="AO49" s="184"/>
      <c r="AP49" s="184"/>
      <c r="AQ49" s="11"/>
      <c r="AR49" s="11"/>
      <c r="AS49" s="220"/>
      <c r="AT49" s="184"/>
      <c r="AU49" s="184"/>
      <c r="AV49" s="11"/>
      <c r="AW49" s="11"/>
      <c r="AX49" s="220"/>
      <c r="AY49" s="184"/>
      <c r="AZ49" s="184"/>
      <c r="BA49" s="11"/>
      <c r="BB49" s="11"/>
      <c r="BC49" s="220"/>
      <c r="BD49" s="184"/>
      <c r="BE49" s="184"/>
      <c r="BF49" s="11"/>
      <c r="BG49" s="11"/>
      <c r="BH49" s="220"/>
      <c r="BI49" s="184"/>
      <c r="BJ49" s="184"/>
      <c r="BK49" s="184"/>
      <c r="BL49" s="184"/>
      <c r="BM49" s="184"/>
      <c r="BN49" s="184"/>
      <c r="BO49" s="184"/>
      <c r="BP49" s="184"/>
    </row>
    <row r="50">
      <c r="A50" s="228" t="str">
        <f>IFERROR(__xludf.DUMMYFUNCTION("TEXTJOIN(CHAR(10),TRUE,FILTER(ARRAYFORMULA(IF(AN$14:AN72&lt;&gt;"""",AM$14:AM72&amp;"" : ""&amp; AN$14:AN72 &amp;"" cm"" &amp; ""（仕上がり寸：cm）"","""")), AM$14:AM72 &lt;&gt;""""))"),"")</f>
        <v/>
      </c>
      <c r="B50" s="240"/>
      <c r="C50" s="11"/>
      <c r="D50" s="11"/>
      <c r="E50" s="220"/>
      <c r="F50" s="220"/>
      <c r="G50" s="220"/>
      <c r="H50" s="11"/>
      <c r="I50" s="11"/>
      <c r="J50" s="220"/>
      <c r="K50" s="184"/>
      <c r="L50" s="184"/>
      <c r="M50" s="11"/>
      <c r="N50" s="11"/>
      <c r="O50" s="195"/>
      <c r="P50" s="11"/>
      <c r="Q50" s="11"/>
      <c r="R50" s="12"/>
      <c r="S50" s="11"/>
      <c r="T50" s="220"/>
      <c r="U50" s="184"/>
      <c r="V50" s="184"/>
      <c r="W50" s="11"/>
      <c r="X50" s="11"/>
      <c r="Y50" s="220"/>
      <c r="Z50" s="184"/>
      <c r="AA50" s="184"/>
      <c r="AB50" s="11"/>
      <c r="AC50" s="11"/>
      <c r="AD50" s="220"/>
      <c r="AE50" s="184"/>
      <c r="AF50" s="184"/>
      <c r="AG50" s="11"/>
      <c r="AH50" s="11"/>
      <c r="AI50" s="220"/>
      <c r="AJ50" s="184"/>
      <c r="AK50" s="184"/>
      <c r="AL50" s="11"/>
      <c r="AM50" s="11"/>
      <c r="AN50" s="220"/>
      <c r="AO50" s="184"/>
      <c r="AP50" s="184"/>
      <c r="AQ50" s="11"/>
      <c r="AR50" s="11"/>
      <c r="AS50" s="220"/>
      <c r="AT50" s="184"/>
      <c r="AU50" s="184"/>
      <c r="AV50" s="11"/>
      <c r="AW50" s="11"/>
      <c r="AX50" s="220"/>
      <c r="AY50" s="184"/>
      <c r="AZ50" s="184"/>
      <c r="BA50" s="11"/>
      <c r="BB50" s="11"/>
      <c r="BC50" s="220"/>
      <c r="BD50" s="184"/>
      <c r="BE50" s="184"/>
      <c r="BF50" s="11"/>
      <c r="BG50" s="11"/>
      <c r="BH50" s="220"/>
      <c r="BI50" s="184"/>
      <c r="BJ50" s="184"/>
      <c r="BK50" s="184"/>
      <c r="BL50" s="184"/>
      <c r="BM50" s="184"/>
      <c r="BN50" s="184"/>
      <c r="BO50" s="184"/>
      <c r="BP50" s="184"/>
    </row>
    <row r="51">
      <c r="A51" s="244" t="str">
        <f>if($A$49&lt;&gt;"", "《仕上がり数値》","")</f>
        <v/>
      </c>
      <c r="B51" s="240"/>
      <c r="C51" s="11"/>
      <c r="D51" s="11"/>
      <c r="E51" s="220"/>
      <c r="F51" s="220"/>
      <c r="G51" s="220"/>
      <c r="H51" s="11"/>
      <c r="I51" s="11"/>
      <c r="J51" s="220"/>
      <c r="K51" s="184"/>
      <c r="L51" s="184"/>
      <c r="M51" s="11"/>
      <c r="N51" s="11"/>
      <c r="O51" s="195"/>
      <c r="P51" s="11"/>
      <c r="Q51" s="11"/>
      <c r="R51" s="12"/>
      <c r="S51" s="11"/>
      <c r="T51" s="220"/>
      <c r="U51" s="184"/>
      <c r="V51" s="184"/>
      <c r="W51" s="11"/>
      <c r="X51" s="11"/>
      <c r="Y51" s="220"/>
      <c r="Z51" s="184"/>
      <c r="AA51" s="184"/>
      <c r="AB51" s="11"/>
      <c r="AC51" s="11"/>
      <c r="AD51" s="220"/>
      <c r="AE51" s="184"/>
      <c r="AF51" s="184"/>
      <c r="AG51" s="11"/>
      <c r="AH51" s="11"/>
      <c r="AI51" s="220"/>
      <c r="AJ51" s="184"/>
      <c r="AK51" s="184"/>
      <c r="AL51" s="11"/>
      <c r="AM51" s="11"/>
      <c r="AN51" s="220"/>
      <c r="AO51" s="184"/>
      <c r="AP51" s="184"/>
      <c r="AQ51" s="11"/>
      <c r="AR51" s="11"/>
      <c r="AS51" s="220"/>
      <c r="AT51" s="184"/>
      <c r="AU51" s="184"/>
      <c r="AV51" s="11"/>
      <c r="AW51" s="11"/>
      <c r="AX51" s="220"/>
      <c r="AY51" s="184"/>
      <c r="AZ51" s="184"/>
      <c r="BA51" s="11"/>
      <c r="BB51" s="11"/>
      <c r="BC51" s="220"/>
      <c r="BD51" s="184"/>
      <c r="BE51" s="184"/>
      <c r="BF51" s="11"/>
      <c r="BG51" s="11"/>
      <c r="BH51" s="220"/>
      <c r="BI51" s="184"/>
      <c r="BJ51" s="184"/>
      <c r="BK51" s="184"/>
      <c r="BL51" s="184"/>
      <c r="BM51" s="184"/>
      <c r="BN51" s="184"/>
      <c r="BO51" s="184"/>
      <c r="BP51" s="184"/>
    </row>
    <row r="52">
      <c r="A52" s="228" t="str">
        <f>IFERROR(__xludf.DUMMYFUNCTION("TEXTJOIN(CHAR(10),TRUE,FILTER(ARRAYFORMULA(IF(AN$14:AN72&lt;&gt;"""",AM$14:AM72&amp;"" : ""&amp; AN$14:AN72 &amp;"" cm"" &amp; ""（仕上がり寸：cm）"","""")), AM$14:AM72 &lt;&gt;""""))"),"")</f>
        <v/>
      </c>
      <c r="B52" s="240"/>
      <c r="C52" s="11"/>
      <c r="D52" s="11"/>
      <c r="E52" s="220"/>
      <c r="F52" s="220"/>
      <c r="G52" s="220"/>
      <c r="H52" s="11"/>
      <c r="I52" s="11"/>
      <c r="J52" s="220"/>
      <c r="K52" s="184"/>
      <c r="L52" s="184"/>
      <c r="M52" s="11"/>
      <c r="N52" s="11"/>
      <c r="O52" s="195"/>
      <c r="P52" s="11"/>
      <c r="Q52" s="11"/>
      <c r="R52" s="12"/>
      <c r="S52" s="11"/>
      <c r="T52" s="220"/>
      <c r="U52" s="184"/>
      <c r="V52" s="184"/>
      <c r="W52" s="11"/>
      <c r="X52" s="11"/>
      <c r="Y52" s="220"/>
      <c r="Z52" s="184"/>
      <c r="AA52" s="184"/>
      <c r="AB52" s="11"/>
      <c r="AC52" s="11"/>
      <c r="AD52" s="220"/>
      <c r="AE52" s="184"/>
      <c r="AF52" s="184"/>
      <c r="AG52" s="11"/>
      <c r="AH52" s="11"/>
      <c r="AI52" s="220"/>
      <c r="AJ52" s="184"/>
      <c r="AK52" s="184"/>
      <c r="AL52" s="11"/>
      <c r="AM52" s="11"/>
      <c r="AN52" s="220"/>
      <c r="AO52" s="184"/>
      <c r="AP52" s="184"/>
      <c r="AQ52" s="11"/>
      <c r="AR52" s="11"/>
      <c r="AS52" s="220"/>
      <c r="AT52" s="184"/>
      <c r="AU52" s="184"/>
      <c r="AV52" s="11"/>
      <c r="AW52" s="11"/>
      <c r="AX52" s="220"/>
      <c r="AY52" s="184"/>
      <c r="AZ52" s="184"/>
      <c r="BA52" s="11"/>
      <c r="BB52" s="11"/>
      <c r="BC52" s="220"/>
      <c r="BD52" s="184"/>
      <c r="BE52" s="184"/>
      <c r="BF52" s="11"/>
      <c r="BG52" s="11"/>
      <c r="BH52" s="220"/>
      <c r="BI52" s="184"/>
      <c r="BJ52" s="184"/>
      <c r="BK52" s="184"/>
      <c r="BL52" s="184"/>
      <c r="BM52" s="184"/>
      <c r="BN52" s="184"/>
      <c r="BO52" s="184"/>
      <c r="BP52" s="184"/>
    </row>
    <row r="53">
      <c r="A53" s="243" t="s">
        <v>123</v>
      </c>
      <c r="B53" s="240"/>
      <c r="C53" s="11"/>
      <c r="D53" s="11"/>
      <c r="E53" s="220"/>
      <c r="F53" s="220"/>
      <c r="G53" s="220"/>
      <c r="H53" s="11"/>
      <c r="I53" s="11"/>
      <c r="J53" s="220"/>
      <c r="K53" s="184"/>
      <c r="L53" s="184"/>
      <c r="M53" s="11"/>
      <c r="N53" s="11"/>
      <c r="O53" s="195"/>
      <c r="P53" s="11"/>
      <c r="Q53" s="11"/>
      <c r="R53" s="12"/>
      <c r="S53" s="11"/>
      <c r="T53" s="220"/>
      <c r="U53" s="184"/>
      <c r="V53" s="184"/>
      <c r="W53" s="11"/>
      <c r="X53" s="11"/>
      <c r="Y53" s="220"/>
      <c r="Z53" s="184"/>
      <c r="AA53" s="184"/>
      <c r="AB53" s="11"/>
      <c r="AC53" s="11"/>
      <c r="AD53" s="220"/>
      <c r="AE53" s="184"/>
      <c r="AF53" s="184"/>
      <c r="AG53" s="11"/>
      <c r="AH53" s="11"/>
      <c r="AI53" s="220"/>
      <c r="AJ53" s="184"/>
      <c r="AK53" s="184"/>
      <c r="AL53" s="11"/>
      <c r="AM53" s="11"/>
      <c r="AN53" s="220"/>
      <c r="AO53" s="184"/>
      <c r="AP53" s="184"/>
      <c r="AQ53" s="11"/>
      <c r="AR53" s="11"/>
      <c r="AS53" s="220"/>
      <c r="AT53" s="184"/>
      <c r="AU53" s="184"/>
      <c r="AV53" s="11"/>
      <c r="AW53" s="11"/>
      <c r="AX53" s="220"/>
      <c r="AY53" s="184"/>
      <c r="AZ53" s="184"/>
      <c r="BA53" s="11"/>
      <c r="BB53" s="11"/>
      <c r="BC53" s="220"/>
      <c r="BD53" s="184"/>
      <c r="BE53" s="184"/>
      <c r="BF53" s="11"/>
      <c r="BG53" s="11"/>
      <c r="BH53" s="220"/>
      <c r="BI53" s="184"/>
      <c r="BJ53" s="184"/>
      <c r="BK53" s="184"/>
      <c r="BL53" s="184"/>
      <c r="BM53" s="184"/>
      <c r="BN53" s="184"/>
      <c r="BO53" s="184"/>
      <c r="BP53" s="184"/>
    </row>
    <row r="54">
      <c r="A54" s="245" t="str">
        <f>IF( $AR$11 = "再製作", "◼︎ ステンカラーコート（対応着地：再製作）" &amp;char(10)&amp; "《修正数値》", IF($AR$11 &lt;&gt; "", "◼︎ ステンカラーコート（対応着地：お直し）" &amp;char(10)&amp; "《修正数値》", ""))</f>
        <v/>
      </c>
      <c r="B54" s="240"/>
      <c r="C54" s="11"/>
      <c r="D54" s="11"/>
      <c r="E54" s="220"/>
      <c r="F54" s="220"/>
      <c r="G54" s="220"/>
      <c r="H54" s="11"/>
      <c r="I54" s="11"/>
      <c r="J54" s="220"/>
      <c r="K54" s="184"/>
      <c r="L54" s="184"/>
      <c r="M54" s="11"/>
      <c r="N54" s="11"/>
      <c r="O54" s="195"/>
      <c r="P54" s="11"/>
      <c r="Q54" s="11"/>
      <c r="R54" s="12"/>
      <c r="S54" s="11"/>
      <c r="T54" s="220"/>
      <c r="U54" s="184"/>
      <c r="V54" s="184"/>
      <c r="W54" s="11"/>
      <c r="X54" s="11"/>
      <c r="Y54" s="220"/>
      <c r="Z54" s="184"/>
      <c r="AA54" s="184"/>
      <c r="AB54" s="11"/>
      <c r="AC54" s="11"/>
      <c r="AD54" s="220"/>
      <c r="AE54" s="184"/>
      <c r="AF54" s="184"/>
      <c r="AG54" s="11"/>
      <c r="AH54" s="11"/>
      <c r="AI54" s="220"/>
      <c r="AJ54" s="184"/>
      <c r="AK54" s="184"/>
      <c r="AL54" s="11"/>
      <c r="AM54" s="11"/>
      <c r="AN54" s="220"/>
      <c r="AO54" s="184"/>
      <c r="AP54" s="184"/>
      <c r="AQ54" s="11"/>
      <c r="AR54" s="11"/>
      <c r="AS54" s="220"/>
      <c r="AT54" s="184"/>
      <c r="AU54" s="184"/>
      <c r="AV54" s="11"/>
      <c r="AW54" s="11"/>
      <c r="AX54" s="220"/>
      <c r="AY54" s="184"/>
      <c r="AZ54" s="184"/>
      <c r="BA54" s="11"/>
      <c r="BB54" s="11"/>
      <c r="BC54" s="220"/>
      <c r="BD54" s="184"/>
      <c r="BE54" s="184"/>
      <c r="BF54" s="11"/>
      <c r="BG54" s="11"/>
      <c r="BH54" s="220"/>
      <c r="BI54" s="184"/>
      <c r="BJ54" s="184"/>
      <c r="BK54" s="184"/>
      <c r="BL54" s="184"/>
      <c r="BM54" s="184"/>
      <c r="BN54" s="184"/>
      <c r="BO54" s="184"/>
      <c r="BP54" s="184"/>
    </row>
    <row r="55">
      <c r="A55" s="228" t="str">
        <f>IFERROR(__xludf.DUMMYFUNCTION("TEXTJOIN(CHAR(10),TRUE,FILTER(ARRAYFORMULA(IF(AS$14:AS72&lt;&gt;"""",AR$14:AR72&amp;"" : ""&amp; AS$14:AS72 &amp;"" cm"","""")), AR$14:AR72 &lt;&gt;""""))"),"")</f>
        <v/>
      </c>
      <c r="B55" s="240"/>
      <c r="C55" s="11"/>
      <c r="D55" s="11"/>
      <c r="E55" s="220"/>
      <c r="F55" s="220"/>
      <c r="G55" s="220"/>
      <c r="H55" s="11"/>
      <c r="I55" s="11"/>
      <c r="J55" s="220"/>
      <c r="K55" s="184"/>
      <c r="L55" s="184"/>
      <c r="M55" s="11"/>
      <c r="N55" s="11"/>
      <c r="O55" s="195"/>
      <c r="P55" s="11"/>
      <c r="Q55" s="11"/>
      <c r="R55" s="12"/>
      <c r="S55" s="11"/>
      <c r="T55" s="220"/>
      <c r="U55" s="184"/>
      <c r="V55" s="184"/>
      <c r="W55" s="11"/>
      <c r="X55" s="11"/>
      <c r="Y55" s="220"/>
      <c r="Z55" s="184"/>
      <c r="AA55" s="184"/>
      <c r="AB55" s="11"/>
      <c r="AC55" s="11"/>
      <c r="AD55" s="220"/>
      <c r="AE55" s="184"/>
      <c r="AF55" s="184"/>
      <c r="AG55" s="11"/>
      <c r="AH55" s="11"/>
      <c r="AI55" s="220"/>
      <c r="AJ55" s="184"/>
      <c r="AK55" s="184"/>
      <c r="AL55" s="11"/>
      <c r="AM55" s="11"/>
      <c r="AN55" s="220"/>
      <c r="AO55" s="184"/>
      <c r="AP55" s="184"/>
      <c r="AQ55" s="11"/>
      <c r="AR55" s="11"/>
      <c r="AS55" s="220"/>
      <c r="AT55" s="184"/>
      <c r="AU55" s="184"/>
      <c r="AV55" s="11"/>
      <c r="AW55" s="11"/>
      <c r="AX55" s="220"/>
      <c r="AY55" s="184"/>
      <c r="AZ55" s="184"/>
      <c r="BA55" s="11"/>
      <c r="BB55" s="11"/>
      <c r="BC55" s="220"/>
      <c r="BD55" s="184"/>
      <c r="BE55" s="184"/>
      <c r="BF55" s="11"/>
      <c r="BG55" s="11"/>
      <c r="BH55" s="220"/>
      <c r="BI55" s="184"/>
      <c r="BJ55" s="184"/>
      <c r="BK55" s="184"/>
      <c r="BL55" s="184"/>
      <c r="BM55" s="184"/>
      <c r="BN55" s="184"/>
      <c r="BO55" s="184"/>
      <c r="BP55" s="184"/>
    </row>
    <row r="56">
      <c r="A56" s="244" t="str">
        <f>if($A$54&lt;&gt;"", "《仕上がり数値》","")</f>
        <v/>
      </c>
      <c r="B56" s="240"/>
      <c r="C56" s="11"/>
      <c r="D56" s="11"/>
      <c r="E56" s="220"/>
      <c r="F56" s="220"/>
      <c r="G56" s="220"/>
      <c r="H56" s="11"/>
      <c r="I56" s="11"/>
      <c r="J56" s="220"/>
      <c r="K56" s="184"/>
      <c r="L56" s="184"/>
      <c r="M56" s="11"/>
      <c r="N56" s="11"/>
      <c r="O56" s="195"/>
      <c r="P56" s="11"/>
      <c r="Q56" s="11"/>
      <c r="R56" s="12"/>
      <c r="S56" s="11"/>
      <c r="T56" s="220"/>
      <c r="U56" s="184"/>
      <c r="V56" s="184"/>
      <c r="W56" s="11"/>
      <c r="X56" s="11"/>
      <c r="Y56" s="220"/>
      <c r="Z56" s="184"/>
      <c r="AA56" s="184"/>
      <c r="AB56" s="11"/>
      <c r="AC56" s="11"/>
      <c r="AD56" s="220"/>
      <c r="AE56" s="184"/>
      <c r="AF56" s="184"/>
      <c r="AG56" s="11"/>
      <c r="AH56" s="11"/>
      <c r="AI56" s="220"/>
      <c r="AJ56" s="184"/>
      <c r="AK56" s="184"/>
      <c r="AL56" s="11"/>
      <c r="AM56" s="11"/>
      <c r="AN56" s="220"/>
      <c r="AO56" s="184"/>
      <c r="AP56" s="184"/>
      <c r="AQ56" s="11"/>
      <c r="AR56" s="11"/>
      <c r="AS56" s="220"/>
      <c r="AT56" s="184"/>
      <c r="AU56" s="184"/>
      <c r="AV56" s="11"/>
      <c r="AW56" s="11"/>
      <c r="AX56" s="220"/>
      <c r="AY56" s="184"/>
      <c r="AZ56" s="184"/>
      <c r="BA56" s="11"/>
      <c r="BB56" s="11"/>
      <c r="BC56" s="220"/>
      <c r="BD56" s="184"/>
      <c r="BE56" s="184"/>
      <c r="BF56" s="11"/>
      <c r="BG56" s="11"/>
      <c r="BH56" s="220"/>
      <c r="BI56" s="184"/>
      <c r="BJ56" s="184"/>
      <c r="BK56" s="184"/>
      <c r="BL56" s="184"/>
      <c r="BM56" s="184"/>
      <c r="BN56" s="184"/>
      <c r="BO56" s="184"/>
      <c r="BP56" s="184"/>
    </row>
    <row r="57">
      <c r="A57" s="228" t="str">
        <f>IFERROR(__xludf.DUMMYFUNCTION("TEXTJOIN(CHAR(10),TRUE,FILTER(ARRAYFORMULA(IF(AS$14:AS72&lt;&gt;"""",AR$14:AR72&amp;"" :  cm"","""")), AR$14:AR72 &lt;&gt;""""))"),"")</f>
        <v/>
      </c>
      <c r="B57" s="240"/>
      <c r="C57" s="11"/>
      <c r="D57" s="11"/>
      <c r="E57" s="220"/>
      <c r="F57" s="220"/>
      <c r="G57" s="220"/>
      <c r="H57" s="11"/>
      <c r="I57" s="11"/>
      <c r="J57" s="220"/>
      <c r="K57" s="184"/>
      <c r="L57" s="184"/>
      <c r="M57" s="11"/>
      <c r="N57" s="11"/>
      <c r="O57" s="195"/>
      <c r="P57" s="11"/>
      <c r="Q57" s="11"/>
      <c r="R57" s="12"/>
      <c r="S57" s="11"/>
      <c r="T57" s="220"/>
      <c r="U57" s="184"/>
      <c r="V57" s="184"/>
      <c r="W57" s="11"/>
      <c r="X57" s="11"/>
      <c r="Y57" s="220"/>
      <c r="Z57" s="184"/>
      <c r="AA57" s="184"/>
      <c r="AB57" s="11"/>
      <c r="AC57" s="11"/>
      <c r="AD57" s="220"/>
      <c r="AE57" s="184"/>
      <c r="AF57" s="184"/>
      <c r="AG57" s="11"/>
      <c r="AH57" s="11"/>
      <c r="AI57" s="220"/>
      <c r="AJ57" s="184"/>
      <c r="AK57" s="184"/>
      <c r="AL57" s="11"/>
      <c r="AM57" s="11"/>
      <c r="AN57" s="220"/>
      <c r="AO57" s="184"/>
      <c r="AP57" s="184"/>
      <c r="AQ57" s="11"/>
      <c r="AR57" s="11"/>
      <c r="AS57" s="220"/>
      <c r="AT57" s="184"/>
      <c r="AU57" s="184"/>
      <c r="AV57" s="11"/>
      <c r="AW57" s="11"/>
      <c r="AX57" s="220"/>
      <c r="AY57" s="184"/>
      <c r="AZ57" s="184"/>
      <c r="BA57" s="11"/>
      <c r="BB57" s="11"/>
      <c r="BC57" s="220"/>
      <c r="BD57" s="184"/>
      <c r="BE57" s="184"/>
      <c r="BF57" s="11"/>
      <c r="BG57" s="11"/>
      <c r="BH57" s="220"/>
      <c r="BI57" s="184"/>
      <c r="BJ57" s="184"/>
      <c r="BK57" s="184"/>
      <c r="BL57" s="184"/>
      <c r="BM57" s="184"/>
      <c r="BN57" s="184"/>
      <c r="BO57" s="184"/>
      <c r="BP57" s="184"/>
    </row>
    <row r="58">
      <c r="A58" s="243" t="s">
        <v>124</v>
      </c>
      <c r="B58" s="240"/>
      <c r="C58" s="11"/>
      <c r="D58" s="11"/>
      <c r="E58" s="220"/>
      <c r="F58" s="220"/>
      <c r="G58" s="220"/>
      <c r="H58" s="11"/>
      <c r="I58" s="11"/>
      <c r="J58" s="220"/>
      <c r="K58" s="184"/>
      <c r="L58" s="184"/>
      <c r="M58" s="11"/>
      <c r="N58" s="11"/>
      <c r="O58" s="195"/>
      <c r="P58" s="11"/>
      <c r="Q58" s="11"/>
      <c r="R58" s="12"/>
      <c r="S58" s="11"/>
      <c r="T58" s="220"/>
      <c r="U58" s="184"/>
      <c r="V58" s="184"/>
      <c r="W58" s="11"/>
      <c r="X58" s="11"/>
      <c r="Y58" s="220"/>
      <c r="Z58" s="184"/>
      <c r="AA58" s="184"/>
      <c r="AB58" s="11"/>
      <c r="AC58" s="11"/>
      <c r="AD58" s="220"/>
      <c r="AE58" s="184"/>
      <c r="AF58" s="184"/>
      <c r="AG58" s="11"/>
      <c r="AH58" s="11"/>
      <c r="AI58" s="220"/>
      <c r="AJ58" s="184"/>
      <c r="AK58" s="184"/>
      <c r="AL58" s="11"/>
      <c r="AM58" s="11"/>
      <c r="AN58" s="220"/>
      <c r="AO58" s="184"/>
      <c r="AP58" s="184"/>
      <c r="AQ58" s="11"/>
      <c r="AR58" s="11"/>
      <c r="AS58" s="220"/>
      <c r="AT58" s="184"/>
      <c r="AU58" s="184"/>
      <c r="AV58" s="11"/>
      <c r="AW58" s="11"/>
      <c r="AX58" s="220"/>
      <c r="AY58" s="184"/>
      <c r="AZ58" s="184"/>
      <c r="BA58" s="11"/>
      <c r="BB58" s="11"/>
      <c r="BC58" s="220"/>
      <c r="BD58" s="184"/>
      <c r="BE58" s="184"/>
      <c r="BF58" s="11"/>
      <c r="BG58" s="11"/>
      <c r="BH58" s="220"/>
      <c r="BI58" s="184"/>
      <c r="BJ58" s="184"/>
      <c r="BK58" s="184"/>
      <c r="BL58" s="184"/>
      <c r="BM58" s="184"/>
      <c r="BN58" s="184"/>
      <c r="BO58" s="184"/>
      <c r="BP58" s="184"/>
    </row>
    <row r="59">
      <c r="A59" s="245" t="str">
        <f>IF( $AW$11 = "再製作", "◼︎ チェスターコート（対応着地：再製作）" &amp;char(10)&amp;"《修正数値》", IF($AW$11 &lt;&gt; "", "◼︎ チェスターコート（対応着地：お直し）" &amp;char(10)&amp;"《修正数値》", ""))</f>
        <v/>
      </c>
      <c r="B59" s="240"/>
      <c r="C59" s="11"/>
      <c r="D59" s="11"/>
      <c r="E59" s="220"/>
      <c r="F59" s="220"/>
      <c r="G59" s="220"/>
      <c r="H59" s="11"/>
      <c r="I59" s="11"/>
      <c r="J59" s="220"/>
      <c r="K59" s="184"/>
      <c r="L59" s="184"/>
      <c r="M59" s="11"/>
      <c r="N59" s="11"/>
      <c r="O59" s="195"/>
      <c r="P59" s="11"/>
      <c r="Q59" s="11"/>
      <c r="R59" s="12"/>
      <c r="S59" s="11"/>
      <c r="T59" s="220"/>
      <c r="U59" s="184"/>
      <c r="V59" s="184"/>
      <c r="W59" s="11"/>
      <c r="X59" s="11"/>
      <c r="Y59" s="220"/>
      <c r="Z59" s="184"/>
      <c r="AA59" s="184"/>
      <c r="AB59" s="11"/>
      <c r="AC59" s="11"/>
      <c r="AD59" s="220"/>
      <c r="AE59" s="184"/>
      <c r="AF59" s="184"/>
      <c r="AG59" s="11"/>
      <c r="AH59" s="11"/>
      <c r="AI59" s="220"/>
      <c r="AJ59" s="184"/>
      <c r="AK59" s="184"/>
      <c r="AL59" s="11"/>
      <c r="AM59" s="11"/>
      <c r="AN59" s="220"/>
      <c r="AO59" s="184"/>
      <c r="AP59" s="184"/>
      <c r="AQ59" s="11"/>
      <c r="AR59" s="11"/>
      <c r="AS59" s="220"/>
      <c r="AT59" s="184"/>
      <c r="AU59" s="184"/>
      <c r="AV59" s="11"/>
      <c r="AW59" s="11"/>
      <c r="AX59" s="220"/>
      <c r="AY59" s="184"/>
      <c r="AZ59" s="184"/>
      <c r="BA59" s="11"/>
      <c r="BB59" s="11"/>
      <c r="BC59" s="220"/>
      <c r="BD59" s="184"/>
      <c r="BE59" s="184"/>
      <c r="BF59" s="11"/>
      <c r="BG59" s="11"/>
      <c r="BH59" s="220"/>
      <c r="BI59" s="184"/>
      <c r="BJ59" s="184"/>
      <c r="BK59" s="184"/>
      <c r="BL59" s="184"/>
      <c r="BM59" s="184"/>
      <c r="BN59" s="184"/>
      <c r="BO59" s="184"/>
      <c r="BP59" s="184"/>
    </row>
    <row r="60">
      <c r="A60" s="228" t="str">
        <f>IFERROR(__xludf.DUMMYFUNCTION("TEXTJOIN(CHAR(10),TRUE,FILTER(ARRAYFORMULA(IF(AX$14:AX72&lt;&gt;"""",AW$14:AW72&amp;"" : ""&amp; AX$14:AX72 &amp;"" cm"","""")), AC$14:AC72 &lt;&gt;""""))"),"")</f>
        <v/>
      </c>
      <c r="B60" s="240"/>
      <c r="C60" s="11"/>
      <c r="D60" s="11"/>
      <c r="E60" s="220"/>
      <c r="F60" s="220"/>
      <c r="G60" s="220"/>
      <c r="H60" s="11"/>
      <c r="I60" s="11"/>
      <c r="J60" s="220"/>
      <c r="K60" s="184"/>
      <c r="L60" s="184"/>
      <c r="M60" s="11"/>
      <c r="N60" s="11"/>
      <c r="O60" s="195"/>
      <c r="P60" s="11"/>
      <c r="Q60" s="11"/>
      <c r="R60" s="12"/>
      <c r="S60" s="11"/>
      <c r="T60" s="220"/>
      <c r="U60" s="184"/>
      <c r="V60" s="184"/>
      <c r="W60" s="11"/>
      <c r="X60" s="11"/>
      <c r="Y60" s="220"/>
      <c r="Z60" s="184"/>
      <c r="AA60" s="184"/>
      <c r="AB60" s="11"/>
      <c r="AC60" s="11"/>
      <c r="AD60" s="220"/>
      <c r="AE60" s="184"/>
      <c r="AF60" s="184"/>
      <c r="AG60" s="11"/>
      <c r="AH60" s="11"/>
      <c r="AI60" s="220"/>
      <c r="AJ60" s="184"/>
      <c r="AK60" s="184"/>
      <c r="AL60" s="11"/>
      <c r="AM60" s="11"/>
      <c r="AN60" s="220"/>
      <c r="AO60" s="184"/>
      <c r="AP60" s="184"/>
      <c r="AQ60" s="11"/>
      <c r="AR60" s="11"/>
      <c r="AS60" s="220"/>
      <c r="AT60" s="184"/>
      <c r="AU60" s="184"/>
      <c r="AV60" s="11"/>
      <c r="AW60" s="11"/>
      <c r="AX60" s="220"/>
      <c r="AY60" s="184"/>
      <c r="AZ60" s="184"/>
      <c r="BA60" s="11"/>
      <c r="BB60" s="11"/>
      <c r="BC60" s="220"/>
      <c r="BD60" s="184"/>
      <c r="BE60" s="184"/>
      <c r="BF60" s="11"/>
      <c r="BG60" s="11"/>
      <c r="BH60" s="220"/>
      <c r="BI60" s="184"/>
      <c r="BJ60" s="184"/>
      <c r="BK60" s="184"/>
      <c r="BL60" s="184"/>
      <c r="BM60" s="184"/>
      <c r="BN60" s="184"/>
      <c r="BO60" s="184"/>
      <c r="BP60" s="184"/>
    </row>
    <row r="61">
      <c r="A61" s="244" t="str">
        <f>if($A$59&lt;&gt;"", "《仕上がり数値》","")</f>
        <v/>
      </c>
      <c r="B61" s="240"/>
      <c r="C61" s="11"/>
      <c r="D61" s="11"/>
      <c r="E61" s="220"/>
      <c r="F61" s="220"/>
      <c r="G61" s="220"/>
      <c r="H61" s="11"/>
      <c r="I61" s="11"/>
      <c r="J61" s="220"/>
      <c r="K61" s="184"/>
      <c r="L61" s="184"/>
      <c r="M61" s="11"/>
      <c r="N61" s="11"/>
      <c r="O61" s="195"/>
      <c r="P61" s="11"/>
      <c r="Q61" s="11"/>
      <c r="R61" s="12"/>
      <c r="S61" s="11"/>
      <c r="T61" s="220"/>
      <c r="U61" s="184"/>
      <c r="V61" s="184"/>
      <c r="W61" s="11"/>
      <c r="X61" s="11"/>
      <c r="Y61" s="220"/>
      <c r="Z61" s="184"/>
      <c r="AA61" s="184"/>
      <c r="AB61" s="11"/>
      <c r="AC61" s="11"/>
      <c r="AD61" s="220"/>
      <c r="AE61" s="184"/>
      <c r="AF61" s="184"/>
      <c r="AG61" s="11"/>
      <c r="AH61" s="11"/>
      <c r="AI61" s="220"/>
      <c r="AJ61" s="184"/>
      <c r="AK61" s="184"/>
      <c r="AL61" s="11"/>
      <c r="AM61" s="11"/>
      <c r="AN61" s="220"/>
      <c r="AO61" s="184"/>
      <c r="AP61" s="184"/>
      <c r="AQ61" s="11"/>
      <c r="AR61" s="11"/>
      <c r="AS61" s="220"/>
      <c r="AT61" s="184"/>
      <c r="AU61" s="184"/>
      <c r="AV61" s="11"/>
      <c r="AW61" s="11"/>
      <c r="AX61" s="220"/>
      <c r="AY61" s="184"/>
      <c r="AZ61" s="184"/>
      <c r="BA61" s="11"/>
      <c r="BB61" s="11"/>
      <c r="BC61" s="220"/>
      <c r="BD61" s="184"/>
      <c r="BE61" s="184"/>
      <c r="BF61" s="11"/>
      <c r="BG61" s="11"/>
      <c r="BH61" s="220"/>
      <c r="BI61" s="184"/>
      <c r="BJ61" s="184"/>
      <c r="BK61" s="184"/>
      <c r="BL61" s="184"/>
      <c r="BM61" s="184"/>
      <c r="BN61" s="184"/>
      <c r="BO61" s="184"/>
      <c r="BP61" s="184"/>
    </row>
    <row r="62">
      <c r="A62" s="228" t="str">
        <f>IFERROR(__xludf.DUMMYFUNCTION("TEXTJOIN(CHAR(10),TRUE,FILTER(ARRAYFORMULA(IF(AX$14:AX72&lt;&gt;"""",AW$14:AW72&amp;"" :  cm"","""")), AC$14:AC72 &lt;&gt;""""))"),"")</f>
        <v/>
      </c>
      <c r="B62" s="240"/>
      <c r="C62" s="11"/>
      <c r="D62" s="11"/>
      <c r="E62" s="220"/>
      <c r="F62" s="220"/>
      <c r="G62" s="220"/>
      <c r="H62" s="11"/>
      <c r="I62" s="11"/>
      <c r="J62" s="220"/>
      <c r="K62" s="184"/>
      <c r="L62" s="184"/>
      <c r="M62" s="11"/>
      <c r="N62" s="11"/>
      <c r="O62" s="195"/>
      <c r="P62" s="11"/>
      <c r="Q62" s="11"/>
      <c r="R62" s="12"/>
      <c r="S62" s="11"/>
      <c r="T62" s="220"/>
      <c r="U62" s="184"/>
      <c r="V62" s="184"/>
      <c r="W62" s="11"/>
      <c r="X62" s="11"/>
      <c r="Y62" s="220"/>
      <c r="Z62" s="184"/>
      <c r="AA62" s="184"/>
      <c r="AB62" s="11"/>
      <c r="AC62" s="11"/>
      <c r="AD62" s="220"/>
      <c r="AE62" s="184"/>
      <c r="AF62" s="184"/>
      <c r="AG62" s="11"/>
      <c r="AH62" s="11"/>
      <c r="AI62" s="220"/>
      <c r="AJ62" s="184"/>
      <c r="AK62" s="184"/>
      <c r="AL62" s="11"/>
      <c r="AM62" s="11"/>
      <c r="AN62" s="220"/>
      <c r="AO62" s="184"/>
      <c r="AP62" s="184"/>
      <c r="AQ62" s="11"/>
      <c r="AR62" s="11"/>
      <c r="AS62" s="220"/>
      <c r="AT62" s="184"/>
      <c r="AU62" s="184"/>
      <c r="AV62" s="11"/>
      <c r="AW62" s="11"/>
      <c r="AX62" s="220"/>
      <c r="AY62" s="184"/>
      <c r="AZ62" s="184"/>
      <c r="BA62" s="11"/>
      <c r="BB62" s="11"/>
      <c r="BC62" s="220"/>
      <c r="BD62" s="184"/>
      <c r="BE62" s="184"/>
      <c r="BF62" s="11"/>
      <c r="BG62" s="11"/>
      <c r="BH62" s="220"/>
      <c r="BI62" s="184"/>
      <c r="BJ62" s="184"/>
      <c r="BK62" s="184"/>
      <c r="BL62" s="184"/>
      <c r="BM62" s="184"/>
      <c r="BN62" s="184"/>
      <c r="BO62" s="184"/>
      <c r="BP62" s="184"/>
    </row>
    <row r="63">
      <c r="A63" s="243" t="s">
        <v>125</v>
      </c>
      <c r="B63" s="240"/>
      <c r="C63" s="11"/>
      <c r="D63" s="11"/>
      <c r="E63" s="220"/>
      <c r="F63" s="220"/>
      <c r="G63" s="220"/>
      <c r="H63" s="11"/>
      <c r="I63" s="11"/>
      <c r="J63" s="220"/>
      <c r="K63" s="184"/>
      <c r="L63" s="184"/>
      <c r="M63" s="11"/>
      <c r="N63" s="11"/>
      <c r="O63" s="195"/>
      <c r="P63" s="11"/>
      <c r="Q63" s="11"/>
      <c r="R63" s="12"/>
      <c r="S63" s="11"/>
      <c r="T63" s="220"/>
      <c r="U63" s="184"/>
      <c r="V63" s="184"/>
      <c r="W63" s="11"/>
      <c r="X63" s="11"/>
      <c r="Y63" s="220"/>
      <c r="Z63" s="184"/>
      <c r="AA63" s="184"/>
      <c r="AB63" s="11"/>
      <c r="AC63" s="11"/>
      <c r="AD63" s="220"/>
      <c r="AE63" s="184"/>
      <c r="AF63" s="184"/>
      <c r="AG63" s="11"/>
      <c r="AH63" s="11"/>
      <c r="AI63" s="220"/>
      <c r="AJ63" s="184"/>
      <c r="AK63" s="184"/>
      <c r="AL63" s="11"/>
      <c r="AM63" s="11"/>
      <c r="AN63" s="220"/>
      <c r="AO63" s="184"/>
      <c r="AP63" s="184"/>
      <c r="AQ63" s="11"/>
      <c r="AR63" s="11"/>
      <c r="AS63" s="220"/>
      <c r="AT63" s="184"/>
      <c r="AU63" s="184"/>
      <c r="AV63" s="11"/>
      <c r="AW63" s="11"/>
      <c r="AX63" s="220"/>
      <c r="AY63" s="184"/>
      <c r="AZ63" s="184"/>
      <c r="BA63" s="11"/>
      <c r="BB63" s="11"/>
      <c r="BC63" s="220"/>
      <c r="BD63" s="184"/>
      <c r="BE63" s="184"/>
      <c r="BF63" s="11"/>
      <c r="BG63" s="11"/>
      <c r="BH63" s="220"/>
      <c r="BI63" s="184"/>
      <c r="BJ63" s="184"/>
      <c r="BK63" s="184"/>
      <c r="BL63" s="184"/>
      <c r="BM63" s="184"/>
      <c r="BN63" s="184"/>
      <c r="BO63" s="184"/>
      <c r="BP63" s="184"/>
    </row>
    <row r="64">
      <c r="A64" s="245" t="str">
        <f>IF( $BB$11 = "再製作", "◼︎ トレンチコート（対応着地：再製作）" &amp;char(10)&amp; "《修正数値》", IF($BB$11 &lt;&gt; "", "◼︎ トレンチコート（対応着地：お直し）" &amp;char(10)&amp; "《修正数値》", ""))</f>
        <v/>
      </c>
      <c r="B64" s="240"/>
      <c r="C64" s="11"/>
      <c r="D64" s="11"/>
      <c r="E64" s="220"/>
      <c r="F64" s="220"/>
      <c r="G64" s="220"/>
      <c r="H64" s="11"/>
      <c r="I64" s="11"/>
      <c r="J64" s="220"/>
      <c r="K64" s="184"/>
      <c r="L64" s="184"/>
      <c r="M64" s="11"/>
      <c r="N64" s="11"/>
      <c r="O64" s="195"/>
      <c r="P64" s="11"/>
      <c r="Q64" s="11"/>
      <c r="R64" s="12"/>
      <c r="S64" s="11"/>
      <c r="T64" s="220"/>
      <c r="U64" s="184"/>
      <c r="V64" s="184"/>
      <c r="W64" s="11"/>
      <c r="X64" s="11"/>
      <c r="Y64" s="220"/>
      <c r="Z64" s="184"/>
      <c r="AA64" s="184"/>
      <c r="AB64" s="11"/>
      <c r="AC64" s="11"/>
      <c r="AD64" s="220"/>
      <c r="AE64" s="184"/>
      <c r="AF64" s="184"/>
      <c r="AG64" s="11"/>
      <c r="AH64" s="11"/>
      <c r="AI64" s="220"/>
      <c r="AJ64" s="184"/>
      <c r="AK64" s="184"/>
      <c r="AL64" s="11"/>
      <c r="AM64" s="11"/>
      <c r="AN64" s="220"/>
      <c r="AO64" s="184"/>
      <c r="AP64" s="184"/>
      <c r="AQ64" s="11"/>
      <c r="AR64" s="11"/>
      <c r="AS64" s="220"/>
      <c r="AT64" s="184"/>
      <c r="AU64" s="184"/>
      <c r="AV64" s="11"/>
      <c r="AW64" s="11"/>
      <c r="AX64" s="220"/>
      <c r="AY64" s="184"/>
      <c r="AZ64" s="184"/>
      <c r="BA64" s="11"/>
      <c r="BB64" s="11"/>
      <c r="BC64" s="220"/>
      <c r="BD64" s="184"/>
      <c r="BE64" s="184"/>
      <c r="BF64" s="11"/>
      <c r="BG64" s="11"/>
      <c r="BH64" s="220"/>
      <c r="BI64" s="184"/>
      <c r="BJ64" s="184"/>
      <c r="BK64" s="184"/>
      <c r="BL64" s="184"/>
      <c r="BM64" s="184"/>
      <c r="BN64" s="184"/>
      <c r="BO64" s="184"/>
      <c r="BP64" s="184"/>
    </row>
    <row r="65">
      <c r="A65" s="228" t="str">
        <f>IFERROR(__xludf.DUMMYFUNCTION("TEXTJOIN(CHAR(10),TRUE,FILTER(ARRAYFORMULA(IF(BC$14:BC72&lt;&gt;"""",BB$14:BB72&amp;"" : ""&amp; BC$14:BC72 &amp;"" cm"","""")), BB$14:BB72 &lt;&gt;""""))"),"")</f>
        <v/>
      </c>
      <c r="B65" s="240"/>
      <c r="C65" s="11"/>
      <c r="D65" s="11"/>
      <c r="E65" s="220"/>
      <c r="F65" s="220"/>
      <c r="G65" s="220"/>
      <c r="H65" s="11"/>
      <c r="I65" s="11"/>
      <c r="J65" s="220"/>
      <c r="K65" s="184"/>
      <c r="L65" s="184"/>
      <c r="M65" s="11"/>
      <c r="N65" s="11"/>
      <c r="O65" s="195"/>
      <c r="P65" s="11"/>
      <c r="Q65" s="11"/>
      <c r="R65" s="12"/>
      <c r="S65" s="11"/>
      <c r="T65" s="220"/>
      <c r="U65" s="184"/>
      <c r="V65" s="184"/>
      <c r="W65" s="11"/>
      <c r="X65" s="11"/>
      <c r="Y65" s="220"/>
      <c r="Z65" s="184"/>
      <c r="AA65" s="184"/>
      <c r="AB65" s="11"/>
      <c r="AC65" s="11"/>
      <c r="AD65" s="220"/>
      <c r="AE65" s="184"/>
      <c r="AF65" s="184"/>
      <c r="AG65" s="11"/>
      <c r="AH65" s="11"/>
      <c r="AI65" s="220"/>
      <c r="AJ65" s="184"/>
      <c r="AK65" s="184"/>
      <c r="AL65" s="11"/>
      <c r="AM65" s="11"/>
      <c r="AN65" s="220"/>
      <c r="AO65" s="184"/>
      <c r="AP65" s="184"/>
      <c r="AQ65" s="11"/>
      <c r="AR65" s="11"/>
      <c r="AS65" s="220"/>
      <c r="AT65" s="184"/>
      <c r="AU65" s="184"/>
      <c r="AV65" s="11"/>
      <c r="AW65" s="11"/>
      <c r="AX65" s="220"/>
      <c r="AY65" s="184"/>
      <c r="AZ65" s="184"/>
      <c r="BA65" s="11"/>
      <c r="BB65" s="11"/>
      <c r="BC65" s="220"/>
      <c r="BD65" s="184"/>
      <c r="BE65" s="184"/>
      <c r="BF65" s="11"/>
      <c r="BG65" s="11"/>
      <c r="BH65" s="220"/>
      <c r="BI65" s="184"/>
      <c r="BJ65" s="184"/>
      <c r="BK65" s="184"/>
      <c r="BL65" s="184"/>
      <c r="BM65" s="184"/>
      <c r="BN65" s="184"/>
      <c r="BO65" s="184"/>
      <c r="BP65" s="184"/>
    </row>
    <row r="66">
      <c r="A66" s="244" t="str">
        <f>if($A$64&lt;&gt;"", "《仕上がり数値》","")</f>
        <v/>
      </c>
      <c r="B66" s="240"/>
      <c r="C66" s="11"/>
      <c r="D66" s="11"/>
      <c r="E66" s="220"/>
      <c r="F66" s="220"/>
      <c r="G66" s="220"/>
      <c r="H66" s="11"/>
      <c r="I66" s="11"/>
      <c r="J66" s="220"/>
      <c r="K66" s="184"/>
      <c r="L66" s="184"/>
      <c r="M66" s="11"/>
      <c r="N66" s="11"/>
      <c r="O66" s="195"/>
      <c r="P66" s="11"/>
      <c r="Q66" s="11"/>
      <c r="R66" s="12"/>
      <c r="S66" s="11"/>
      <c r="T66" s="220"/>
      <c r="U66" s="184"/>
      <c r="V66" s="184"/>
      <c r="W66" s="11"/>
      <c r="X66" s="11"/>
      <c r="Y66" s="220"/>
      <c r="Z66" s="184"/>
      <c r="AA66" s="184"/>
      <c r="AB66" s="11"/>
      <c r="AC66" s="11"/>
      <c r="AD66" s="220"/>
      <c r="AE66" s="184"/>
      <c r="AF66" s="184"/>
      <c r="AG66" s="11"/>
      <c r="AH66" s="11"/>
      <c r="AI66" s="220"/>
      <c r="AJ66" s="184"/>
      <c r="AK66" s="184"/>
      <c r="AL66" s="11"/>
      <c r="AM66" s="11"/>
      <c r="AN66" s="220"/>
      <c r="AO66" s="184"/>
      <c r="AP66" s="184"/>
      <c r="AQ66" s="11"/>
      <c r="AR66" s="11"/>
      <c r="AS66" s="220"/>
      <c r="AT66" s="184"/>
      <c r="AU66" s="184"/>
      <c r="AV66" s="11"/>
      <c r="AW66" s="11"/>
      <c r="AX66" s="220"/>
      <c r="AY66" s="184"/>
      <c r="AZ66" s="184"/>
      <c r="BA66" s="11"/>
      <c r="BB66" s="11"/>
      <c r="BC66" s="220"/>
      <c r="BD66" s="184"/>
      <c r="BE66" s="184"/>
      <c r="BF66" s="11"/>
      <c r="BG66" s="11"/>
      <c r="BH66" s="220"/>
      <c r="BI66" s="184"/>
      <c r="BJ66" s="184"/>
      <c r="BK66" s="184"/>
      <c r="BL66" s="184"/>
      <c r="BM66" s="184"/>
      <c r="BN66" s="184"/>
      <c r="BO66" s="184"/>
      <c r="BP66" s="184"/>
    </row>
    <row r="67">
      <c r="A67" s="228" t="str">
        <f>IFERROR(__xludf.DUMMYFUNCTION("TEXTJOIN(CHAR(10),TRUE,FILTER(ARRAYFORMULA(IF(BC$14:BC72&lt;&gt;"""",BB$14:BB72&amp;"" :  cm"","""")), BB$14:BB72 &lt;&gt;""""))"),"")</f>
        <v/>
      </c>
      <c r="B67" s="240"/>
      <c r="C67" s="11"/>
      <c r="D67" s="11"/>
      <c r="E67" s="220"/>
      <c r="F67" s="220"/>
      <c r="G67" s="220"/>
      <c r="H67" s="11"/>
      <c r="I67" s="11"/>
      <c r="J67" s="220"/>
      <c r="K67" s="184"/>
      <c r="L67" s="184"/>
      <c r="M67" s="11"/>
      <c r="N67" s="11"/>
      <c r="O67" s="195"/>
      <c r="P67" s="11"/>
      <c r="Q67" s="11"/>
      <c r="R67" s="12"/>
      <c r="S67" s="11"/>
      <c r="T67" s="220"/>
      <c r="U67" s="184"/>
      <c r="V67" s="184"/>
      <c r="W67" s="11"/>
      <c r="X67" s="11"/>
      <c r="Y67" s="220"/>
      <c r="Z67" s="184"/>
      <c r="AA67" s="184"/>
      <c r="AB67" s="11"/>
      <c r="AC67" s="11"/>
      <c r="AD67" s="220"/>
      <c r="AE67" s="184"/>
      <c r="AF67" s="184"/>
      <c r="AG67" s="11"/>
      <c r="AH67" s="11"/>
      <c r="AI67" s="220"/>
      <c r="AJ67" s="184"/>
      <c r="AK67" s="184"/>
      <c r="AL67" s="11"/>
      <c r="AM67" s="11"/>
      <c r="AN67" s="220"/>
      <c r="AO67" s="184"/>
      <c r="AP67" s="184"/>
      <c r="AQ67" s="11"/>
      <c r="AR67" s="11"/>
      <c r="AS67" s="220"/>
      <c r="AT67" s="184"/>
      <c r="AU67" s="184"/>
      <c r="AV67" s="11"/>
      <c r="AW67" s="11"/>
      <c r="AX67" s="220"/>
      <c r="AY67" s="184"/>
      <c r="AZ67" s="184"/>
      <c r="BA67" s="11"/>
      <c r="BB67" s="11"/>
      <c r="BC67" s="220"/>
      <c r="BD67" s="184"/>
      <c r="BE67" s="184"/>
      <c r="BF67" s="11"/>
      <c r="BG67" s="11"/>
      <c r="BH67" s="220"/>
      <c r="BI67" s="184"/>
      <c r="BJ67" s="184"/>
      <c r="BK67" s="184"/>
      <c r="BL67" s="184"/>
      <c r="BM67" s="184"/>
      <c r="BN67" s="184"/>
      <c r="BO67" s="184"/>
      <c r="BP67" s="184"/>
    </row>
    <row r="68">
      <c r="A68" s="243" t="s">
        <v>126</v>
      </c>
      <c r="B68" s="240"/>
      <c r="C68" s="11"/>
      <c r="D68" s="11"/>
      <c r="E68" s="220"/>
      <c r="F68" s="220"/>
      <c r="G68" s="220"/>
      <c r="H68" s="11"/>
      <c r="I68" s="11"/>
      <c r="J68" s="220"/>
      <c r="K68" s="184"/>
      <c r="L68" s="184"/>
      <c r="M68" s="11"/>
      <c r="N68" s="11"/>
      <c r="O68" s="195"/>
      <c r="P68" s="11"/>
      <c r="Q68" s="11"/>
      <c r="R68" s="12"/>
      <c r="S68" s="11"/>
      <c r="T68" s="220"/>
      <c r="U68" s="184"/>
      <c r="V68" s="184"/>
      <c r="W68" s="11"/>
      <c r="X68" s="11"/>
      <c r="Y68" s="220"/>
      <c r="Z68" s="184"/>
      <c r="AA68" s="184"/>
      <c r="AB68" s="11"/>
      <c r="AC68" s="11"/>
      <c r="AD68" s="220"/>
      <c r="AE68" s="184"/>
      <c r="AF68" s="184"/>
      <c r="AG68" s="11"/>
      <c r="AH68" s="11"/>
      <c r="AI68" s="220"/>
      <c r="AJ68" s="184"/>
      <c r="AK68" s="184"/>
      <c r="AL68" s="11"/>
      <c r="AM68" s="11"/>
      <c r="AN68" s="220"/>
      <c r="AO68" s="184"/>
      <c r="AP68" s="184"/>
      <c r="AQ68" s="11"/>
      <c r="AR68" s="11"/>
      <c r="AS68" s="220"/>
      <c r="AT68" s="184"/>
      <c r="AU68" s="184"/>
      <c r="AV68" s="11"/>
      <c r="AW68" s="11"/>
      <c r="AX68" s="220"/>
      <c r="AY68" s="184"/>
      <c r="AZ68" s="184"/>
      <c r="BA68" s="11"/>
      <c r="BB68" s="11"/>
      <c r="BC68" s="220"/>
      <c r="BD68" s="184"/>
      <c r="BE68" s="184"/>
      <c r="BF68" s="11"/>
      <c r="BG68" s="11"/>
      <c r="BH68" s="220"/>
      <c r="BI68" s="184"/>
      <c r="BJ68" s="184"/>
      <c r="BK68" s="184"/>
      <c r="BL68" s="184"/>
      <c r="BM68" s="184"/>
      <c r="BN68" s="184"/>
      <c r="BO68" s="184"/>
      <c r="BP68" s="184"/>
    </row>
    <row r="69">
      <c r="A69" s="245" t="str">
        <f>IF( $BG$11 = "再製作", "◼︎ フーデッドコート（対応着地：再製作）"&amp;char(10)&amp;"《修正数値》", IF($BG$11 &lt;&gt; "", "◼︎ フーデッドコート（対応着地：お直し）"&amp;char(10)&amp;"《修正数値》", ""))</f>
        <v/>
      </c>
      <c r="B69" s="240"/>
      <c r="C69" s="11"/>
      <c r="D69" s="11"/>
      <c r="E69" s="220"/>
      <c r="F69" s="220"/>
      <c r="G69" s="220"/>
      <c r="H69" s="11"/>
      <c r="I69" s="11"/>
      <c r="J69" s="220"/>
      <c r="K69" s="184"/>
      <c r="L69" s="184"/>
      <c r="M69" s="11"/>
      <c r="N69" s="11"/>
      <c r="O69" s="195"/>
      <c r="P69" s="11"/>
      <c r="Q69" s="11"/>
      <c r="R69" s="12"/>
      <c r="S69" s="11"/>
      <c r="T69" s="220"/>
      <c r="U69" s="184"/>
      <c r="V69" s="184"/>
      <c r="W69" s="11"/>
      <c r="X69" s="11"/>
      <c r="Y69" s="220"/>
      <c r="Z69" s="184"/>
      <c r="AA69" s="184"/>
      <c r="AB69" s="11"/>
      <c r="AC69" s="11"/>
      <c r="AD69" s="220"/>
      <c r="AE69" s="184"/>
      <c r="AF69" s="184"/>
      <c r="AG69" s="11"/>
      <c r="AH69" s="11"/>
      <c r="AI69" s="220"/>
      <c r="AJ69" s="184"/>
      <c r="AK69" s="184"/>
      <c r="AL69" s="11"/>
      <c r="AM69" s="11"/>
      <c r="AN69" s="220"/>
      <c r="AO69" s="184"/>
      <c r="AP69" s="184"/>
      <c r="AQ69" s="11"/>
      <c r="AR69" s="11"/>
      <c r="AS69" s="220"/>
      <c r="AT69" s="184"/>
      <c r="AU69" s="184"/>
      <c r="AV69" s="11"/>
      <c r="AW69" s="11"/>
      <c r="AX69" s="220"/>
      <c r="AY69" s="184"/>
      <c r="AZ69" s="184"/>
      <c r="BA69" s="11"/>
      <c r="BB69" s="11"/>
      <c r="BC69" s="220"/>
      <c r="BD69" s="184"/>
      <c r="BE69" s="184"/>
      <c r="BF69" s="11"/>
      <c r="BG69" s="11"/>
      <c r="BH69" s="220"/>
      <c r="BI69" s="184"/>
      <c r="BJ69" s="184"/>
      <c r="BK69" s="184"/>
      <c r="BL69" s="184"/>
      <c r="BM69" s="184"/>
      <c r="BN69" s="184"/>
      <c r="BO69" s="184"/>
      <c r="BP69" s="184"/>
    </row>
    <row r="70">
      <c r="A70" s="228" t="str">
        <f>IFERROR(__xludf.DUMMYFUNCTION("TEXTJOIN(CHAR(10),TRUE,FILTER(ARRAYFORMULA(IF(BH$14:BH72&lt;&gt;"""",BG$14:BG72&amp;"" : ""&amp; BH$14:BH72 &amp;"" cm"","""")), BG$14:BG72 &lt;&gt;""""))"),"")</f>
        <v/>
      </c>
      <c r="B70" s="240"/>
      <c r="C70" s="11"/>
      <c r="D70" s="11"/>
      <c r="E70" s="220"/>
      <c r="F70" s="220"/>
      <c r="G70" s="220"/>
      <c r="H70" s="11"/>
      <c r="I70" s="11"/>
      <c r="J70" s="220"/>
      <c r="K70" s="184"/>
      <c r="L70" s="184"/>
      <c r="M70" s="11"/>
      <c r="N70" s="11"/>
      <c r="O70" s="195"/>
      <c r="P70" s="11"/>
      <c r="Q70" s="11"/>
      <c r="R70" s="12"/>
      <c r="S70" s="11"/>
      <c r="T70" s="220"/>
      <c r="U70" s="184"/>
      <c r="V70" s="184"/>
      <c r="W70" s="11"/>
      <c r="X70" s="11"/>
      <c r="Y70" s="220"/>
      <c r="Z70" s="184"/>
      <c r="AA70" s="184"/>
      <c r="AB70" s="11"/>
      <c r="AC70" s="11"/>
      <c r="AD70" s="220"/>
      <c r="AE70" s="184"/>
      <c r="AF70" s="184"/>
      <c r="AG70" s="11"/>
      <c r="AH70" s="11"/>
      <c r="AI70" s="220"/>
      <c r="AJ70" s="184"/>
      <c r="AK70" s="184"/>
      <c r="AL70" s="11"/>
      <c r="AM70" s="11"/>
      <c r="AN70" s="220"/>
      <c r="AO70" s="184"/>
      <c r="AP70" s="184"/>
      <c r="AQ70" s="11"/>
      <c r="AR70" s="11"/>
      <c r="AS70" s="220"/>
      <c r="AT70" s="184"/>
      <c r="AU70" s="184"/>
      <c r="AV70" s="11"/>
      <c r="AW70" s="11"/>
      <c r="AX70" s="220"/>
      <c r="AY70" s="184"/>
      <c r="AZ70" s="184"/>
      <c r="BA70" s="11"/>
      <c r="BB70" s="11"/>
      <c r="BC70" s="220"/>
      <c r="BD70" s="184"/>
      <c r="BE70" s="184"/>
      <c r="BF70" s="11"/>
      <c r="BG70" s="11"/>
      <c r="BH70" s="220"/>
      <c r="BI70" s="184"/>
      <c r="BJ70" s="184"/>
      <c r="BK70" s="184"/>
      <c r="BL70" s="184"/>
      <c r="BM70" s="184"/>
      <c r="BN70" s="184"/>
      <c r="BO70" s="184"/>
      <c r="BP70" s="184"/>
    </row>
    <row r="71">
      <c r="A71" s="244" t="str">
        <f>if($A$69&lt;&gt;"", "《仕上がり数値》","")</f>
        <v/>
      </c>
      <c r="B71" s="240"/>
      <c r="C71" s="11"/>
      <c r="D71" s="11"/>
      <c r="E71" s="220"/>
      <c r="F71" s="220"/>
      <c r="G71" s="220"/>
      <c r="H71" s="11"/>
      <c r="I71" s="11"/>
      <c r="J71" s="220"/>
      <c r="K71" s="184"/>
      <c r="L71" s="184"/>
      <c r="M71" s="11"/>
      <c r="N71" s="11"/>
      <c r="O71" s="195"/>
      <c r="P71" s="11"/>
      <c r="Q71" s="11"/>
      <c r="R71" s="12"/>
      <c r="S71" s="11"/>
      <c r="T71" s="220"/>
      <c r="U71" s="184"/>
      <c r="V71" s="184"/>
      <c r="W71" s="11"/>
      <c r="X71" s="11"/>
      <c r="Y71" s="220"/>
      <c r="Z71" s="184"/>
      <c r="AA71" s="184"/>
      <c r="AB71" s="11"/>
      <c r="AC71" s="11"/>
      <c r="AD71" s="220"/>
      <c r="AE71" s="184"/>
      <c r="AF71" s="184"/>
      <c r="AG71" s="11"/>
      <c r="AH71" s="11"/>
      <c r="AI71" s="220"/>
      <c r="AJ71" s="184"/>
      <c r="AK71" s="184"/>
      <c r="AL71" s="11"/>
      <c r="AM71" s="11"/>
      <c r="AN71" s="220"/>
      <c r="AO71" s="184"/>
      <c r="AP71" s="184"/>
      <c r="AQ71" s="11"/>
      <c r="AR71" s="11"/>
      <c r="AS71" s="220"/>
      <c r="AT71" s="184"/>
      <c r="AU71" s="184"/>
      <c r="AV71" s="11"/>
      <c r="AW71" s="11"/>
      <c r="AX71" s="220"/>
      <c r="AY71" s="184"/>
      <c r="AZ71" s="184"/>
      <c r="BA71" s="11"/>
      <c r="BB71" s="11"/>
      <c r="BC71" s="220"/>
      <c r="BD71" s="184"/>
      <c r="BE71" s="184"/>
      <c r="BF71" s="11"/>
      <c r="BG71" s="11"/>
      <c r="BH71" s="220"/>
      <c r="BI71" s="184"/>
      <c r="BJ71" s="184"/>
      <c r="BK71" s="184"/>
      <c r="BL71" s="184"/>
      <c r="BM71" s="184"/>
      <c r="BN71" s="184"/>
      <c r="BO71" s="184"/>
      <c r="BP71" s="184"/>
    </row>
    <row r="72">
      <c r="A72" s="228" t="str">
        <f>IFERROR(__xludf.DUMMYFUNCTION("TEXTJOIN(CHAR(10),TRUE,FILTER(ARRAYFORMULA(IF(BH$14:BH72&lt;&gt;"""",BG$14:BG72&amp;"" :  cm"","""")), BG$14:BG72 &lt;&gt;""""))"),"")</f>
        <v/>
      </c>
      <c r="B72" s="240"/>
      <c r="C72" s="11"/>
      <c r="D72" s="11"/>
      <c r="E72" s="220"/>
      <c r="F72" s="220"/>
      <c r="G72" s="220"/>
      <c r="H72" s="11"/>
      <c r="I72" s="11"/>
      <c r="J72" s="220"/>
      <c r="K72" s="184"/>
      <c r="L72" s="184"/>
      <c r="M72" s="11"/>
      <c r="N72" s="11"/>
      <c r="O72" s="195"/>
      <c r="P72" s="11"/>
      <c r="Q72" s="11"/>
      <c r="R72" s="12"/>
      <c r="S72" s="11"/>
      <c r="T72" s="220"/>
      <c r="U72" s="184"/>
      <c r="V72" s="184"/>
      <c r="W72" s="11"/>
      <c r="X72" s="11"/>
      <c r="Y72" s="220"/>
      <c r="Z72" s="184"/>
      <c r="AA72" s="184"/>
      <c r="AB72" s="11"/>
      <c r="AC72" s="11"/>
      <c r="AD72" s="220"/>
      <c r="AE72" s="184"/>
      <c r="AF72" s="184"/>
      <c r="AG72" s="11"/>
      <c r="AH72" s="11"/>
      <c r="AI72" s="220"/>
      <c r="AJ72" s="184"/>
      <c r="AK72" s="184"/>
      <c r="AL72" s="11"/>
      <c r="AM72" s="11"/>
      <c r="AN72" s="220"/>
      <c r="AO72" s="184"/>
      <c r="AP72" s="184"/>
      <c r="AQ72" s="11"/>
      <c r="AR72" s="11"/>
      <c r="AS72" s="220"/>
      <c r="AT72" s="184"/>
      <c r="AU72" s="184"/>
      <c r="AV72" s="11"/>
      <c r="AW72" s="11"/>
      <c r="AX72" s="220"/>
      <c r="AY72" s="184"/>
      <c r="AZ72" s="184"/>
      <c r="BA72" s="11"/>
      <c r="BB72" s="11"/>
      <c r="BC72" s="220"/>
      <c r="BD72" s="184"/>
      <c r="BE72" s="184"/>
      <c r="BF72" s="11"/>
      <c r="BG72" s="11"/>
      <c r="BH72" s="220"/>
      <c r="BI72" s="184"/>
      <c r="BJ72" s="184"/>
      <c r="BK72" s="184"/>
      <c r="BL72" s="184"/>
      <c r="BM72" s="184"/>
      <c r="BN72" s="184"/>
      <c r="BO72" s="184"/>
      <c r="BP72" s="184"/>
    </row>
  </sheetData>
  <mergeCells count="1">
    <mergeCell ref="D5:G5"/>
  </mergeCells>
  <hyperlinks>
    <hyperlink r:id="rId1" location="gid=1551873484" ref="K5"/>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hidden="1" min="1" max="2" width="20.88"/>
    <col customWidth="1" min="3" max="3" width="3.88"/>
    <col customWidth="1" min="4" max="4" width="25.13"/>
    <col customWidth="1" min="5" max="6" width="12.63"/>
    <col customWidth="1" hidden="1" min="7" max="7" width="12.63"/>
    <col customWidth="1" min="8" max="8" width="6.38"/>
    <col customWidth="1" min="9" max="9" width="25.13"/>
    <col customWidth="1" min="10" max="11" width="12.63"/>
    <col customWidth="1" hidden="1" min="12" max="12" width="12.63"/>
    <col customWidth="1" min="13" max="13" width="6.38"/>
    <col customWidth="1" min="14" max="14" width="25.13"/>
    <col customWidth="1" min="15" max="16" width="12.63"/>
    <col customWidth="1" hidden="1" min="17" max="17" width="12.63"/>
    <col customWidth="1" min="18" max="18" width="6.25"/>
    <col customWidth="1" min="19" max="19" width="25.13"/>
    <col customWidth="1" min="20" max="21" width="12.63"/>
    <col customWidth="1" hidden="1" min="22" max="22" width="12.63"/>
    <col customWidth="1" min="23" max="23" width="6.38"/>
    <col customWidth="1" min="24" max="24" width="25.13"/>
    <col customWidth="1" min="25" max="26" width="12.63"/>
    <col customWidth="1" hidden="1" min="27" max="27" width="12.63"/>
    <col customWidth="1" min="28" max="28" width="6.38"/>
    <col customWidth="1" min="29" max="29" width="25.13"/>
    <col customWidth="1" min="30" max="31" width="12.63"/>
    <col customWidth="1" hidden="1" min="32" max="32" width="12.63"/>
    <col customWidth="1" min="33" max="33" width="7.13"/>
    <col customWidth="1" min="34" max="34" width="25.13"/>
    <col customWidth="1" min="35" max="36" width="12.63"/>
    <col customWidth="1" hidden="1" min="37" max="37" width="12.63"/>
    <col customWidth="1" min="38" max="38" width="7.13"/>
    <col customWidth="1" min="39" max="39" width="25.13"/>
    <col customWidth="1" min="40" max="41" width="12.63"/>
    <col customWidth="1" hidden="1" min="42" max="42" width="12.63"/>
    <col customWidth="1" min="43" max="43" width="7.13"/>
    <col customWidth="1" min="44" max="44" width="25.13"/>
    <col customWidth="1" min="45" max="46" width="12.63"/>
    <col customWidth="1" hidden="1" min="47" max="47" width="12.63"/>
    <col customWidth="1" min="48" max="48" width="12.63"/>
    <col customWidth="1" min="49" max="49" width="25.13"/>
    <col customWidth="1" min="50" max="51" width="12.63"/>
    <col customWidth="1" hidden="1" min="52" max="52" width="12.63"/>
    <col customWidth="1" min="53" max="53" width="12.63"/>
    <col customWidth="1" min="54" max="54" width="25.13"/>
    <col customWidth="1" min="55" max="56" width="12.63"/>
    <col customWidth="1" hidden="1" min="57" max="57" width="12.63"/>
    <col customWidth="1" min="58" max="58" width="12.63"/>
    <col customWidth="1" min="59" max="59" width="25.13"/>
    <col customWidth="1" min="60" max="61" width="12.63"/>
    <col customWidth="1" hidden="1" min="62" max="62" width="12.63"/>
    <col customWidth="1" min="63" max="68" width="12.63"/>
  </cols>
  <sheetData>
    <row r="1">
      <c r="A1" s="275">
        <f>today()</f>
        <v>45991</v>
      </c>
      <c r="B1" s="276"/>
      <c r="C1" s="277"/>
      <c r="D1" s="278" t="s">
        <v>16</v>
      </c>
      <c r="E1" s="279"/>
      <c r="F1" s="279"/>
      <c r="G1" s="279"/>
      <c r="H1" s="280"/>
      <c r="I1" s="280"/>
      <c r="J1" s="279"/>
      <c r="K1" s="279"/>
      <c r="L1" s="279"/>
      <c r="M1" s="280"/>
      <c r="N1" s="277" t="s">
        <v>147</v>
      </c>
      <c r="O1" s="279"/>
      <c r="P1" s="279"/>
      <c r="Q1" s="279"/>
      <c r="R1" s="280"/>
      <c r="S1" s="280"/>
      <c r="T1" s="281"/>
      <c r="U1" s="281"/>
      <c r="V1" s="281"/>
      <c r="W1" s="280"/>
      <c r="X1" s="279"/>
      <c r="Y1" s="281"/>
      <c r="Z1" s="281"/>
      <c r="AA1" s="281"/>
      <c r="AB1" s="280"/>
      <c r="AC1" s="279"/>
      <c r="AD1" s="281"/>
      <c r="AE1" s="281"/>
      <c r="AF1" s="281"/>
      <c r="AG1" s="280"/>
      <c r="AH1" s="279"/>
      <c r="AI1" s="281"/>
      <c r="AJ1" s="281"/>
      <c r="AK1" s="281"/>
      <c r="AL1" s="280"/>
      <c r="AM1" s="279"/>
      <c r="AN1" s="281"/>
      <c r="AO1" s="281"/>
      <c r="AP1" s="281"/>
      <c r="AQ1" s="280"/>
      <c r="AR1" s="279"/>
      <c r="AS1" s="281"/>
      <c r="AT1" s="281"/>
      <c r="AU1" s="281"/>
      <c r="AV1" s="280"/>
      <c r="AW1" s="279"/>
      <c r="AX1" s="281"/>
      <c r="AY1" s="281"/>
      <c r="AZ1" s="281"/>
      <c r="BA1" s="280"/>
      <c r="BB1" s="279"/>
      <c r="BC1" s="281"/>
      <c r="BD1" s="281"/>
      <c r="BE1" s="281"/>
      <c r="BF1" s="280"/>
      <c r="BG1" s="279"/>
      <c r="BH1" s="281"/>
      <c r="BI1" s="281"/>
      <c r="BJ1" s="281"/>
      <c r="BK1" s="281"/>
      <c r="BL1" s="281"/>
      <c r="BM1" s="281"/>
      <c r="BN1" s="281"/>
      <c r="BO1" s="281"/>
      <c r="BP1" s="281"/>
    </row>
    <row r="2">
      <c r="A2" s="11"/>
      <c r="B2" s="183"/>
      <c r="C2" s="12"/>
      <c r="D2" s="12"/>
      <c r="E2" s="12"/>
      <c r="F2" s="12"/>
      <c r="G2" s="12"/>
      <c r="H2" s="11"/>
      <c r="I2" s="11"/>
      <c r="J2" s="12"/>
      <c r="K2" s="12"/>
      <c r="L2" s="12"/>
      <c r="M2" s="11"/>
      <c r="N2" s="12"/>
      <c r="O2" s="12"/>
      <c r="P2" s="12"/>
      <c r="Q2" s="12"/>
      <c r="R2" s="11"/>
      <c r="S2" s="11"/>
      <c r="T2" s="184"/>
      <c r="U2" s="184"/>
      <c r="V2" s="184"/>
      <c r="W2" s="11"/>
      <c r="X2" s="12"/>
      <c r="Y2" s="184"/>
      <c r="Z2" s="184"/>
      <c r="AA2" s="184"/>
      <c r="AB2" s="11"/>
      <c r="AC2" s="12"/>
      <c r="AD2" s="184"/>
      <c r="AE2" s="184"/>
      <c r="AF2" s="184"/>
      <c r="AG2" s="11"/>
      <c r="AH2" s="12"/>
      <c r="AI2" s="184"/>
      <c r="AJ2" s="184"/>
      <c r="AK2" s="184"/>
      <c r="AL2" s="11"/>
      <c r="AM2" s="12"/>
      <c r="AN2" s="184"/>
      <c r="AO2" s="184"/>
      <c r="AP2" s="184"/>
      <c r="AQ2" s="11"/>
      <c r="AR2" s="12"/>
      <c r="AS2" s="184"/>
      <c r="AT2" s="184"/>
      <c r="AU2" s="184"/>
      <c r="AV2" s="11"/>
      <c r="AW2" s="12"/>
      <c r="AX2" s="184"/>
      <c r="AY2" s="184"/>
      <c r="AZ2" s="184"/>
      <c r="BA2" s="11"/>
      <c r="BB2" s="12"/>
      <c r="BC2" s="184"/>
      <c r="BD2" s="184"/>
      <c r="BE2" s="184"/>
      <c r="BF2" s="11"/>
      <c r="BG2" s="12"/>
      <c r="BH2" s="184"/>
      <c r="BI2" s="184"/>
      <c r="BJ2" s="184"/>
      <c r="BK2" s="184"/>
      <c r="BL2" s="184"/>
      <c r="BM2" s="184"/>
      <c r="BN2" s="184"/>
      <c r="BO2" s="184"/>
      <c r="BP2" s="184"/>
    </row>
    <row r="3">
      <c r="A3" s="12"/>
      <c r="B3" s="185"/>
      <c r="C3" s="12"/>
      <c r="D3" s="12" t="str">
        <f t="array" ref="D3:D5">index(A3:A5,0)</f>
        <v/>
      </c>
      <c r="E3" s="12"/>
      <c r="F3" s="12"/>
      <c r="G3" s="12"/>
      <c r="H3" s="11"/>
      <c r="I3" s="11"/>
      <c r="J3" s="12"/>
      <c r="K3" s="12"/>
      <c r="L3" s="12"/>
      <c r="M3" s="11"/>
      <c r="N3" s="12"/>
      <c r="O3" s="12"/>
      <c r="P3" s="12"/>
      <c r="Q3" s="12"/>
      <c r="R3" s="11"/>
      <c r="S3" s="11"/>
      <c r="T3" s="184"/>
      <c r="U3" s="184"/>
      <c r="V3" s="184"/>
      <c r="W3" s="11"/>
      <c r="X3" s="12"/>
      <c r="Y3" s="184"/>
      <c r="Z3" s="184"/>
      <c r="AA3" s="184"/>
      <c r="AB3" s="11"/>
      <c r="AC3" s="12"/>
      <c r="AD3" s="184"/>
      <c r="AE3" s="184"/>
      <c r="AF3" s="184"/>
      <c r="AG3" s="11"/>
      <c r="AH3" s="12"/>
      <c r="AI3" s="184"/>
      <c r="AJ3" s="184"/>
      <c r="AK3" s="184"/>
      <c r="AL3" s="11"/>
      <c r="AM3" s="12"/>
      <c r="AN3" s="184"/>
      <c r="AO3" s="184"/>
      <c r="AP3" s="184"/>
      <c r="AQ3" s="11"/>
      <c r="AR3" s="12"/>
      <c r="AS3" s="184"/>
      <c r="AT3" s="184"/>
      <c r="AU3" s="184"/>
      <c r="AV3" s="11"/>
      <c r="AW3" s="12"/>
      <c r="AX3" s="184"/>
      <c r="AY3" s="184"/>
      <c r="AZ3" s="184"/>
      <c r="BA3" s="11"/>
      <c r="BB3" s="12"/>
      <c r="BC3" s="184"/>
      <c r="BD3" s="184"/>
      <c r="BE3" s="184"/>
      <c r="BF3" s="11"/>
      <c r="BG3" s="12"/>
      <c r="BH3" s="184"/>
      <c r="BI3" s="184"/>
      <c r="BJ3" s="184"/>
      <c r="BK3" s="184"/>
      <c r="BL3" s="184"/>
      <c r="BM3" s="184"/>
      <c r="BN3" s="184"/>
      <c r="BO3" s="184"/>
      <c r="BP3" s="184"/>
    </row>
    <row r="4">
      <c r="A4" s="186" t="s">
        <v>28</v>
      </c>
      <c r="B4" s="185"/>
      <c r="C4" s="12"/>
      <c r="D4" s="12" t="s">
        <v>28</v>
      </c>
      <c r="E4" s="12"/>
      <c r="F4" s="12"/>
      <c r="G4" s="12"/>
      <c r="H4" s="11"/>
      <c r="I4" s="11"/>
      <c r="J4" s="12"/>
      <c r="K4" s="12"/>
      <c r="L4" s="12"/>
      <c r="M4" s="11"/>
      <c r="N4" s="12"/>
      <c r="O4" s="12"/>
      <c r="P4" s="12"/>
      <c r="Q4" s="12"/>
      <c r="R4" s="11"/>
      <c r="S4" s="11"/>
      <c r="T4" s="184"/>
      <c r="U4" s="184"/>
      <c r="V4" s="184"/>
      <c r="W4" s="11"/>
      <c r="X4" s="12"/>
      <c r="Y4" s="184"/>
      <c r="Z4" s="184"/>
      <c r="AA4" s="184"/>
      <c r="AB4" s="11"/>
      <c r="AC4" s="12"/>
      <c r="AD4" s="184"/>
      <c r="AE4" s="184"/>
      <c r="AF4" s="184"/>
      <c r="AG4" s="11"/>
      <c r="AH4" s="12"/>
      <c r="AI4" s="184"/>
      <c r="AJ4" s="184"/>
      <c r="AK4" s="184"/>
      <c r="AL4" s="11"/>
      <c r="AM4" s="12"/>
      <c r="AN4" s="184"/>
      <c r="AO4" s="184"/>
      <c r="AP4" s="184"/>
      <c r="AQ4" s="11"/>
      <c r="AR4" s="12"/>
      <c r="AS4" s="184"/>
      <c r="AT4" s="184"/>
      <c r="AU4" s="184"/>
      <c r="AV4" s="11"/>
      <c r="AW4" s="12"/>
      <c r="AX4" s="184"/>
      <c r="AY4" s="184"/>
      <c r="AZ4" s="184"/>
      <c r="BA4" s="11"/>
      <c r="BB4" s="12"/>
      <c r="BC4" s="184"/>
      <c r="BD4" s="184"/>
      <c r="BE4" s="184"/>
      <c r="BF4" s="11"/>
      <c r="BG4" s="12"/>
      <c r="BH4" s="184"/>
      <c r="BI4" s="184"/>
      <c r="BJ4" s="184"/>
      <c r="BK4" s="184"/>
      <c r="BL4" s="184"/>
      <c r="BM4" s="184"/>
      <c r="BN4" s="184"/>
      <c r="BO4" s="184"/>
      <c r="BP4" s="184"/>
    </row>
    <row r="5" ht="225.0" customHeight="1">
      <c r="A5" s="187" t="str">
        <f>$A$7 &amp; $A$8 &amp; CHAR(10) &amp; $A$10 &amp; CHAR(10) &amp; CHAR(10) &amp; $A$11</f>
        <v>FABRIC TOKYO 有楽町 2025-11-30 お直し適用サイズ
FABRIC TOKYO 有楽町 2025-11-30 お直し適用サイズ ＊スーツサイズ
FABRIC TOKYO 有楽町 2025-11-30 お直し適用サイズ ＊ビジネスカジュアルサイズ
◼︎ ジャケット（対応着地：お直し）
《修正数値》
肩巾 : 0.5 cm
バスト : 2 cm
《仕上がり数値》
肩巾 : cm
バスト : cm
◼︎ パンツ（対応着地：お直し）
《修正数値》
パンツウエスト : 2 cm
《仕上がり数値》
パンツウエスト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v>
      </c>
      <c r="B5" s="188" t="str">
        <f>"【お直し来店済み】" &amp; CHAR(10) &amp; 
 "来店⽇時：" &amp; text($A$1," yyyy/mm/dd")&amp; CHAR(10) &amp;
 "来店店舗：" &amp; $D$1 &amp; CHAR(10) &amp; CHAR(10) &amp;
 "お直し着地：" &amp; CHAR(10) &amp; $A$10</f>
        <v>【お直し来店済み】
来店⽇時： 2025/11/30
来店店舗：有楽町
お直し着地：
◼︎ ジャケット（対応着地：お直し）
《修正数値》
肩巾 : 0.5 cm
バスト : 2 cm
《仕上がり数値》
肩巾 : cm
バスト : cm
◼︎ パンツ（対応着地：お直し）
《修正数値》
パンツウエスト : 2 cm
《仕上がり数値》
パンツウエスト : cm</v>
      </c>
      <c r="C5" s="12"/>
      <c r="D5" s="189" t="s">
        <v>149</v>
      </c>
      <c r="H5" s="11"/>
      <c r="I5" s="190" t="str">
        <f>"【お直し来店済み】" &amp; CHAR(10) &amp; 
 "来店⽇時：" &amp; text($A$1," yyyy/mm/dd")&amp; CHAR(10) &amp;
 "来店店舗：" &amp; $D$1 &amp; CHAR(10) &amp; CHAR(10) &amp;
 "お直し着地：" &amp; CHAR(10) &amp; $A$10</f>
        <v>【お直し来店済み】
来店⽇時： 2025/11/30
来店店舗：有楽町
お直し着地：
◼︎ ジャケット（対応着地：お直し）
《修正数値》
肩巾 : 0.5 cm
バスト : 2 cm
《仕上がり数値》
肩巾 : cm
バスト : cm
◼︎ パンツ（対応着地：お直し）
《修正数値》
パンツウエスト : 2 cm
《仕上がり数値》
パンツウエスト : cm</v>
      </c>
      <c r="J5" s="12"/>
      <c r="K5" s="191" t="s">
        <v>30</v>
      </c>
      <c r="L5" s="12"/>
      <c r="M5" s="11"/>
      <c r="N5" s="12"/>
      <c r="O5" s="12"/>
      <c r="P5" s="12"/>
      <c r="Q5" s="12"/>
      <c r="R5" s="11"/>
      <c r="S5" s="11"/>
      <c r="T5" s="184"/>
      <c r="U5" s="184"/>
      <c r="V5" s="184"/>
      <c r="W5" s="11"/>
      <c r="X5" s="12"/>
      <c r="Y5" s="184"/>
      <c r="Z5" s="184"/>
      <c r="AA5" s="184"/>
      <c r="AB5" s="11"/>
      <c r="AC5" s="12"/>
      <c r="AD5" s="184"/>
      <c r="AE5" s="184"/>
      <c r="AF5" s="184"/>
      <c r="AG5" s="11"/>
      <c r="AH5" s="12"/>
      <c r="AI5" s="184"/>
      <c r="AJ5" s="184"/>
      <c r="AK5" s="184"/>
      <c r="AL5" s="11"/>
      <c r="AM5" s="12"/>
      <c r="AN5" s="184"/>
      <c r="AO5" s="184"/>
      <c r="AP5" s="184"/>
      <c r="AQ5" s="11"/>
      <c r="AR5" s="12"/>
      <c r="AS5" s="184"/>
      <c r="AT5" s="184"/>
      <c r="AU5" s="184"/>
      <c r="AV5" s="11"/>
      <c r="AW5" s="12"/>
      <c r="AX5" s="184"/>
      <c r="AY5" s="184"/>
      <c r="AZ5" s="184"/>
      <c r="BA5" s="11"/>
      <c r="BB5" s="12"/>
      <c r="BC5" s="184"/>
      <c r="BD5" s="184"/>
      <c r="BE5" s="184"/>
      <c r="BF5" s="11"/>
      <c r="BG5" s="12"/>
      <c r="BH5" s="184"/>
      <c r="BI5" s="184"/>
      <c r="BJ5" s="184"/>
      <c r="BK5" s="184"/>
      <c r="BL5" s="184"/>
      <c r="BM5" s="184"/>
      <c r="BN5" s="184"/>
      <c r="BO5" s="184"/>
      <c r="BP5" s="184"/>
    </row>
    <row r="6">
      <c r="A6" s="12"/>
      <c r="B6" s="186"/>
      <c r="C6" s="12"/>
      <c r="D6" s="12"/>
      <c r="E6" s="12"/>
      <c r="F6" s="12"/>
      <c r="G6" s="12"/>
      <c r="H6" s="11"/>
      <c r="I6" s="11"/>
      <c r="J6" s="12"/>
      <c r="K6" s="12"/>
      <c r="L6" s="12"/>
      <c r="M6" s="11"/>
      <c r="N6" s="12"/>
      <c r="O6" s="12"/>
      <c r="P6" s="12"/>
      <c r="Q6" s="12"/>
      <c r="R6" s="11"/>
      <c r="S6" s="11"/>
      <c r="T6" s="184"/>
      <c r="U6" s="184"/>
      <c r="V6" s="184"/>
      <c r="W6" s="11"/>
      <c r="X6" s="12"/>
      <c r="Y6" s="184"/>
      <c r="Z6" s="184"/>
      <c r="AA6" s="184"/>
      <c r="AB6" s="11"/>
      <c r="AC6" s="12"/>
      <c r="AD6" s="184"/>
      <c r="AE6" s="184"/>
      <c r="AF6" s="184"/>
      <c r="AG6" s="11"/>
      <c r="AH6" s="12"/>
      <c r="AI6" s="184"/>
      <c r="AJ6" s="184"/>
      <c r="AK6" s="184"/>
      <c r="AL6" s="11"/>
      <c r="AM6" s="12"/>
      <c r="AN6" s="184"/>
      <c r="AO6" s="184"/>
      <c r="AP6" s="184"/>
      <c r="AQ6" s="11"/>
      <c r="AR6" s="12"/>
      <c r="AS6" s="184"/>
      <c r="AT6" s="184"/>
      <c r="AU6" s="184"/>
      <c r="AV6" s="11"/>
      <c r="AW6" s="12"/>
      <c r="AX6" s="184"/>
      <c r="AY6" s="184"/>
      <c r="AZ6" s="184"/>
      <c r="BA6" s="11"/>
      <c r="BB6" s="12"/>
      <c r="BC6" s="184"/>
      <c r="BD6" s="184"/>
      <c r="BE6" s="184"/>
      <c r="BF6" s="11"/>
      <c r="BG6" s="12"/>
      <c r="BH6" s="184"/>
      <c r="BI6" s="184"/>
      <c r="BJ6" s="184"/>
      <c r="BK6" s="184"/>
      <c r="BL6" s="184"/>
      <c r="BM6" s="184"/>
      <c r="BN6" s="184"/>
      <c r="BO6" s="184"/>
      <c r="BP6" s="184"/>
    </row>
    <row r="7" ht="28.5" customHeight="1">
      <c r="A7" s="192" t="str">
        <f>IF((SUM(LEN(I11), LEN(N11), LEN(S11), LEN(X11), LEN(AC11), LEN(AH11), LEN(AM11), LEN(AR11), LEN(AW11), LEN(BB11), LEN(BG11)))&gt;0, "FABRIC TOKYO "&amp; $D$1 &amp; " " &amp; TEXT($A$1, "yyyy-m-d") &amp; " お直し適用サイズ" &amp; CHAR(10), "")</f>
        <v>FABRIC TOKYO 有楽町 2025-11-30 お直し適用サイズ
</v>
      </c>
      <c r="B7" s="193"/>
      <c r="C7" s="12"/>
      <c r="D7" s="194" t="s">
        <v>31</v>
      </c>
      <c r="E7" s="12"/>
      <c r="F7" s="12"/>
      <c r="G7" s="12"/>
      <c r="H7" s="11"/>
      <c r="I7" s="11"/>
      <c r="J7" s="12"/>
      <c r="K7" s="12"/>
      <c r="L7" s="12"/>
      <c r="M7" s="11"/>
      <c r="N7" s="12"/>
      <c r="O7" s="12"/>
      <c r="P7" s="12"/>
      <c r="Q7" s="12"/>
      <c r="R7" s="11"/>
      <c r="S7" s="11"/>
      <c r="T7" s="184"/>
      <c r="U7" s="184"/>
      <c r="V7" s="184"/>
      <c r="W7" s="11"/>
      <c r="X7" s="12"/>
      <c r="Y7" s="184"/>
      <c r="Z7" s="184"/>
      <c r="AA7" s="184"/>
      <c r="AB7" s="11"/>
      <c r="AC7" s="12"/>
      <c r="AD7" s="184"/>
      <c r="AE7" s="184"/>
      <c r="AF7" s="184"/>
      <c r="AG7" s="11"/>
      <c r="AH7" s="12"/>
      <c r="AI7" s="184"/>
      <c r="AJ7" s="184"/>
      <c r="AK7" s="184"/>
      <c r="AL7" s="11"/>
      <c r="AM7" s="12"/>
      <c r="AN7" s="184"/>
      <c r="AO7" s="184"/>
      <c r="AP7" s="184"/>
      <c r="AQ7" s="11"/>
      <c r="AR7" s="12"/>
      <c r="AS7" s="184"/>
      <c r="AT7" s="184"/>
      <c r="AU7" s="184"/>
      <c r="AV7" s="11"/>
      <c r="AW7" s="12"/>
      <c r="AX7" s="184"/>
      <c r="AY7" s="184"/>
      <c r="AZ7" s="184"/>
      <c r="BA7" s="11"/>
      <c r="BB7" s="12"/>
      <c r="BC7" s="184"/>
      <c r="BD7" s="184"/>
      <c r="BE7" s="184"/>
      <c r="BF7" s="11"/>
      <c r="BG7" s="12"/>
      <c r="BH7" s="184"/>
      <c r="BI7" s="184"/>
      <c r="BJ7" s="184"/>
      <c r="BK7" s="184"/>
      <c r="BL7" s="184"/>
      <c r="BM7" s="184"/>
      <c r="BN7" s="184"/>
      <c r="BO7" s="184"/>
      <c r="BP7" s="184"/>
    </row>
    <row r="8">
      <c r="A8" s="192" t="str">
        <f>ifs($D$11&lt;&gt;"", 
"FABRIC TOKYO "&amp; $D$1&amp; "" &amp; text($A$1," yyyy-m-d"&amp;" お直し適用サイズ ＊スーツサイズ")
&amp; CHAR(10) &amp;
"FABRIC TOKYO "&amp; $D$1&amp; "" &amp; text($A$1," yyyy-m-d"&amp;" お直し適用サイズ ＊ビジネスカジュアルサイズ" &amp; CHAR(10))
,
$D$11="", "")</f>
        <v>FABRIC TOKYO 有楽町 2025-11-30 お直し適用サイズ ＊スーツサイズ
FABRIC TOKYO 有楽町 2025-11-30 お直し適用サイズ ＊ビジネスカジュアルサイズ
</v>
      </c>
      <c r="B8" s="193"/>
      <c r="C8" s="195"/>
      <c r="D8" s="196">
        <f>IF(OR($D$11="再製作", $I$11="再製作", $N$11="再製作"), "再製作", 
  IF(AND(COUNTIF($E$11:$O$11, "&gt;=" &amp;  TODAY()), COUNTIF($E$11:$O11, "&lt;&gt;")), MAX($D$11, $I$11, $N$11), ""))</f>
        <v>46003</v>
      </c>
      <c r="E8" s="197" t="s">
        <v>32</v>
      </c>
      <c r="F8" s="12"/>
      <c r="G8" s="12"/>
      <c r="H8" s="12"/>
      <c r="I8" s="12"/>
      <c r="J8" s="195"/>
      <c r="K8" s="195"/>
      <c r="L8" s="195"/>
      <c r="M8" s="11"/>
      <c r="N8" s="198" t="s">
        <v>33</v>
      </c>
      <c r="O8" s="12"/>
      <c r="P8" s="12"/>
      <c r="Q8" s="12"/>
      <c r="R8" s="11"/>
      <c r="S8" s="11"/>
      <c r="T8" s="184"/>
      <c r="U8" s="184"/>
      <c r="V8" s="184"/>
      <c r="W8" s="11"/>
      <c r="X8" s="12"/>
      <c r="Y8" s="184"/>
      <c r="Z8" s="184"/>
      <c r="AA8" s="184"/>
      <c r="AB8" s="11"/>
      <c r="AC8" s="12"/>
      <c r="AD8" s="184"/>
      <c r="AE8" s="184"/>
      <c r="AF8" s="184"/>
      <c r="AG8" s="11"/>
      <c r="AH8" s="12"/>
      <c r="AI8" s="184"/>
      <c r="AJ8" s="184"/>
      <c r="AK8" s="184"/>
      <c r="AL8" s="11"/>
      <c r="AM8" s="12"/>
      <c r="AN8" s="184"/>
      <c r="AO8" s="184"/>
      <c r="AP8" s="184"/>
      <c r="AQ8" s="11"/>
      <c r="AR8" s="12"/>
      <c r="AS8" s="184"/>
      <c r="AT8" s="184"/>
      <c r="AU8" s="184"/>
      <c r="AV8" s="11"/>
      <c r="AW8" s="12"/>
      <c r="AX8" s="184"/>
      <c r="AY8" s="184"/>
      <c r="AZ8" s="184"/>
      <c r="BA8" s="11"/>
      <c r="BB8" s="12"/>
      <c r="BC8" s="184"/>
      <c r="BD8" s="184"/>
      <c r="BE8" s="184"/>
      <c r="BF8" s="11"/>
      <c r="BG8" s="12"/>
      <c r="BH8" s="184"/>
      <c r="BI8" s="184"/>
      <c r="BJ8" s="184"/>
      <c r="BK8" s="184"/>
      <c r="BL8" s="184"/>
      <c r="BM8" s="184"/>
      <c r="BN8" s="184"/>
      <c r="BO8" s="184"/>
      <c r="BP8" s="184"/>
    </row>
    <row r="9">
      <c r="A9" s="12"/>
      <c r="B9" s="186"/>
      <c r="C9" s="12"/>
      <c r="D9" s="12"/>
      <c r="E9" s="11"/>
      <c r="F9" s="11"/>
      <c r="G9" s="11"/>
      <c r="H9" s="11"/>
      <c r="I9" s="11"/>
      <c r="J9" s="11"/>
      <c r="K9" s="11"/>
      <c r="L9" s="11"/>
      <c r="M9" s="11"/>
      <c r="N9" s="11"/>
      <c r="O9" s="11"/>
      <c r="P9" s="11"/>
      <c r="Q9" s="11"/>
      <c r="R9" s="11"/>
      <c r="S9" s="12"/>
      <c r="T9" s="184"/>
      <c r="U9" s="184"/>
      <c r="V9" s="184"/>
      <c r="W9" s="11"/>
      <c r="X9" s="12"/>
      <c r="Y9" s="184"/>
      <c r="Z9" s="184"/>
      <c r="AA9" s="184"/>
      <c r="AB9" s="11"/>
      <c r="AC9" s="12"/>
      <c r="AD9" s="184"/>
      <c r="AE9" s="184"/>
      <c r="AF9" s="184"/>
      <c r="AG9" s="11"/>
      <c r="AH9" s="12"/>
      <c r="AI9" s="184"/>
      <c r="AJ9" s="184"/>
      <c r="AK9" s="184"/>
      <c r="AL9" s="11"/>
      <c r="AM9" s="12"/>
      <c r="AN9" s="184"/>
      <c r="AO9" s="184"/>
      <c r="AP9" s="184"/>
      <c r="AQ9" s="11"/>
      <c r="AR9" s="12"/>
      <c r="AS9" s="184"/>
      <c r="AT9" s="184"/>
      <c r="AU9" s="184"/>
      <c r="AV9" s="11"/>
      <c r="AW9" s="12"/>
      <c r="AX9" s="184"/>
      <c r="AY9" s="184"/>
      <c r="AZ9" s="184"/>
      <c r="BA9" s="11"/>
      <c r="BB9" s="12"/>
      <c r="BC9" s="184"/>
      <c r="BD9" s="184"/>
      <c r="BE9" s="184"/>
      <c r="BF9" s="11"/>
      <c r="BG9" s="12"/>
      <c r="BH9" s="184"/>
      <c r="BI9" s="184"/>
      <c r="BJ9" s="184"/>
      <c r="BK9" s="184"/>
      <c r="BL9" s="184"/>
      <c r="BM9" s="184"/>
      <c r="BN9" s="184"/>
      <c r="BO9" s="184"/>
      <c r="BP9" s="184"/>
    </row>
    <row r="10" ht="15.75" customHeight="1">
      <c r="A10" s="199" t="str">
        <f t="array" ref="A10">TRIM(
 IF($A$14&lt;&gt;"",TEXTJOIN(CHAR(10),TRUE,IF($A$14:$A$17&lt;&gt;"",$A$14:$A$17,"")) &amp; CHAR(10) &amp; CHAR(10),"") &amp;
 IF($A$19&lt;&gt;"",TEXTJOIN(CHAR(10),TRUE,IF($A$19:$A$22&lt;&gt;"",$A$19:$A$22,"")) &amp; CHAR(10) &amp; CHAR(10),"") &amp;
 IF($A$24&lt;&gt;"",TEXTJOIN(CHAR(10),TRUE,IF($A$24:$A$27&lt;&gt;"",$A$24:$A$27,"")) &amp; CHAR(10) &amp; CHAR(10),"") &amp;
 IF($A$29&lt;&gt;"",TEXTJOIN(CHAR(10),TRUE,IF($A$29:$A$32&lt;&gt;"",$A$29:$A$32,"")) &amp; CHAR(10) &amp; CHAR(10),"") &amp;
 IF($A$34&lt;&gt;"",TEXTJOIN(CHAR(10),TRUE,IF($A$34:$A$37&lt;&gt;"",$A$34:$A$37,"")) &amp; CHAR(10) &amp; CHAR(10),"") &amp;
 IF($A$39&lt;&gt;"",TEXTJOIN(CHAR(10),TRUE,IF($A$39:$A$42&lt;&gt;"",$A$39:$A$42,"")) &amp; CHAR(10) &amp; CHAR(10),"") &amp;
 IF($A$44&lt;&gt;"",TEXTJOIN(CHAR(10),TRUE,IF($A$44:$A$47&lt;&gt;"",$A$44:$A$47,"")) &amp; CHAR(10) &amp; CHAR(10),"") &amp;
 IF($A$49&lt;&gt;"",TEXTJOIN(CHAR(10),TRUE,IF($A$49:$A$52&lt;&gt;"",$A$49:$A$52,"")) &amp; CHAR(10) &amp; CHAR(10),"") &amp;
 IF($A$54&lt;&gt;"",TEXTJOIN(CHAR(10),TRUE,IF($A$54:$A$57&lt;&gt;"",$A$54:$A$57,"")) &amp; CHAR(10) &amp; CHAR(10),"") &amp;
 IF($A$59&lt;&gt;"",TEXTJOIN(CHAR(10),TRUE,IF($A$59:$A$62&lt;&gt;"",$A$59:$A$62,"")) &amp; CHAR(10) &amp; CHAR(10),"") &amp;
 IF($A$64&lt;&gt;"",TEXTJOIN(CHAR(10),TRUE,IF($A$64:$A$67&lt;&gt;"",$A$64:$A$67,"")) &amp; CHAR(10) &amp; CHAR(10),"") &amp;
 IF($A$69&lt;&gt;"",TEXTJOIN(CHAR(10),TRUE,IF($A$69:$A$72&lt;&gt;"",$A$69:$A$72,"")) &amp; CHAR(10) &amp; CHAR(10),"") 
)
</f>
        <v>◼︎ ジャケット（対応着地：お直し）
《修正数値》
肩巾 : 0.5 cm
バスト : 2 cm
《仕上がり数値》
肩巾 : cm
バスト : cm
◼︎ パンツ（対応着地：お直し）
《修正数値》
パンツウエスト : 2 cm
《仕上がり数値》
パンツウエスト : cm</v>
      </c>
      <c r="B10" s="12"/>
      <c r="C10" s="12"/>
      <c r="D10" s="200" t="s">
        <v>34</v>
      </c>
      <c r="E10" s="201"/>
      <c r="F10" s="201"/>
      <c r="G10" s="202" t="s">
        <v>35</v>
      </c>
      <c r="H10" s="11"/>
      <c r="I10" s="200" t="s">
        <v>36</v>
      </c>
      <c r="J10" s="203"/>
      <c r="K10" s="201"/>
      <c r="L10" s="202" t="s">
        <v>35</v>
      </c>
      <c r="M10" s="11"/>
      <c r="N10" s="204" t="s">
        <v>37</v>
      </c>
      <c r="O10" s="203"/>
      <c r="P10" s="201"/>
      <c r="Q10" s="202" t="s">
        <v>35</v>
      </c>
      <c r="R10" s="11"/>
      <c r="S10" s="200" t="s">
        <v>38</v>
      </c>
      <c r="T10" s="203"/>
      <c r="U10" s="201"/>
      <c r="V10" s="202" t="s">
        <v>35</v>
      </c>
      <c r="W10" s="11"/>
      <c r="X10" s="200" t="s">
        <v>39</v>
      </c>
      <c r="Y10" s="203"/>
      <c r="Z10" s="201"/>
      <c r="AA10" s="202" t="s">
        <v>35</v>
      </c>
      <c r="AB10" s="11"/>
      <c r="AC10" s="200" t="s">
        <v>40</v>
      </c>
      <c r="AD10" s="203"/>
      <c r="AE10" s="201"/>
      <c r="AF10" s="202" t="s">
        <v>35</v>
      </c>
      <c r="AG10" s="11"/>
      <c r="AH10" s="200" t="s">
        <v>41</v>
      </c>
      <c r="AI10" s="203"/>
      <c r="AJ10" s="201"/>
      <c r="AK10" s="202" t="s">
        <v>35</v>
      </c>
      <c r="AL10" s="11"/>
      <c r="AM10" s="200" t="s">
        <v>42</v>
      </c>
      <c r="AN10" s="203"/>
      <c r="AO10" s="201"/>
      <c r="AP10" s="202" t="s">
        <v>35</v>
      </c>
      <c r="AQ10" s="11"/>
      <c r="AR10" s="200" t="s">
        <v>43</v>
      </c>
      <c r="AS10" s="203"/>
      <c r="AT10" s="201"/>
      <c r="AU10" s="202" t="s">
        <v>35</v>
      </c>
      <c r="AV10" s="12"/>
      <c r="AW10" s="200" t="s">
        <v>44</v>
      </c>
      <c r="AX10" s="203"/>
      <c r="AY10" s="201"/>
      <c r="AZ10" s="202" t="s">
        <v>35</v>
      </c>
      <c r="BA10" s="12"/>
      <c r="BB10" s="200" t="s">
        <v>45</v>
      </c>
      <c r="BC10" s="203"/>
      <c r="BD10" s="201"/>
      <c r="BE10" s="202" t="s">
        <v>35</v>
      </c>
      <c r="BF10" s="12"/>
      <c r="BG10" s="200" t="s">
        <v>46</v>
      </c>
      <c r="BH10" s="203"/>
      <c r="BI10" s="201"/>
      <c r="BJ10" s="202" t="s">
        <v>35</v>
      </c>
      <c r="BK10" s="12"/>
      <c r="BL10" s="200" t="s">
        <v>47</v>
      </c>
      <c r="BM10" s="201"/>
      <c r="BN10" s="201"/>
      <c r="BO10" s="202" t="s">
        <v>35</v>
      </c>
      <c r="BP10" s="12"/>
    </row>
    <row r="11" ht="37.5" customHeight="1">
      <c r="A11" s="205" t="s">
        <v>48</v>
      </c>
      <c r="B11" s="206"/>
      <c r="C11" s="207"/>
      <c r="D11" s="196">
        <f t="array" ref="D11">IFS( COUNTA(F$13:F27) = 0, "", COUNTIF(F$13:F27, "再製作") &gt; 0, "再製作", COUNTIF(F$13:F27, "&gt;0") = 1, INDEX(F$13:F27, MATCH(TRUE, ISNUMBER(F$13:F27), 0)), COUNTIF(F$13:F27, "&gt;0") = 2, 'アイテム別限界値DB'!$S$4, COUNTIF(F$13:F27, "&gt;0") &gt;= 3, 'アイテム別限界値DB'!$S$6, TRUE, "" ) </f>
        <v>46003</v>
      </c>
      <c r="E11" s="208" t="s">
        <v>49</v>
      </c>
      <c r="F11" s="202" t="s">
        <v>50</v>
      </c>
      <c r="G11" s="209">
        <f>sum(G12:G72)</f>
        <v>0</v>
      </c>
      <c r="H11" s="206"/>
      <c r="I11" s="196">
        <f t="array" ref="I11">IFS( COUNTA(K$13:K27) = 0, "", COUNTIF(K$13:K27, "再製作") &gt; 0, "再製作", COUNTIF(K$13:K27, "&gt;0") = 1, INDEX(K$13:K27, MATCH(TRUE, ISNUMBER(K$13:K27), 0)), COUNTIF(K$13:K27, "&gt;0") = 2, 'アイテム別限界値DB'!$S$8, COUNTIF(K$13:K27, "&gt;0") &gt;= 3, 'アイテム別限界値DB'!$S$10, TRUE, "" ) </f>
        <v>45996</v>
      </c>
      <c r="J11" s="210" t="s">
        <v>49</v>
      </c>
      <c r="K11" s="202" t="s">
        <v>50</v>
      </c>
      <c r="L11" s="209">
        <f>sum(L12:L72)</f>
        <v>0</v>
      </c>
      <c r="M11" s="206"/>
      <c r="N11" s="196" t="str">
        <f t="array" ref="N11">IFS( COUNTA(P$13:P27) = 0, "", COUNTIF(P$13:P27, "再製作") &gt; 0, "再製作", COUNTIF(P$13:P27, "&gt;0") = 1, INDEX(P$13:P27, MATCH(TRUE, ISNUMBER(P$13:P27), 0)), COUNTIF(P$13:P27, "&gt;0") = 2, 'アイテム別限界値DB'!$S$4, COUNTIF(P$13:P27, "&gt;0") &gt;= 3, 'アイテム別限界値DB'!$S$6, TRUE, "" ) </f>
        <v/>
      </c>
      <c r="O11" s="210" t="s">
        <v>49</v>
      </c>
      <c r="P11" s="202" t="s">
        <v>50</v>
      </c>
      <c r="Q11" s="209">
        <f>sum(Q12:Q72)</f>
        <v>0</v>
      </c>
      <c r="R11" s="211"/>
      <c r="S11" s="196" t="str">
        <f t="array" ref="S11">IFS( COUNTA(U$13:U27) = 0, "", COUNTIF(U$13:U27, "再製作") &gt; 0, "再製作", COUNTIF(U$13:U27, "&gt;0") = 1, INDEX(U$13:U27, MATCH(TRUE, ISNUMBER(U$13:U27), 0)), COUNTIF(U$13:U27, "&gt;0") = 2, 'アイテム別限界値DB'!$S$8, COUNTIF(U$13:U27, "&gt;0") &gt;= 3, 'アイテム別限界値DB'!$S$10, TRUE, "" ) </f>
        <v/>
      </c>
      <c r="T11" s="210" t="s">
        <v>49</v>
      </c>
      <c r="U11" s="202" t="s">
        <v>50</v>
      </c>
      <c r="V11" s="209">
        <f>sum(V12:V72)</f>
        <v>0</v>
      </c>
      <c r="W11" s="212"/>
      <c r="X11" s="196" t="str">
        <f t="array" ref="X11">IFS( COUNTA(Z$13:Z27) = 0, "", COUNTIF(Z$13:Z27, "再製作") &gt; 0, "再製作", COUNTIF(Z$13:Z27, "&gt;0") = 1, INDEX(Z$13:Z27, MATCH(TRUE, ISNUMBER(Z$13:Z27), 0)), COUNTIF(Z$13:Z27, "&gt;0") = 2, 'アイテム別限界値DB'!$S$4, COUNTIF(Z$13:Z27, "&gt;0") &gt;= 3, 'アイテム別限界値DB'!$S$6, TRUE, "" ) </f>
        <v/>
      </c>
      <c r="Y11" s="210" t="s">
        <v>49</v>
      </c>
      <c r="Z11" s="202" t="s">
        <v>50</v>
      </c>
      <c r="AA11" s="209">
        <f>sum(AA12:AA72)</f>
        <v>0</v>
      </c>
      <c r="AB11" s="211"/>
      <c r="AC11" s="196" t="str">
        <f t="array" ref="AC11">IFS( COUNTA(AE$13:AE27) = 0, "", COUNTIF(AE$13:AE27, "再製作") &gt; 0, "再製作", COUNTIF(AE$13:AE27, "&gt;0") = 1, INDEX(AE$13:AE27, MATCH(TRUE, ISNUMBER(AE$13:AE27), 0)), COUNTIF(AE$13:AE27, "&gt;0") = 2, 'アイテム別限界値DB'!$S$4, COUNTIF(AE$13:AE27, "&gt;0") &gt;= 3, 'アイテム別限界値DB'!$S$6, TRUE, "" ) </f>
        <v/>
      </c>
      <c r="AD11" s="210" t="s">
        <v>49</v>
      </c>
      <c r="AE11" s="202" t="s">
        <v>50</v>
      </c>
      <c r="AF11" s="209">
        <f>sum(AF12:AF72)</f>
        <v>0</v>
      </c>
      <c r="AG11" s="211"/>
      <c r="AH11" s="196" t="str">
        <f t="array" ref="AH11">IFS( COUNTA(AJ$13:AJ27) = 0, "", COUNTIF(AJ$13:AJ27, "再製作") &gt; 0, "再製作", COUNTIF(AJ$13:AJ27, "&gt;0") = 1, INDEX(AJ$13:AJ27, MATCH(TRUE, ISNUMBER(AJ$13:AJ27), 0)), COUNTIF(AJ$13:AJ27, "&gt;0") = 2, 'アイテム別限界値DB'!$S$4, COUNTIF(AJ$13:AJ27, "&gt;0") &gt;= 3, 'アイテム別限界値DB'!$S$6, TRUE, "" ) </f>
        <v/>
      </c>
      <c r="AI11" s="210" t="s">
        <v>49</v>
      </c>
      <c r="AJ11" s="202" t="s">
        <v>50</v>
      </c>
      <c r="AK11" s="209">
        <f>sum(AK12:AK72)</f>
        <v>0</v>
      </c>
      <c r="AL11" s="211"/>
      <c r="AM11" s="196" t="str">
        <f t="array" ref="AM11">IFS( COUNTA(AO$13:AO27) = 0, "", COUNTIF(AO$13:AO27, "再製作") &gt; 0, "再製作", COUNTIF(AO$13:AO27, "&gt;0") = 1, INDEX(AO$13:AO27, MATCH(TRUE, ISNUMBER(AO$13:AO27), 0)), COUNTIF(AO$13:AO27, "&gt;0") = 2, 'アイテム別限界値DB'!$S$4, COUNTIF(AO$13:AO27, "&gt;0") &gt;= 3, 'アイテム別限界値DB'!$S$6, TRUE, "" ) </f>
        <v/>
      </c>
      <c r="AN11" s="210" t="s">
        <v>49</v>
      </c>
      <c r="AO11" s="202" t="s">
        <v>50</v>
      </c>
      <c r="AP11" s="209">
        <f>sum(AP12:AP72)</f>
        <v>0</v>
      </c>
      <c r="AQ11" s="211"/>
      <c r="AR11" s="196" t="str">
        <f t="array" ref="AR11">IFS( COUNTA(AT$13:AT27) = 0, "", COUNTIF(AT$13:AT27, "再製作") &gt; 0, "再製作", COUNTIF(AT$13:AT27, "&gt;0") = 1, INDEX(AT$13:AT27, MATCH(TRUE, ISNUMBER(AT$13:AT27), 0)), COUNTIF(AT$13:AT27, "&gt;0") = 2, 'アイテム別限界値DB'!$S$4, COUNTIF(AT$13:AT27, "&gt;0") &gt;= 3, 'アイテム別限界値DB'!$S$6, TRUE, "" ) </f>
        <v/>
      </c>
      <c r="AS11" s="210" t="s">
        <v>49</v>
      </c>
      <c r="AT11" s="202" t="s">
        <v>50</v>
      </c>
      <c r="AU11" s="209">
        <f>sum(AU12:AU72)</f>
        <v>0</v>
      </c>
      <c r="AV11" s="213"/>
      <c r="AW11" s="196" t="str">
        <f t="array" ref="AW11">IFS( COUNTA(AY$13:AY27) = 0, "", COUNTIF(AY$13:AY27, "再製作") &gt; 0, "再製作", COUNTIF(AY$13:AY27, "&gt;0") = 1, INDEX(AY$13:AY27, MATCH(TRUE, ISNUMBER(AY$13:AY27), 0)), COUNTIF(AY$13:AY27, "&gt;0") = 2, 'アイテム別限界値DB'!$S$4, COUNTIF(AY$13:AY27, "&gt;0") &gt;= 3, 'アイテム別限界値DB'!$S$6, TRUE, "" ) </f>
        <v/>
      </c>
      <c r="AX11" s="210" t="s">
        <v>49</v>
      </c>
      <c r="AY11" s="202" t="s">
        <v>50</v>
      </c>
      <c r="AZ11" s="209">
        <f>sum(AZ12:AZ72)</f>
        <v>0</v>
      </c>
      <c r="BA11" s="213"/>
      <c r="BB11" s="196" t="str">
        <f t="array" ref="BB11">IFS( COUNTA(BD$13:BD27) = 0, "", COUNTIF(BD$13:BD27, "再製作") &gt; 0, "再製作", COUNTIF(BD$13:BD27, "&gt;0") = 1, INDEX(BD$13:BD27, MATCH(TRUE, ISNUMBER(BD$13:BD27), 0)), COUNTIF(BD$13:BD27, "&gt;0") = 2, 'アイテム別限界値DB'!$S$4, COUNTIF(BD$13:BD27, "&gt;0") &gt;= 3, 'アイテム別限界値DB'!$S$6, TRUE, "" ) </f>
        <v/>
      </c>
      <c r="BC11" s="210" t="s">
        <v>49</v>
      </c>
      <c r="BD11" s="202" t="s">
        <v>50</v>
      </c>
      <c r="BE11" s="209">
        <f>sum(BE12:BE72)</f>
        <v>0</v>
      </c>
      <c r="BF11" s="213"/>
      <c r="BG11" s="196" t="str">
        <f t="array" ref="BG11">IFS( COUNTA(BI$13:BI27) = 0, "", COUNTIF(BI$13:BI27, "再製作") &gt; 0, "再製作", COUNTIF(BI$13:BI27, "&gt;0") = 1, INDEX(BI$13:BI27, MATCH(TRUE, ISNUMBER(BI$13:BI27), 0)), COUNTIF(BI$13:BI27, "&gt;0") = 2, 'アイテム別限界値DB'!$S$4, COUNTIF(BI$13:BI27, "&gt;0") &gt;= 3, 'アイテム別限界値DB'!$S$6, TRUE, "" ) </f>
        <v/>
      </c>
      <c r="BH11" s="210" t="s">
        <v>49</v>
      </c>
      <c r="BI11" s="202" t="s">
        <v>50</v>
      </c>
      <c r="BJ11" s="209">
        <f>sum(BJ12:BJ72)</f>
        <v>0</v>
      </c>
      <c r="BK11" s="213"/>
      <c r="BL11" s="196">
        <f t="array" ref="BL11">IFS( COUNTA(BN$13:BN27) = 0, "", COUNTIF(BN$13:BN27, "再製作") &gt; 0, "再製作", COUNTIF(BN$13:BN27, "&gt;0") = 1, INDEX(BN$13:BN27, MATCH(TRUE, ISNUMBER(BN$13:BN27), 0)), COUNTIF(BN$13:BN27, "&gt;0") = 2, 'アイテム別限界値DB'!$S$4, COUNTIF(BN$13:BN27, "&gt;0") &gt;= 3, 'アイテム別限界値DB'!$S$6, TRUE, "" ) </f>
        <v>46003</v>
      </c>
      <c r="BM11" s="214" t="s">
        <v>49</v>
      </c>
      <c r="BN11" s="215" t="s">
        <v>50</v>
      </c>
      <c r="BO11" s="209">
        <f>sum(BO12:BO72)</f>
        <v>0</v>
      </c>
      <c r="BP11" s="213"/>
    </row>
    <row r="12" ht="15.75" hidden="1" customHeight="1">
      <c r="A12" s="11"/>
      <c r="B12" s="11"/>
      <c r="C12" s="11"/>
      <c r="D12" s="216" t="s">
        <v>51</v>
      </c>
      <c r="E12" s="217" t="str">
        <f>IF(D11="再製作", "再製作", IF(D11&lt;&gt;"", "お直し", ""))
</f>
        <v>お直し</v>
      </c>
      <c r="F12" s="195"/>
      <c r="G12" s="218" t="str">
        <f t="array" ref="G12">IF(
  E12 = "再製作", 
  "", 
 if(E12="", "",
  IFERROR(
    INDEX(
      'アイテム別限界値DB'!$L:$L, 
      MATCH(
        1, 
        ('アイテム別限界値DB'!$B:$B = D$10) * 
        ('アイテム別限界値DB'!$C:$C = D12), 
        0
      )
    ), 
    "再製作"
  )
))
</f>
        <v/>
      </c>
      <c r="H12" s="12"/>
      <c r="I12" s="216" t="s">
        <v>51</v>
      </c>
      <c r="J12" s="217" t="str">
        <f>IF(I11="再製作", "再製作", IF(I11&lt;&gt;"", "お直し", ""))
</f>
        <v>お直し</v>
      </c>
      <c r="K12" s="195"/>
      <c r="L12" s="218" t="str">
        <f t="array" ref="L12">IF(
  J12 = "再製作", 
  "", 
 if(J12="", "",
  IFERROR(
    INDEX(
      'アイテム別限界値DB'!$L:$L, 
      MATCH(
        1, 
        ('アイテム別限界値DB'!$B:$B = I$10) * 
        ('アイテム別限界値DB'!$C:$C = I12), 
        0
      )
    ), 
    "再製作"
  )
))
</f>
        <v/>
      </c>
      <c r="M12" s="121"/>
      <c r="N12" s="216" t="s">
        <v>51</v>
      </c>
      <c r="O12" s="217" t="str">
        <f>IF(N11="再製作", "再製作", IF(N11&lt;&gt;"", "お直し", ""))
</f>
        <v/>
      </c>
      <c r="P12" s="195"/>
      <c r="Q12" s="218" t="str">
        <f t="array" ref="Q12">IF(
  O12 = "再製作", 
  "", 
 if(O12="", "",
  IFERROR(
    INDEX(
      'アイテム別限界値DB'!$L:$L, 
      MATCH(
        1, 
        ('アイテム別限界値DB'!$B:$B = N$10) * 
        ('アイテム別限界値DB'!$C:$C = N12), 
        0
      )
    ), 
    "再製作"
  )
))
</f>
        <v/>
      </c>
      <c r="R12" s="11"/>
      <c r="S12" s="216" t="s">
        <v>51</v>
      </c>
      <c r="T12" s="219" t="str">
        <f>IF(S11="再製作", "再製作", IF(S11&lt;&gt;"", "お直し", ""))
</f>
        <v/>
      </c>
      <c r="U12" s="220"/>
      <c r="V12" s="218" t="str">
        <f t="array" ref="V12">IF(
  T12 = "再製作", 
  "", 
 if(T12="", "",
  IFERROR(
    INDEX(
      'アイテム別限界値DB'!$L:$L, 
      MATCH(
        1, 
        ('アイテム別限界値DB'!$B:$B = S$10) * 
        ('アイテム別限界値DB'!$C:$C = S12), 
        0
      )
    ), 
    "再製作"
  )
))
</f>
        <v/>
      </c>
      <c r="W12" s="12"/>
      <c r="X12" s="216" t="s">
        <v>51</v>
      </c>
      <c r="Y12" s="219" t="str">
        <f>IF(X11="再製作", "再製作", IF(X11&lt;&gt;"", "お直し", ""))
</f>
        <v/>
      </c>
      <c r="Z12" s="220"/>
      <c r="AA12" s="218" t="str">
        <f t="array" ref="AA12">IF(
  Y12 = "再製作", 
  "", 
 if(Y12="", "",
  IFERROR(
    INDEX(
      'アイテム別限界値DB'!$L:$L, 
      MATCH(
        1, 
        ('アイテム別限界値DB'!$B:$B = X$10) * 
        ('アイテム別限界値DB'!$C:$C = X12), 
        0
      )
    ), 
    "再製作"
  )
))
</f>
        <v/>
      </c>
      <c r="AB12" s="11"/>
      <c r="AC12" s="216" t="s">
        <v>51</v>
      </c>
      <c r="AD12" s="219" t="str">
        <f>IF(AC11="再製作", "再製作", IF(AC11&lt;&gt;"", "お直し", ""))
</f>
        <v/>
      </c>
      <c r="AE12" s="220"/>
      <c r="AF12" s="218" t="str">
        <f t="array" ref="AF12">IF(
  AD12 = "再製作", 
  "", 
 if(AD12="", "",
  IFERROR(
    INDEX(
      'アイテム別限界値DB'!$L:$L, 
      MATCH(
        1, 
        ('アイテム別限界値DB'!$B:$B = AC$10) * 
        ('アイテム別限界値DB'!$C:$C = AC12), 
        0
      )
    ), 
    "再製作"
  )
))
</f>
        <v/>
      </c>
      <c r="AG12" s="11"/>
      <c r="AH12" s="216" t="s">
        <v>51</v>
      </c>
      <c r="AI12" s="219" t="str">
        <f>IF(AH11="再製作", "再製作", IF(AH11&lt;&gt;"", "お直し", ""))
</f>
        <v/>
      </c>
      <c r="AJ12" s="220"/>
      <c r="AK12" s="218" t="str">
        <f t="array" ref="AK12">IF(
  AI12 = "再製作", 
  "", 
 if(AI12="", "",
  IFERROR(
    INDEX(
      'アイテム別限界値DB'!$L:$L, 
      MATCH(
        1, 
        ('アイテム別限界値DB'!$B:$B = AH$10) * 
        ('アイテム別限界値DB'!$C:$C = AH12), 
        0
      )
    ), 
    "再製作"
  )
))
</f>
        <v/>
      </c>
      <c r="AL12" s="11"/>
      <c r="AM12" s="216" t="s">
        <v>51</v>
      </c>
      <c r="AN12" s="219" t="str">
        <f>IF(AM11="再製作", "再製作", IF(AM11&lt;&gt;"", "お直し", ""))
</f>
        <v/>
      </c>
      <c r="AO12" s="220"/>
      <c r="AP12" s="218" t="str">
        <f t="array" ref="AP12">IF(
  AN12 = "再製作", 
  "", 
 if(AN12="", "",
  IFERROR(
    INDEX(
      'アイテム別限界値DB'!$L:$L, 
      MATCH(
        1, 
        ('アイテム別限界値DB'!$B:$B = AM$10) * 
        ('アイテム別限界値DB'!$C:$C = AM12), 
        0
      )
    ), 
    "再製作"
  )
))
</f>
        <v/>
      </c>
      <c r="AQ12" s="11"/>
      <c r="AR12" s="216" t="s">
        <v>51</v>
      </c>
      <c r="AS12" s="219" t="str">
        <f>IF(AR11="再製作", "再製作", IF(AR11&lt;&gt;"", "お直し", ""))
</f>
        <v/>
      </c>
      <c r="AT12" s="220"/>
      <c r="AU12" s="218" t="str">
        <f t="array" ref="AU12">IF(
  AS12 = "再製作", 
  "", 
 if(AS12="", "",
  IFERROR(
    INDEX(
      'アイテム別限界値DB'!$L:$L, 
      MATCH(
        1, 
        ('アイテム別限界値DB'!$B:$B = AR$10) * 
        ('アイテム別限界値DB'!$C:$C = AR12), 
        0
      )
    ), 
    "再製作"
  )
))
</f>
        <v/>
      </c>
      <c r="AV12" s="121"/>
      <c r="AW12" s="216" t="s">
        <v>51</v>
      </c>
      <c r="AX12" s="219" t="str">
        <f>IF(AW11="再製作", "再製作", IF(AW11&lt;&gt;"", "お直し", ""))
</f>
        <v/>
      </c>
      <c r="AY12" s="220"/>
      <c r="AZ12" s="218" t="str">
        <f t="array" ref="AZ12">IF(
  AX12 = "再製作", 
  "", 
 if(AX12="", "",
  IFERROR(
    INDEX(
      'アイテム別限界値DB'!$L:$L, 
      MATCH(
        1, 
        ('アイテム別限界値DB'!$B:$B = AW$10) * 
        ('アイテム別限界値DB'!$C:$C = AW12), 
        0
      )
    ), 
    "再製作"
  )
))
</f>
        <v/>
      </c>
      <c r="BA12" s="121"/>
      <c r="BB12" s="216" t="s">
        <v>51</v>
      </c>
      <c r="BC12" s="217" t="str">
        <f>IF(BB11="再製作", "再製作", IF(BB11&lt;&gt;"", "お直し", ""))
</f>
        <v/>
      </c>
      <c r="BD12" s="195"/>
      <c r="BE12" s="218" t="str">
        <f t="array" ref="BE12">IF(
  BC12 = "再製作", 
  "", 
 if(BC12="", "",
  IFERROR(
    INDEX(
      'アイテム別限界値DB'!$L:$L, 
      MATCH(
        1, 
        ('アイテム別限界値DB'!$B:$B = BB$10) * 
        ('アイテム別限界値DB'!$C:$C = BB12), 
        0
      )
    ), 
    "再製作"
  )
))
</f>
        <v/>
      </c>
      <c r="BF12" s="121"/>
      <c r="BG12" s="216" t="s">
        <v>51</v>
      </c>
      <c r="BH12" s="217" t="str">
        <f>IF(BG11="再製作", "再製作", IF(BG11&lt;&gt;"", "お直し", ""))
</f>
        <v/>
      </c>
      <c r="BI12" s="195"/>
      <c r="BJ12" s="218" t="str">
        <f t="array" ref="BJ12">IF(
  BH12 = "再製作", 
  "", 
 if(BH12="", "",
  IFERROR(
    INDEX(
      'アイテム別限界値DB'!$L:$L, 
      MATCH(
        1, 
        ('アイテム別限界値DB'!$B:$B = BG$10) * 
        ('アイテム別限界値DB'!$C:$C = BG12), 
        0
      )
    ), 
    "再製作"
  )
))
</f>
        <v/>
      </c>
      <c r="BK12" s="121"/>
      <c r="BL12" s="221" t="s">
        <v>51</v>
      </c>
      <c r="BM12" s="219" t="str">
        <f>IF(BL11="再製作", "再製作", IF(BL11&lt;&gt;"", "お直し", ""))
</f>
        <v>お直し</v>
      </c>
      <c r="BN12" s="195"/>
      <c r="BO12" s="218" t="str">
        <f t="array" ref="BO12">IF(
  BM12 = "再製作", 
  "", 
 if(BM12="", "",
  IFERROR(
    INDEX(
      'アイテム別限界値DB'!$L:$L, 
      MATCH(
        1, 
        ('アイテム別限界値DB'!$B:$B = BL$10) * 
        ('アイテム別限界値DB'!$C:$C = BL12), 
        0
      )
    ), 
    "再製作"
  )
))
</f>
        <v/>
      </c>
      <c r="BP12" s="195"/>
    </row>
    <row r="13" ht="18.75" hidden="1" customHeight="1">
      <c r="A13" s="222" t="s">
        <v>52</v>
      </c>
      <c r="B13" s="12"/>
      <c r="C13" s="12"/>
      <c r="D13" s="223" t="b">
        <f t="array" ref="D13:D42">UNIQUE(IF( ('アイテム別限界値DB'!$B:$B = D$10) * ('アイテム別限界値DB'!$A:$A = "サイズ"),  IF('アイテム別限界値DB'!$B:$B = D$10, 'アイテム別限界値DB'!$F:$F, "") ))</f>
        <v>0</v>
      </c>
      <c r="E13" s="224"/>
      <c r="F13" s="12"/>
      <c r="G13" s="121"/>
      <c r="H13" s="12"/>
      <c r="I13" s="223" t="b">
        <f t="array" ref="I13:I27">UNIQUE(IF( ('アイテム別限界値DB'!$B:$B = I$10) * ('アイテム別限界値DB'!$A:$A = "サイズ"),  IF('アイテム別限界値DB'!$B:$B = I$10, 'アイテム別限界値DB'!$F:$F, "") ))</f>
        <v>0</v>
      </c>
      <c r="J13" s="224"/>
      <c r="K13" s="12"/>
      <c r="L13" s="121"/>
      <c r="M13" s="12"/>
      <c r="N13" s="223" t="b">
        <f t="array" ref="N13:N21">UNIQUE(IF( ('アイテム別限界値DB'!$B:$B = N$10) * ('アイテム別限界値DB'!$A:$A = "サイズ"),  IF('アイテム別限界値DB'!$B:$B = N$10, 'アイテム別限界値DB'!$C:$C, "") ))</f>
        <v>0</v>
      </c>
      <c r="O13" s="224"/>
      <c r="P13" s="12"/>
      <c r="Q13" s="121"/>
      <c r="R13" s="11"/>
      <c r="S13" s="223" t="b">
        <f t="array" ref="S13:S28">UNIQUE(IF( ('アイテム別限界値DB'!$B:$B = S$10) * ('アイテム別限界値DB'!$A:$A = "サイズ"),  IF('アイテム別限界値DB'!$B:$B = S$10, 'アイテム別限界値DB'!$F:$F, "") ))</f>
        <v>0</v>
      </c>
      <c r="T13" s="225"/>
      <c r="U13" s="226"/>
      <c r="V13" s="121"/>
      <c r="W13" s="12"/>
      <c r="X13" s="223" t="b">
        <f t="array" ref="X13:X31">UNIQUE(IF( ('アイテム別限界値DB'!$B:$B = X$10) * ('アイテム別限界値DB'!$A:$A = "サイズ"),  IF('アイテム別限界値DB'!$B:$B = X$10, 'アイテム別限界値DB'!$C:$C, "") ))</f>
        <v>0</v>
      </c>
      <c r="Y13" s="225"/>
      <c r="Z13" s="226"/>
      <c r="AA13" s="121"/>
      <c r="AB13" s="11"/>
      <c r="AC13" s="223" t="b">
        <f t="array" ref="AC13:AC29">UNIQUE(IF( ('アイテム別限界値DB'!$B:$B = AC$10) * ('アイテム別限界値DB'!$A:$A = "サイズ"),  IF('アイテム別限界値DB'!$B:$B = AC$10, 'アイテム別限界値DB'!$F:$F, "") ))</f>
        <v>0</v>
      </c>
      <c r="AD13" s="225"/>
      <c r="AE13" s="226"/>
      <c r="AF13" s="121"/>
      <c r="AG13" s="11"/>
      <c r="AH13" s="223" t="b">
        <f t="array" ref="AH13:AH20">UNIQUE(IF( ('アイテム別限界値DB'!$B:$B = AH$10) * ('アイテム別限界値DB'!$A:$A = "サイズ"),  IF('アイテム別限界値DB'!$B:$B = AH$10, 'アイテム別限界値DB'!$F:$F, "") ))</f>
        <v>0</v>
      </c>
      <c r="AI13" s="225"/>
      <c r="AJ13" s="226"/>
      <c r="AK13" s="121"/>
      <c r="AL13" s="11"/>
      <c r="AM13" s="223" t="b">
        <f t="array" ref="AM13:AM20">UNIQUE(IF( ('アイテム別限界値DB'!$B:$B = AM$10) * ('アイテム別限界値DB'!$A:$A = "サイズ"),  IF('アイテム別限界値DB'!$B:$B = AM$10, 'アイテム別限界値DB'!$F:$F, "") ))</f>
        <v>0</v>
      </c>
      <c r="AN13" s="225"/>
      <c r="AO13" s="226"/>
      <c r="AP13" s="121"/>
      <c r="AQ13" s="11"/>
      <c r="AR13" s="223" t="b">
        <f t="array" ref="AR13:AR20">UNIQUE(IF( ('アイテム別限界値DB'!$B:$B = AR$10) * ('アイテム別限界値DB'!$A:$A = "サイズ"),  IF('アイテム別限界値DB'!$B:$B = AR$10, 'アイテム別限界値DB'!$F:$F, "") ))</f>
        <v>0</v>
      </c>
      <c r="AS13" s="225"/>
      <c r="AT13" s="226"/>
      <c r="AU13" s="121"/>
      <c r="AV13" s="121"/>
      <c r="AW13" s="223" t="b">
        <f t="array" ref="AW13:AW20">UNIQUE(IF( ('アイテム別限界値DB'!$B:$B = AW$10) * ('アイテム別限界値DB'!$A:$A = "サイズ"),  IF('アイテム別限界値DB'!$B:$B = AW$10, 'アイテム別限界値DB'!$F:$F, "") ))</f>
        <v>0</v>
      </c>
      <c r="AX13" s="225"/>
      <c r="AY13" s="226"/>
      <c r="AZ13" s="121"/>
      <c r="BA13" s="121"/>
      <c r="BB13" s="223" t="b">
        <f t="array" ref="BB13:BB20">UNIQUE(IF( ('アイテム別限界値DB'!$B:$B = BB$10) * ('アイテム別限界値DB'!$A:$A = "サイズ"),  IF('アイテム別限界値DB'!$B:$B = BB$10, 'アイテム別限界値DB'!$F:$F, "") ))</f>
        <v>0</v>
      </c>
      <c r="BC13" s="224"/>
      <c r="BD13" s="12"/>
      <c r="BE13" s="121"/>
      <c r="BF13" s="121"/>
      <c r="BG13" s="223" t="b">
        <f t="array" ref="BG13:BG20">UNIQUE(IF( ('アイテム別限界値DB'!$B:$B = BG$10) * ('アイテム別限界値DB'!$A:$A = "サイズ"),  IF('アイテム別限界値DB'!$B:$B = BG$10, 'アイテム別限界値DB'!$F:$F, "") ))</f>
        <v>0</v>
      </c>
      <c r="BH13" s="224"/>
      <c r="BI13" s="12"/>
      <c r="BJ13" s="121"/>
      <c r="BK13" s="121"/>
      <c r="BL13" s="227" t="b">
        <f t="array" ref="BL13:BL23">UNIQUE(IF( ('アイテム別限界値DB'!$B:$B = BL$10) * ('アイテム別限界値DB'!$A:$A = "サイズ"),  IF('アイテム別限界値DB'!$B:$B = BL$10, 'アイテム別限界値DB'!$F:$F, "") ))</f>
        <v>0</v>
      </c>
      <c r="BM13" s="224"/>
      <c r="BN13" s="121"/>
      <c r="BO13" s="121"/>
      <c r="BP13" s="121"/>
    </row>
    <row r="14" ht="18.75" customHeight="1">
      <c r="A14" s="228" t="str">
        <f>IF($D$11 = "再製作", "◼︎ ジャケット（対応着地：再製作）" &amp; char(10) &amp; "《修正数値》", IF( $D$11 &lt;&gt;"", "◼︎ ジャケット（対応着地：お直し）" &amp; char(10) &amp; "《修正数値》", ""))</f>
        <v>◼︎ ジャケット（対応着地：お直し）
《修正数値》</v>
      </c>
      <c r="B14" s="229"/>
      <c r="C14" s="224"/>
      <c r="D14" s="224" t="s">
        <v>51</v>
      </c>
      <c r="E14" s="232"/>
      <c r="F14" s="231" t="str">
        <f t="array" ref="F14">IF(
  E14 = 0, 
  "", 
  IFERROR(
    INDEX(
      'アイテム別限界値DB'!$K:$K, 
      MATCH(
        1, 
        ('アイテム別限界値DB'!$B:$B = D$10) * 
        ('アイテム別限界値DB'!$F:$F = D14) * 
        ('アイテム別限界値DB'!$H:$H = E14), 
        0
      )
    ), 
    "再製作"
  )
)
</f>
        <v/>
      </c>
      <c r="G14" s="218" t="str">
        <f t="array" ref="G14">IF(
  E14 = 0, 
  "", 
  IFERROR(
    INDEX(
      'アイテム別限界値DB'!$L:$L, 
      MATCH(
        1, 
        ('アイテム別限界値DB'!$B:$B = D$10) * 
        ('アイテム別限界値DB'!$C:$C = D14) * 
        ('アイテム別限界値DB'!$F:$F = E14), 
        0
      )
    ), 
    ""
  )
)
</f>
        <v/>
      </c>
      <c r="H14" s="195"/>
      <c r="I14" s="224" t="s">
        <v>51</v>
      </c>
      <c r="J14" s="232"/>
      <c r="K14" s="231" t="str">
        <f t="array" ref="K14">IF(
  J14 = 0, 
  "", 
  IFERROR(
    INDEX(
      'アイテム別限界値DB'!$K:$K, 
      MATCH(
        1, 
        ('アイテム別限界値DB'!$B:$B = I$10) * 
        ('アイテム別限界値DB'!$F:$F = I14) * 
        ('アイテム別限界値DB'!$H:$H = J14), 
        0
      )
    ), 
    "再製作"
  )
)
</f>
        <v/>
      </c>
      <c r="L14" s="218" t="str">
        <f t="array" ref="L14">IF(
  J14 = 0, 
  "", 
  IFERROR(
    INDEX(
      'アイテム別限界値DB'!$L:$L, 
      MATCH(
        1, 
        ('アイテム別限界値DB'!$B:$B = I$10) * 
        ('アイテム別限界値DB'!$C:$C = I14) * 
        ('アイテム別限界値DB'!$F:$F = J14), 
        0
      )
    ), 
    ""
  )
)
</f>
        <v/>
      </c>
      <c r="M14" s="12"/>
      <c r="N14" s="224" t="s">
        <v>51</v>
      </c>
      <c r="O14" s="232"/>
      <c r="P14" s="231" t="str">
        <f t="array" ref="P14">IF(
  O14 = 0, 
  "", 
  IFERROR(
    INDEX(
      'アイテム別限界値DB'!$K:$K, 
      MATCH(
        1, 
        ('アイテム別限界値DB'!$B:$B = N$10) * 
        ('アイテム別限界値DB'!$F:$F = N14) * 
        ('アイテム別限界値DB'!$H:$H = O14), 
        0
      )
    ), 
    "再製作"
  )
)
</f>
        <v/>
      </c>
      <c r="Q14" s="218" t="str">
        <f t="array" ref="Q14">IF(
  O14 = 0, 
  "", 
  IFERROR(
    INDEX(
      'アイテム別限界値DB'!$L:$L, 
      MATCH(
        1, 
        ('アイテム別限界値DB'!$B:$B = N$10) * 
        ('アイテム別限界値DB'!$C:$C = N14) * 
        ('アイテム別限界値DB'!$F:$F = O14), 
        0
      )
    ), 
    ""
  )
)
</f>
        <v/>
      </c>
      <c r="R14" s="12"/>
      <c r="S14" s="224" t="s">
        <v>51</v>
      </c>
      <c r="T14" s="232"/>
      <c r="U14" s="231" t="str">
        <f t="array" ref="U14">IF(
  T14 = 0, 
  "", 
  IFERROR(
    INDEX(
      'アイテム別限界値DB'!$K:$K, 
      MATCH(
        1, 
        ('アイテム別限界値DB'!$B:$B = S$10) * 
        ('アイテム別限界値DB'!$F:$F = S14) * 
        ('アイテム別限界値DB'!$H:$H = T14), 
        0
      )
    ), 
    "再製作"
  )
)
</f>
        <v/>
      </c>
      <c r="V14" s="218" t="str">
        <f t="array" ref="V14">IF(
  T14 = 0, 
  "", 
  IFERROR(
    INDEX(
      'アイテム別限界値DB'!$L:$L, 
      MATCH(
        1, 
        ('アイテム別限界値DB'!$B:$B = S$10) * 
        ('アイテム別限界値DB'!$C:$C = S14) * 
        ('アイテム別限界値DB'!$F:$F = T14), 
        0
      )
    ), 
    ""
  )
)
</f>
        <v/>
      </c>
      <c r="W14" s="12"/>
      <c r="X14" s="224" t="s">
        <v>51</v>
      </c>
      <c r="Y14" s="232"/>
      <c r="Z14" s="231" t="str">
        <f t="array" ref="Z14">IF(
  Y14 = 0, 
  "", 
  IFERROR(
    INDEX(
      'アイテム別限界値DB'!$K:$K, 
      MATCH(
        1, 
        ('アイテム別限界値DB'!$B:$B = X$10) * 
        ('アイテム別限界値DB'!$F:$F = X14) * 
        ('アイテム別限界値DB'!$H:$H = Y14), 
        0
      )
    ), 
    "再製作"
  )
)
</f>
        <v/>
      </c>
      <c r="AA14" s="218" t="str">
        <f t="array" ref="AA14">IF(
  Y14 = 0, 
  "", 
  IFERROR(
    INDEX(
      'アイテム別限界値DB'!$L:$L, 
      MATCH(
        1, 
        ('アイテム別限界値DB'!$B:$B = X$10) * 
        ('アイテム別限界値DB'!$C:$C = X14) * 
        ('アイテム別限界値DB'!$F:$F = Y14), 
        0
      )
    ), 
    ""
  )
)
</f>
        <v/>
      </c>
      <c r="AB14" s="11"/>
      <c r="AC14" s="224" t="s">
        <v>51</v>
      </c>
      <c r="AD14" s="232"/>
      <c r="AE14" s="231" t="str">
        <f t="array" ref="AE14">IF(
  AD14 = 0, 
  "", 
  IFERROR(
    INDEX(
      'アイテム別限界値DB'!$K:$K, 
      MATCH(
        1, 
        ('アイテム別限界値DB'!$B:$B = AC$10) * 
        ('アイテム別限界値DB'!$F:$F = AC14) * 
        ('アイテム別限界値DB'!$H:$H = AD14), 
        0
      )
    ), 
    "再製作"
  )
)
</f>
        <v/>
      </c>
      <c r="AF14" s="218" t="str">
        <f t="array" ref="AF14">IF(
  AD14 = 0, 
  "", 
  IFERROR(
    INDEX(
      'アイテム別限界値DB'!$L:$L, 
      MATCH(
        1, 
        ('アイテム別限界値DB'!$B:$B = AC$10) * 
        ('アイテム別限界値DB'!$C:$C = AC14) * 
        ('アイテム別限界値DB'!$F:$F = AD14), 
        0
      )
    ), 
    ""
  )
)
</f>
        <v/>
      </c>
      <c r="AG14" s="11"/>
      <c r="AH14" s="224" t="s">
        <v>51</v>
      </c>
      <c r="AI14" s="232"/>
      <c r="AJ14" s="231" t="str">
        <f t="array" ref="AJ14">IF(
  AI14 = 0, 
  "", 
  IFERROR(
    INDEX(
      'アイテム別限界値DB'!$K:$K, 
      MATCH(
        1, 
        ('アイテム別限界値DB'!$B:$B = AH$10) * 
        ('アイテム別限界値DB'!$F:$F = AH14) * 
        ('アイテム別限界値DB'!$H:$H = AI14), 
        0
      )
    ), 
    "再製作"
  )
)
</f>
        <v/>
      </c>
      <c r="AK14" s="218" t="str">
        <f t="array" ref="AK14">IF(
  AI14 = 0, 
  "", 
  IFERROR(
    INDEX(
      'アイテム別限界値DB'!$L:$L, 
      MATCH(
        1, 
        ('アイテム別限界値DB'!$B:$B = AH$10) * 
        ('アイテム別限界値DB'!$C:$C = AH14) * 
        ('アイテム別限界値DB'!$F:$F = AI14), 
        0
      )
    ), 
    ""
  )
)
</f>
        <v/>
      </c>
      <c r="AL14" s="11"/>
      <c r="AM14" s="224" t="s">
        <v>51</v>
      </c>
      <c r="AN14" s="232"/>
      <c r="AO14" s="231" t="str">
        <f t="array" ref="AO14">IF(
  AN14 = 0, 
  "", 
  IFERROR(
    INDEX(
      'アイテム別限界値DB'!$K:$K, 
      MATCH(
        1, 
        ('アイテム別限界値DB'!$B:$B = AM$10) * 
        ('アイテム別限界値DB'!$F:$F = AM14) * 
        ('アイテム別限界値DB'!$H:$H = AN14), 
        0
      )
    ), 
    "再製作"
  )
)
</f>
        <v/>
      </c>
      <c r="AP14" s="218" t="str">
        <f t="array" ref="AP14">IF(
  AN14 = 0, 
  "", 
  IFERROR(
    INDEX(
      'アイテム別限界値DB'!$L:$L, 
      MATCH(
        1, 
        ('アイテム別限界値DB'!$B:$B = AM$10) * 
        ('アイテム別限界値DB'!$C:$C = AM14) * 
        ('アイテム別限界値DB'!$F:$F = AN14), 
        0
      )
    ), 
    ""
  )
)
</f>
        <v/>
      </c>
      <c r="AQ14" s="11"/>
      <c r="AR14" s="224" t="s">
        <v>51</v>
      </c>
      <c r="AS14" s="232"/>
      <c r="AT14" s="231" t="str">
        <f t="array" ref="AT14">IF(
  AS14 = 0, 
  "", 
  IFERROR(
    INDEX(
      'アイテム別限界値DB'!$K:$K, 
      MATCH(
        1, 
        ('アイテム別限界値DB'!$B:$B = AR$10) * 
        ('アイテム別限界値DB'!$F:$F = AR14) * 
        ('アイテム別限界値DB'!$H:$H = AS14), 
        0
      )
    ), 
    "再製作"
  )
)
</f>
        <v/>
      </c>
      <c r="AU14" s="218" t="str">
        <f t="array" ref="AU14">IF(
  AS14 = 0, 
  "", 
  IFERROR(
    INDEX(
      'アイテム別限界値DB'!$L:$L, 
      MATCH(
        1, 
        ('アイテム別限界値DB'!$B:$B = AR$10) * 
        ('アイテム別限界値DB'!$C:$C = AR14) * 
        ('アイテム別限界値DB'!$F:$F = AS14), 
        0
      )
    ), 
    ""
  )
)
</f>
        <v/>
      </c>
      <c r="AV14" s="121"/>
      <c r="AW14" s="224" t="s">
        <v>51</v>
      </c>
      <c r="AX14" s="232"/>
      <c r="AY14" s="231" t="str">
        <f t="array" ref="AY14">IF(
  AX14 = 0, 
  "", 
  IFERROR(
    INDEX(
      'アイテム別限界値DB'!$K:$K, 
      MATCH(
        1, 
        ('アイテム別限界値DB'!$B:$B = AW$10) * 
        ('アイテム別限界値DB'!$F:$F = AW14) * 
        ('アイテム別限界値DB'!$H:$H = AX14), 
        0
      )
    ), 
    "再製作"
  )
)
</f>
        <v/>
      </c>
      <c r="AZ14" s="218" t="str">
        <f t="array" ref="AZ14">IF(
  AX14 = 0, 
  "", 
  IFERROR(
    INDEX(
      'アイテム別限界値DB'!$L:$L, 
      MATCH(
        1, 
        ('アイテム別限界値DB'!$B:$B = AW$10) * 
        ('アイテム別限界値DB'!$C:$C = AW14) * 
        ('アイテム別限界値DB'!$F:$F = AX14), 
        0
      )
    ), 
    ""
  )
)
</f>
        <v/>
      </c>
      <c r="BA14" s="121"/>
      <c r="BB14" s="224" t="s">
        <v>51</v>
      </c>
      <c r="BC14" s="232"/>
      <c r="BD14" s="231" t="str">
        <f t="array" ref="BD14">IF(
  BC14 = 0, 
  "", 
  IFERROR(
    INDEX(
      'アイテム別限界値DB'!$K:$K, 
      MATCH(
        1, 
        ('アイテム別限界値DB'!$B:$B = BB$10) * 
        ('アイテム別限界値DB'!$F:$F = BB14) * 
        ('アイテム別限界値DB'!$H:$H = BC14), 
        0
      )
    ), 
    "再製作"
  )
)
</f>
        <v/>
      </c>
      <c r="BE14" s="218" t="str">
        <f t="array" ref="BE14">IF(
  BC14 = 0, 
  "", 
  IFERROR(
    INDEX(
      'アイテム別限界値DB'!$L:$L, 
      MATCH(
        1, 
        ('アイテム別限界値DB'!$B:$B = BB$10) * 
        ('アイテム別限界値DB'!$C:$C = BB14) * 
        ('アイテム別限界値DB'!$F:$F = BC14), 
        0
      )
    ), 
    ""
  )
)
</f>
        <v/>
      </c>
      <c r="BF14" s="121"/>
      <c r="BG14" s="224" t="s">
        <v>51</v>
      </c>
      <c r="BH14" s="233"/>
      <c r="BI14" s="234" t="str">
        <f t="array" ref="BI14">IF(
  BH14 = 0, 
  "", 
  IFERROR(
    INDEX(
      'アイテム別限界値DB'!$K:$K, 
      MATCH(
        1, 
        ('アイテム別限界値DB'!$B:$B = BG$10) * 
        ('アイテム別限界値DB'!$F:$F = BG14) * 
        ('アイテム別限界値DB'!$H:$H = BH14), 
        0
      )
    ), 
    "再製作"
  )
)
</f>
        <v/>
      </c>
      <c r="BJ14" s="218" t="str">
        <f t="array" ref="BJ14">IF(
  BH14 = 0, 
  "", 
  IFERROR(
    INDEX(
      'アイテム別限界値DB'!$L:$L, 
      MATCH(
        1, 
        ('アイテム別限界値DB'!$B:$B = BG$10) * 
        ('アイテム別限界値DB'!$C:$C = BG14) * 
        ('アイテム別限界値DB'!$F:$F = BH14), 
        0
      )
    ), 
    ""
  )
)
</f>
        <v/>
      </c>
      <c r="BK14" s="121"/>
      <c r="BL14" s="224" t="s">
        <v>51</v>
      </c>
      <c r="BM14" s="232"/>
      <c r="BN14" s="231" t="str">
        <f t="array" ref="BN14">IF(
  BM14 = 0, 
  "", 
  IFERROR(
    INDEX(
      'アイテム別限界値DB'!$K:$K, 
      MATCH(
        1, 
        ('アイテム別限界値DB'!$B:$B = BL$10) * 
        ('アイテム別限界値DB'!$F:$F = BL14) * 
        ('アイテム別限界値DB'!$H:$H = BM14), 
        0
      )
    ), 
    "再製作"
  )
)
</f>
        <v/>
      </c>
      <c r="BO14" s="218" t="str">
        <f t="array" ref="BO14">IF(
  BM14 = 0, 
  "", 
  IFERROR(
    INDEX(
      'アイテム別限界値DB'!$L:$L, 
      MATCH(
        1, 
        ('アイテム別限界値DB'!$B:$B = BL$10) * 
        ('アイテム別限界値DB'!$C:$C = BL14) * 
        ('アイテム別限界値DB'!$F:$F = BM14), 
        0
      )
    ), 
    ""
  )
)
</f>
        <v/>
      </c>
      <c r="BP14" s="195"/>
    </row>
    <row r="15" ht="18.75" customHeight="1">
      <c r="A15" s="228" t="str">
        <f>IFERROR(__xludf.DUMMYFUNCTION("TEXTJOIN(CHAR(10),TRUE,FILTER(ARRAYFORMULA(IF(E$14:E72&lt;&gt;"""",D$14:D72&amp;"" : ""&amp; E$14:E72 &amp;"" cm"","""")), D$14:D72 &lt;&gt;""""))"),"肩巾 : 0.5 cm
バスト : 2 cm")</f>
        <v>肩巾 : 0.5 cm
バスト : 2 cm</v>
      </c>
      <c r="B15" s="235"/>
      <c r="C15" s="224"/>
      <c r="D15" s="224" t="s">
        <v>53</v>
      </c>
      <c r="E15" s="230" t="s">
        <v>150</v>
      </c>
      <c r="F15" s="231">
        <f t="array" ref="F15">IF(
  E15 = 0, 
  "", 
  IFERROR(
    INDEX(
      'アイテム別限界値DB'!$K:$K, 
      MATCH(
        1, 
        ('アイテム別限界値DB'!$B:$B = D$10) * 
        ('アイテム別限界値DB'!$F:$F = D15) * 
        ('アイテム別限界値DB'!$H:$H = E15), 
        0
      )
    ), 
    "再製作"
  )
)
</f>
        <v>46000</v>
      </c>
      <c r="G15" s="218" t="str">
        <f t="array" ref="G15">IF(
  E15 = 0, 
  "", 
  IFERROR(
    INDEX(
      'アイテム別限界値DB'!$L:$L, 
      MATCH(
        1, 
        ('アイテム別限界値DB'!$B:$B = D$10) * 
        ('アイテム別限界値DB'!$C:$C = D15) * 
        ('アイテム別限界値DB'!$F:$F = E15), 
        0
      )
    ), 
    ""
  )
)
</f>
        <v/>
      </c>
      <c r="H15" s="12"/>
      <c r="I15" s="224" t="s">
        <v>54</v>
      </c>
      <c r="J15" s="230" t="s">
        <v>132</v>
      </c>
      <c r="K15" s="231">
        <f t="array" ref="K15">IF(
  J15 = 0, 
  "", 
  IFERROR(
    INDEX(
      'アイテム別限界値DB'!$K:$K, 
      MATCH(
        1, 
        ('アイテム別限界値DB'!$B:$B = I$10) * 
        ('アイテム別限界値DB'!$F:$F = I15) * 
        ('アイテム別限界値DB'!$H:$H = J15), 
        0
      )
    ), 
    "再製作"
  )
)
</f>
        <v>45996</v>
      </c>
      <c r="L15" s="218" t="str">
        <f t="array" ref="L15">IF(
  J15 = 0, 
  "", 
  IFERROR(
    INDEX(
      'アイテム別限界値DB'!$L:$L, 
      MATCH(
        1, 
        ('アイテム別限界値DB'!$B:$B = I$10) * 
        ('アイテム別限界値DB'!$C:$C = I15) * 
        ('アイテム別限界値DB'!$F:$F = J15), 
        0
      )
    ), 
    ""
  )
)
</f>
        <v/>
      </c>
      <c r="M15" s="12"/>
      <c r="N15" s="224" t="s">
        <v>55</v>
      </c>
      <c r="O15" s="232"/>
      <c r="P15" s="231" t="str">
        <f t="array" ref="P15">IF(
  O15 = 0, 
  "", 
  IFERROR(
    INDEX(
      'アイテム別限界値DB'!$K:$K, 
      MATCH(
        1, 
        ('アイテム別限界値DB'!$B:$B = N$10) * 
        ('アイテム別限界値DB'!$F:$F = N15) * 
        ('アイテム別限界値DB'!$H:$H = O15), 
        0
      )
    ), 
    "再製作"
  )
)
</f>
        <v/>
      </c>
      <c r="Q15" s="218" t="str">
        <f t="array" ref="Q15">IF(
  O15 = 0, 
  "", 
  IFERROR(
    INDEX(
      'アイテム別限界値DB'!$L:$L, 
      MATCH(
        1, 
        ('アイテム別限界値DB'!$B:$B = N$10) * 
        ('アイテム別限界値DB'!$C:$C = N15) * 
        ('アイテム別限界値DB'!$F:$F = O15), 
        0
      )
    ), 
    ""
  )
)
</f>
        <v/>
      </c>
      <c r="R15" s="12"/>
      <c r="S15" s="224" t="s">
        <v>54</v>
      </c>
      <c r="T15" s="232"/>
      <c r="U15" s="231" t="str">
        <f t="array" ref="U15">IF(
  T15 = 0, 
  "", 
  IFERROR(
    INDEX(
      'アイテム別限界値DB'!$K:$K, 
      MATCH(
        1, 
        ('アイテム別限界値DB'!$B:$B = S$10) * 
        ('アイテム別限界値DB'!$F:$F = S15) * 
        ('アイテム別限界値DB'!$H:$H = T15), 
        0
      )
    ), 
    "再製作"
  )
)
</f>
        <v/>
      </c>
      <c r="V15" s="218" t="str">
        <f t="array" ref="V15">IF(
  T15 = 0, 
  "", 
  IFERROR(
    INDEX(
      'アイテム別限界値DB'!$L:$L, 
      MATCH(
        1, 
        ('アイテム別限界値DB'!$B:$B = S$10) * 
        ('アイテム別限界値DB'!$C:$C = S15) * 
        ('アイテム別限界値DB'!$F:$F = T15), 
        0
      )
    ), 
    ""
  )
)
</f>
        <v/>
      </c>
      <c r="W15" s="12"/>
      <c r="X15" s="224" t="s">
        <v>53</v>
      </c>
      <c r="Y15" s="232"/>
      <c r="Z15" s="231" t="str">
        <f t="array" ref="Z15">IF(
  Y15 = 0, 
  "", 
  IFERROR(
    INDEX(
      'アイテム別限界値DB'!$K:$K, 
      MATCH(
        1, 
        ('アイテム別限界値DB'!$B:$B = X$10) * 
        ('アイテム別限界値DB'!$F:$F = X15) * 
        ('アイテム別限界値DB'!$H:$H = Y15), 
        0
      )
    ), 
    "再製作"
  )
)
</f>
        <v/>
      </c>
      <c r="AA15" s="218" t="str">
        <f t="array" ref="AA15">IF(
  Y15 = 0, 
  "", 
  IFERROR(
    INDEX(
      'アイテム別限界値DB'!$L:$L, 
      MATCH(
        1, 
        ('アイテム別限界値DB'!$B:$B = X$10) * 
        ('アイテム別限界値DB'!$C:$C = X15) * 
        ('アイテム別限界値DB'!$F:$F = Y15), 
        0
      )
    ), 
    ""
  )
)
</f>
        <v/>
      </c>
      <c r="AB15" s="11"/>
      <c r="AC15" s="224" t="s">
        <v>53</v>
      </c>
      <c r="AD15" s="232"/>
      <c r="AE15" s="231" t="str">
        <f t="array" ref="AE15">IF(
  AD15 = 0, 
  "", 
  IFERROR(
    INDEX(
      'アイテム別限界値DB'!$K:$K, 
      MATCH(
        1, 
        ('アイテム別限界値DB'!$B:$B = AC$10) * 
        ('アイテム別限界値DB'!$F:$F = AC15) * 
        ('アイテム別限界値DB'!$H:$H = AD15), 
        0
      )
    ), 
    "再製作"
  )
)
</f>
        <v/>
      </c>
      <c r="AF15" s="218" t="str">
        <f t="array" ref="AF15">IF(
  AD15 = 0, 
  "", 
  IFERROR(
    INDEX(
      'アイテム別限界値DB'!$L:$L, 
      MATCH(
        1, 
        ('アイテム別限界値DB'!$B:$B = AC$10) * 
        ('アイテム別限界値DB'!$C:$C = AC15) * 
        ('アイテム別限界値DB'!$F:$F = AD15), 
        0
      )
    ), 
    ""
  )
)
</f>
        <v/>
      </c>
      <c r="AG15" s="11"/>
      <c r="AH15" s="224" t="s">
        <v>53</v>
      </c>
      <c r="AI15" s="232"/>
      <c r="AJ15" s="231" t="str">
        <f t="array" ref="AJ15">IF(
  AI15 = 0, 
  "", 
  IFERROR(
    INDEX(
      'アイテム別限界値DB'!$K:$K, 
      MATCH(
        1, 
        ('アイテム別限界値DB'!$B:$B = AH$10) * 
        ('アイテム別限界値DB'!$F:$F = AH15) * 
        ('アイテム別限界値DB'!$H:$H = AI15), 
        0
      )
    ), 
    "再製作"
  )
)
</f>
        <v/>
      </c>
      <c r="AK15" s="218" t="str">
        <f t="array" ref="AK15">IF(
  AI15 = 0, 
  "", 
  IFERROR(
    INDEX(
      'アイテム別限界値DB'!$L:$L, 
      MATCH(
        1, 
        ('アイテム別限界値DB'!$B:$B = AH$10) * 
        ('アイテム別限界値DB'!$C:$C = AH15) * 
        ('アイテム別限界値DB'!$F:$F = AI15), 
        0
      )
    ), 
    ""
  )
)
</f>
        <v/>
      </c>
      <c r="AL15" s="11"/>
      <c r="AM15" s="224" t="s">
        <v>53</v>
      </c>
      <c r="AN15" s="232"/>
      <c r="AO15" s="231" t="str">
        <f t="array" ref="AO15">IF(
  AN15 = 0, 
  "", 
  IFERROR(
    INDEX(
      'アイテム別限界値DB'!$K:$K, 
      MATCH(
        1, 
        ('アイテム別限界値DB'!$B:$B = AM$10) * 
        ('アイテム別限界値DB'!$F:$F = AM15) * 
        ('アイテム別限界値DB'!$H:$H = AN15), 
        0
      )
    ), 
    "再製作"
  )
)
</f>
        <v/>
      </c>
      <c r="AP15" s="218" t="str">
        <f t="array" ref="AP15">IF(
  AN15 = 0, 
  "", 
  IFERROR(
    INDEX(
      'アイテム別限界値DB'!$L:$L, 
      MATCH(
        1, 
        ('アイテム別限界値DB'!$B:$B = AM$10) * 
        ('アイテム別限界値DB'!$C:$C = AM15) * 
        ('アイテム別限界値DB'!$F:$F = AN15), 
        0
      )
    ), 
    ""
  )
)
</f>
        <v/>
      </c>
      <c r="AQ15" s="11"/>
      <c r="AR15" s="224" t="s">
        <v>53</v>
      </c>
      <c r="AS15" s="230"/>
      <c r="AT15" s="231" t="str">
        <f t="array" ref="AT15">IF(
  AS15 = 0, 
  "", 
  IFERROR(
    INDEX(
      'アイテム別限界値DB'!$K:$K, 
      MATCH(
        1, 
        ('アイテム別限界値DB'!$B:$B = AR$10) * 
        ('アイテム別限界値DB'!$F:$F = AR15) * 
        ('アイテム別限界値DB'!$H:$H = AS15), 
        0
      )
    ), 
    "再製作"
  )
)
</f>
        <v/>
      </c>
      <c r="AU15" s="218" t="str">
        <f t="array" ref="AU15">IF(
  AS15 = 0, 
  "", 
  IFERROR(
    INDEX(
      'アイテム別限界値DB'!$L:$L, 
      MATCH(
        1, 
        ('アイテム別限界値DB'!$B:$B = AR$10) * 
        ('アイテム別限界値DB'!$C:$C = AR15) * 
        ('アイテム別限界値DB'!$F:$F = AS15), 
        0
      )
    ), 
    ""
  )
)
</f>
        <v/>
      </c>
      <c r="AV15" s="121"/>
      <c r="AW15" s="224" t="s">
        <v>53</v>
      </c>
      <c r="AX15" s="232"/>
      <c r="AY15" s="231" t="str">
        <f t="array" ref="AY15">IF(
  AX15 = 0, 
  "", 
  IFERROR(
    INDEX(
      'アイテム別限界値DB'!$K:$K, 
      MATCH(
        1, 
        ('アイテム別限界値DB'!$B:$B = AW$10) * 
        ('アイテム別限界値DB'!$F:$F = AW15) * 
        ('アイテム別限界値DB'!$H:$H = AX15), 
        0
      )
    ), 
    "再製作"
  )
)
</f>
        <v/>
      </c>
      <c r="AZ15" s="218" t="str">
        <f t="array" ref="AZ15">IF(
  AX15 = 0, 
  "", 
  IFERROR(
    INDEX(
      'アイテム別限界値DB'!$L:$L, 
      MATCH(
        1, 
        ('アイテム別限界値DB'!$B:$B = AW$10) * 
        ('アイテム別限界値DB'!$C:$C = AW15) * 
        ('アイテム別限界値DB'!$F:$F = AX15), 
        0
      )
    ), 
    ""
  )
)
</f>
        <v/>
      </c>
      <c r="BA15" s="121"/>
      <c r="BB15" s="224" t="s">
        <v>53</v>
      </c>
      <c r="BC15" s="232"/>
      <c r="BD15" s="231" t="str">
        <f t="array" ref="BD15">IF(
  BC15 = 0, 
  "", 
  IFERROR(
    INDEX(
      'アイテム別限界値DB'!$K:$K, 
      MATCH(
        1, 
        ('アイテム別限界値DB'!$B:$B = BB$10) * 
        ('アイテム別限界値DB'!$F:$F = BB15) * 
        ('アイテム別限界値DB'!$H:$H = BC15), 
        0
      )
    ), 
    "再製作"
  )
)
</f>
        <v/>
      </c>
      <c r="BE15" s="218" t="str">
        <f t="array" ref="BE15">IF(
  BC15 = 0, 
  "", 
  IFERROR(
    INDEX(
      'アイテム別限界値DB'!$L:$L, 
      MATCH(
        1, 
        ('アイテム別限界値DB'!$B:$B = BB$10) * 
        ('アイテム別限界値DB'!$C:$C = BB15) * 
        ('アイテム別限界値DB'!$F:$F = BC15), 
        0
      )
    ), 
    ""
  )
)
</f>
        <v/>
      </c>
      <c r="BF15" s="121"/>
      <c r="BG15" s="224" t="s">
        <v>53</v>
      </c>
      <c r="BH15" s="232"/>
      <c r="BI15" s="231" t="str">
        <f t="array" ref="BI15">IF(
  BH15 = 0, 
  "", 
  IFERROR(
    INDEX(
      'アイテム別限界値DB'!$K:$K, 
      MATCH(
        1, 
        ('アイテム別限界値DB'!$B:$B = BG$10) * 
        ('アイテム別限界値DB'!$F:$F = BG15) * 
        ('アイテム別限界値DB'!$H:$H = BH15), 
        0
      )
    ), 
    "再製作"
  )
)
</f>
        <v/>
      </c>
      <c r="BJ15" s="218" t="str">
        <f t="array" ref="BJ15">IF(
  BH15 = 0, 
  "", 
  IFERROR(
    INDEX(
      'アイテム別限界値DB'!$L:$L, 
      MATCH(
        1, 
        ('アイテム別限界値DB'!$B:$B = BG$10) * 
        ('アイテム別限界値DB'!$C:$C = BG15) * 
        ('アイテム別限界値DB'!$F:$F = BH15), 
        0
      )
    ), 
    ""
  )
)
</f>
        <v/>
      </c>
      <c r="BK15" s="121"/>
      <c r="BL15" s="224" t="s">
        <v>53</v>
      </c>
      <c r="BM15" s="232"/>
      <c r="BN15" s="231" t="str">
        <f t="array" ref="BN15">IF(
  BM15 = 0, 
  "", 
  IFERROR(
    INDEX(
      'アイテム別限界値DB'!$K:$K, 
      MATCH(
        1, 
        ('アイテム別限界値DB'!$B:$B = BL$10) * 
        ('アイテム別限界値DB'!$F:$F = BL15) * 
        ('アイテム別限界値DB'!$H:$H = BM15), 
        0
      )
    ), 
    "再製作"
  )
)
</f>
        <v/>
      </c>
      <c r="BO15" s="218" t="str">
        <f t="array" ref="BO15">IF(
  BM15 = 0, 
  "", 
  IFERROR(
    INDEX(
      'アイテム別限界値DB'!$L:$L, 
      MATCH(
        1, 
        ('アイテム別限界値DB'!$B:$B = BL$10) * 
        ('アイテム別限界値DB'!$C:$C = BL15) * 
        ('アイテム別限界値DB'!$F:$F = BM15), 
        0
      )
    ), 
    ""
  )
)
</f>
        <v/>
      </c>
      <c r="BP15" s="195"/>
    </row>
    <row r="16" ht="18.75" customHeight="1">
      <c r="A16" s="236" t="str">
        <f>if($A$14&lt;&gt;"", "《仕上がり数値》","")</f>
        <v>《仕上がり数値》</v>
      </c>
      <c r="B16" s="224"/>
      <c r="C16" s="224"/>
      <c r="D16" s="224" t="s">
        <v>55</v>
      </c>
      <c r="E16" s="230" t="s">
        <v>132</v>
      </c>
      <c r="F16" s="231">
        <f t="array" ref="F16">IF(
  E16 = 0, 
  "", 
  IFERROR(
    INDEX(
      'アイテム別限界値DB'!$K:$K, 
      MATCH(
        1, 
        ('アイテム別限界値DB'!$B:$B = D$10) * 
        ('アイテム別限界値DB'!$F:$F = D16) * 
        ('アイテム別限界値DB'!$H:$H = E16), 
        0
      )
    ), 
    "再製作"
  )
)
</f>
        <v>46000</v>
      </c>
      <c r="G16" s="218" t="str">
        <f t="array" ref="G16">IF(
  E16 = 0, 
  "", 
  IFERROR(
    INDEX(
      'アイテム別限界値DB'!$L:$L, 
      MATCH(
        1, 
        ('アイテム別限界値DB'!$B:$B = D$10) * 
        ('アイテム別限界値DB'!$C:$C = D16) * 
        ('アイテム別限界値DB'!$F:$F = E16), 
        0
      )
    ), 
    ""
  )
)
</f>
        <v/>
      </c>
      <c r="H16" s="12"/>
      <c r="I16" s="224" t="s">
        <v>56</v>
      </c>
      <c r="J16" s="230"/>
      <c r="K16" s="231" t="str">
        <f t="array" ref="K16">IF(
  J16 = 0, 
  "", 
  IFERROR(
    INDEX(
      'アイテム別限界値DB'!$K:$K, 
      MATCH(
        1, 
        ('アイテム別限界値DB'!$B:$B = I$10) * 
        ('アイテム別限界値DB'!$F:$F = I16) * 
        ('アイテム別限界値DB'!$H:$H = J16), 
        0
      )
    ), 
    "再製作"
  )
)
</f>
        <v/>
      </c>
      <c r="L16" s="218" t="str">
        <f t="array" ref="L16">IF(
  J16 = 0, 
  "", 
  IFERROR(
    INDEX(
      'アイテム別限界値DB'!$L:$L, 
      MATCH(
        1, 
        ('アイテム別限界値DB'!$B:$B = I$10) * 
        ('アイテム別限界値DB'!$C:$C = I16) * 
        ('アイテム別限界値DB'!$F:$F = J16), 
        0
      )
    ), 
    ""
  )
)
</f>
        <v/>
      </c>
      <c r="M16" s="12"/>
      <c r="N16" s="224" t="s">
        <v>57</v>
      </c>
      <c r="O16" s="230"/>
      <c r="P16" s="231" t="str">
        <f t="array" ref="P16">IF(
  O16 = 0, 
  "", 
  IFERROR(
    INDEX(
      'アイテム別限界値DB'!$K:$K, 
      MATCH(
        1, 
        ('アイテム別限界値DB'!$B:$B = N$10) * 
        ('アイテム別限界値DB'!$F:$F = N16) * 
        ('アイテム別限界値DB'!$H:$H = O16), 
        0
      )
    ), 
    "再製作"
  )
)
</f>
        <v/>
      </c>
      <c r="Q16" s="218" t="str">
        <f t="array" ref="Q16">IF(
  O16 = 0, 
  "", 
  IFERROR(
    INDEX(
      'アイテム別限界値DB'!$L:$L, 
      MATCH(
        1, 
        ('アイテム別限界値DB'!$B:$B = N$10) * 
        ('アイテム別限界値DB'!$C:$C = N16) * 
        ('アイテム別限界値DB'!$F:$F = O16), 
        0
      )
    ), 
    ""
  )
)
</f>
        <v/>
      </c>
      <c r="R16" s="12"/>
      <c r="S16" s="224" t="s">
        <v>56</v>
      </c>
      <c r="T16" s="232"/>
      <c r="U16" s="231" t="str">
        <f t="array" ref="U16">IF(
  T16 = 0, 
  "", 
  IFERROR(
    INDEX(
      'アイテム別限界値DB'!$K:$K, 
      MATCH(
        1, 
        ('アイテム別限界値DB'!$B:$B = S$10) * 
        ('アイテム別限界値DB'!$F:$F = S16) * 
        ('アイテム別限界値DB'!$H:$H = T16), 
        0
      )
    ), 
    "再製作"
  )
)
</f>
        <v/>
      </c>
      <c r="V16" s="218" t="str">
        <f t="array" ref="V16">IF(
  T16 = 0, 
  "", 
  IFERROR(
    INDEX(
      'アイテム別限界値DB'!$L:$L, 
      MATCH(
        1, 
        ('アイテム別限界値DB'!$B:$B = S$10) * 
        ('アイテム別限界値DB'!$C:$C = S16) * 
        ('アイテム別限界値DB'!$F:$F = T16), 
        0
      )
    ), 
    ""
  )
)
</f>
        <v/>
      </c>
      <c r="W16" s="12"/>
      <c r="X16" s="224" t="s">
        <v>58</v>
      </c>
      <c r="Y16" s="230"/>
      <c r="Z16" s="231" t="str">
        <f t="array" ref="Z16">IF(
  Y16 = 0, 
  "", 
  IFERROR(
    INDEX(
      'アイテム別限界値DB'!$K:$K, 
      MATCH(
        1, 
        ('アイテム別限界値DB'!$B:$B = X$10) * 
        ('アイテム別限界値DB'!$F:$F = X16) * 
        ('アイテム別限界値DB'!$H:$H = Y16), 
        0
      )
    ), 
    "再製作"
  )
)
</f>
        <v/>
      </c>
      <c r="AA16" s="218" t="str">
        <f t="array" ref="AA16">IF(
  Y16 = 0, 
  "", 
  IFERROR(
    INDEX(
      'アイテム別限界値DB'!$L:$L, 
      MATCH(
        1, 
        ('アイテム別限界値DB'!$B:$B = X$10) * 
        ('アイテム別限界値DB'!$C:$C = X16) * 
        ('アイテム別限界値DB'!$F:$F = Y16), 
        0
      )
    ), 
    ""
  )
)
</f>
        <v/>
      </c>
      <c r="AB16" s="11"/>
      <c r="AC16" s="224" t="s">
        <v>55</v>
      </c>
      <c r="AD16" s="232"/>
      <c r="AE16" s="231" t="str">
        <f t="array" ref="AE16">IF(
  AD16 = 0, 
  "", 
  IFERROR(
    INDEX(
      'アイテム別限界値DB'!$K:$K, 
      MATCH(
        1, 
        ('アイテム別限界値DB'!$B:$B = AC$10) * 
        ('アイテム別限界値DB'!$F:$F = AC16) * 
        ('アイテム別限界値DB'!$H:$H = AD16), 
        0
      )
    ), 
    "再製作"
  )
)
</f>
        <v/>
      </c>
      <c r="AF16" s="218" t="str">
        <f t="array" ref="AF16">IF(
  AD16 = 0, 
  "", 
  IFERROR(
    INDEX(
      'アイテム別限界値DB'!$L:$L, 
      MATCH(
        1, 
        ('アイテム別限界値DB'!$B:$B = AC$10) * 
        ('アイテム別限界値DB'!$C:$C = AC16) * 
        ('アイテム別限界値DB'!$F:$F = AD16), 
        0
      )
    ), 
    ""
  )
)
</f>
        <v/>
      </c>
      <c r="AG16" s="11"/>
      <c r="AH16" s="224" t="s">
        <v>55</v>
      </c>
      <c r="AI16" s="232"/>
      <c r="AJ16" s="231" t="str">
        <f t="array" ref="AJ16">IF(
  AI16 = 0, 
  "", 
  IFERROR(
    INDEX(
      'アイテム別限界値DB'!$K:$K, 
      MATCH(
        1, 
        ('アイテム別限界値DB'!$B:$B = AH$10) * 
        ('アイテム別限界値DB'!$F:$F = AH16) * 
        ('アイテム別限界値DB'!$H:$H = AI16), 
        0
      )
    ), 
    "再製作"
  )
)
</f>
        <v/>
      </c>
      <c r="AK16" s="218" t="str">
        <f t="array" ref="AK16">IF(
  AI16 = 0, 
  "", 
  IFERROR(
    INDEX(
      'アイテム別限界値DB'!$L:$L, 
      MATCH(
        1, 
        ('アイテム別限界値DB'!$B:$B = AH$10) * 
        ('アイテム別限界値DB'!$C:$C = AH16) * 
        ('アイテム別限界値DB'!$F:$F = AI16), 
        0
      )
    ), 
    ""
  )
)
</f>
        <v/>
      </c>
      <c r="AL16" s="11"/>
      <c r="AM16" s="224" t="s">
        <v>55</v>
      </c>
      <c r="AN16" s="230"/>
      <c r="AO16" s="231" t="str">
        <f t="array" ref="AO16">IF(
  AN16 = 0, 
  "", 
  IFERROR(
    INDEX(
      'アイテム別限界値DB'!$K:$K, 
      MATCH(
        1, 
        ('アイテム別限界値DB'!$B:$B = AM$10) * 
        ('アイテム別限界値DB'!$F:$F = AM16) * 
        ('アイテム別限界値DB'!$H:$H = AN16), 
        0
      )
    ), 
    "再製作"
  )
)
</f>
        <v/>
      </c>
      <c r="AP16" s="218" t="str">
        <f t="array" ref="AP16">IF(
  AN16 = 0, 
  "", 
  IFERROR(
    INDEX(
      'アイテム別限界値DB'!$L:$L, 
      MATCH(
        1, 
        ('アイテム別限界値DB'!$B:$B = AM$10) * 
        ('アイテム別限界値DB'!$C:$C = AM16) * 
        ('アイテム別限界値DB'!$F:$F = AN16), 
        0
      )
    ), 
    ""
  )
)
</f>
        <v/>
      </c>
      <c r="AQ16" s="11"/>
      <c r="AR16" s="224" t="s">
        <v>55</v>
      </c>
      <c r="AS16" s="230"/>
      <c r="AT16" s="231" t="str">
        <f t="array" ref="AT16">IF(
  AS16 = 0, 
  "", 
  IFERROR(
    INDEX(
      'アイテム別限界値DB'!$K:$K, 
      MATCH(
        1, 
        ('アイテム別限界値DB'!$B:$B = AR$10) * 
        ('アイテム別限界値DB'!$F:$F = AR16) * 
        ('アイテム別限界値DB'!$H:$H = AS16), 
        0
      )
    ), 
    "再製作"
  )
)
</f>
        <v/>
      </c>
      <c r="AU16" s="218" t="str">
        <f t="array" ref="AU16">IF(
  AS16 = 0, 
  "", 
  IFERROR(
    INDEX(
      'アイテム別限界値DB'!$L:$L, 
      MATCH(
        1, 
        ('アイテム別限界値DB'!$B:$B = AR$10) * 
        ('アイテム別限界値DB'!$C:$C = AR16) * 
        ('アイテム別限界値DB'!$F:$F = AS16), 
        0
      )
    ), 
    ""
  )
)
</f>
        <v/>
      </c>
      <c r="AV16" s="121"/>
      <c r="AW16" s="224" t="s">
        <v>55</v>
      </c>
      <c r="AX16" s="232"/>
      <c r="AY16" s="231" t="str">
        <f t="array" ref="AY16">IF(
  AX16 = 0, 
  "", 
  IFERROR(
    INDEX(
      'アイテム別限界値DB'!$K:$K, 
      MATCH(
        1, 
        ('アイテム別限界値DB'!$B:$B = AW$10) * 
        ('アイテム別限界値DB'!$F:$F = AW16) * 
        ('アイテム別限界値DB'!$H:$H = AX16), 
        0
      )
    ), 
    "再製作"
  )
)
</f>
        <v/>
      </c>
      <c r="AZ16" s="218" t="str">
        <f t="array" ref="AZ16">IF(
  AX16 = 0, 
  "", 
  IFERROR(
    INDEX(
      'アイテム別限界値DB'!$L:$L, 
      MATCH(
        1, 
        ('アイテム別限界値DB'!$B:$B = AW$10) * 
        ('アイテム別限界値DB'!$C:$C = AW16) * 
        ('アイテム別限界値DB'!$F:$F = AX16), 
        0
      )
    ), 
    ""
  )
)
</f>
        <v/>
      </c>
      <c r="BA16" s="121"/>
      <c r="BB16" s="224" t="s">
        <v>55</v>
      </c>
      <c r="BC16" s="232"/>
      <c r="BD16" s="231" t="str">
        <f t="array" ref="BD16">IF(
  BC16 = 0, 
  "", 
  IFERROR(
    INDEX(
      'アイテム別限界値DB'!$K:$K, 
      MATCH(
        1, 
        ('アイテム別限界値DB'!$B:$B = BB$10) * 
        ('アイテム別限界値DB'!$F:$F = BB16) * 
        ('アイテム別限界値DB'!$H:$H = BC16), 
        0
      )
    ), 
    "再製作"
  )
)
</f>
        <v/>
      </c>
      <c r="BE16" s="218" t="str">
        <f t="array" ref="BE16">IF(
  BC16 = 0, 
  "", 
  IFERROR(
    INDEX(
      'アイテム別限界値DB'!$L:$L, 
      MATCH(
        1, 
        ('アイテム別限界値DB'!$B:$B = BB$10) * 
        ('アイテム別限界値DB'!$C:$C = BB16) * 
        ('アイテム別限界値DB'!$F:$F = BC16), 
        0
      )
    ), 
    ""
  )
)
</f>
        <v/>
      </c>
      <c r="BF16" s="121"/>
      <c r="BG16" s="224" t="s">
        <v>55</v>
      </c>
      <c r="BH16" s="232"/>
      <c r="BI16" s="231" t="str">
        <f t="array" ref="BI16">IF(
  BH16 = 0, 
  "", 
  IFERROR(
    INDEX(
      'アイテム別限界値DB'!$K:$K, 
      MATCH(
        1, 
        ('アイテム別限界値DB'!$B:$B = BG$10) * 
        ('アイテム別限界値DB'!$F:$F = BG16) * 
        ('アイテム別限界値DB'!$H:$H = BH16), 
        0
      )
    ), 
    "再製作"
  )
)
</f>
        <v/>
      </c>
      <c r="BJ16" s="218" t="str">
        <f t="array" ref="BJ16">IF(
  BH16 = 0, 
  "", 
  IFERROR(
    INDEX(
      'アイテム別限界値DB'!$L:$L, 
      MATCH(
        1, 
        ('アイテム別限界値DB'!$B:$B = BG$10) * 
        ('アイテム別限界値DB'!$C:$C = BG16) * 
        ('アイテム別限界値DB'!$F:$F = BH16), 
        0
      )
    ), 
    ""
  )
)
</f>
        <v/>
      </c>
      <c r="BK16" s="121"/>
      <c r="BL16" s="224" t="s">
        <v>55</v>
      </c>
      <c r="BM16" s="232" t="s">
        <v>59</v>
      </c>
      <c r="BN16" s="231">
        <f t="array" ref="BN16">IF(
  BM16 = 0, 
  "", 
  IFERROR(
    INDEX(
      'アイテム別限界値DB'!$K:$K, 
      MATCH(
        1, 
        ('アイテム別限界値DB'!$B:$B = BL$10) * 
        ('アイテム別限界値DB'!$F:$F = BL16) * 
        ('アイテム別限界値DB'!$H:$H = BM16), 
        0
      )
    ), 
    "再製作"
  )
)
</f>
        <v>46000</v>
      </c>
      <c r="BO16" s="218" t="str">
        <f t="array" ref="BO16">IF(
  BM16 = 0, 
  "", 
  IFERROR(
    INDEX(
      'アイテム別限界値DB'!$L:$L, 
      MATCH(
        1, 
        ('アイテム別限界値DB'!$B:$B = BL$10) * 
        ('アイテム別限界値DB'!$C:$C = BL16) * 
        ('アイテム別限界値DB'!$F:$F = BM16), 
        0
      )
    ), 
    ""
  )
)
</f>
        <v/>
      </c>
      <c r="BP16" s="195"/>
    </row>
    <row r="17" ht="18.75" customHeight="1">
      <c r="A17" s="228" t="str">
        <f>IFERROR(__xludf.DUMMYFUNCTION("TEXTJOIN(CHAR(10),TRUE,FILTER(ARRAYFORMULA(IF(E$14:E72&lt;&gt;"""",D$14:D72&amp;"" :  cm"","""")), D$14:D72 &lt;&gt;""""))"),"肩巾 :  cm
バスト :  cm")</f>
        <v>肩巾 :  cm
バスト :  cm</v>
      </c>
      <c r="B17" s="229"/>
      <c r="C17" s="224"/>
      <c r="D17" s="224" t="s">
        <v>60</v>
      </c>
      <c r="E17" s="230"/>
      <c r="F17" s="231" t="str">
        <f t="array" ref="F17">IF(
  E17 = 0, 
  "", 
  IFERROR(
    INDEX(
      'アイテム別限界値DB'!$K:$K, 
      MATCH(
        1, 
        ('アイテム別限界値DB'!$B:$B = D$10) * 
        ('アイテム別限界値DB'!$F:$F = D17) * 
        ('アイテム別限界値DB'!$H:$H = E17), 
        0
      )
    ), 
    "再製作"
  )
)
</f>
        <v/>
      </c>
      <c r="G17" s="218" t="str">
        <f t="array" ref="G17">IF(
  E17 = 0, 
  "", 
  IFERROR(
    INDEX(
      'アイテム別限界値DB'!$L:$L, 
      MATCH(
        1, 
        ('アイテム別限界値DB'!$B:$B = D$10) * 
        ('アイテム別限界値DB'!$C:$C = D17) * 
        ('アイテム別限界値DB'!$F:$F = E17), 
        0
      )
    ), 
    ""
  )
)
</f>
        <v/>
      </c>
      <c r="H17" s="12"/>
      <c r="I17" s="224" t="s">
        <v>61</v>
      </c>
      <c r="J17" s="230"/>
      <c r="K17" s="231" t="str">
        <f t="array" ref="K17">IF(
  J17 = 0, 
  "", 
  IFERROR(
    INDEX(
      'アイテム別限界値DB'!$K:$K, 
      MATCH(
        1, 
        ('アイテム別限界値DB'!$B:$B = I$10) * 
        ('アイテム別限界値DB'!$F:$F = I17) * 
        ('アイテム別限界値DB'!$H:$H = J17), 
        0
      )
    ), 
    "再製作"
  )
)
</f>
        <v/>
      </c>
      <c r="L17" s="218" t="str">
        <f t="array" ref="L17">IF(
  J17 = 0, 
  "", 
  IFERROR(
    INDEX(
      'アイテム別限界値DB'!$L:$L, 
      MATCH(
        1, 
        ('アイテム別限界値DB'!$B:$B = I$10) * 
        ('アイテム別限界値DB'!$C:$C = I17) * 
        ('アイテム別限界値DB'!$F:$F = J17), 
        0
      )
    ), 
    ""
  )
)
</f>
        <v/>
      </c>
      <c r="M17" s="12"/>
      <c r="N17" s="224" t="s">
        <v>62</v>
      </c>
      <c r="O17" s="232"/>
      <c r="P17" s="231" t="str">
        <f t="array" ref="P17">IF(
  O17 = 0, 
  "", 
  IFERROR(
    INDEX(
      'アイテム別限界値DB'!$K:$K, 
      MATCH(
        1, 
        ('アイテム別限界値DB'!$B:$B = N$10) * 
        ('アイテム別限界値DB'!$F:$F = N17) * 
        ('アイテム別限界値DB'!$H:$H = O17), 
        0
      )
    ), 
    "再製作"
  )
)
</f>
        <v/>
      </c>
      <c r="Q17" s="218" t="str">
        <f t="array" ref="Q17">IF(
  O17 = 0, 
  "", 
  IFERROR(
    INDEX(
      'アイテム別限界値DB'!$L:$L, 
      MATCH(
        1, 
        ('アイテム別限界値DB'!$B:$B = N$10) * 
        ('アイテム別限界値DB'!$C:$C = N17) * 
        ('アイテム別限界値DB'!$F:$F = O17), 
        0
      )
    ), 
    ""
  )
)
</f>
        <v/>
      </c>
      <c r="R17" s="11"/>
      <c r="S17" s="224" t="s">
        <v>61</v>
      </c>
      <c r="T17" s="230"/>
      <c r="U17" s="231" t="str">
        <f t="array" ref="U17">IF(
  T17 = 0, 
  "", 
  IFERROR(
    INDEX(
      'アイテム別限界値DB'!$K:$K, 
      MATCH(
        1, 
        ('アイテム別限界値DB'!$B:$B = S$10) * 
        ('アイテム別限界値DB'!$F:$F = S17) * 
        ('アイテム別限界値DB'!$H:$H = T17), 
        0
      )
    ), 
    "再製作"
  )
)
</f>
        <v/>
      </c>
      <c r="V17" s="218" t="str">
        <f t="array" ref="V17">IF(
  T17 = 0, 
  "", 
  IFERROR(
    INDEX(
      'アイテム別限界値DB'!$L:$L, 
      MATCH(
        1, 
        ('アイテム別限界値DB'!$B:$B = S$10) * 
        ('アイテム別限界値DB'!$C:$C = S17) * 
        ('アイテム別限界値DB'!$F:$F = T17), 
        0
      )
    ), 
    ""
  )
)
</f>
        <v/>
      </c>
      <c r="W17" s="12"/>
      <c r="X17" s="224" t="s">
        <v>63</v>
      </c>
      <c r="Y17" s="233"/>
      <c r="Z17" s="231" t="str">
        <f t="array" ref="Z17">IF(
  Y17 = 0, 
  "", 
  IFERROR(
    INDEX(
      'アイテム別限界値DB'!$K:$K, 
      MATCH(
        1, 
        ('アイテム別限界値DB'!$B:$B = X$10) * 
        ('アイテム別限界値DB'!$F:$F = X17) * 
        ('アイテム別限界値DB'!$H:$H = Y17), 
        0
      )
    ), 
    "再製作"
  )
)
</f>
        <v/>
      </c>
      <c r="AA17" s="218" t="str">
        <f t="array" ref="AA17">IF(
  Y17 = 0, 
  "", 
  IFERROR(
    INDEX(
      'アイテム別限界値DB'!$L:$L, 
      MATCH(
        1, 
        ('アイテム別限界値DB'!$B:$B = X$10) * 
        ('アイテム別限界値DB'!$C:$C = X17) * 
        ('アイテム別限界値DB'!$F:$F = Y17), 
        0
      )
    ), 
    ""
  )
)
</f>
        <v/>
      </c>
      <c r="AB17" s="11"/>
      <c r="AC17" s="224" t="s">
        <v>57</v>
      </c>
      <c r="AD17" s="232"/>
      <c r="AE17" s="231" t="str">
        <f t="array" ref="AE17">IF(
  AD17 = 0, 
  "", 
  IFERROR(
    INDEX(
      'アイテム別限界値DB'!$K:$K, 
      MATCH(
        1, 
        ('アイテム別限界値DB'!$B:$B = AC$10) * 
        ('アイテム別限界値DB'!$F:$F = AC17) * 
        ('アイテム別限界値DB'!$H:$H = AD17), 
        0
      )
    ), 
    "再製作"
  )
)
</f>
        <v/>
      </c>
      <c r="AF17" s="218" t="str">
        <f t="array" ref="AF17">IF(
  AD17 = 0, 
  "", 
  IFERROR(
    INDEX(
      'アイテム別限界値DB'!$L:$L, 
      MATCH(
        1, 
        ('アイテム別限界値DB'!$B:$B = AC$10) * 
        ('アイテム別限界値DB'!$C:$C = AC17) * 
        ('アイテム別限界値DB'!$F:$F = AD17), 
        0
      )
    ), 
    ""
  )
)
</f>
        <v/>
      </c>
      <c r="AG17" s="11"/>
      <c r="AH17" s="224" t="s">
        <v>57</v>
      </c>
      <c r="AI17" s="232"/>
      <c r="AJ17" s="231" t="str">
        <f t="array" ref="AJ17">IF(
  AI17 = 0, 
  "", 
  IFERROR(
    INDEX(
      'アイテム別限界値DB'!$K:$K, 
      MATCH(
        1, 
        ('アイテム別限界値DB'!$B:$B = AH$10) * 
        ('アイテム別限界値DB'!$F:$F = AH17) * 
        ('アイテム別限界値DB'!$H:$H = AI17), 
        0
      )
    ), 
    "再製作"
  )
)
</f>
        <v/>
      </c>
      <c r="AK17" s="218" t="str">
        <f t="array" ref="AK17">IF(
  AI17 = 0, 
  "", 
  IFERROR(
    INDEX(
      'アイテム別限界値DB'!$L:$L, 
      MATCH(
        1, 
        ('アイテム別限界値DB'!$B:$B = AH$10) * 
        ('アイテム別限界値DB'!$C:$C = AH17) * 
        ('アイテム別限界値DB'!$F:$F = AI17), 
        0
      )
    ), 
    ""
  )
)
</f>
        <v/>
      </c>
      <c r="AL17" s="11"/>
      <c r="AM17" s="224" t="s">
        <v>57</v>
      </c>
      <c r="AN17" s="230"/>
      <c r="AO17" s="231" t="str">
        <f t="array" ref="AO17">IF(
  AN17 = 0, 
  "", 
  IFERROR(
    INDEX(
      'アイテム別限界値DB'!$K:$K, 
      MATCH(
        1, 
        ('アイテム別限界値DB'!$B:$B = AM$10) * 
        ('アイテム別限界値DB'!$F:$F = AM17) * 
        ('アイテム別限界値DB'!$H:$H = AN17), 
        0
      )
    ), 
    "再製作"
  )
)
</f>
        <v/>
      </c>
      <c r="AP17" s="218" t="str">
        <f t="array" ref="AP17">IF(
  AN17 = 0, 
  "", 
  IFERROR(
    INDEX(
      'アイテム別限界値DB'!$L:$L, 
      MATCH(
        1, 
        ('アイテム別限界値DB'!$B:$B = AM$10) * 
        ('アイテム別限界値DB'!$C:$C = AM17) * 
        ('アイテム別限界値DB'!$F:$F = AN17), 
        0
      )
    ), 
    ""
  )
)
</f>
        <v/>
      </c>
      <c r="AQ17" s="11"/>
      <c r="AR17" s="224" t="s">
        <v>57</v>
      </c>
      <c r="AS17" s="230"/>
      <c r="AT17" s="231" t="str">
        <f t="array" ref="AT17">IF(
  AS17 = 0, 
  "", 
  IFERROR(
    INDEX(
      'アイテム別限界値DB'!$K:$K, 
      MATCH(
        1, 
        ('アイテム別限界値DB'!$B:$B = AR$10) * 
        ('アイテム別限界値DB'!$F:$F = AR17) * 
        ('アイテム別限界値DB'!$H:$H = AS17), 
        0
      )
    ), 
    "再製作"
  )
)
</f>
        <v/>
      </c>
      <c r="AU17" s="218" t="str">
        <f t="array" ref="AU17">IF(
  AS17 = 0, 
  "", 
  IFERROR(
    INDEX(
      'アイテム別限界値DB'!$L:$L, 
      MATCH(
        1, 
        ('アイテム別限界値DB'!$B:$B = AR$10) * 
        ('アイテム別限界値DB'!$C:$C = AR17) * 
        ('アイテム別限界値DB'!$F:$F = AS17), 
        0
      )
    ), 
    ""
  )
)
</f>
        <v/>
      </c>
      <c r="AV17" s="121"/>
      <c r="AW17" s="224" t="s">
        <v>57</v>
      </c>
      <c r="AX17" s="232"/>
      <c r="AY17" s="231" t="str">
        <f t="array" ref="AY17">IF(
  AX17 = 0, 
  "", 
  IFERROR(
    INDEX(
      'アイテム別限界値DB'!$K:$K, 
      MATCH(
        1, 
        ('アイテム別限界値DB'!$B:$B = AW$10) * 
        ('アイテム別限界値DB'!$F:$F = AW17) * 
        ('アイテム別限界値DB'!$H:$H = AX17), 
        0
      )
    ), 
    "再製作"
  )
)
</f>
        <v/>
      </c>
      <c r="AZ17" s="218" t="str">
        <f t="array" ref="AZ17">IF(
  AX17 = 0, 
  "", 
  IFERROR(
    INDEX(
      'アイテム別限界値DB'!$L:$L, 
      MATCH(
        1, 
        ('アイテム別限界値DB'!$B:$B = AW$10) * 
        ('アイテム別限界値DB'!$C:$C = AW17) * 
        ('アイテム別限界値DB'!$F:$F = AX17), 
        0
      )
    ), 
    ""
  )
)
</f>
        <v/>
      </c>
      <c r="BA17" s="121"/>
      <c r="BB17" s="224" t="s">
        <v>57</v>
      </c>
      <c r="BC17" s="232"/>
      <c r="BD17" s="231" t="str">
        <f t="array" ref="BD17">IF(
  BC17 = 0, 
  "", 
  IFERROR(
    INDEX(
      'アイテム別限界値DB'!$K:$K, 
      MATCH(
        1, 
        ('アイテム別限界値DB'!$B:$B = BB$10) * 
        ('アイテム別限界値DB'!$F:$F = BB17) * 
        ('アイテム別限界値DB'!$H:$H = BC17), 
        0
      )
    ), 
    "再製作"
  )
)
</f>
        <v/>
      </c>
      <c r="BE17" s="218" t="str">
        <f t="array" ref="BE17">IF(
  BC17 = 0, 
  "", 
  IFERROR(
    INDEX(
      'アイテム別限界値DB'!$L:$L, 
      MATCH(
        1, 
        ('アイテム別限界値DB'!$B:$B = BB$10) * 
        ('アイテム別限界値DB'!$C:$C = BB17) * 
        ('アイテム別限界値DB'!$F:$F = BC17), 
        0
      )
    ), 
    ""
  )
)
</f>
        <v/>
      </c>
      <c r="BF17" s="121"/>
      <c r="BG17" s="224" t="s">
        <v>57</v>
      </c>
      <c r="BH17" s="232"/>
      <c r="BI17" s="231" t="str">
        <f t="array" ref="BI17">IF(
  BH17 = 0, 
  "", 
  IFERROR(
    INDEX(
      'アイテム別限界値DB'!$K:$K, 
      MATCH(
        1, 
        ('アイテム別限界値DB'!$B:$B = BG$10) * 
        ('アイテム別限界値DB'!$F:$F = BG17) * 
        ('アイテム別限界値DB'!$H:$H = BH17), 
        0
      )
    ), 
    "再製作"
  )
)
</f>
        <v/>
      </c>
      <c r="BJ17" s="218" t="str">
        <f t="array" ref="BJ17">IF(
  BH17 = 0, 
  "", 
  IFERROR(
    INDEX(
      'アイテム別限界値DB'!$L:$L, 
      MATCH(
        1, 
        ('アイテム別限界値DB'!$B:$B = BG$10) * 
        ('アイテム別限界値DB'!$C:$C = BG17) * 
        ('アイテム別限界値DB'!$F:$F = BH17), 
        0
      )
    ), 
    ""
  )
)
</f>
        <v/>
      </c>
      <c r="BK17" s="121"/>
      <c r="BL17" s="224" t="s">
        <v>57</v>
      </c>
      <c r="BM17" s="232" t="s">
        <v>59</v>
      </c>
      <c r="BN17" s="231">
        <f t="array" ref="BN17">IF(
  BM17 = 0, 
  "", 
  IFERROR(
    INDEX(
      'アイテム別限界値DB'!$K:$K, 
      MATCH(
        1, 
        ('アイテム別限界値DB'!$B:$B = BL$10) * 
        ('アイテム別限界値DB'!$F:$F = BL17) * 
        ('アイテム別限界値DB'!$H:$H = BM17), 
        0
      )
    ), 
    "再製作"
  )
)
</f>
        <v>46000</v>
      </c>
      <c r="BO17" s="218" t="str">
        <f t="array" ref="BO17">IF(
  BM17 = 0, 
  "", 
  IFERROR(
    INDEX(
      'アイテム別限界値DB'!$L:$L, 
      MATCH(
        1, 
        ('アイテム別限界値DB'!$B:$B = BL$10) * 
        ('アイテム別限界値DB'!$C:$C = BL17) * 
        ('アイテム別限界値DB'!$F:$F = BM17), 
        0
      )
    ), 
    ""
  )
)
</f>
        <v/>
      </c>
      <c r="BP17" s="195"/>
    </row>
    <row r="18" ht="18.75" customHeight="1">
      <c r="A18" s="237" t="s">
        <v>64</v>
      </c>
      <c r="B18" s="235"/>
      <c r="C18" s="224"/>
      <c r="D18" s="224" t="s">
        <v>65</v>
      </c>
      <c r="E18" s="230"/>
      <c r="F18" s="231" t="str">
        <f t="array" ref="F18">IF(
  E18 = 0, 
  "", 
  IFERROR(
    INDEX(
      'アイテム別限界値DB'!$K:$K, 
      MATCH(
        1, 
        ('アイテム別限界値DB'!$B:$B = D$10) * 
        ('アイテム別限界値DB'!$F:$F = D18) * 
        ('アイテム別限界値DB'!$H:$H = E18), 
        0
      )
    ), 
    "再製作"
  )
)
</f>
        <v/>
      </c>
      <c r="G18" s="218" t="str">
        <f t="array" ref="G18">IF(
  E18 = 0, 
  "", 
  IFERROR(
    INDEX(
      'アイテム別限界値DB'!$L:$L, 
      MATCH(
        1, 
        ('アイテム別限界値DB'!$B:$B = D$10) * 
        ('アイテム別限界値DB'!$C:$C = D18) * 
        ('アイテム別限界値DB'!$F:$F = E18), 
        0
      )
    ), 
    ""
  )
)
</f>
        <v/>
      </c>
      <c r="H18" s="12"/>
      <c r="I18" s="224" t="s">
        <v>66</v>
      </c>
      <c r="J18" s="230"/>
      <c r="K18" s="231" t="str">
        <f t="array" ref="K18">IF(
  J18 = 0, 
  "", 
  IFERROR(
    INDEX(
      'アイテム別限界値DB'!$K:$K, 
      MATCH(
        1, 
        ('アイテム別限界値DB'!$B:$B = I$10) * 
        ('アイテム別限界値DB'!$F:$F = I18) * 
        ('アイテム別限界値DB'!$H:$H = J18), 
        0
      )
    ), 
    "再製作"
  )
)
</f>
        <v/>
      </c>
      <c r="L18" s="218" t="str">
        <f t="array" ref="L18">IF(
  J18 = 0, 
  "", 
  IFERROR(
    INDEX(
      'アイテム別限界値DB'!$L:$L, 
      MATCH(
        1, 
        ('アイテム別限界値DB'!$B:$B = I$10) * 
        ('アイテム別限界値DB'!$C:$C = I18) * 
        ('アイテム別限界値DB'!$F:$F = J18), 
        0
      )
    ), 
    ""
  )
)
</f>
        <v/>
      </c>
      <c r="M18" s="12"/>
      <c r="N18" s="224" t="s">
        <v>67</v>
      </c>
      <c r="O18" s="232"/>
      <c r="P18" s="231" t="str">
        <f t="array" ref="P18">IF(
  O18 = 0, 
  "", 
  IFERROR(
    INDEX(
      'アイテム別限界値DB'!$K:$K, 
      MATCH(
        1, 
        ('アイテム別限界値DB'!$B:$B = N$10) * 
        ('アイテム別限界値DB'!$F:$F = N18) * 
        ('アイテム別限界値DB'!$H:$H = O18), 
        0
      )
    ), 
    "再製作"
  )
)
</f>
        <v/>
      </c>
      <c r="Q18" s="218" t="str">
        <f t="array" ref="Q18">IF(
  O18 = 0, 
  "", 
  IFERROR(
    INDEX(
      'アイテム別限界値DB'!$L:$L, 
      MATCH(
        1, 
        ('アイテム別限界値DB'!$B:$B = N$10) * 
        ('アイテム別限界値DB'!$C:$C = N18) * 
        ('アイテム別限界値DB'!$F:$F = O18), 
        0
      )
    ), 
    ""
  )
)
</f>
        <v/>
      </c>
      <c r="R18" s="11"/>
      <c r="S18" s="224" t="s">
        <v>68</v>
      </c>
      <c r="T18" s="232"/>
      <c r="U18" s="231" t="str">
        <f t="array" ref="U18">IF(
  T18 = 0, 
  "", 
  IFERROR(
    INDEX(
      'アイテム別限界値DB'!$K:$K, 
      MATCH(
        1, 
        ('アイテム別限界値DB'!$B:$B = S$10) * 
        ('アイテム別限界値DB'!$F:$F = S18) * 
        ('アイテム別限界値DB'!$H:$H = T18), 
        0
      )
    ), 
    "再製作"
  )
)
</f>
        <v/>
      </c>
      <c r="V18" s="218" t="str">
        <f t="array" ref="V18">IF(
  T18 = 0, 
  "", 
  IFERROR(
    INDEX(
      'アイテム別限界値DB'!$L:$L, 
      MATCH(
        1, 
        ('アイテム別限界値DB'!$B:$B = S$10) * 
        ('アイテム別限界値DB'!$C:$C = S18) * 
        ('アイテム別限界値DB'!$F:$F = T18), 
        0
      )
    ), 
    ""
  )
)
</f>
        <v/>
      </c>
      <c r="W18" s="11"/>
      <c r="X18" s="224" t="s">
        <v>57</v>
      </c>
      <c r="Y18" s="230"/>
      <c r="Z18" s="231" t="str">
        <f t="array" ref="Z18">IF(
  Y18 = 0, 
  "", 
  IFERROR(
    INDEX(
      'アイテム別限界値DB'!$K:$K, 
      MATCH(
        1, 
        ('アイテム別限界値DB'!$B:$B = X$10) * 
        ('アイテム別限界値DB'!$F:$F = X18) * 
        ('アイテム別限界値DB'!$H:$H = Y18), 
        0
      )
    ), 
    "再製作"
  )
)
</f>
        <v/>
      </c>
      <c r="AA18" s="218" t="str">
        <f t="array" ref="AA18">IF(
  Y18 = 0, 
  "", 
  IFERROR(
    INDEX(
      'アイテム別限界値DB'!$L:$L, 
      MATCH(
        1, 
        ('アイテム別限界値DB'!$B:$B = X$10) * 
        ('アイテム別限界値DB'!$C:$C = X18) * 
        ('アイテム別限界値DB'!$F:$F = Y18), 
        0
      )
    ), 
    ""
  )
)
</f>
        <v/>
      </c>
      <c r="AB18" s="11"/>
      <c r="AC18" s="224" t="s">
        <v>69</v>
      </c>
      <c r="AD18" s="232"/>
      <c r="AE18" s="231" t="str">
        <f t="array" ref="AE18">IF(
  AD18 = 0, 
  "", 
  IFERROR(
    INDEX(
      'アイテム別限界値DB'!$K:$K, 
      MATCH(
        1, 
        ('アイテム別限界値DB'!$B:$B = AC$10) * 
        ('アイテム別限界値DB'!$F:$F = AC18) * 
        ('アイテム別限界値DB'!$H:$H = AD18), 
        0
      )
    ), 
    "再製作"
  )
)
</f>
        <v/>
      </c>
      <c r="AF18" s="218" t="str">
        <f t="array" ref="AF18">IF(
  AD18 = 0, 
  "", 
  IFERROR(
    INDEX(
      'アイテム別限界値DB'!$L:$L, 
      MATCH(
        1, 
        ('アイテム別限界値DB'!$B:$B = AC$10) * 
        ('アイテム別限界値DB'!$C:$C = AC18) * 
        ('アイテム別限界値DB'!$F:$F = AD18), 
        0
      )
    ), 
    ""
  )
)
</f>
        <v/>
      </c>
      <c r="AG18" s="11"/>
      <c r="AH18" s="224" t="s">
        <v>70</v>
      </c>
      <c r="AI18" s="232"/>
      <c r="AJ18" s="231" t="str">
        <f t="array" ref="AJ18">IF(
  AI18 = 0, 
  "", 
  IFERROR(
    INDEX(
      'アイテム別限界値DB'!$K:$K, 
      MATCH(
        1, 
        ('アイテム別限界値DB'!$B:$B = AH$10) * 
        ('アイテム別限界値DB'!$F:$F = AH18) * 
        ('アイテム別限界値DB'!$H:$H = AI18), 
        0
      )
    ), 
    "再製作"
  )
)
</f>
        <v/>
      </c>
      <c r="AK18" s="218" t="str">
        <f t="array" ref="AK18">IF(
  AI18 = 0, 
  "", 
  IFERROR(
    INDEX(
      'アイテム別限界値DB'!$L:$L, 
      MATCH(
        1, 
        ('アイテム別限界値DB'!$B:$B = AH$10) * 
        ('アイテム別限界値DB'!$C:$C = AH18) * 
        ('アイテム別限界値DB'!$F:$F = AI18), 
        0
      )
    ), 
    ""
  )
)
</f>
        <v/>
      </c>
      <c r="AL18" s="11"/>
      <c r="AM18" s="224" t="s">
        <v>71</v>
      </c>
      <c r="AN18" s="230"/>
      <c r="AO18" s="231" t="str">
        <f t="array" ref="AO18">IF(
  AN18 = 0, 
  "", 
  IFERROR(
    INDEX(
      'アイテム別限界値DB'!$K:$K, 
      MATCH(
        1, 
        ('アイテム別限界値DB'!$B:$B = AM$10) * 
        ('アイテム別限界値DB'!$F:$F = AM18) * 
        ('アイテム別限界値DB'!$H:$H = AN18), 
        0
      )
    ), 
    "再製作"
  )
)
</f>
        <v/>
      </c>
      <c r="AP18" s="218" t="str">
        <f t="array" ref="AP18">IF(
  AN18 = 0, 
  "", 
  IFERROR(
    INDEX(
      'アイテム別限界値DB'!$L:$L, 
      MATCH(
        1, 
        ('アイテム別限界値DB'!$B:$B = AM$10) * 
        ('アイテム別限界値DB'!$C:$C = AM18) * 
        ('アイテム別限界値DB'!$F:$F = AN18), 
        0
      )
    ), 
    ""
  )
)
</f>
        <v/>
      </c>
      <c r="AQ18" s="11"/>
      <c r="AR18" s="224" t="s">
        <v>71</v>
      </c>
      <c r="AS18" s="232"/>
      <c r="AT18" s="231" t="str">
        <f t="array" ref="AT18">IF(
  AS18 = 0, 
  "", 
  IFERROR(
    INDEX(
      'アイテム別限界値DB'!$K:$K, 
      MATCH(
        1, 
        ('アイテム別限界値DB'!$B:$B = AR$10) * 
        ('アイテム別限界値DB'!$F:$F = AR18) * 
        ('アイテム別限界値DB'!$H:$H = AS18), 
        0
      )
    ), 
    "再製作"
  )
)
</f>
        <v/>
      </c>
      <c r="AU18" s="218" t="str">
        <f t="array" ref="AU18">IF(
  AS18 = 0, 
  "", 
  IFERROR(
    INDEX(
      'アイテム別限界値DB'!$L:$L, 
      MATCH(
        1, 
        ('アイテム別限界値DB'!$B:$B = AR$10) * 
        ('アイテム別限界値DB'!$C:$C = AR18) * 
        ('アイテム別限界値DB'!$F:$F = AS18), 
        0
      )
    ), 
    ""
  )
)
</f>
        <v/>
      </c>
      <c r="AV18" s="121"/>
      <c r="AW18" s="224" t="s">
        <v>71</v>
      </c>
      <c r="AX18" s="232"/>
      <c r="AY18" s="231" t="str">
        <f t="array" ref="AY18">IF(
  AX18 = 0, 
  "", 
  IFERROR(
    INDEX(
      'アイテム別限界値DB'!$K:$K, 
      MATCH(
        1, 
        ('アイテム別限界値DB'!$B:$B = AW$10) * 
        ('アイテム別限界値DB'!$F:$F = AW18) * 
        ('アイテム別限界値DB'!$H:$H = AX18), 
        0
      )
    ), 
    "再製作"
  )
)
</f>
        <v/>
      </c>
      <c r="AZ18" s="218" t="str">
        <f t="array" ref="AZ18">IF(
  AX18 = 0, 
  "", 
  IFERROR(
    INDEX(
      'アイテム別限界値DB'!$L:$L, 
      MATCH(
        1, 
        ('アイテム別限界値DB'!$B:$B = AW$10) * 
        ('アイテム別限界値DB'!$C:$C = AW18) * 
        ('アイテム別限界値DB'!$F:$F = AX18), 
        0
      )
    ), 
    ""
  )
)
</f>
        <v/>
      </c>
      <c r="BA18" s="121"/>
      <c r="BB18" s="224" t="s">
        <v>71</v>
      </c>
      <c r="BC18" s="232"/>
      <c r="BD18" s="231" t="str">
        <f t="array" ref="BD18">IF(
  BC18 = 0, 
  "", 
  IFERROR(
    INDEX(
      'アイテム別限界値DB'!$K:$K, 
      MATCH(
        1, 
        ('アイテム別限界値DB'!$B:$B = BB$10) * 
        ('アイテム別限界値DB'!$F:$F = BB18) * 
        ('アイテム別限界値DB'!$H:$H = BC18), 
        0
      )
    ), 
    "再製作"
  )
)
</f>
        <v/>
      </c>
      <c r="BE18" s="218" t="str">
        <f t="array" ref="BE18">IF(
  BC18 = 0, 
  "", 
  IFERROR(
    INDEX(
      'アイテム別限界値DB'!$L:$L, 
      MATCH(
        1, 
        ('アイテム別限界値DB'!$B:$B = BB$10) * 
        ('アイテム別限界値DB'!$C:$C = BB18) * 
        ('アイテム別限界値DB'!$F:$F = BC18), 
        0
      )
    ), 
    ""
  )
)
</f>
        <v/>
      </c>
      <c r="BF18" s="121"/>
      <c r="BG18" s="224" t="s">
        <v>71</v>
      </c>
      <c r="BH18" s="232"/>
      <c r="BI18" s="231" t="str">
        <f t="array" ref="BI18">IF(
  BH18 = 0, 
  "", 
  IFERROR(
    INDEX(
      'アイテム別限界値DB'!$K:$K, 
      MATCH(
        1, 
        ('アイテム別限界値DB'!$B:$B = BG$10) * 
        ('アイテム別限界値DB'!$F:$F = BG18) * 
        ('アイテム別限界値DB'!$H:$H = BH18), 
        0
      )
    ), 
    "再製作"
  )
)
</f>
        <v/>
      </c>
      <c r="BJ18" s="218" t="str">
        <f t="array" ref="BJ18">IF(
  BH18 = 0, 
  "", 
  IFERROR(
    INDEX(
      'アイテム別限界値DB'!$L:$L, 
      MATCH(
        1, 
        ('アイテム別限界値DB'!$B:$B = BG$10) * 
        ('アイテム別限界値DB'!$C:$C = BG18) * 
        ('アイテム別限界値DB'!$F:$F = BH18), 
        0
      )
    ), 
    ""
  )
)
</f>
        <v/>
      </c>
      <c r="BK18" s="121"/>
      <c r="BL18" s="224" t="s">
        <v>69</v>
      </c>
      <c r="BM18" s="232"/>
      <c r="BN18" s="231" t="str">
        <f t="array" ref="BN18">IF(
  BM18 = 0, 
  "", 
  IFERROR(
    INDEX(
      'アイテム別限界値DB'!$K:$K, 
      MATCH(
        1, 
        ('アイテム別限界値DB'!$B:$B = BL$10) * 
        ('アイテム別限界値DB'!$F:$F = BL18) * 
        ('アイテム別限界値DB'!$H:$H = BM18), 
        0
      )
    ), 
    "再製作"
  )
)
</f>
        <v/>
      </c>
      <c r="BO18" s="218" t="str">
        <f t="array" ref="BO18">IF(
  BM18 = 0, 
  "", 
  IFERROR(
    INDEX(
      'アイテム別限界値DB'!$L:$L, 
      MATCH(
        1, 
        ('アイテム別限界値DB'!$B:$B = BL$10) * 
        ('アイテム別限界値DB'!$C:$C = BL18) * 
        ('アイテム別限界値DB'!$F:$F = BM18), 
        0
      )
    ), 
    ""
  )
)
</f>
        <v/>
      </c>
      <c r="BP18" s="195"/>
    </row>
    <row r="19" ht="18.75" customHeight="1">
      <c r="A19" s="228" t="str">
        <f>IF($I$11 ="再製作", "◼︎ パンツ（対応着地：再製作）"　&amp; char(10) &amp; "《修正数値》", IF($I$11 &lt;&gt; "", "◼︎ パンツ（対応着地：お直し）"　&amp; char(10) &amp; "《修正数値》", ""))</f>
        <v>◼︎ パンツ（対応着地：お直し）
《修正数値》</v>
      </c>
      <c r="B19" s="224"/>
      <c r="C19" s="224"/>
      <c r="D19" s="238" t="s">
        <v>72</v>
      </c>
      <c r="E19" s="232"/>
      <c r="F19" s="231" t="str">
        <f t="array" ref="F19">IF(
  E19 = 0, 
  "", 
  IFERROR(
    INDEX(
      'アイテム別限界値DB'!$K:$K, 
      MATCH(
        1, 
        ('アイテム別限界値DB'!$B:$B = D$10) * 
        ('アイテム別限界値DB'!$F:$F = D19) * 
        ('アイテム別限界値DB'!$H:$H = E19), 
        0
      )
    ), 
    "再製作"
  )
)
</f>
        <v/>
      </c>
      <c r="G19" s="218" t="str">
        <f t="array" ref="G19">IF(
  E19 = 0, 
  "", 
  IFERROR(
    INDEX(
      'アイテム別限界値DB'!$L:$L, 
      MATCH(
        1, 
        ('アイテム別限界値DB'!$B:$B = D$10) * 
        ('アイテム別限界値DB'!$C:$C = D19) * 
        ('アイテム別限界値DB'!$F:$F = E19), 
        0
      )
    ), 
    ""
  )
)
</f>
        <v/>
      </c>
      <c r="H19" s="12"/>
      <c r="I19" s="238" t="s">
        <v>73</v>
      </c>
      <c r="J19" s="232"/>
      <c r="K19" s="231" t="str">
        <f t="array" ref="K19">IF(
  J19 = 0, 
  "", 
  IFERROR(
    INDEX(
      'アイテム別限界値DB'!$K:$K, 
      MATCH(
        1, 
        ('アイテム別限界値DB'!$B:$B = I$10) * 
        ('アイテム別限界値DB'!$F:$F = I19) * 
        ('アイテム別限界値DB'!$H:$H = J19), 
        0
      )
    ), 
    "再製作"
  )
)
</f>
        <v/>
      </c>
      <c r="L19" s="218" t="str">
        <f t="array" ref="L19">IF(
  J19 = 0, 
  "", 
  IFERROR(
    INDEX(
      'アイテム別限界値DB'!$L:$L, 
      MATCH(
        1, 
        ('アイテム別限界値DB'!$B:$B = I$10) * 
        ('アイテム別限界値DB'!$C:$C = I19) * 
        ('アイテム別限界値DB'!$F:$F = J19), 
        0
      )
    ), 
    ""
  )
)
</f>
        <v/>
      </c>
      <c r="M19" s="12"/>
      <c r="N19" s="238" t="s">
        <v>74</v>
      </c>
      <c r="O19" s="232"/>
      <c r="P19" s="231" t="str">
        <f t="array" ref="P19">IF(
  O19 = 0, 
  "", 
  IFERROR(
    INDEX(
      'アイテム別限界値DB'!$K:$K, 
      MATCH(
        1, 
        ('アイテム別限界値DB'!$B:$B = N$10) * 
        ('アイテム別限界値DB'!$F:$F = N19) * 
        ('アイテム別限界値DB'!$H:$H = O19), 
        0
      )
    ), 
    "再製作"
  )
)
</f>
        <v/>
      </c>
      <c r="Q19" s="218" t="str">
        <f t="array" ref="Q19">IF(
  O19 = 0, 
  "", 
  IFERROR(
    INDEX(
      'アイテム別限界値DB'!$L:$L, 
      MATCH(
        1, 
        ('アイテム別限界値DB'!$B:$B = N$10) * 
        ('アイテム別限界値DB'!$C:$C = N19) * 
        ('アイテム別限界値DB'!$F:$F = O19), 
        0
      )
    ), 
    ""
  )
)
</f>
        <v/>
      </c>
      <c r="R19" s="11"/>
      <c r="S19" s="238" t="s">
        <v>75</v>
      </c>
      <c r="T19" s="232"/>
      <c r="U19" s="231" t="str">
        <f t="array" ref="U19">IF(
  T19 = 0, 
  "", 
  IFERROR(
    INDEX(
      'アイテム別限界値DB'!$K:$K, 
      MATCH(
        1, 
        ('アイテム別限界値DB'!$B:$B = S$10) * 
        ('アイテム別限界値DB'!$F:$F = S19) * 
        ('アイテム別限界値DB'!$H:$H = T19), 
        0
      )
    ), 
    "再製作"
  )
)
</f>
        <v/>
      </c>
      <c r="V19" s="218" t="str">
        <f t="array" ref="V19">IF(
  T19 = 0, 
  "", 
  IFERROR(
    INDEX(
      'アイテム別限界値DB'!$L:$L, 
      MATCH(
        1, 
        ('アイテム別限界値DB'!$B:$B = S$10) * 
        ('アイテム別限界値DB'!$C:$C = S19) * 
        ('アイテム別限界値DB'!$F:$F = T19), 
        0
      )
    ), 
    ""
  )
)
</f>
        <v/>
      </c>
      <c r="W19" s="11"/>
      <c r="X19" s="238" t="s">
        <v>69</v>
      </c>
      <c r="Y19" s="230"/>
      <c r="Z19" s="231" t="str">
        <f t="array" ref="Z19">IF(
  Y19 = 0, 
  "", 
  IFERROR(
    INDEX(
      'アイテム別限界値DB'!$K:$K, 
      MATCH(
        1, 
        ('アイテム別限界値DB'!$B:$B = X$10) * 
        ('アイテム別限界値DB'!$F:$F = X19) * 
        ('アイテム別限界値DB'!$H:$H = Y19), 
        0
      )
    ), 
    "再製作"
  )
)
</f>
        <v/>
      </c>
      <c r="AA19" s="218" t="str">
        <f t="array" ref="AA19">IF(
  Y19 = 0, 
  "", 
  IFERROR(
    INDEX(
      'アイテム別限界値DB'!$L:$L, 
      MATCH(
        1, 
        ('アイテム別限界値DB'!$B:$B = X$10) * 
        ('アイテム別限界値DB'!$C:$C = X19) * 
        ('アイテム別限界値DB'!$F:$F = Y19), 
        0
      )
    ), 
    ""
  )
)
</f>
        <v/>
      </c>
      <c r="AB19" s="11"/>
      <c r="AC19" s="238" t="s">
        <v>76</v>
      </c>
      <c r="AD19" s="232"/>
      <c r="AE19" s="231" t="str">
        <f t="array" ref="AE19">IF(
  AD19 = 0, 
  "", 
  IFERROR(
    INDEX(
      'アイテム別限界値DB'!$K:$K, 
      MATCH(
        1, 
        ('アイテム別限界値DB'!$B:$B = AC$10) * 
        ('アイテム別限界値DB'!$F:$F = AC19) * 
        ('アイテム別限界値DB'!$H:$H = AD19), 
        0
      )
    ), 
    "再製作"
  )
)
</f>
        <v/>
      </c>
      <c r="AF19" s="218" t="str">
        <f t="array" ref="AF19">IF(
  AD19 = 0, 
  "", 
  IFERROR(
    INDEX(
      'アイテム別限界値DB'!$L:$L, 
      MATCH(
        1, 
        ('アイテム別限界値DB'!$B:$B = AC$10) * 
        ('アイテム別限界値DB'!$C:$C = AC19) * 
        ('アイテム別限界値DB'!$F:$F = AD19), 
        0
      )
    ), 
    ""
  )
)
</f>
        <v/>
      </c>
      <c r="AG19" s="11"/>
      <c r="AH19" s="238" t="s">
        <v>71</v>
      </c>
      <c r="AI19" s="232"/>
      <c r="AJ19" s="231" t="str">
        <f t="array" ref="AJ19">IF(
  AI19 = 0, 
  "", 
  IFERROR(
    INDEX(
      'アイテム別限界値DB'!$K:$K, 
      MATCH(
        1, 
        ('アイテム別限界値DB'!$B:$B = AH$10) * 
        ('アイテム別限界値DB'!$F:$F = AH19) * 
        ('アイテム別限界値DB'!$H:$H = AI19), 
        0
      )
    ), 
    "再製作"
  )
)
</f>
        <v/>
      </c>
      <c r="AK19" s="218" t="str">
        <f t="array" ref="AK19">IF(
  AI19 = 0, 
  "", 
  IFERROR(
    INDEX(
      'アイテム別限界値DB'!$L:$L, 
      MATCH(
        1, 
        ('アイテム別限界値DB'!$B:$B = AH$10) * 
        ('アイテム別限界値DB'!$C:$C = AH19) * 
        ('アイテム別限界値DB'!$F:$F = AI19), 
        0
      )
    ), 
    ""
  )
)
</f>
        <v/>
      </c>
      <c r="AL19" s="11"/>
      <c r="AM19" s="238" t="s">
        <v>62</v>
      </c>
      <c r="AN19" s="232"/>
      <c r="AO19" s="231" t="str">
        <f t="array" ref="AO19">IF(
  AN19 = 0, 
  "", 
  IFERROR(
    INDEX(
      'アイテム別限界値DB'!$K:$K, 
      MATCH(
        1, 
        ('アイテム別限界値DB'!$B:$B = AM$10) * 
        ('アイテム別限界値DB'!$F:$F = AM19) * 
        ('アイテム別限界値DB'!$H:$H = AN19), 
        0
      )
    ), 
    "再製作"
  )
)
</f>
        <v/>
      </c>
      <c r="AP19" s="218" t="str">
        <f t="array" ref="AP19">IF(
  AN19 = 0, 
  "", 
  IFERROR(
    INDEX(
      'アイテム別限界値DB'!$L:$L, 
      MATCH(
        1, 
        ('アイテム別限界値DB'!$B:$B = AM$10) * 
        ('アイテム別限界値DB'!$C:$C = AM19) * 
        ('アイテム別限界値DB'!$F:$F = AN19), 
        0
      )
    ), 
    ""
  )
)
</f>
        <v/>
      </c>
      <c r="AQ19" s="11"/>
      <c r="AR19" s="238" t="s">
        <v>62</v>
      </c>
      <c r="AS19" s="230"/>
      <c r="AT19" s="231" t="str">
        <f t="array" ref="AT19">IF(
  AS19 = 0, 
  "", 
  IFERROR(
    INDEX(
      'アイテム別限界値DB'!$K:$K, 
      MATCH(
        1, 
        ('アイテム別限界値DB'!$B:$B = AR$10) * 
        ('アイテム別限界値DB'!$F:$F = AR19) * 
        ('アイテム別限界値DB'!$H:$H = AS19), 
        0
      )
    ), 
    "再製作"
  )
)
</f>
        <v/>
      </c>
      <c r="AU19" s="218" t="str">
        <f t="array" ref="AU19">IF(
  AS19 = 0, 
  "", 
  IFERROR(
    INDEX(
      'アイテム別限界値DB'!$L:$L, 
      MATCH(
        1, 
        ('アイテム別限界値DB'!$B:$B = AR$10) * 
        ('アイテム別限界値DB'!$C:$C = AR19) * 
        ('アイテム別限界値DB'!$F:$F = AS19), 
        0
      )
    ), 
    ""
  )
)
</f>
        <v/>
      </c>
      <c r="AV19" s="121"/>
      <c r="AW19" s="224" t="s">
        <v>62</v>
      </c>
      <c r="AX19" s="232"/>
      <c r="AY19" s="231" t="str">
        <f t="array" ref="AY19">IF(
  AX19 = 0, 
  "", 
  IFERROR(
    INDEX(
      'アイテム別限界値DB'!$K:$K, 
      MATCH(
        1, 
        ('アイテム別限界値DB'!$B:$B = AW$10) * 
        ('アイテム別限界値DB'!$F:$F = AW19) * 
        ('アイテム別限界値DB'!$H:$H = AX19), 
        0
      )
    ), 
    "再製作"
  )
)
</f>
        <v/>
      </c>
      <c r="AZ19" s="218" t="str">
        <f t="array" ref="AZ19">IF(
  AX19 = 0, 
  "", 
  IFERROR(
    INDEX(
      'アイテム別限界値DB'!$L:$L, 
      MATCH(
        1, 
        ('アイテム別限界値DB'!$B:$B = AW$10) * 
        ('アイテム別限界値DB'!$C:$C = AW19) * 
        ('アイテム別限界値DB'!$F:$F = AX19), 
        0
      )
    ), 
    ""
  )
)
</f>
        <v/>
      </c>
      <c r="BA19" s="121"/>
      <c r="BB19" s="224" t="s">
        <v>62</v>
      </c>
      <c r="BC19" s="232"/>
      <c r="BD19" s="231" t="str">
        <f t="array" ref="BD19">IF(
  BC19 = 0, 
  "", 
  IFERROR(
    INDEX(
      'アイテム別限界値DB'!$K:$K, 
      MATCH(
        1, 
        ('アイテム別限界値DB'!$B:$B = BB$10) * 
        ('アイテム別限界値DB'!$F:$F = BB19) * 
        ('アイテム別限界値DB'!$H:$H = BC19), 
        0
      )
    ), 
    "再製作"
  )
)
</f>
        <v/>
      </c>
      <c r="BE19" s="218" t="str">
        <f t="array" ref="BE19">IF(
  BC19 = 0, 
  "", 
  IFERROR(
    INDEX(
      'アイテム別限界値DB'!$L:$L, 
      MATCH(
        1, 
        ('アイテム別限界値DB'!$B:$B = BB$10) * 
        ('アイテム別限界値DB'!$C:$C = BB19) * 
        ('アイテム別限界値DB'!$F:$F = BC19), 
        0
      )
    ), 
    ""
  )
)
</f>
        <v/>
      </c>
      <c r="BF19" s="121"/>
      <c r="BG19" s="224" t="s">
        <v>62</v>
      </c>
      <c r="BH19" s="232"/>
      <c r="BI19" s="231" t="str">
        <f t="array" ref="BI19">IF(
  BH19 = 0, 
  "", 
  IFERROR(
    INDEX(
      'アイテム別限界値DB'!$K:$K, 
      MATCH(
        1, 
        ('アイテム別限界値DB'!$B:$B = BG$10) * 
        ('アイテム別限界値DB'!$F:$F = BG19) * 
        ('アイテム別限界値DB'!$H:$H = BH19), 
        0
      )
    ), 
    "再製作"
  )
)
</f>
        <v/>
      </c>
      <c r="BJ19" s="218" t="str">
        <f t="array" ref="BJ19">IF(
  BH19 = 0, 
  "", 
  IFERROR(
    INDEX(
      'アイテム別限界値DB'!$L:$L, 
      MATCH(
        1, 
        ('アイテム別限界値DB'!$B:$B = BG$10) * 
        ('アイテム別限界値DB'!$C:$C = BG19) * 
        ('アイテム別限界値DB'!$F:$F = BH19), 
        0
      )
    ), 
    ""
  )
)
</f>
        <v/>
      </c>
      <c r="BK19" s="121"/>
      <c r="BL19" s="224" t="s">
        <v>76</v>
      </c>
      <c r="BM19" s="232"/>
      <c r="BN19" s="231" t="str">
        <f t="array" ref="BN19">IF(
  BM19 = 0, 
  "", 
  IFERROR(
    INDEX(
      'アイテム別限界値DB'!$K:$K, 
      MATCH(
        1, 
        ('アイテム別限界値DB'!$B:$B = BL$10) * 
        ('アイテム別限界値DB'!$F:$F = BL19) * 
        ('アイテム別限界値DB'!$H:$H = BM19), 
        0
      )
    ), 
    "再製作"
  )
)
</f>
        <v/>
      </c>
      <c r="BO19" s="218" t="str">
        <f t="array" ref="BO19">IF(
  BM19 = 0, 
  "", 
  IFERROR(
    INDEX(
      'アイテム別限界値DB'!$L:$L, 
      MATCH(
        1, 
        ('アイテム別限界値DB'!$B:$B = BL$10) * 
        ('アイテム別限界値DB'!$C:$C = BL19) * 
        ('アイテム別限界値DB'!$F:$F = BM19), 
        0
      )
    ), 
    ""
  )
)
</f>
        <v/>
      </c>
      <c r="BP19" s="195"/>
    </row>
    <row r="20" ht="18.75" customHeight="1">
      <c r="A20" s="228" t="str">
        <f>IFERROR(__xludf.DUMMYFUNCTION("TEXTJOIN(CHAR(10),TRUE,FILTER(ARRAYFORMULA(IF(J$14:J72&lt;&gt;"""", I$14:I72 &amp;"" : ""&amp; J$14:J72 &amp;"" cm"","""")), I$14:I72 &lt;&gt;""""))"),"パンツウエスト : 2 cm")</f>
        <v>パンツウエスト : 2 cm</v>
      </c>
      <c r="B20" s="229"/>
      <c r="C20" s="224"/>
      <c r="D20" s="238" t="s">
        <v>77</v>
      </c>
      <c r="E20" s="230"/>
      <c r="F20" s="231" t="str">
        <f t="array" ref="F20">IF(
  E20 = 0, 
  "", 
  IFERROR(
    INDEX(
      'アイテム別限界値DB'!$K:$K, 
      MATCH(
        1, 
        ('アイテム別限界値DB'!$B:$B = D$10) * 
        ('アイテム別限界値DB'!$F:$F = D20) * 
        ('アイテム別限界値DB'!$H:$H = E20), 
        0
      )
    ), 
    "再製作"
  )
)
</f>
        <v/>
      </c>
      <c r="G20" s="218" t="str">
        <f t="array" ref="G20">IF(
  E20 = 0, 
  "", 
  IFERROR(
    INDEX(
      'アイテム別限界値DB'!$L:$L, 
      MATCH(
        1, 
        ('アイテム別限界値DB'!$B:$B = D$10) * 
        ('アイテム別限界値DB'!$C:$C = D20) * 
        ('アイテム別限界値DB'!$F:$F = E20), 
        0
      )
    ), 
    ""
  )
)
</f>
        <v/>
      </c>
      <c r="H20" s="12"/>
      <c r="I20" s="238" t="s">
        <v>78</v>
      </c>
      <c r="J20" s="230"/>
      <c r="K20" s="231" t="str">
        <f t="array" ref="K20">IF(
  J20 = 0, 
  "", 
  IFERROR(
    INDEX(
      'アイテム別限界値DB'!$K:$K, 
      MATCH(
        1, 
        ('アイテム別限界値DB'!$B:$B = I$10) * 
        ('アイテム別限界値DB'!$F:$F = I20) * 
        ('アイテム別限界値DB'!$H:$H = J20), 
        0
      )
    ), 
    "再製作"
  )
)
</f>
        <v/>
      </c>
      <c r="L20" s="218" t="str">
        <f t="array" ref="L20">IF(
  J20 = 0, 
  "", 
  IFERROR(
    INDEX(
      'アイテム別限界値DB'!$L:$L, 
      MATCH(
        1, 
        ('アイテム別限界値DB'!$B:$B = I$10) * 
        ('アイテム別限界値DB'!$C:$C = I20) * 
        ('アイテム別限界値DB'!$F:$F = J20), 
        0
      )
    ), 
    ""
  )
)
</f>
        <v/>
      </c>
      <c r="M20" s="12"/>
      <c r="N20" s="238" t="s">
        <v>79</v>
      </c>
      <c r="O20" s="232"/>
      <c r="P20" s="231" t="str">
        <f t="array" ref="P20">IF(
  O20 = 0, 
  "", 
  IFERROR(
    INDEX(
      'アイテム別限界値DB'!$K:$K, 
      MATCH(
        1, 
        ('アイテム別限界値DB'!$B:$B = N$10) * 
        ('アイテム別限界値DB'!$F:$F = N20) * 
        ('アイテム別限界値DB'!$H:$H = O20), 
        0
      )
    ), 
    "再製作"
  )
)
</f>
        <v/>
      </c>
      <c r="Q20" s="218" t="str">
        <f t="array" ref="Q20">IF(
  O20 = 0, 
  "", 
  IFERROR(
    INDEX(
      'アイテム別限界値DB'!$L:$L, 
      MATCH(
        1, 
        ('アイテム別限界値DB'!$B:$B = N$10) * 
        ('アイテム別限界値DB'!$C:$C = N20) * 
        ('アイテム別限界値DB'!$F:$F = O20), 
        0
      )
    ), 
    ""
  )
)
</f>
        <v/>
      </c>
      <c r="R20" s="11"/>
      <c r="S20" s="238" t="s">
        <v>78</v>
      </c>
      <c r="T20" s="230"/>
      <c r="U20" s="231" t="str">
        <f t="array" ref="U20">IF(
  T20 = 0, 
  "", 
  IFERROR(
    INDEX(
      'アイテム別限界値DB'!$K:$K, 
      MATCH(
        1, 
        ('アイテム別限界値DB'!$B:$B = S$10) * 
        ('アイテム別限界値DB'!$F:$F = S20) * 
        ('アイテム別限界値DB'!$H:$H = T20), 
        0
      )
    ), 
    "再製作"
  )
)
</f>
        <v/>
      </c>
      <c r="V20" s="218" t="str">
        <f t="array" ref="V20">IF(
  T20 = 0, 
  "", 
  IFERROR(
    INDEX(
      'アイテム別限界値DB'!$L:$L, 
      MATCH(
        1, 
        ('アイテム別限界値DB'!$B:$B = S$10) * 
        ('アイテム別限界値DB'!$C:$C = S20) * 
        ('アイテム別限界値DB'!$F:$F = T20), 
        0
      )
    ), 
    ""
  )
)
</f>
        <v/>
      </c>
      <c r="W20" s="11"/>
      <c r="X20" s="238" t="s">
        <v>76</v>
      </c>
      <c r="Y20" s="232"/>
      <c r="Z20" s="231" t="str">
        <f t="array" ref="Z20">IF(
  Y20 = 0, 
  "", 
  IFERROR(
    INDEX(
      'アイテム別限界値DB'!$K:$K, 
      MATCH(
        1, 
        ('アイテム別限界値DB'!$B:$B = X$10) * 
        ('アイテム別限界値DB'!$F:$F = X20) * 
        ('アイテム別限界値DB'!$H:$H = Y20), 
        0
      )
    ), 
    "再製作"
  )
)
</f>
        <v/>
      </c>
      <c r="AA20" s="218" t="str">
        <f t="array" ref="AA20">IF(
  Y20 = 0, 
  "", 
  IFERROR(
    INDEX(
      'アイテム別限界値DB'!$L:$L, 
      MATCH(
        1, 
        ('アイテム別限界値DB'!$B:$B = X$10) * 
        ('アイテム別限界値DB'!$C:$C = X20) * 
        ('アイテム別限界値DB'!$F:$F = Y20), 
        0
      )
    ), 
    ""
  )
)
</f>
        <v/>
      </c>
      <c r="AB20" s="11"/>
      <c r="AC20" s="238" t="s">
        <v>80</v>
      </c>
      <c r="AD20" s="232"/>
      <c r="AE20" s="231" t="str">
        <f t="array" ref="AE20">IF(
  AD20 = 0, 
  "", 
  IFERROR(
    INDEX(
      'アイテム別限界値DB'!$K:$K, 
      MATCH(
        1, 
        ('アイテム別限界値DB'!$B:$B = AC$10) * 
        ('アイテム別限界値DB'!$F:$F = AC20) * 
        ('アイテム別限界値DB'!$H:$H = AD20), 
        0
      )
    ), 
    "再製作"
  )
)
</f>
        <v/>
      </c>
      <c r="AF20" s="218" t="str">
        <f t="array" ref="AF20">IF(
  AD20 = 0, 
  "", 
  IFERROR(
    INDEX(
      'アイテム別限界値DB'!$L:$L, 
      MATCH(
        1, 
        ('アイテム別限界値DB'!$B:$B = AC$10) * 
        ('アイテム別限界値DB'!$C:$C = AC20) * 
        ('アイテム別限界値DB'!$F:$F = AD20), 
        0
      )
    ), 
    ""
  )
)
</f>
        <v/>
      </c>
      <c r="AG20" s="11"/>
      <c r="AH20" s="224" t="s">
        <v>62</v>
      </c>
      <c r="AI20" s="232"/>
      <c r="AJ20" s="231" t="str">
        <f t="array" ref="AJ20">IF(
  AI20 = 0, 
  "", 
  IFERROR(
    INDEX(
      'アイテム別限界値DB'!$K:$K, 
      MATCH(
        1, 
        ('アイテム別限界値DB'!$B:$B = AH$10) * 
        ('アイテム別限界値DB'!$F:$F = AH20) * 
        ('アイテム別限界値DB'!$H:$H = AI20), 
        0
      )
    ), 
    "再製作"
  )
)
</f>
        <v/>
      </c>
      <c r="AK20" s="218" t="str">
        <f t="array" ref="AK20">IF(
  AI20 = 0, 
  "", 
  IFERROR(
    INDEX(
      'アイテム別限界値DB'!$L:$L, 
      MATCH(
        1, 
        ('アイテム別限界値DB'!$B:$B = AH$10) * 
        ('アイテム別限界値DB'!$C:$C = AH20) * 
        ('アイテム別限界値DB'!$F:$F = AI20), 
        0
      )
    ), 
    ""
  )
)
</f>
        <v/>
      </c>
      <c r="AL20" s="11"/>
      <c r="AM20" s="224" t="s">
        <v>70</v>
      </c>
      <c r="AN20" s="230"/>
      <c r="AO20" s="231" t="str">
        <f t="array" ref="AO20">IF(
  AN20 = 0, 
  "", 
  IFERROR(
    INDEX(
      'アイテム別限界値DB'!$K:$K, 
      MATCH(
        1, 
        ('アイテム別限界値DB'!$B:$B = AM$10) * 
        ('アイテム別限界値DB'!$F:$F = AM20) * 
        ('アイテム別限界値DB'!$H:$H = AN20), 
        0
      )
    ), 
    "再製作"
  )
)
</f>
        <v/>
      </c>
      <c r="AP20" s="218" t="str">
        <f t="array" ref="AP20">IF(
  AN20 = 0, 
  "", 
  IFERROR(
    INDEX(
      'アイテム別限界値DB'!$L:$L, 
      MATCH(
        1, 
        ('アイテム別限界値DB'!$B:$B = AM$10) * 
        ('アイテム別限界値DB'!$C:$C = AM20) * 
        ('アイテム別限界値DB'!$F:$F = AN20), 
        0
      )
    ), 
    ""
  )
)
</f>
        <v/>
      </c>
      <c r="AQ20" s="11"/>
      <c r="AR20" s="224" t="s">
        <v>70</v>
      </c>
      <c r="AS20" s="230"/>
      <c r="AT20" s="231" t="str">
        <f t="array" ref="AT20">IF(
  AS20 = 0, 
  "", 
  IFERROR(
    INDEX(
      'アイテム別限界値DB'!$K:$K, 
      MATCH(
        1, 
        ('アイテム別限界値DB'!$B:$B = AR$10) * 
        ('アイテム別限界値DB'!$F:$F = AR20) * 
        ('アイテム別限界値DB'!$H:$H = AS20), 
        0
      )
    ), 
    "再製作"
  )
)
</f>
        <v/>
      </c>
      <c r="AU20" s="218" t="str">
        <f t="array" ref="AU20">IF(
  AS20 = 0, 
  "", 
  IFERROR(
    INDEX(
      'アイテム別限界値DB'!$L:$L, 
      MATCH(
        1, 
        ('アイテム別限界値DB'!$B:$B = AR$10) * 
        ('アイテム別限界値DB'!$C:$C = AR20) * 
        ('アイテム別限界値DB'!$F:$F = AS20), 
        0
      )
    ), 
    ""
  )
)
</f>
        <v/>
      </c>
      <c r="AV20" s="121"/>
      <c r="AW20" s="224" t="s">
        <v>70</v>
      </c>
      <c r="AX20" s="232"/>
      <c r="AY20" s="231" t="str">
        <f t="array" ref="AY20">IF(
  AX20 = 0, 
  "", 
  IFERROR(
    INDEX(
      'アイテム別限界値DB'!$K:$K, 
      MATCH(
        1, 
        ('アイテム別限界値DB'!$B:$B = AW$10) * 
        ('アイテム別限界値DB'!$F:$F = AW20) * 
        ('アイテム別限界値DB'!$H:$H = AX20), 
        0
      )
    ), 
    "再製作"
  )
)
</f>
        <v/>
      </c>
      <c r="AZ20" s="218" t="str">
        <f t="array" ref="AZ20">IF(
  AX20 = 0, 
  "", 
  IFERROR(
    INDEX(
      'アイテム別限界値DB'!$L:$L, 
      MATCH(
        1, 
        ('アイテム別限界値DB'!$B:$B = AW$10) * 
        ('アイテム別限界値DB'!$C:$C = AW20) * 
        ('アイテム別限界値DB'!$F:$F = AX20), 
        0
      )
    ), 
    ""
  )
)
</f>
        <v/>
      </c>
      <c r="BA20" s="121"/>
      <c r="BB20" s="224" t="s">
        <v>70</v>
      </c>
      <c r="BC20" s="232"/>
      <c r="BD20" s="231" t="str">
        <f t="array" ref="BD20">IF(
  BC20 = 0, 
  "", 
  IFERROR(
    INDEX(
      'アイテム別限界値DB'!$K:$K, 
      MATCH(
        1, 
        ('アイテム別限界値DB'!$B:$B = BB$10) * 
        ('アイテム別限界値DB'!$F:$F = BB20) * 
        ('アイテム別限界値DB'!$H:$H = BC20), 
        0
      )
    ), 
    "再製作"
  )
)
</f>
        <v/>
      </c>
      <c r="BE20" s="218" t="str">
        <f t="array" ref="BE20">IF(
  BC20 = 0, 
  "", 
  IFERROR(
    INDEX(
      'アイテム別限界値DB'!$L:$L, 
      MATCH(
        1, 
        ('アイテム別限界値DB'!$B:$B = BB$10) * 
        ('アイテム別限界値DB'!$C:$C = BB20) * 
        ('アイテム別限界値DB'!$F:$F = BC20), 
        0
      )
    ), 
    ""
  )
)
</f>
        <v/>
      </c>
      <c r="BF20" s="121"/>
      <c r="BG20" s="224" t="s">
        <v>70</v>
      </c>
      <c r="BH20" s="232"/>
      <c r="BI20" s="231" t="str">
        <f t="array" ref="BI20">IF(
  BH20 = 0, 
  "", 
  IFERROR(
    INDEX(
      'アイテム別限界値DB'!$K:$K, 
      MATCH(
        1, 
        ('アイテム別限界値DB'!$B:$B = BG$10) * 
        ('アイテム別限界値DB'!$F:$F = BG20) * 
        ('アイテム別限界値DB'!$H:$H = BH20), 
        0
      )
    ), 
    "再製作"
  )
)
</f>
        <v/>
      </c>
      <c r="BJ20" s="218" t="str">
        <f t="array" ref="BJ20">IF(
  BH20 = 0, 
  "", 
  IFERROR(
    INDEX(
      'アイテム別限界値DB'!$L:$L, 
      MATCH(
        1, 
        ('アイテム別限界値DB'!$B:$B = BG$10) * 
        ('アイテム別限界値DB'!$C:$C = BG20) * 
        ('アイテム別限界値DB'!$F:$F = BH20), 
        0
      )
    ), 
    ""
  )
)
</f>
        <v/>
      </c>
      <c r="BK20" s="121"/>
      <c r="BL20" s="224" t="s">
        <v>80</v>
      </c>
      <c r="BM20" s="232"/>
      <c r="BN20" s="231" t="str">
        <f t="array" ref="BN20">IF(
  BM20 = 0, 
  "", 
  IFERROR(
    INDEX(
      'アイテム別限界値DB'!$K:$K, 
      MATCH(
        1, 
        ('アイテム別限界値DB'!$B:$B = BL$10) * 
        ('アイテム別限界値DB'!$F:$F = BL20) * 
        ('アイテム別限界値DB'!$H:$H = BM20), 
        0
      )
    ), 
    "再製作"
  )
)
</f>
        <v/>
      </c>
      <c r="BO20" s="218" t="str">
        <f t="array" ref="BO20">IF(
  BM20 = 0, 
  "", 
  IFERROR(
    INDEX(
      'アイテム別限界値DB'!$L:$L, 
      MATCH(
        1, 
        ('アイテム別限界値DB'!$B:$B = BL$10) * 
        ('アイテム別限界値DB'!$C:$C = BL20) * 
        ('アイテム別限界値DB'!$F:$F = BM20), 
        0
      )
    ), 
    ""
  )
)
</f>
        <v/>
      </c>
      <c r="BP20" s="195"/>
    </row>
    <row r="21" ht="18.75" customHeight="1">
      <c r="A21" s="236" t="str">
        <f>if($A$19&lt;&gt;"", "《仕上がり数値》","")</f>
        <v>《仕上がり数値》</v>
      </c>
      <c r="B21" s="229"/>
      <c r="C21" s="224"/>
      <c r="D21" s="238" t="s">
        <v>81</v>
      </c>
      <c r="E21" s="232"/>
      <c r="F21" s="231" t="str">
        <f t="array" ref="F21">IF(
  E21 = 0, 
  "", 
  IFERROR(
    INDEX(
      'アイテム別限界値DB'!$K:$K, 
      MATCH(
        1, 
        ('アイテム別限界値DB'!$B:$B = D$10) * 
        ('アイテム別限界値DB'!$F:$F = D21) * 
        ('アイテム別限界値DB'!$H:$H = E21), 
        0
      )
    ), 
    "再製作"
  )
)
</f>
        <v/>
      </c>
      <c r="G21" s="218" t="str">
        <f t="array" ref="G21">IF(
  E21 = 0, 
  "", 
  IFERROR(
    INDEX(
      'アイテム別限界値DB'!$L:$L, 
      MATCH(
        1, 
        ('アイテム別限界値DB'!$B:$B = D$10) * 
        ('アイテム別限界値DB'!$C:$C = D21) * 
        ('アイテム別限界値DB'!$F:$F = E21), 
        0
      )
    ), 
    ""
  )
)
</f>
        <v/>
      </c>
      <c r="H21" s="12"/>
      <c r="I21" s="238" t="s">
        <v>82</v>
      </c>
      <c r="J21" s="230"/>
      <c r="K21" s="231" t="str">
        <f t="array" ref="K21">IF(
  J21 = 0, 
  "", 
  IFERROR(
    INDEX(
      'アイテム別限界値DB'!$K:$K, 
      MATCH(
        1, 
        ('アイテム別限界値DB'!$B:$B = I$10) * 
        ('アイテム別限界値DB'!$F:$F = I21) * 
        ('アイテム別限界値DB'!$H:$H = J21), 
        0
      )
    ), 
    "再製作"
  )
)
</f>
        <v/>
      </c>
      <c r="L21" s="218" t="str">
        <f t="array" ref="L21">IF(
  J21 = 0, 
  "", 
  IFERROR(
    INDEX(
      'アイテム別限界値DB'!$L:$L, 
      MATCH(
        1, 
        ('アイテム別限界値DB'!$B:$B = I$10) * 
        ('アイテム別限界値DB'!$C:$C = I21) * 
        ('アイテム別限界値DB'!$F:$F = J21), 
        0
      )
    ), 
    ""
  )
)
</f>
        <v/>
      </c>
      <c r="M21" s="12"/>
      <c r="N21" s="224" t="s">
        <v>83</v>
      </c>
      <c r="O21" s="232"/>
      <c r="P21" s="231" t="str">
        <f t="array" ref="P21">IF(
  O21 = 0, 
  "", 
  IFERROR(
    INDEX(
      'アイテム別限界値DB'!$K:$K, 
      MATCH(
        1, 
        ('アイテム別限界値DB'!$B:$B = N$10) * 
        ('アイテム別限界値DB'!$F:$F = N21) * 
        ('アイテム別限界値DB'!$H:$H = O21), 
        0
      )
    ), 
    "再製作"
  )
)
</f>
        <v/>
      </c>
      <c r="Q21" s="121" t="str">
        <f t="array" ref="Q21">IF(
  O21 = 0, 
  "", 
  IFERROR(
    INDEX(
      'アイテム別限界値DB'!$L:$L, 
      MATCH(
        1, 
        ('アイテム別限界値DB'!$B:$B = N$10) * 
        ('アイテム別限界値DB'!$C:$C = N21) * 
        ('アイテム別限界値DB'!$F:$F = O21), 
        0
      )
    ), 
    ""
  )
)
</f>
        <v/>
      </c>
      <c r="R21" s="11"/>
      <c r="S21" s="238" t="s">
        <v>82</v>
      </c>
      <c r="T21" s="230"/>
      <c r="U21" s="231" t="str">
        <f t="array" ref="U21">IF(
  T21 = 0, 
  "", 
  IFERROR(
    INDEX(
      'アイテム別限界値DB'!$K:$K, 
      MATCH(
        1, 
        ('アイテム別限界値DB'!$B:$B = S$10) * 
        ('アイテム別限界値DB'!$F:$F = S21) * 
        ('アイテム別限界値DB'!$H:$H = T21), 
        0
      )
    ), 
    "再製作"
  )
)
</f>
        <v/>
      </c>
      <c r="V21" s="218" t="str">
        <f t="array" ref="V21">IF(
  T21 = 0, 
  "", 
  IFERROR(
    INDEX(
      'アイテム別限界値DB'!$L:$L, 
      MATCH(
        1, 
        ('アイテム別限界値DB'!$B:$B = S$10) * 
        ('アイテム別限界値DB'!$C:$C = S21) * 
        ('アイテム別限界値DB'!$F:$F = T21), 
        0
      )
    ), 
    ""
  )
)
</f>
        <v/>
      </c>
      <c r="W21" s="11"/>
      <c r="X21" s="238" t="s">
        <v>84</v>
      </c>
      <c r="Y21" s="230"/>
      <c r="Z21" s="231" t="str">
        <f t="array" ref="Z21">IF(
  Y21 = 0, 
  "", 
  IFERROR(
    INDEX(
      'アイテム別限界値DB'!$K:$K, 
      MATCH(
        1, 
        ('アイテム別限界値DB'!$B:$B = X$10) * 
        ('アイテム別限界値DB'!$F:$F = X21) * 
        ('アイテム別限界値DB'!$H:$H = Y21), 
        0
      )
    ), 
    "再製作"
  )
)
</f>
        <v/>
      </c>
      <c r="AA21" s="218" t="str">
        <f t="array" ref="AA21">IF(
  Y21 = 0, 
  "", 
  IFERROR(
    INDEX(
      'アイテム別限界値DB'!$L:$L, 
      MATCH(
        1, 
        ('アイテム別限界値DB'!$B:$B = X$10) * 
        ('アイテム別限界値DB'!$C:$C = X21) * 
        ('アイテム別限界値DB'!$F:$F = Y21), 
        0
      )
    ), 
    ""
  )
)
</f>
        <v/>
      </c>
      <c r="AB21" s="11"/>
      <c r="AC21" s="238" t="s">
        <v>85</v>
      </c>
      <c r="AD21" s="232"/>
      <c r="AE21" s="231" t="str">
        <f t="array" ref="AE21">IF(
  AD21 = 0, 
  "", 
  IFERROR(
    INDEX(
      'アイテム別限界値DB'!$K:$K, 
      MATCH(
        1, 
        ('アイテム別限界値DB'!$B:$B = AC$10) * 
        ('アイテム別限界値DB'!$F:$F = AC21) * 
        ('アイテム別限界値DB'!$H:$H = AD21), 
        0
      )
    ), 
    "再製作"
  )
)
</f>
        <v/>
      </c>
      <c r="AF21" s="218" t="str">
        <f t="array" ref="AF21">IF(
  AD21 = 0, 
  "", 
  IFERROR(
    INDEX(
      'アイテム別限界値DB'!$L:$L, 
      MATCH(
        1, 
        ('アイテム別限界値DB'!$B:$B = AC$10) * 
        ('アイテム別限界値DB'!$C:$C = AC21) * 
        ('アイテム別限界値DB'!$F:$F = AD21), 
        0
      )
    ), 
    ""
  )
)
</f>
        <v/>
      </c>
      <c r="AG21" s="11"/>
      <c r="AH21" s="224"/>
      <c r="AI21" s="225"/>
      <c r="AJ21" s="220" t="str">
        <f t="array" ref="AJ21">IF(
  AI21 = 0, 
  "", 
  IFERROR(
    INDEX(
      'アイテム別限界値DB'!$I:$I, 
      MATCH(
        1, 
        ('アイテム別限界値DB'!$B:$B = AH$10) * 
        ('アイテム別限界値DB'!$C:$C = AH21) * 
        ('アイテム別限界値DB'!$F:$F = AI21), 
        0
      )
    ), 
    "再製作"
  )
)
</f>
        <v/>
      </c>
      <c r="AK21" s="121" t="str">
        <f t="array" ref="AK21">IF(
  AI21 = 0, 
  "", 
  IFERROR(
    INDEX(
      'アイテム別限界値DB'!$L:$L, 
      MATCH(
        1, 
        ('アイテム別限界値DB'!$B:$B = AH$10) * 
        ('アイテム別限界値DB'!$C:$C = AH21) * 
        ('アイテム別限界値DB'!$F:$F = AI21), 
        0
      )
    ), 
    ""
  )
)
</f>
        <v/>
      </c>
      <c r="AL21" s="11"/>
      <c r="AM21" s="224"/>
      <c r="AN21" s="225"/>
      <c r="AO21" s="220" t="str">
        <f t="array" ref="AO21">IF(
  AN21 = 0, 
  "", 
  IFERROR(
    INDEX(
      'アイテム別限界値DB'!$I:$I, 
      MATCH(
        1, 
        ('アイテム別限界値DB'!$B:$B = AM$10) * 
        ('アイテム別限界値DB'!$C:$C = AM21) * 
        ('アイテム別限界値DB'!$F:$F = AN21), 
        0
      )
    ), 
    "再製作"
  )
)
</f>
        <v/>
      </c>
      <c r="AP21" s="121" t="str">
        <f t="array" ref="AP21">IF(
  AN21 = 0, 
  "", 
  IFERROR(
    INDEX(
      'アイテム別限界値DB'!$L:$L, 
      MATCH(
        1, 
        ('アイテム別限界値DB'!$B:$B = AM$10) * 
        ('アイテム別限界値DB'!$C:$C = AM21) * 
        ('アイテム別限界値DB'!$F:$F = AN21), 
        0
      )
    ), 
    ""
  )
)
</f>
        <v/>
      </c>
      <c r="AQ21" s="11"/>
      <c r="AR21" s="224"/>
      <c r="AS21" s="225"/>
      <c r="AT21" s="220" t="str">
        <f t="array" ref="AT21">IF(
  AS21 = 0, 
  "", 
  IFERROR(
    INDEX(
      'アイテム別限界値DB'!$I:$I, 
      MATCH(
        1, 
        ('アイテム別限界値DB'!$B:$B = AR$10) * 
        ('アイテム別限界値DB'!$C:$C = AR21) * 
        ('アイテム別限界値DB'!$F:$F = AS21), 
        0
      )
    ), 
    "再製作"
  )
)
</f>
        <v/>
      </c>
      <c r="AU21" s="121" t="str">
        <f t="array" ref="AU21">IF(
  AS21 = 0, 
  "", 
  IFERROR(
    INDEX(
      'アイテム別限界値DB'!$L:$L, 
      MATCH(
        1, 
        ('アイテム別限界値DB'!$B:$B = AR$10) * 
        ('アイテム別限界値DB'!$C:$C = AR21) * 
        ('アイテム別限界値DB'!$F:$F = AS21), 
        0
      )
    ), 
    ""
  )
)
</f>
        <v/>
      </c>
      <c r="AV21" s="121"/>
      <c r="AW21" s="224"/>
      <c r="AX21" s="225"/>
      <c r="AY21" s="220" t="str">
        <f t="array" ref="AY21">IF(
  AX21 = 0, 
  "", 
  IFERROR(
    INDEX(
      'アイテム別限界値DB'!$I:$I, 
      MATCH(
        1, 
        ('アイテム別限界値DB'!$B:$B = AW$10) * 
        ('アイテム別限界値DB'!$C:$C = AW21) * 
        ('アイテム別限界値DB'!$F:$F = AX21), 
        0
      )
    ), 
    "再製作"
  )
)
</f>
        <v/>
      </c>
      <c r="AZ21" s="121" t="str">
        <f t="array" ref="AZ21">IF(
  AX21 = 0, 
  "", 
  IFERROR(
    INDEX(
      'アイテム別限界値DB'!$L:$L, 
      MATCH(
        1, 
        ('アイテム別限界値DB'!$B:$B = AW$10) * 
        ('アイテム別限界値DB'!$C:$C = AW21) * 
        ('アイテム別限界値DB'!$F:$F = AX21), 
        0
      )
    ), 
    ""
  )
)
</f>
        <v/>
      </c>
      <c r="BA21" s="121"/>
      <c r="BB21" s="224"/>
      <c r="BC21" s="225"/>
      <c r="BD21" s="220" t="str">
        <f t="array" ref="BD21">IF(
  BC21 = 0, 
  "", 
  IFERROR(
    INDEX(
      'アイテム別限界値DB'!$I:$I, 
      MATCH(
        1, 
        ('アイテム別限界値DB'!$B:$B = BB$10) * 
        ('アイテム別限界値DB'!$C:$C = BB21) * 
        ('アイテム別限界値DB'!$F:$F = BC21), 
        0
      )
    ), 
    "再製作"
  )
)
</f>
        <v/>
      </c>
      <c r="BE21" s="121" t="str">
        <f t="array" ref="BE21">IF(
  BC21 = 0, 
  "", 
  IFERROR(
    INDEX(
      'アイテム別限界値DB'!$L:$L, 
      MATCH(
        1, 
        ('アイテム別限界値DB'!$B:$B = BB$10) * 
        ('アイテム別限界値DB'!$C:$C = BB21) * 
        ('アイテム別限界値DB'!$F:$F = BC21), 
        0
      )
    ), 
    ""
  )
)
</f>
        <v/>
      </c>
      <c r="BF21" s="121"/>
      <c r="BG21" s="224"/>
      <c r="BH21" s="225"/>
      <c r="BI21" s="220" t="str">
        <f t="array" ref="BI21">IF(
  BH21 = 0, 
  "", 
  IFERROR(
    INDEX(
      'アイテム別限界値DB'!$I:$I, 
      MATCH(
        1, 
        ('アイテム別限界値DB'!$B:$B = BG$10) * 
        ('アイテム別限界値DB'!$C:$C = BG21) * 
        ('アイテム別限界値DB'!$F:$F = BH21), 
        0
      )
    ), 
    "再製作"
  )
)
</f>
        <v/>
      </c>
      <c r="BJ21" s="121" t="str">
        <f t="array" ref="BJ21">IF(
  BH21 = 0, 
  "", 
  IFERROR(
    INDEX(
      'アイテム別限界値DB'!$L:$L, 
      MATCH(
        1, 
        ('アイテム別限界値DB'!$B:$B = BG$10) * 
        ('アイテム別限界値DB'!$C:$C = BG21) * 
        ('アイテム別限界値DB'!$F:$F = BH21), 
        0
      )
    ), 
    ""
  )
)
</f>
        <v/>
      </c>
      <c r="BK21" s="121"/>
      <c r="BL21" s="224" t="s">
        <v>85</v>
      </c>
      <c r="BM21" s="232"/>
      <c r="BN21" s="231" t="str">
        <f t="array" ref="BN21">IF(
  BM21 = 0, 
  "", 
  IFERROR(
    INDEX(
      'アイテム別限界値DB'!$K:$K, 
      MATCH(
        1, 
        ('アイテム別限界値DB'!$B:$B = BL$10) * 
        ('アイテム別限界値DB'!$F:$F = BL21) * 
        ('アイテム別限界値DB'!$H:$H = BM21), 
        0
      )
    ), 
    "再製作"
  )
)
</f>
        <v/>
      </c>
      <c r="BO21" s="218" t="str">
        <f t="array" ref="BO21">IF(
  BM21 = 0, 
  "", 
  IFERROR(
    INDEX(
      'アイテム別限界値DB'!$L:$L, 
      MATCH(
        1, 
        ('アイテム別限界値DB'!$B:$B = BL$10) * 
        ('アイテム別限界値DB'!$C:$C = BL21) * 
        ('アイテム別限界値DB'!$F:$F = BM21), 
        0
      )
    ), 
    ""
  )
)
</f>
        <v/>
      </c>
      <c r="BP21" s="195"/>
    </row>
    <row r="22" ht="18.75" customHeight="1">
      <c r="A22" s="228" t="str">
        <f>IFERROR(__xludf.DUMMYFUNCTION("TEXTJOIN(CHAR(10),TRUE,FILTER(ARRAYFORMULA(IF(J$14:J72&lt;&gt;"""", I$14:I72 &amp;"" :  cm"","""")), I$14:I72 &lt;&gt;""""))"),"パンツウエスト :  cm")</f>
        <v>パンツウエスト :  cm</v>
      </c>
      <c r="B22" s="224"/>
      <c r="C22" s="224"/>
      <c r="D22" s="238" t="s">
        <v>86</v>
      </c>
      <c r="E22" s="230"/>
      <c r="F22" s="231" t="str">
        <f t="array" ref="F22">IF(
  E22 = 0, 
  "", 
  IFERROR(
    INDEX(
      'アイテム別限界値DB'!$K:$K, 
      MATCH(
        1, 
        ('アイテム別限界値DB'!$B:$B = D$10) * 
        ('アイテム別限界値DB'!$F:$F = D22) * 
        ('アイテム別限界値DB'!$H:$H = E22), 
        0
      )
    ), 
    "再製作"
  )
)
</f>
        <v/>
      </c>
      <c r="G22" s="218" t="str">
        <f t="array" ref="G22">IF(
  E22 = 0, 
  "", 
  IFERROR(
    INDEX(
      'アイテム別限界値DB'!$L:$L, 
      MATCH(
        1, 
        ('アイテム別限界値DB'!$B:$B = D$10) * 
        ('アイテム別限界値DB'!$C:$C = D22) * 
        ('アイテム別限界値DB'!$F:$F = E22), 
        0
      )
    ), 
    ""
  )
)
</f>
        <v/>
      </c>
      <c r="H22" s="12"/>
      <c r="I22" s="238" t="s">
        <v>87</v>
      </c>
      <c r="J22" s="230"/>
      <c r="K22" s="231" t="str">
        <f t="array" ref="K22">IF(
  J22 = 0, 
  "", 
  IFERROR(
    INDEX(
      'アイテム別限界値DB'!$K:$K, 
      MATCH(
        1, 
        ('アイテム別限界値DB'!$B:$B = I$10) * 
        ('アイテム別限界値DB'!$F:$F = I22) * 
        ('アイテム別限界値DB'!$H:$H = J22), 
        0
      )
    ), 
    "再製作"
  )
)
</f>
        <v/>
      </c>
      <c r="L22" s="218" t="str">
        <f t="array" ref="L22">IF(
  J22 = 0, 
  "", 
  IFERROR(
    INDEX(
      'アイテム別限界値DB'!$L:$L, 
      MATCH(
        1, 
        ('アイテム別限界値DB'!$B:$B = I$10) * 
        ('アイテム別限界値DB'!$C:$C = I22) * 
        ('アイテム別限界値DB'!$F:$F = J22), 
        0
      )
    ), 
    ""
  )
)
</f>
        <v/>
      </c>
      <c r="M22" s="11"/>
      <c r="N22" s="224"/>
      <c r="O22" s="220"/>
      <c r="P22" s="220" t="str">
        <f t="array" ref="P22">IF(
  O22 = 0, 
  "", 
  IFERROR(
    INDEX(
      'アイテム別限界値DB'!$I:$I, 
      MATCH(
        1, 
        ('アイテム別限界値DB'!$B:$B = N$10) * 
        ('アイテム別限界値DB'!$C:$C = N22) * 
        ('アイテム別限界値DB'!$F:$F = O22), 
        0
      )
    ), 
    "再製作"
  )
)
</f>
        <v/>
      </c>
      <c r="Q22" s="121" t="str">
        <f t="array" ref="Q22">IF(
  O22 = 0, 
  "", 
  IFERROR(
    INDEX(
      'アイテム別限界値DB'!$L:$L, 
      MATCH(
        1, 
        ('アイテム別限界値DB'!$B:$B = N$10) * 
        ('アイテム別限界値DB'!$C:$C = N22) * 
        ('アイテム別限界値DB'!$F:$F = O22), 
        0
      )
    ), 
    ""
  )
)
</f>
        <v/>
      </c>
      <c r="R22" s="11"/>
      <c r="S22" s="238" t="s">
        <v>87</v>
      </c>
      <c r="T22" s="230"/>
      <c r="U22" s="231" t="str">
        <f t="array" ref="U22">IF(
  T22 = 0, 
  "", 
  IFERROR(
    INDEX(
      'アイテム別限界値DB'!$K:$K, 
      MATCH(
        1, 
        ('アイテム別限界値DB'!$B:$B = S$10) * 
        ('アイテム別限界値DB'!$F:$F = S22) * 
        ('アイテム別限界値DB'!$H:$H = T22), 
        0
      )
    ), 
    "再製作"
  )
)
</f>
        <v/>
      </c>
      <c r="V22" s="218" t="str">
        <f t="array" ref="V22">IF(
  T22 = 0, 
  "", 
  IFERROR(
    INDEX(
      'アイテム別限界値DB'!$L:$L, 
      MATCH(
        1, 
        ('アイテム別限界値DB'!$B:$B = S$10) * 
        ('アイテム別限界値DB'!$C:$C = S22) * 
        ('アイテム別限界値DB'!$F:$F = T22), 
        0
      )
    ), 
    ""
  )
)
</f>
        <v/>
      </c>
      <c r="W22" s="11"/>
      <c r="X22" s="238" t="s">
        <v>88</v>
      </c>
      <c r="Y22" s="232"/>
      <c r="Z22" s="231" t="str">
        <f t="array" ref="Z22">IF(
  Y22 = 0, 
  "", 
  IFERROR(
    INDEX(
      'アイテム別限界値DB'!$K:$K, 
      MATCH(
        1, 
        ('アイテム別限界値DB'!$B:$B = X$10) * 
        ('アイテム別限界値DB'!$F:$F = X22) * 
        ('アイテム別限界値DB'!$H:$H = Y22), 
        0
      )
    ), 
    "再製作"
  )
)
</f>
        <v/>
      </c>
      <c r="AA22" s="218" t="str">
        <f t="array" ref="AA22">IF(
  Y22 = 0, 
  "", 
  IFERROR(
    INDEX(
      'アイテム別限界値DB'!$L:$L, 
      MATCH(
        1, 
        ('アイテム別限界値DB'!$B:$B = X$10) * 
        ('アイテム別限界値DB'!$C:$C = X22) * 
        ('アイテム別限界値DB'!$F:$F = Y22), 
        0
      )
    ), 
    ""
  )
)
</f>
        <v/>
      </c>
      <c r="AB22" s="11"/>
      <c r="AC22" s="238" t="s">
        <v>89</v>
      </c>
      <c r="AD22" s="232"/>
      <c r="AE22" s="231" t="str">
        <f t="array" ref="AE22">IF(
  AD22 = 0, 
  "", 
  IFERROR(
    INDEX(
      'アイテム別限界値DB'!$K:$K, 
      MATCH(
        1, 
        ('アイテム別限界値DB'!$B:$B = AC$10) * 
        ('アイテム別限界値DB'!$F:$F = AC22) * 
        ('アイテム別限界値DB'!$H:$H = AD22), 
        0
      )
    ), 
    "再製作"
  )
)
</f>
        <v/>
      </c>
      <c r="AF22" s="218" t="str">
        <f t="array" ref="AF22">IF(
  AD22 = 0, 
  "", 
  IFERROR(
    INDEX(
      'アイテム別限界値DB'!$L:$L, 
      MATCH(
        1, 
        ('アイテム別限界値DB'!$B:$B = AC$10) * 
        ('アイテム別限界値DB'!$C:$C = AC22) * 
        ('アイテム別限界値DB'!$F:$F = AD22), 
        0
      )
    ), 
    ""
  )
)
</f>
        <v/>
      </c>
      <c r="AG22" s="11"/>
      <c r="AH22" s="224"/>
      <c r="AI22" s="225"/>
      <c r="AJ22" s="220" t="str">
        <f t="array" ref="AJ22">IF(
  AI22 = 0, 
  "", 
  IFERROR(
    INDEX(
      'アイテム別限界値DB'!$I:$I, 
      MATCH(
        1, 
        ('アイテム別限界値DB'!$B:$B = AH$10) * 
        ('アイテム別限界値DB'!$C:$C = AH22) * 
        ('アイテム別限界値DB'!$F:$F = AI22), 
        0
      )
    ), 
    "再製作"
  )
)
</f>
        <v/>
      </c>
      <c r="AK22" s="121" t="str">
        <f t="array" ref="AK22">IF(
  AI22 = 0, 
  "", 
  IFERROR(
    INDEX(
      'アイテム別限界値DB'!$L:$L, 
      MATCH(
        1, 
        ('アイテム別限界値DB'!$B:$B = AH$10) * 
        ('アイテム別限界値DB'!$C:$C = AH22) * 
        ('アイテム別限界値DB'!$F:$F = AI22), 
        0
      )
    ), 
    ""
  )
)
</f>
        <v/>
      </c>
      <c r="AL22" s="11"/>
      <c r="AM22" s="224"/>
      <c r="AN22" s="225"/>
      <c r="AO22" s="220" t="str">
        <f t="array" ref="AO22">IF(
  AN22 = 0, 
  "", 
  IFERROR(
    INDEX(
      'アイテム別限界値DB'!$I:$I, 
      MATCH(
        1, 
        ('アイテム別限界値DB'!$B:$B = AM$10) * 
        ('アイテム別限界値DB'!$C:$C = AM22) * 
        ('アイテム別限界値DB'!$F:$F = AN22), 
        0
      )
    ), 
    "再製作"
  )
)
</f>
        <v/>
      </c>
      <c r="AP22" s="121" t="str">
        <f t="array" ref="AP22">IF(
  AN22 = 0, 
  "", 
  IFERROR(
    INDEX(
      'アイテム別限界値DB'!$L:$L, 
      MATCH(
        1, 
        ('アイテム別限界値DB'!$B:$B = AM$10) * 
        ('アイテム別限界値DB'!$C:$C = AM22) * 
        ('アイテム別限界値DB'!$F:$F = AN22), 
        0
      )
    ), 
    ""
  )
)
</f>
        <v/>
      </c>
      <c r="AQ22" s="11"/>
      <c r="AR22" s="224"/>
      <c r="AS22" s="225"/>
      <c r="AT22" s="220" t="str">
        <f t="array" ref="AT22">IF(
  AS22 = 0, 
  "", 
  IFERROR(
    INDEX(
      'アイテム別限界値DB'!$I:$I, 
      MATCH(
        1, 
        ('アイテム別限界値DB'!$B:$B = AR$10) * 
        ('アイテム別限界値DB'!$C:$C = AR22) * 
        ('アイテム別限界値DB'!$F:$F = AS22), 
        0
      )
    ), 
    "再製作"
  )
)
</f>
        <v/>
      </c>
      <c r="AU22" s="121" t="str">
        <f t="array" ref="AU22">IF(
  AS22 = 0, 
  "", 
  IFERROR(
    INDEX(
      'アイテム別限界値DB'!$L:$L, 
      MATCH(
        1, 
        ('アイテム別限界値DB'!$B:$B = AR$10) * 
        ('アイテム別限界値DB'!$C:$C = AR22) * 
        ('アイテム別限界値DB'!$F:$F = AS22), 
        0
      )
    ), 
    ""
  )
)
</f>
        <v/>
      </c>
      <c r="AV22" s="121"/>
      <c r="AW22" s="224"/>
      <c r="AX22" s="225"/>
      <c r="AY22" s="220" t="str">
        <f t="array" ref="AY22">IF(
  AX22 = 0, 
  "", 
  IFERROR(
    INDEX(
      'アイテム別限界値DB'!$I:$I, 
      MATCH(
        1, 
        ('アイテム別限界値DB'!$B:$B = AW$10) * 
        ('アイテム別限界値DB'!$C:$C = AW22) * 
        ('アイテム別限界値DB'!$F:$F = AX22), 
        0
      )
    ), 
    "再製作"
  )
)
</f>
        <v/>
      </c>
      <c r="AZ22" s="121" t="str">
        <f t="array" ref="AZ22">IF(
  AX22 = 0, 
  "", 
  IFERROR(
    INDEX(
      'アイテム別限界値DB'!$L:$L, 
      MATCH(
        1, 
        ('アイテム別限界値DB'!$B:$B = AW$10) * 
        ('アイテム別限界値DB'!$C:$C = AW22) * 
        ('アイテム別限界値DB'!$F:$F = AX22), 
        0
      )
    ), 
    ""
  )
)
</f>
        <v/>
      </c>
      <c r="BA22" s="121"/>
      <c r="BB22" s="224"/>
      <c r="BC22" s="225"/>
      <c r="BD22" s="220" t="str">
        <f t="array" ref="BD22">IF(
  BC22 = 0, 
  "", 
  IFERROR(
    INDEX(
      'アイテム別限界値DB'!$I:$I, 
      MATCH(
        1, 
        ('アイテム別限界値DB'!$B:$B = BB$10) * 
        ('アイテム別限界値DB'!$C:$C = BB22) * 
        ('アイテム別限界値DB'!$F:$F = BC22), 
        0
      )
    ), 
    "再製作"
  )
)
</f>
        <v/>
      </c>
      <c r="BE22" s="121" t="str">
        <f t="array" ref="BE22">IF(
  BC22 = 0, 
  "", 
  IFERROR(
    INDEX(
      'アイテム別限界値DB'!$L:$L, 
      MATCH(
        1, 
        ('アイテム別限界値DB'!$B:$B = BB$10) * 
        ('アイテム別限界値DB'!$C:$C = BB22) * 
        ('アイテム別限界値DB'!$F:$F = BC22), 
        0
      )
    ), 
    ""
  )
)
</f>
        <v/>
      </c>
      <c r="BF22" s="121"/>
      <c r="BG22" s="224"/>
      <c r="BH22" s="225"/>
      <c r="BI22" s="220" t="str">
        <f t="array" ref="BI22">IF(
  BH22 = 0, 
  "", 
  IFERROR(
    INDEX(
      'アイテム別限界値DB'!$I:$I, 
      MATCH(
        1, 
        ('アイテム別限界値DB'!$B:$B = BG$10) * 
        ('アイテム別限界値DB'!$C:$C = BG22) * 
        ('アイテム別限界値DB'!$F:$F = BH22), 
        0
      )
    ), 
    "再製作"
  )
)
</f>
        <v/>
      </c>
      <c r="BJ22" s="121" t="str">
        <f t="array" ref="BJ22">IF(
  BH22 = 0, 
  "", 
  IFERROR(
    INDEX(
      'アイテム別限界値DB'!$L:$L, 
      MATCH(
        1, 
        ('アイテム別限界値DB'!$B:$B = BG$10) * 
        ('アイテム別限界値DB'!$C:$C = BG22) * 
        ('アイテム別限界値DB'!$F:$F = BH22), 
        0
      )
    ), 
    ""
  )
)
</f>
        <v/>
      </c>
      <c r="BK22" s="121"/>
      <c r="BL22" s="224" t="s">
        <v>90</v>
      </c>
      <c r="BM22" s="232"/>
      <c r="BN22" s="231" t="str">
        <f t="array" ref="BN22">IF(
  BM22 = 0, 
  "", 
  IFERROR(
    INDEX(
      'アイテム別限界値DB'!$K:$K, 
      MATCH(
        1, 
        ('アイテム別限界値DB'!$B:$B = BL$10) * 
        ('アイテム別限界値DB'!$F:$F = BL22) * 
        ('アイテム別限界値DB'!$H:$H = BM22), 
        0
      )
    ), 
    "再製作"
  )
)
</f>
        <v/>
      </c>
      <c r="BO22" s="218" t="str">
        <f t="array" ref="BO22">IF(
  BM22 = 0, 
  "", 
  IFERROR(
    INDEX(
      'アイテム別限界値DB'!$L:$L, 
      MATCH(
        1, 
        ('アイテム別限界値DB'!$B:$B = BL$10) * 
        ('アイテム別限界値DB'!$C:$C = BL22) * 
        ('アイテム別限界値DB'!$F:$F = BM22), 
        0
      )
    ), 
    ""
  )
)
</f>
        <v/>
      </c>
      <c r="BP22" s="195"/>
    </row>
    <row r="23" ht="18.75" customHeight="1">
      <c r="A23" s="237" t="s">
        <v>91</v>
      </c>
      <c r="B23" s="229"/>
      <c r="C23" s="224"/>
      <c r="D23" s="238" t="s">
        <v>92</v>
      </c>
      <c r="E23" s="232"/>
      <c r="F23" s="231" t="str">
        <f t="array" ref="F23">IF(
  E23 = 0, 
  "", 
  IFERROR(
    INDEX(
      'アイテム別限界値DB'!$K:$K, 
      MATCH(
        1, 
        ('アイテム別限界値DB'!$B:$B = D$10) * 
        ('アイテム別限界値DB'!$F:$F = D23) * 
        ('アイテム別限界値DB'!$H:$H = E23), 
        0
      )
    ), 
    "再製作"
  )
)
</f>
        <v/>
      </c>
      <c r="G23" s="218" t="str">
        <f t="array" ref="G23">IF(
  E23 = 0, 
  "", 
  IFERROR(
    INDEX(
      'アイテム別限界値DB'!$L:$L, 
      MATCH(
        1, 
        ('アイテム別限界値DB'!$B:$B = D$10) * 
        ('アイテム別限界値DB'!$C:$C = D23) * 
        ('アイテム別限界値DB'!$F:$F = E23), 
        0
      )
    ), 
    ""
  )
)
</f>
        <v/>
      </c>
      <c r="H23" s="12"/>
      <c r="I23" s="238" t="s">
        <v>93</v>
      </c>
      <c r="J23" s="232"/>
      <c r="K23" s="231" t="str">
        <f t="array" ref="K23">IF(
  J23 = 0, 
  "", 
  IFERROR(
    INDEX(
      'アイテム別限界値DB'!$K:$K, 
      MATCH(
        1, 
        ('アイテム別限界値DB'!$B:$B = I$10) * 
        ('アイテム別限界値DB'!$F:$F = I23) * 
        ('アイテム別限界値DB'!$H:$H = J23), 
        0
      )
    ), 
    "再製作"
  )
)
</f>
        <v/>
      </c>
      <c r="L23" s="218" t="str">
        <f t="array" ref="L23">IF(
  J23 = 0, 
  "", 
  IFERROR(
    INDEX(
      'アイテム別限界値DB'!$L:$L, 
      MATCH(
        1, 
        ('アイテム別限界値DB'!$B:$B = I$10) * 
        ('アイテム別限界値DB'!$C:$C = I23) * 
        ('アイテム別限界値DB'!$F:$F = J23), 
        0
      )
    ), 
    ""
  )
)
</f>
        <v/>
      </c>
      <c r="M23" s="11"/>
      <c r="N23" s="224"/>
      <c r="O23" s="220"/>
      <c r="P23" s="220" t="str">
        <f t="array" ref="P23">IF(
  O23 = 0, 
  "", 
  IFERROR(
    INDEX(
      'アイテム別限界値DB'!$I:$I, 
      MATCH(
        1, 
        ('アイテム別限界値DB'!$B:$B = N$10) * 
        ('アイテム別限界値DB'!$C:$C = N23) * 
        ('アイテム別限界値DB'!$F:$F = O23), 
        0
      )
    ), 
    "再製作"
  )
)
</f>
        <v/>
      </c>
      <c r="Q23" s="121" t="str">
        <f t="array" ref="Q23">IF(
  O23 = 0, 
  "", 
  IFERROR(
    INDEX(
      'アイテム別限界値DB'!$L:$L, 
      MATCH(
        1, 
        ('アイテム別限界値DB'!$B:$B = N$10) * 
        ('アイテム別限界値DB'!$C:$C = N23) * 
        ('アイテム別限界値DB'!$F:$F = O23), 
        0
      )
    ), 
    ""
  )
)
</f>
        <v/>
      </c>
      <c r="R23" s="11"/>
      <c r="S23" s="238" t="s">
        <v>93</v>
      </c>
      <c r="T23" s="232"/>
      <c r="U23" s="231" t="str">
        <f t="array" ref="U23">IF(
  T23 = 0, 
  "", 
  IFERROR(
    INDEX(
      'アイテム別限界値DB'!$K:$K, 
      MATCH(
        1, 
        ('アイテム別限界値DB'!$B:$B = S$10) * 
        ('アイテム別限界値DB'!$F:$F = S23) * 
        ('アイテム別限界値DB'!$H:$H = T23), 
        0
      )
    ), 
    "再製作"
  )
)
</f>
        <v/>
      </c>
      <c r="V23" s="218" t="str">
        <f t="array" ref="V23">IF(
  T23 = 0, 
  "", 
  IFERROR(
    INDEX(
      'アイテム別限界値DB'!$L:$L, 
      MATCH(
        1, 
        ('アイテム別限界値DB'!$B:$B = S$10) * 
        ('アイテム別限界値DB'!$C:$C = S23) * 
        ('アイテム別限界値DB'!$F:$F = T23), 
        0
      )
    ), 
    ""
  )
)
</f>
        <v/>
      </c>
      <c r="W23" s="11"/>
      <c r="X23" s="238" t="s">
        <v>89</v>
      </c>
      <c r="Y23" s="232"/>
      <c r="Z23" s="231" t="str">
        <f t="array" ref="Z23">IF(
  Y23 = 0, 
  "", 
  IFERROR(
    INDEX(
      'アイテム別限界値DB'!$K:$K, 
      MATCH(
        1, 
        ('アイテム別限界値DB'!$B:$B = X$10) * 
        ('アイテム別限界値DB'!$F:$F = X23) * 
        ('アイテム別限界値DB'!$H:$H = Y23), 
        0
      )
    ), 
    "再製作"
  )
)
</f>
        <v/>
      </c>
      <c r="AA23" s="218" t="str">
        <f t="array" ref="AA23">IF(
  Y23 = 0, 
  "", 
  IFERROR(
    INDEX(
      'アイテム別限界値DB'!$L:$L, 
      MATCH(
        1, 
        ('アイテム別限界値DB'!$B:$B = X$10) * 
        ('アイテム別限界値DB'!$C:$C = X23) * 
        ('アイテム別限界値DB'!$F:$F = Y23), 
        0
      )
    ), 
    ""
  )
)
</f>
        <v/>
      </c>
      <c r="AB23" s="11"/>
      <c r="AC23" s="238" t="s">
        <v>90</v>
      </c>
      <c r="AD23" s="232"/>
      <c r="AE23" s="231" t="str">
        <f t="array" ref="AE23">IF(
  AD23 = 0, 
  "", 
  IFERROR(
    INDEX(
      'アイテム別限界値DB'!$K:$K, 
      MATCH(
        1, 
        ('アイテム別限界値DB'!$B:$B = AC$10) * 
        ('アイテム別限界値DB'!$F:$F = AC23) * 
        ('アイテム別限界値DB'!$H:$H = AD23), 
        0
      )
    ), 
    "再製作"
  )
)
</f>
        <v/>
      </c>
      <c r="AF23" s="218" t="str">
        <f t="array" ref="AF23">IF(
  AD23 = 0, 
  "", 
  IFERROR(
    INDEX(
      'アイテム別限界値DB'!$L:$L, 
      MATCH(
        1, 
        ('アイテム別限界値DB'!$B:$B = AC$10) * 
        ('アイテム別限界値DB'!$C:$C = AC23) * 
        ('アイテム別限界値DB'!$F:$F = AD23), 
        0
      )
    ), 
    ""
  )
)
</f>
        <v/>
      </c>
      <c r="AG23" s="11"/>
      <c r="AH23" s="224"/>
      <c r="AI23" s="225"/>
      <c r="AJ23" s="220" t="str">
        <f t="array" ref="AJ23">IF(
  AI23 = 0, 
  "", 
  IFERROR(
    INDEX(
      'アイテム別限界値DB'!$I:$I, 
      MATCH(
        1, 
        ('アイテム別限界値DB'!$B:$B = AH$10) * 
        ('アイテム別限界値DB'!$C:$C = AH23) * 
        ('アイテム別限界値DB'!$F:$F = AI23), 
        0
      )
    ), 
    "再製作"
  )
)
</f>
        <v/>
      </c>
      <c r="AK23" s="121" t="str">
        <f t="array" ref="AK23">IF(
  AI23 = 0, 
  "", 
  IFERROR(
    INDEX(
      'アイテム別限界値DB'!$L:$L, 
      MATCH(
        1, 
        ('アイテム別限界値DB'!$B:$B = AH$10) * 
        ('アイテム別限界値DB'!$C:$C = AH23) * 
        ('アイテム別限界値DB'!$F:$F = AI23), 
        0
      )
    ), 
    ""
  )
)
</f>
        <v/>
      </c>
      <c r="AL23" s="11"/>
      <c r="AM23" s="224"/>
      <c r="AN23" s="225"/>
      <c r="AO23" s="220" t="str">
        <f t="array" ref="AO23">IF(
  AN23 = 0, 
  "", 
  IFERROR(
    INDEX(
      'アイテム別限界値DB'!$I:$I, 
      MATCH(
        1, 
        ('アイテム別限界値DB'!$B:$B = AM$10) * 
        ('アイテム別限界値DB'!$C:$C = AM23) * 
        ('アイテム別限界値DB'!$F:$F = AN23), 
        0
      )
    ), 
    "再製作"
  )
)
</f>
        <v/>
      </c>
      <c r="AP23" s="121" t="str">
        <f t="array" ref="AP23">IF(
  AN23 = 0, 
  "", 
  IFERROR(
    INDEX(
      'アイテム別限界値DB'!$L:$L, 
      MATCH(
        1, 
        ('アイテム別限界値DB'!$B:$B = AM$10) * 
        ('アイテム別限界値DB'!$C:$C = AM23) * 
        ('アイテム別限界値DB'!$F:$F = AN23), 
        0
      )
    ), 
    ""
  )
)
</f>
        <v/>
      </c>
      <c r="AQ23" s="11"/>
      <c r="AR23" s="224"/>
      <c r="AS23" s="225"/>
      <c r="AT23" s="220" t="str">
        <f t="array" ref="AT23">IF(
  AS23 = 0, 
  "", 
  IFERROR(
    INDEX(
      'アイテム別限界値DB'!$I:$I, 
      MATCH(
        1, 
        ('アイテム別限界値DB'!$B:$B = AR$10) * 
        ('アイテム別限界値DB'!$C:$C = AR23) * 
        ('アイテム別限界値DB'!$F:$F = AS23), 
        0
      )
    ), 
    "再製作"
  )
)
</f>
        <v/>
      </c>
      <c r="AU23" s="121" t="str">
        <f t="array" ref="AU23">IF(
  AS23 = 0, 
  "", 
  IFERROR(
    INDEX(
      'アイテム別限界値DB'!$L:$L, 
      MATCH(
        1, 
        ('アイテム別限界値DB'!$B:$B = AR$10) * 
        ('アイテム別限界値DB'!$C:$C = AR23) * 
        ('アイテム別限界値DB'!$F:$F = AS23), 
        0
      )
    ), 
    ""
  )
)
</f>
        <v/>
      </c>
      <c r="AV23" s="121"/>
      <c r="AW23" s="224"/>
      <c r="AX23" s="225"/>
      <c r="AY23" s="220" t="str">
        <f t="array" ref="AY23">IF(
  AX23 = 0, 
  "", 
  IFERROR(
    INDEX(
      'アイテム別限界値DB'!$I:$I, 
      MATCH(
        1, 
        ('アイテム別限界値DB'!$B:$B = AW$10) * 
        ('アイテム別限界値DB'!$C:$C = AW23) * 
        ('アイテム別限界値DB'!$F:$F = AX23), 
        0
      )
    ), 
    "再製作"
  )
)
</f>
        <v/>
      </c>
      <c r="AZ23" s="121" t="str">
        <f t="array" ref="AZ23">IF(
  AX23 = 0, 
  "", 
  IFERROR(
    INDEX(
      'アイテム別限界値DB'!$L:$L, 
      MATCH(
        1, 
        ('アイテム別限界値DB'!$B:$B = AW$10) * 
        ('アイテム別限界値DB'!$C:$C = AW23) * 
        ('アイテム別限界値DB'!$F:$F = AX23), 
        0
      )
    ), 
    ""
  )
)
</f>
        <v/>
      </c>
      <c r="BA23" s="121"/>
      <c r="BB23" s="224"/>
      <c r="BC23" s="225"/>
      <c r="BD23" s="220" t="str">
        <f t="array" ref="BD23">IF(
  BC23 = 0, 
  "", 
  IFERROR(
    INDEX(
      'アイテム別限界値DB'!$I:$I, 
      MATCH(
        1, 
        ('アイテム別限界値DB'!$B:$B = BB$10) * 
        ('アイテム別限界値DB'!$C:$C = BB23) * 
        ('アイテム別限界値DB'!$F:$F = BC23), 
        0
      )
    ), 
    "再製作"
  )
)
</f>
        <v/>
      </c>
      <c r="BE23" s="121" t="str">
        <f t="array" ref="BE23">IF(
  BC23 = 0, 
  "", 
  IFERROR(
    INDEX(
      'アイテム別限界値DB'!$L:$L, 
      MATCH(
        1, 
        ('アイテム別限界値DB'!$B:$B = BB$10) * 
        ('アイテム別限界値DB'!$C:$C = BB23) * 
        ('アイテム別限界値DB'!$F:$F = BC23), 
        0
      )
    ), 
    ""
  )
)
</f>
        <v/>
      </c>
      <c r="BF23" s="121"/>
      <c r="BG23" s="224"/>
      <c r="BH23" s="225"/>
      <c r="BI23" s="220" t="str">
        <f t="array" ref="BI23">IF(
  BH23 = 0, 
  "", 
  IFERROR(
    INDEX(
      'アイテム別限界値DB'!$I:$I, 
      MATCH(
        1, 
        ('アイテム別限界値DB'!$B:$B = BG$10) * 
        ('アイテム別限界値DB'!$C:$C = BG23) * 
        ('アイテム別限界値DB'!$F:$F = BH23), 
        0
      )
    ), 
    "再製作"
  )
)
</f>
        <v/>
      </c>
      <c r="BJ23" s="121" t="str">
        <f t="array" ref="BJ23">IF(
  BH23 = 0, 
  "", 
  IFERROR(
    INDEX(
      'アイテム別限界値DB'!$L:$L, 
      MATCH(
        1, 
        ('アイテム別限界値DB'!$B:$B = BG$10) * 
        ('アイテム別限界値DB'!$C:$C = BG23) * 
        ('アイテム別限界値DB'!$F:$F = BH23), 
        0
      )
    ), 
    ""
  )
)
</f>
        <v/>
      </c>
      <c r="BK23" s="121"/>
      <c r="BL23" s="224" t="s">
        <v>62</v>
      </c>
      <c r="BM23" s="232"/>
      <c r="BN23" s="231" t="str">
        <f t="array" ref="BN23">IF(
  BM23 = 0, 
  "", 
  IFERROR(
    INDEX(
      'アイテム別限界値DB'!$K:$K, 
      MATCH(
        1, 
        ('アイテム別限界値DB'!$B:$B = BL$10) * 
        ('アイテム別限界値DB'!$F:$F = BL23) * 
        ('アイテム別限界値DB'!$H:$H = BM23), 
        0
      )
    ), 
    "再製作"
  )
)
</f>
        <v/>
      </c>
      <c r="BO23" s="218" t="str">
        <f t="array" ref="BO23">IF(
  BM23 = 0, 
  "", 
  IFERROR(
    INDEX(
      'アイテム別限界値DB'!$L:$L, 
      MATCH(
        1, 
        ('アイテム別限界値DB'!$B:$B = BL$10) * 
        ('アイテム別限界値DB'!$C:$C = BL23) * 
        ('アイテム別限界値DB'!$F:$F = BM23), 
        0
      )
    ), 
    ""
  )
)
</f>
        <v/>
      </c>
      <c r="BP23" s="195"/>
    </row>
    <row r="24" ht="18.75" customHeight="1">
      <c r="A24" s="228" t="str">
        <f>IF($N$11="再製作", "◼︎ ベスト（対応着地：再製作）" &amp; char(10) &amp; "《修正数値》", IF($N$11&lt;&gt;"", "◼︎ ベスト（対応着地：お直し）" &amp; char(10) &amp; "《修正数値》", ""))</f>
        <v/>
      </c>
      <c r="B24" s="229"/>
      <c r="C24" s="224"/>
      <c r="D24" s="239" t="s">
        <v>94</v>
      </c>
      <c r="E24" s="232"/>
      <c r="F24" s="231" t="str">
        <f t="array" ref="F24">IF(
  E24 = 0, 
  "", 
  IFERROR(
    INDEX(
      'アイテム別限界値DB'!$K:$K, 
      MATCH(
        1, 
        ('アイテム別限界値DB'!$B:$B = D$10) * 
        ('アイテム別限界値DB'!$F:$F = D24) * 
        ('アイテム別限界値DB'!$H:$H = E24), 
        0
      )
    ), 
    "再製作"
  )
)
</f>
        <v/>
      </c>
      <c r="G24" s="218" t="str">
        <f t="array" ref="G24">IF(
  E24 = 0, 
  "", 
  IFERROR(
    INDEX(
      'アイテム別限界値DB'!$L:$L, 
      MATCH(
        1, 
        ('アイテム別限界値DB'!$B:$B = D$10) * 
        ('アイテム別限界値DB'!$C:$C = D24) * 
        ('アイテム別限界値DB'!$F:$F = E24), 
        0
      )
    ), 
    ""
  )
)
</f>
        <v/>
      </c>
      <c r="H24" s="12"/>
      <c r="I24" s="239" t="s">
        <v>95</v>
      </c>
      <c r="J24" s="232"/>
      <c r="K24" s="231" t="str">
        <f t="array" ref="K24">IF(
  J24 = 0, 
  "", 
  IFERROR(
    INDEX(
      'アイテム別限界値DB'!$K:$K, 
      MATCH(
        1, 
        ('アイテム別限界値DB'!$B:$B = I$10) * 
        ('アイテム別限界値DB'!$F:$F = I24) * 
        ('アイテム別限界値DB'!$H:$H = J24), 
        0
      )
    ), 
    "再製作"
  )
)
</f>
        <v/>
      </c>
      <c r="L24" s="218" t="str">
        <f t="array" ref="L24">IF(
  J24 = 0, 
  "", 
  IFERROR(
    INDEX(
      'アイテム別限界値DB'!$L:$L, 
      MATCH(
        1, 
        ('アイテム別限界値DB'!$B:$B = I$10) * 
        ('アイテム別限界値DB'!$C:$C = I24) * 
        ('アイテム別限界値DB'!$F:$F = J24), 
        0
      )
    ), 
    ""
  )
)
</f>
        <v/>
      </c>
      <c r="M24" s="11"/>
      <c r="N24" s="224"/>
      <c r="O24" s="220"/>
      <c r="P24" s="220" t="str">
        <f t="array" ref="P24">IF(
  O24 = 0, 
  "", 
  IFERROR(
    INDEX(
      'アイテム別限界値DB'!$I:$I, 
      MATCH(
        1, 
        ('アイテム別限界値DB'!$B:$B = N$10) * 
        ('アイテム別限界値DB'!$C:$C = N24) * 
        ('アイテム別限界値DB'!$F:$F = O24), 
        0
      )
    ), 
    "再製作"
  )
)
</f>
        <v/>
      </c>
      <c r="Q24" s="121" t="str">
        <f t="array" ref="Q24">IF(
  O24 = 0, 
  "", 
  IFERROR(
    INDEX(
      'アイテム別限界値DB'!$L:$L, 
      MATCH(
        1, 
        ('アイテム別限界値DB'!$B:$B = N$10) * 
        ('アイテム別限界値DB'!$C:$C = N24) * 
        ('アイテム別限界値DB'!$F:$F = O24), 
        0
      )
    ), 
    ""
  )
)
</f>
        <v/>
      </c>
      <c r="R24" s="11"/>
      <c r="S24" s="239" t="s">
        <v>96</v>
      </c>
      <c r="T24" s="232"/>
      <c r="U24" s="231" t="str">
        <f t="array" ref="U24">IF(
  T24 = 0, 
  "", 
  IFERROR(
    INDEX(
      'アイテム別限界値DB'!$K:$K, 
      MATCH(
        1, 
        ('アイテム別限界値DB'!$B:$B = S$10) * 
        ('アイテム別限界値DB'!$F:$F = S24) * 
        ('アイテム別限界値DB'!$H:$H = T24), 
        0
      )
    ), 
    "再製作"
  )
)
</f>
        <v/>
      </c>
      <c r="V24" s="218" t="str">
        <f t="array" ref="V24">IF(
  T24 = 0, 
  "", 
  IFERROR(
    INDEX(
      'アイテム別限界値DB'!$L:$L, 
      MATCH(
        1, 
        ('アイテム別限界値DB'!$B:$B = S$10) * 
        ('アイテム別限界値DB'!$C:$C = S24) * 
        ('アイテム別限界値DB'!$F:$F = T24), 
        0
      )
    ), 
    ""
  )
)
</f>
        <v/>
      </c>
      <c r="W24" s="11"/>
      <c r="X24" s="239" t="s">
        <v>97</v>
      </c>
      <c r="Y24" s="232"/>
      <c r="Z24" s="231" t="str">
        <f t="array" ref="Z24">IF(
  Y24 = 0, 
  "", 
  IFERROR(
    INDEX(
      'アイテム別限界値DB'!$K:$K, 
      MATCH(
        1, 
        ('アイテム別限界値DB'!$B:$B = X$10) * 
        ('アイテム別限界値DB'!$F:$F = X24) * 
        ('アイテム別限界値DB'!$H:$H = Y24), 
        0
      )
    ), 
    "再製作"
  )
)
</f>
        <v/>
      </c>
      <c r="AA24" s="218" t="str">
        <f t="array" ref="AA24">IF(
  Y24 = 0, 
  "", 
  IFERROR(
    INDEX(
      'アイテム別限界値DB'!$L:$L, 
      MATCH(
        1, 
        ('アイテム別限界値DB'!$B:$B = X$10) * 
        ('アイテム別限界値DB'!$C:$C = X24) * 
        ('アイテム別限界値DB'!$F:$F = Y24), 
        0
      )
    ), 
    ""
  )
)
</f>
        <v/>
      </c>
      <c r="AB24" s="11"/>
      <c r="AC24" s="239" t="s">
        <v>62</v>
      </c>
      <c r="AD24" s="232"/>
      <c r="AE24" s="231" t="str">
        <f t="array" ref="AE24">IF(
  AD24 = 0, 
  "", 
  IFERROR(
    INDEX(
      'アイテム別限界値DB'!$K:$K, 
      MATCH(
        1, 
        ('アイテム別限界値DB'!$B:$B = AC$10) * 
        ('アイテム別限界値DB'!$F:$F = AC24) * 
        ('アイテム別限界値DB'!$H:$H = AD24), 
        0
      )
    ), 
    "再製作"
  )
)
</f>
        <v/>
      </c>
      <c r="AF24" s="218" t="str">
        <f t="array" ref="AF24">IF(
  AD24 = 0, 
  "", 
  IFERROR(
    INDEX(
      'アイテム別限界値DB'!$L:$L, 
      MATCH(
        1, 
        ('アイテム別限界値DB'!$B:$B = AC$10) * 
        ('アイテム別限界値DB'!$C:$C = AC24) * 
        ('アイテム別限界値DB'!$F:$F = AD24), 
        0
      )
    ), 
    ""
  )
)
</f>
        <v/>
      </c>
      <c r="AG24" s="11"/>
      <c r="AH24" s="224"/>
      <c r="AI24" s="225"/>
      <c r="AJ24" s="220" t="str">
        <f t="array" ref="AJ24">IF(
  AI24 = 0, 
  "", 
  IFERROR(
    INDEX(
      'アイテム別限界値DB'!$I:$I, 
      MATCH(
        1, 
        ('アイテム別限界値DB'!$B:$B = AH$10) * 
        ('アイテム別限界値DB'!$C:$C = AH24) * 
        ('アイテム別限界値DB'!$F:$F = AI24), 
        0
      )
    ), 
    "再製作"
  )
)
</f>
        <v/>
      </c>
      <c r="AK24" s="121" t="str">
        <f t="array" ref="AK24">IF(
  AI24 = 0, 
  "", 
  IFERROR(
    INDEX(
      'アイテム別限界値DB'!$L:$L, 
      MATCH(
        1, 
        ('アイテム別限界値DB'!$B:$B = AH$10) * 
        ('アイテム別限界値DB'!$C:$C = AH24) * 
        ('アイテム別限界値DB'!$F:$F = AI24), 
        0
      )
    ), 
    ""
  )
)
</f>
        <v/>
      </c>
      <c r="AL24" s="11"/>
      <c r="AM24" s="224"/>
      <c r="AN24" s="225"/>
      <c r="AO24" s="220" t="str">
        <f t="array" ref="AO24">IF(
  AN24 = 0, 
  "", 
  IFERROR(
    INDEX(
      'アイテム別限界値DB'!$I:$I, 
      MATCH(
        1, 
        ('アイテム別限界値DB'!$B:$B = AM$10) * 
        ('アイテム別限界値DB'!$C:$C = AM24) * 
        ('アイテム別限界値DB'!$F:$F = AN24), 
        0
      )
    ), 
    "再製作"
  )
)
</f>
        <v/>
      </c>
      <c r="AP24" s="121" t="str">
        <f t="array" ref="AP24">IF(
  AN24 = 0, 
  "", 
  IFERROR(
    INDEX(
      'アイテム別限界値DB'!$L:$L, 
      MATCH(
        1, 
        ('アイテム別限界値DB'!$B:$B = AM$10) * 
        ('アイテム別限界値DB'!$C:$C = AM24) * 
        ('アイテム別限界値DB'!$F:$F = AN24), 
        0
      )
    ), 
    ""
  )
)
</f>
        <v/>
      </c>
      <c r="AQ24" s="11"/>
      <c r="AR24" s="224"/>
      <c r="AS24" s="225"/>
      <c r="AT24" s="220" t="str">
        <f t="array" ref="AT24">IF(
  AS24 = 0, 
  "", 
  IFERROR(
    INDEX(
      'アイテム別限界値DB'!$I:$I, 
      MATCH(
        1, 
        ('アイテム別限界値DB'!$B:$B = AR$10) * 
        ('アイテム別限界値DB'!$C:$C = AR24) * 
        ('アイテム別限界値DB'!$F:$F = AS24), 
        0
      )
    ), 
    "再製作"
  )
)
</f>
        <v/>
      </c>
      <c r="AU24" s="121" t="str">
        <f t="array" ref="AU24">IF(
  AS24 = 0, 
  "", 
  IFERROR(
    INDEX(
      'アイテム別限界値DB'!$L:$L, 
      MATCH(
        1, 
        ('アイテム別限界値DB'!$B:$B = AR$10) * 
        ('アイテム別限界値DB'!$C:$C = AR24) * 
        ('アイテム別限界値DB'!$F:$F = AS24), 
        0
      )
    ), 
    ""
  )
)
</f>
        <v/>
      </c>
      <c r="AV24" s="121"/>
      <c r="AW24" s="224"/>
      <c r="AX24" s="225"/>
      <c r="AY24" s="220" t="str">
        <f t="array" ref="AY24">IF(
  AX24 = 0, 
  "", 
  IFERROR(
    INDEX(
      'アイテム別限界値DB'!$I:$I, 
      MATCH(
        1, 
        ('アイテム別限界値DB'!$B:$B = AW$10) * 
        ('アイテム別限界値DB'!$C:$C = AW24) * 
        ('アイテム別限界値DB'!$F:$F = AX24), 
        0
      )
    ), 
    "再製作"
  )
)
</f>
        <v/>
      </c>
      <c r="AZ24" s="121" t="str">
        <f t="array" ref="AZ24">IF(
  AX24 = 0, 
  "", 
  IFERROR(
    INDEX(
      'アイテム別限界値DB'!$L:$L, 
      MATCH(
        1, 
        ('アイテム別限界値DB'!$B:$B = AW$10) * 
        ('アイテム別限界値DB'!$C:$C = AW24) * 
        ('アイテム別限界値DB'!$F:$F = AX24), 
        0
      )
    ), 
    ""
  )
)
</f>
        <v/>
      </c>
      <c r="BA24" s="121"/>
      <c r="BB24" s="224"/>
      <c r="BC24" s="225"/>
      <c r="BD24" s="220" t="str">
        <f t="array" ref="BD24">IF(
  BC24 = 0, 
  "", 
  IFERROR(
    INDEX(
      'アイテム別限界値DB'!$I:$I, 
      MATCH(
        1, 
        ('アイテム別限界値DB'!$B:$B = BB$10) * 
        ('アイテム別限界値DB'!$C:$C = BB24) * 
        ('アイテム別限界値DB'!$F:$F = BC24), 
        0
      )
    ), 
    "再製作"
  )
)
</f>
        <v/>
      </c>
      <c r="BE24" s="121" t="str">
        <f t="array" ref="BE24">IF(
  BC24 = 0, 
  "", 
  IFERROR(
    INDEX(
      'アイテム別限界値DB'!$L:$L, 
      MATCH(
        1, 
        ('アイテム別限界値DB'!$B:$B = BB$10) * 
        ('アイテム別限界値DB'!$C:$C = BB24) * 
        ('アイテム別限界値DB'!$F:$F = BC24), 
        0
      )
    ), 
    ""
  )
)
</f>
        <v/>
      </c>
      <c r="BF24" s="121"/>
      <c r="BG24" s="224"/>
      <c r="BH24" s="225"/>
      <c r="BI24" s="220" t="str">
        <f t="array" ref="BI24">IF(
  BH24 = 0, 
  "", 
  IFERROR(
    INDEX(
      'アイテム別限界値DB'!$I:$I, 
      MATCH(
        1, 
        ('アイテム別限界値DB'!$B:$B = BG$10) * 
        ('アイテム別限界値DB'!$C:$C = BG24) * 
        ('アイテム別限界値DB'!$F:$F = BH24), 
        0
      )
    ), 
    "再製作"
  )
)
</f>
        <v/>
      </c>
      <c r="BJ24" s="121" t="str">
        <f t="array" ref="BJ24">IF(
  BH24 = 0, 
  "", 
  IFERROR(
    INDEX(
      'アイテム別限界値DB'!$L:$L, 
      MATCH(
        1, 
        ('アイテム別限界値DB'!$B:$B = BG$10) * 
        ('アイテム別限界値DB'!$C:$C = BG24) * 
        ('アイテム別限界値DB'!$F:$F = BH24), 
        0
      )
    ), 
    ""
  )
)
</f>
        <v/>
      </c>
      <c r="BK24" s="121"/>
      <c r="BL24" s="224"/>
      <c r="BM24" s="225"/>
      <c r="BN24" s="220" t="str">
        <f t="array" ref="BN24">IF(
  BM24 = 0, 
  "", 
  IFERROR(
    INDEX(
      'アイテム別限界値DB'!$I:$I, 
      MATCH(
        1, 
        ('アイテム別限界値DB'!$B:$B = BL$10) * 
        ('アイテム別限界値DB'!$C:$C = BL24) * 
        ('アイテム別限界値DB'!$F:$F = BM24), 
        0
      )
    ), 
    "再製作"
  )
)
</f>
        <v/>
      </c>
      <c r="BO24" s="121" t="str">
        <f t="array" ref="BO24">IF(
  BM24 = 0, 
  "", 
  IFERROR(
    INDEX(
      'アイテム別限界値DB'!$L:$L, 
      MATCH(
        1, 
        ('アイテム別限界値DB'!$B:$B = BL$10) * 
        ('アイテム別限界値DB'!$C:$C = BL24) * 
        ('アイテム別限界値DB'!$F:$F = BM24), 
        0
      )
    ), 
    ""
  )
)
</f>
        <v/>
      </c>
      <c r="BP24" s="195"/>
    </row>
    <row r="25" ht="18.75" customHeight="1">
      <c r="A25" s="228" t="str">
        <f>IFERROR(__xludf.DUMMYFUNCTION("TEXTJOIN(CHAR(10),TRUE,FILTER(ARRAYFORMULA(IF(O$14:O72&lt;&gt;"""",N$14:N72 &amp;"" : ""&amp; O$14:O72 &amp;"" cm"","""")), N$14:N72 &lt;&gt;""""))"),"")</f>
        <v/>
      </c>
      <c r="B25" s="224"/>
      <c r="C25" s="224"/>
      <c r="D25" s="239" t="s">
        <v>98</v>
      </c>
      <c r="E25" s="232"/>
      <c r="F25" s="231" t="str">
        <f t="array" ref="F25">IF(
  E25 = 0, 
  "", 
  IFERROR(
    INDEX(
      'アイテム別限界値DB'!$K:$K, 
      MATCH(
        1, 
        ('アイテム別限界値DB'!$B:$B = D$10) * 
        ('アイテム別限界値DB'!$F:$F = D25) * 
        ('アイテム別限界値DB'!$H:$H = E25), 
        0
      )
    ), 
    "再製作"
  )
)
</f>
        <v/>
      </c>
      <c r="G25" s="218" t="str">
        <f t="array" ref="G25">IF(
  E25 = 0, 
  "", 
  IFERROR(
    INDEX(
      'アイテム別限界値DB'!$L:$L, 
      MATCH(
        1, 
        ('アイテム別限界値DB'!$B:$B = D$10) * 
        ('アイテム別限界値DB'!$C:$C = D25) * 
        ('アイテム別限界値DB'!$F:$F = E25), 
        0
      )
    ), 
    ""
  )
)
</f>
        <v/>
      </c>
      <c r="H25" s="12"/>
      <c r="I25" s="224" t="s">
        <v>99</v>
      </c>
      <c r="J25" s="232"/>
      <c r="K25" s="231" t="str">
        <f t="array" ref="K25">IF(
  J25 = 0, 
  "", 
  IFERROR(
    INDEX(
      'アイテム別限界値DB'!$K:$K, 
      MATCH(
        1, 
        ('アイテム別限界値DB'!$B:$B = I$10) * 
        ('アイテム別限界値DB'!$F:$F = I25) * 
        ('アイテム別限界値DB'!$H:$H = J25), 
        0
      )
    ), 
    "再製作"
  )
)
</f>
        <v/>
      </c>
      <c r="L25" s="195"/>
      <c r="M25" s="11"/>
      <c r="N25" s="11"/>
      <c r="O25" s="220"/>
      <c r="P25" s="184"/>
      <c r="Q25" s="11"/>
      <c r="R25" s="11"/>
      <c r="S25" s="186" t="s">
        <v>100</v>
      </c>
      <c r="T25" s="232"/>
      <c r="U25" s="231" t="str">
        <f t="array" ref="U25">IF(
  T25 = 0, 
  "", 
  IFERROR(
    INDEX(
      'アイテム別限界値DB'!$K:$K, 
      MATCH(
        1, 
        ('アイテム別限界値DB'!$B:$B = S$10) * 
        ('アイテム別限界値DB'!$F:$F = S25) * 
        ('アイテム別限界値DB'!$H:$H = T25), 
        0
      )
    ), 
    "再製作"
  )
)
</f>
        <v/>
      </c>
      <c r="V25" s="234"/>
      <c r="W25" s="11"/>
      <c r="X25" s="186" t="s">
        <v>101</v>
      </c>
      <c r="Y25" s="232"/>
      <c r="Z25" s="231" t="str">
        <f t="array" ref="Z25">IF(
  Y25 = 0, 
  "", 
  IFERROR(
    INDEX(
      'アイテム別限界値DB'!$K:$K, 
      MATCH(
        1, 
        ('アイテム別限界値DB'!$B:$B = X$10) * 
        ('アイテム別限界値DB'!$F:$F = X25) * 
        ('アイテム別限界値DB'!$H:$H = Y25), 
        0
      )
    ), 
    "再製作"
  )
)
</f>
        <v/>
      </c>
      <c r="AA25" s="218" t="str">
        <f t="array" ref="AA25">IF(
  Y25 = 0, 
  "", 
  IFERROR(
    INDEX(
      'アイテム別限界値DB'!$L:$L, 
      MATCH(
        1, 
        ('アイテム別限界値DB'!$B:$B = X$10) * 
        ('アイテム別限界値DB'!$C:$C = X25) * 
        ('アイテム別限界値DB'!$F:$F = Y25), 
        0
      )
    ), 
    ""
  )
)
</f>
        <v/>
      </c>
      <c r="AB25" s="11"/>
      <c r="AC25" s="186" t="s">
        <v>74</v>
      </c>
      <c r="AD25" s="232"/>
      <c r="AE25" s="231" t="str">
        <f t="array" ref="AE25">IF(
  AD25 = 0, 
  "", 
  IFERROR(
    INDEX(
      'アイテム別限界値DB'!$K:$K, 
      MATCH(
        1, 
        ('アイテム別限界値DB'!$B:$B = AC$10) * 
        ('アイテム別限界値DB'!$F:$F = AC25) * 
        ('アイテム別限界値DB'!$H:$H = AD25), 
        0
      )
    ), 
    "再製作"
  )
)
</f>
        <v/>
      </c>
      <c r="AF25" s="218" t="str">
        <f t="array" ref="AF25">IF(
  AD25 = 0, 
  "", 
  IFERROR(
    INDEX(
      'アイテム別限界値DB'!$L:$L, 
      MATCH(
        1, 
        ('アイテム別限界値DB'!$B:$B = AC$10) * 
        ('アイテム別限界値DB'!$C:$C = AC25) * 
        ('アイテム別限界値DB'!$F:$F = AD25), 
        0
      )
    ), 
    ""
  )
)
</f>
        <v/>
      </c>
      <c r="AG25" s="11"/>
      <c r="AH25" s="12"/>
      <c r="AI25" s="220"/>
      <c r="AJ25" s="220" t="str">
        <f t="array" ref="AJ25">IF(
  AI25 = 0, 
  "", 
  IFERROR(
    INDEX(
      'アイテム別限界値DB'!$I:$I, 
      MATCH(
        1, 
        ('アイテム別限界値DB'!$B:$B = AH$10) * 
        ('アイテム別限界値DB'!$C:$C = AH25) * 
        ('アイテム別限界値DB'!$F:$F = AI25), 
        0
      )
    ), 
    "再製作"
  )
)
</f>
        <v/>
      </c>
      <c r="AK25" s="195"/>
      <c r="AL25" s="11"/>
      <c r="AM25" s="12"/>
      <c r="AN25" s="220"/>
      <c r="AO25" s="220" t="str">
        <f t="array" ref="AO25">IF(
  AN25 = 0, 
  "", 
  IFERROR(
    INDEX(
      'アイテム別限界値DB'!$I:$I, 
      MATCH(
        1, 
        ('アイテム別限界値DB'!$B:$B = AM$10) * 
        ('アイテム別限界値DB'!$C:$C = AM25) * 
        ('アイテム別限界値DB'!$F:$F = AN25), 
        0
      )
    ), 
    "再製作"
  )
)
</f>
        <v/>
      </c>
      <c r="AP25" s="195"/>
      <c r="AQ25" s="11"/>
      <c r="AR25" s="12"/>
      <c r="AS25" s="220"/>
      <c r="AT25" s="220" t="str">
        <f t="array" ref="AT25">IF(
  AS25 = 0, 
  "", 
  IFERROR(
    INDEX(
      'アイテム別限界値DB'!$I:$I, 
      MATCH(
        1, 
        ('アイテム別限界値DB'!$B:$B = AR$10) * 
        ('アイテム別限界値DB'!$C:$C = AR25) * 
        ('アイテム別限界値DB'!$F:$F = AS25), 
        0
      )
    ), 
    "再製作"
  )
)
</f>
        <v/>
      </c>
      <c r="AU25" s="195"/>
      <c r="AV25" s="195"/>
      <c r="AW25" s="12"/>
      <c r="AX25" s="220"/>
      <c r="AY25" s="220" t="str">
        <f t="array" ref="AY25">IF(
  AX25 = 0, 
  "", 
  IFERROR(
    INDEX(
      'アイテム別限界値DB'!$I:$I, 
      MATCH(
        1, 
        ('アイテム別限界値DB'!$B:$B = AW$10) * 
        ('アイテム別限界値DB'!$C:$C = AW25) * 
        ('アイテム別限界値DB'!$F:$F = AX25), 
        0
      )
    ), 
    "再製作"
  )
)
</f>
        <v/>
      </c>
      <c r="AZ25" s="195"/>
      <c r="BA25" s="195"/>
      <c r="BB25" s="12"/>
      <c r="BC25" s="220"/>
      <c r="BD25" s="220" t="str">
        <f t="array" ref="BD25">IF(
  BC25 = 0, 
  "", 
  IFERROR(
    INDEX(
      'アイテム別限界値DB'!$I:$I, 
      MATCH(
        1, 
        ('アイテム別限界値DB'!$B:$B = BB$10) * 
        ('アイテム別限界値DB'!$C:$C = BB25) * 
        ('アイテム別限界値DB'!$F:$F = BC25), 
        0
      )
    ), 
    "再製作"
  )
)
</f>
        <v/>
      </c>
      <c r="BE25" s="195"/>
      <c r="BF25" s="195"/>
      <c r="BG25" s="12"/>
      <c r="BH25" s="220"/>
      <c r="BI25" s="220" t="str">
        <f t="array" ref="BI25">IF(
  BH25 = 0, 
  "", 
  IFERROR(
    INDEX(
      'アイテム別限界値DB'!$I:$I, 
      MATCH(
        1, 
        ('アイテム別限界値DB'!$B:$B = BG$10) * 
        ('アイテム別限界値DB'!$C:$C = BG25) * 
        ('アイテム別限界値DB'!$F:$F = BH25), 
        0
      )
    ), 
    "再製作"
  )
)
</f>
        <v/>
      </c>
      <c r="BJ25" s="195"/>
      <c r="BK25" s="195"/>
      <c r="BL25" s="195"/>
      <c r="BM25" s="220"/>
      <c r="BN25" s="220" t="str">
        <f t="array" ref="BN25">IF(
  BM25 = 0, 
  "", 
  IFERROR(
    INDEX(
      'アイテム別限界値DB'!$I:$I, 
      MATCH(
        1, 
        ('アイテム別限界値DB'!$B:$B = BL$10) * 
        ('アイテム別限界値DB'!$C:$C = BL25) * 
        ('アイテム別限界値DB'!$F:$F = BM25), 
        0
      )
    ), 
    "再製作"
  )
)
</f>
        <v/>
      </c>
      <c r="BO25" s="195"/>
      <c r="BP25" s="195"/>
    </row>
    <row r="26" ht="18.75" customHeight="1">
      <c r="A26" s="236" t="str">
        <f>if($A$24&lt;&gt;"", "《仕上がり数値》","")</f>
        <v/>
      </c>
      <c r="B26" s="229"/>
      <c r="C26" s="224"/>
      <c r="D26" s="239" t="s">
        <v>74</v>
      </c>
      <c r="E26" s="232"/>
      <c r="F26" s="231" t="str">
        <f t="array" ref="F26">IF(
  E26 = 0, 
  "", 
  IFERROR(
    INDEX(
      'アイテム別限界値DB'!$K:$K, 
      MATCH(
        1, 
        ('アイテム別限界値DB'!$B:$B = D$10) * 
        ('アイテム別限界値DB'!$F:$F = D26) * 
        ('アイテム別限界値DB'!$H:$H = E26), 
        0
      )
    ), 
    "再製作"
  )
)
</f>
        <v/>
      </c>
      <c r="G26" s="218" t="str">
        <f t="array" ref="G26">IF(
  E26 = 0, 
  "", 
  IFERROR(
    INDEX(
      'アイテム別限界値DB'!$L:$L, 
      MATCH(
        1, 
        ('アイテム別限界値DB'!$B:$B = D$10) * 
        ('アイテム別限界値DB'!$C:$C = D26) * 
        ('アイテム別限界値DB'!$F:$F = E26), 
        0
      )
    ), 
    ""
  )
)
</f>
        <v/>
      </c>
      <c r="H26" s="12"/>
      <c r="I26" s="11" t="s">
        <v>100</v>
      </c>
      <c r="J26" s="232"/>
      <c r="K26" s="231" t="str">
        <f t="array" ref="K26">IF(
  J26 = 0, 
  "", 
  IFERROR(
    INDEX(
      'アイテム別限界値DB'!$K:$K, 
      MATCH(
        1, 
        ('アイテム別限界値DB'!$B:$B = I$10) * 
        ('アイテム別限界値DB'!$F:$F = I26) * 
        ('アイテム別限界値DB'!$H:$H = J26), 
        0
      )
    ), 
    "再製作"
  )
)
</f>
        <v/>
      </c>
      <c r="L26" s="195"/>
      <c r="M26" s="11"/>
      <c r="N26" s="11"/>
      <c r="O26" s="220"/>
      <c r="P26" s="184"/>
      <c r="Q26" s="11"/>
      <c r="R26" s="11"/>
      <c r="S26" s="12" t="s">
        <v>95</v>
      </c>
      <c r="T26" s="232"/>
      <c r="U26" s="231" t="str">
        <f t="array" ref="U26">IF(
  T26 = 0, 
  "", 
  IFERROR(
    INDEX(
      'アイテム別限界値DB'!$K:$K, 
      MATCH(
        1, 
        ('アイテム別限界値DB'!$B:$B = S$10) * 
        ('アイテム別限界値DB'!$F:$F = S26) * 
        ('アイテム別限界値DB'!$H:$H = T26), 
        0
      )
    ), 
    "再製作"
  )
)
</f>
        <v/>
      </c>
      <c r="V26" s="195"/>
      <c r="W26" s="11"/>
      <c r="X26" s="186" t="s">
        <v>62</v>
      </c>
      <c r="Y26" s="232"/>
      <c r="Z26" s="231" t="str">
        <f t="array" ref="Z26">IF(
  Y26 = 0, 
  "", 
  IFERROR(
    INDEX(
      'アイテム別限界値DB'!$K:$K, 
      MATCH(
        1, 
        ('アイテム別限界値DB'!$B:$B = X$10) * 
        ('アイテム別限界値DB'!$F:$F = X26) * 
        ('アイテム別限界値DB'!$H:$H = Y26), 
        0
      )
    ), 
    "再製作"
  )
)
</f>
        <v/>
      </c>
      <c r="AA26" s="218" t="str">
        <f t="array" ref="AA26">IF(
  Y26 = 0, 
  "", 
  IFERROR(
    INDEX(
      'アイテム別限界値DB'!$L:$L, 
      MATCH(
        1, 
        ('アイテム別限界値DB'!$B:$B = X$10) * 
        ('アイテム別限界値DB'!$C:$C = X26) * 
        ('アイテム別限界値DB'!$F:$F = Y26), 
        0
      )
    ), 
    ""
  )
)
</f>
        <v/>
      </c>
      <c r="AB26" s="11"/>
      <c r="AC26" s="186" t="s">
        <v>67</v>
      </c>
      <c r="AD26" s="232"/>
      <c r="AE26" s="231" t="str">
        <f t="array" ref="AE26">IF(
  AD26 = 0, 
  "", 
  IFERROR(
    INDEX(
      'アイテム別限界値DB'!$K:$K, 
      MATCH(
        1, 
        ('アイテム別限界値DB'!$B:$B = AC$10) * 
        ('アイテム別限界値DB'!$F:$F = AC26) * 
        ('アイテム別限界値DB'!$H:$H = AD26), 
        0
      )
    ), 
    "再製作"
  )
)
</f>
        <v/>
      </c>
      <c r="AF26" s="218" t="str">
        <f t="array" ref="AF26">IF(
  AD26 = 0, 
  "", 
  IFERROR(
    INDEX(
      'アイテム別限界値DB'!$L:$L, 
      MATCH(
        1, 
        ('アイテム別限界値DB'!$B:$B = AC$10) * 
        ('アイテム別限界値DB'!$C:$C = AC26) * 
        ('アイテム別限界値DB'!$F:$F = AD26), 
        0
      )
    ), 
    ""
  )
)
</f>
        <v/>
      </c>
      <c r="AG26" s="11"/>
      <c r="AH26" s="12"/>
      <c r="AI26" s="220"/>
      <c r="AJ26" s="220" t="str">
        <f t="array" ref="AJ26">IF(
  AI26 = 0, 
  "", 
  IFERROR(
    INDEX(
      'アイテム別限界値DB'!$I:$I, 
      MATCH(
        1, 
        ('アイテム別限界値DB'!$B:$B = AH$10) * 
        ('アイテム別限界値DB'!$C:$C = AH26) * 
        ('アイテム別限界値DB'!$F:$F = AI26), 
        0
      )
    ), 
    "再製作"
  )
)
</f>
        <v/>
      </c>
      <c r="AK26" s="195"/>
      <c r="AL26" s="11"/>
      <c r="AM26" s="12"/>
      <c r="AN26" s="220"/>
      <c r="AO26" s="220" t="str">
        <f t="array" ref="AO26">IF(
  AN26 = 0, 
  "", 
  IFERROR(
    INDEX(
      'アイテム別限界値DB'!$I:$I, 
      MATCH(
        1, 
        ('アイテム別限界値DB'!$B:$B = AM$10) * 
        ('アイテム別限界値DB'!$C:$C = AM26) * 
        ('アイテム別限界値DB'!$F:$F = AN26), 
        0
      )
    ), 
    "再製作"
  )
)
</f>
        <v/>
      </c>
      <c r="AP26" s="195"/>
      <c r="AQ26" s="11"/>
      <c r="AR26" s="12"/>
      <c r="AS26" s="220"/>
      <c r="AT26" s="220" t="str">
        <f t="array" ref="AT26">IF(
  AS26 = 0, 
  "", 
  IFERROR(
    INDEX(
      'アイテム別限界値DB'!$I:$I, 
      MATCH(
        1, 
        ('アイテム別限界値DB'!$B:$B = AR$10) * 
        ('アイテム別限界値DB'!$C:$C = AR26) * 
        ('アイテム別限界値DB'!$F:$F = AS26), 
        0
      )
    ), 
    "再製作"
  )
)
</f>
        <v/>
      </c>
      <c r="AU26" s="195"/>
      <c r="AV26" s="195"/>
      <c r="AW26" s="12"/>
      <c r="AX26" s="220"/>
      <c r="AY26" s="220" t="str">
        <f t="array" ref="AY26">IF(
  AX26 = 0, 
  "", 
  IFERROR(
    INDEX(
      'アイテム別限界値DB'!$I:$I, 
      MATCH(
        1, 
        ('アイテム別限界値DB'!$B:$B = AW$10) * 
        ('アイテム別限界値DB'!$C:$C = AW26) * 
        ('アイテム別限界値DB'!$F:$F = AX26), 
        0
      )
    ), 
    "再製作"
  )
)
</f>
        <v/>
      </c>
      <c r="AZ26" s="195"/>
      <c r="BA26" s="195"/>
      <c r="BB26" s="12"/>
      <c r="BC26" s="220"/>
      <c r="BD26" s="220" t="str">
        <f t="array" ref="BD26">IF(
  BC26 = 0, 
  "", 
  IFERROR(
    INDEX(
      'アイテム別限界値DB'!$I:$I, 
      MATCH(
        1, 
        ('アイテム別限界値DB'!$B:$B = BB$10) * 
        ('アイテム別限界値DB'!$C:$C = BB26) * 
        ('アイテム別限界値DB'!$F:$F = BC26), 
        0
      )
    ), 
    "再製作"
  )
)
</f>
        <v/>
      </c>
      <c r="BE26" s="195"/>
      <c r="BF26" s="195"/>
      <c r="BG26" s="12"/>
      <c r="BH26" s="220"/>
      <c r="BI26" s="220" t="str">
        <f t="array" ref="BI26">IF(
  BH26 = 0, 
  "", 
  IFERROR(
    INDEX(
      'アイテム別限界値DB'!$I:$I, 
      MATCH(
        1, 
        ('アイテム別限界値DB'!$B:$B = BG$10) * 
        ('アイテム別限界値DB'!$C:$C = BG26) * 
        ('アイテム別限界値DB'!$F:$F = BH26), 
        0
      )
    ), 
    "再製作"
  )
)
</f>
        <v/>
      </c>
      <c r="BJ26" s="195"/>
      <c r="BK26" s="195"/>
      <c r="BL26" s="195"/>
      <c r="BM26" s="220"/>
      <c r="BN26" s="220" t="str">
        <f t="array" ref="BN26">IF(
  BM26 = 0, 
  "", 
  IFERROR(
    INDEX(
      'アイテム別限界値DB'!$I:$I, 
      MATCH(
        1, 
        ('アイテム別限界値DB'!$B:$B = BL$10) * 
        ('アイテム別限界値DB'!$C:$C = BL26) * 
        ('アイテム別限界値DB'!$F:$F = BM26), 
        0
      )
    ), 
    "再製作"
  )
)
</f>
        <v/>
      </c>
      <c r="BO26" s="195"/>
      <c r="BP26" s="195"/>
    </row>
    <row r="27" ht="18.75" customHeight="1">
      <c r="A27" s="228" t="str">
        <f>IFERROR(__xludf.DUMMYFUNCTION("TEXTJOIN(CHAR(10),TRUE,FILTER(ARRAYFORMULA(IF(O$14:O72&lt;&gt;"""",N$14:N72 &amp;"" :  cm"","""")), N$14:N72 &lt;&gt;""""))"),"")</f>
        <v/>
      </c>
      <c r="B27" s="229"/>
      <c r="C27" s="224"/>
      <c r="D27" s="239" t="s">
        <v>67</v>
      </c>
      <c r="E27" s="232"/>
      <c r="F27" s="231" t="str">
        <f t="array" ref="F27">IF(
  E27 = 0, 
  "", 
  IFERROR(
    INDEX(
      'アイテム別限界値DB'!$K:$K, 
      MATCH(
        1, 
        ('アイテム別限界値DB'!$B:$B = D$10) * 
        ('アイテム別限界値DB'!$F:$F = D27) * 
        ('アイテム別限界値DB'!$H:$H = E27), 
        0
      )
    ), 
    "再製作"
  )
)
</f>
        <v/>
      </c>
      <c r="G27" s="218" t="str">
        <f t="array" ref="G27">IF(
  E27 = 0, 
  "", 
  IFERROR(
    INDEX(
      'アイテム別限界値DB'!$L:$L, 
      MATCH(
        1, 
        ('アイテム別限界値DB'!$B:$B = D$10) * 
        ('アイテム別限界値DB'!$C:$C = D27) * 
        ('アイテム別限界値DB'!$F:$F = E27), 
        0
      )
    ), 
    ""
  )
)
</f>
        <v/>
      </c>
      <c r="H27" s="12"/>
      <c r="I27" s="11" t="s">
        <v>103</v>
      </c>
      <c r="J27" s="232"/>
      <c r="K27" s="231" t="str">
        <f t="array" ref="K27">IF(
  J27 = 0, 
  "", 
  IFERROR(
    INDEX(
      'アイテム別限界値DB'!$K:$K, 
      MATCH(
        1, 
        ('アイテム別限界値DB'!$B:$B = I$10) * 
        ('アイテム別限界値DB'!$F:$F = I27) * 
        ('アイテム別限界値DB'!$H:$H = J27), 
        0
      )
    ), 
    "再製作"
  )
)
</f>
        <v/>
      </c>
      <c r="L27" s="11"/>
      <c r="M27" s="11"/>
      <c r="N27" s="11"/>
      <c r="O27" s="220"/>
      <c r="P27" s="184"/>
      <c r="Q27" s="11"/>
      <c r="R27" s="11"/>
      <c r="S27" s="12" t="s">
        <v>99</v>
      </c>
      <c r="T27" s="232"/>
      <c r="U27" s="231" t="str">
        <f t="array" ref="U27">IF(
  T27 = 0, 
  "", 
  IFERROR(
    INDEX(
      'アイテム別限界値DB'!$K:$K, 
      MATCH(
        1, 
        ('アイテム別限界値DB'!$B:$B = S$10) * 
        ('アイテム別限界値DB'!$F:$F = S27) * 
        ('アイテム別限界値DB'!$H:$H = T27), 
        0
      )
    ), 
    "再製作"
  )
)
</f>
        <v/>
      </c>
      <c r="V27" s="12"/>
      <c r="W27" s="11"/>
      <c r="X27" s="240" t="s">
        <v>74</v>
      </c>
      <c r="Y27" s="232"/>
      <c r="Z27" s="231" t="str">
        <f t="array" ref="Z27">IF(
  Y27 = 0, 
  "", 
  IFERROR(
    INDEX(
      'アイテム別限界値DB'!$K:$K, 
      MATCH(
        1, 
        ('アイテム別限界値DB'!$B:$B = X$10) * 
        ('アイテム別限界値DB'!$F:$F = X27) * 
        ('アイテム別限界値DB'!$H:$H = Y27), 
        0
      )
    ), 
    "再製作"
  )
)
</f>
        <v/>
      </c>
      <c r="AA27" s="218" t="str">
        <f t="array" ref="AA27">IF(
  Y27 = 0, 
  "", 
  IFERROR(
    INDEX(
      'アイテム別限界値DB'!$L:$L, 
      MATCH(
        1, 
        ('アイテム別限界値DB'!$B:$B = X$10) * 
        ('アイテム別限界値DB'!$C:$C = X27) * 
        ('アイテム別限界値DB'!$F:$F = Y27), 
        0
      )
    ), 
    ""
  )
)
</f>
        <v/>
      </c>
      <c r="AB27" s="11"/>
      <c r="AC27" s="240" t="s">
        <v>79</v>
      </c>
      <c r="AD27" s="232"/>
      <c r="AE27" s="231" t="str">
        <f t="array" ref="AE27">IF(
  AD27 = 0, 
  "", 
  IFERROR(
    INDEX(
      'アイテム別限界値DB'!$K:$K, 
      MATCH(
        1, 
        ('アイテム別限界値DB'!$B:$B = AC$10) * 
        ('アイテム別限界値DB'!$F:$F = AC27) * 
        ('アイテム別限界値DB'!$H:$H = AD27), 
        0
      )
    ), 
    "再製作"
  )
)
</f>
        <v/>
      </c>
      <c r="AF27" s="218" t="str">
        <f t="array" ref="AF27">IF(
  AD27 = 0, 
  "", 
  IFERROR(
    INDEX(
      'アイテム別限界値DB'!$L:$L, 
      MATCH(
        1, 
        ('アイテム別限界値DB'!$B:$B = AC$10) * 
        ('アイテム別限界値DB'!$C:$C = AC27) * 
        ('アイテム別限界値DB'!$F:$F = AD27), 
        0
      )
    ), 
    ""
  )
)
</f>
        <v/>
      </c>
      <c r="AG27" s="11"/>
      <c r="AH27" s="11"/>
      <c r="AI27" s="220"/>
      <c r="AJ27" s="184"/>
      <c r="AK27" s="11"/>
      <c r="AL27" s="11"/>
      <c r="AM27" s="11"/>
      <c r="AN27" s="220"/>
      <c r="AO27" s="184"/>
      <c r="AP27" s="11"/>
      <c r="AQ27" s="11"/>
      <c r="AR27" s="11"/>
      <c r="AS27" s="220"/>
      <c r="AT27" s="184"/>
      <c r="AU27" s="11"/>
      <c r="AV27" s="11"/>
      <c r="AW27" s="11"/>
      <c r="AX27" s="220"/>
      <c r="AY27" s="184"/>
      <c r="AZ27" s="11"/>
      <c r="BA27" s="11"/>
      <c r="BB27" s="11"/>
      <c r="BC27" s="220"/>
      <c r="BD27" s="184"/>
      <c r="BE27" s="11"/>
      <c r="BF27" s="11"/>
      <c r="BG27" s="11"/>
      <c r="BH27" s="220"/>
      <c r="BI27" s="184"/>
      <c r="BJ27" s="11"/>
      <c r="BK27" s="11"/>
      <c r="BL27" s="11"/>
      <c r="BM27" s="220"/>
      <c r="BN27" s="184"/>
      <c r="BO27" s="11"/>
      <c r="BP27" s="11"/>
    </row>
    <row r="28" ht="15.75" customHeight="1">
      <c r="A28" s="237" t="s">
        <v>104</v>
      </c>
      <c r="B28" s="11"/>
      <c r="C28" s="11"/>
      <c r="D28" s="11" t="s">
        <v>79</v>
      </c>
      <c r="E28" s="232"/>
      <c r="F28" s="231" t="str">
        <f t="array" ref="F28">IF(
  E28 = 0, 
  "", 
  IFERROR(
    INDEX(
      'アイテム別限界値DB'!$K:$K, 
      MATCH(
        1, 
        ('アイテム別限界値DB'!$B:$B = D$10) * 
        ('アイテム別限界値DB'!$F:$F = D28) * 
        ('アイテム別限界値DB'!$H:$H = E28), 
        0
      )
    ), 
    "再製作"
  )
)
</f>
        <v/>
      </c>
      <c r="G28" s="218" t="str">
        <f t="array" ref="G28">IF(
  E28 = 0, 
  "", 
  IFERROR(
    INDEX(
      'アイテム別限界値DB'!$L:$L, 
      MATCH(
        1, 
        ('アイテム別限界値DB'!$B:$B = D$10) * 
        ('アイテム別限界値DB'!$C:$C = D28) * 
        ('アイテム別限界値DB'!$F:$F = E28), 
        0
      )
    ), 
    ""
  )
)
</f>
        <v/>
      </c>
      <c r="H28" s="11"/>
      <c r="I28" s="11"/>
      <c r="J28" s="220"/>
      <c r="K28" s="184"/>
      <c r="L28" s="11"/>
      <c r="M28" s="11"/>
      <c r="N28" s="11"/>
      <c r="O28" s="220"/>
      <c r="P28" s="184"/>
      <c r="Q28" s="11"/>
      <c r="R28" s="12"/>
      <c r="S28" s="11" t="s">
        <v>103</v>
      </c>
      <c r="T28" s="232"/>
      <c r="U28" s="231" t="str">
        <f t="array" ref="U28">IF(
  T28 = 0, 
  "", 
  IFERROR(
    INDEX(
      'アイテム別限界値DB'!$K:$K, 
      MATCH(
        1, 
        ('アイテム別限界値DB'!$B:$B = S$10) * 
        ('アイテム別限界値DB'!$F:$F = S28) * 
        ('アイテム別限界値DB'!$H:$H = T28), 
        0
      )
    ), 
    "再製作"
  )
)
</f>
        <v/>
      </c>
      <c r="V28" s="11"/>
      <c r="W28" s="11"/>
      <c r="X28" s="11" t="s">
        <v>67</v>
      </c>
      <c r="Y28" s="241"/>
      <c r="Z28" s="231" t="str">
        <f t="array" ref="Z28">IF(
  Y28 = 0, 
  "", 
  IFERROR(
    INDEX(
      'アイテム別限界値DB'!$K:$K, 
      MATCH(
        1, 
        ('アイテム別限界値DB'!$B:$B = X$10) * 
        ('アイテム別限界値DB'!$F:$F = X28) * 
        ('アイテム別限界値DB'!$H:$H = Y28), 
        0
      )
    ), 
    "再製作"
  )
)
</f>
        <v/>
      </c>
      <c r="AA28" s="218" t="str">
        <f t="array" ref="AA28">IF(
  Y28 = 0, 
  "", 
  IFERROR(
    INDEX(
      'アイテム別限界値DB'!$L:$L, 
      MATCH(
        1, 
        ('アイテム別限界値DB'!$B:$B = X$10) * 
        ('アイテム別限界値DB'!$C:$C = X28) * 
        ('アイテム別限界値DB'!$F:$F = Y28), 
        0
      )
    ), 
    ""
  )
)
</f>
        <v/>
      </c>
      <c r="AB28" s="11"/>
      <c r="AC28" s="11" t="s">
        <v>83</v>
      </c>
      <c r="AD28" s="232"/>
      <c r="AE28" s="231" t="str">
        <f t="array" ref="AE28">IF(
  AD28 = 0, 
  "", 
  IFERROR(
    INDEX(
      'アイテム別限界値DB'!$K:$K, 
      MATCH(
        1, 
        ('アイテム別限界値DB'!$B:$B = AC$10) * 
        ('アイテム別限界値DB'!$F:$F = AC28) * 
        ('アイテム別限界値DB'!$H:$H = AD28), 
        0
      )
    ), 
    "再製作"
  )
)
</f>
        <v/>
      </c>
      <c r="AF28" s="218" t="str">
        <f t="array" ref="AF28">IF(
  AD28 = 0, 
  "", 
  IFERROR(
    INDEX(
      'アイテム別限界値DB'!$L:$L, 
      MATCH(
        1, 
        ('アイテム別限界値DB'!$B:$B = AC$10) * 
        ('アイテム別限界値DB'!$C:$C = AC28) * 
        ('アイテム別限界値DB'!$F:$F = AD28), 
        0
      )
    ), 
    ""
  )
)
</f>
        <v/>
      </c>
      <c r="AG28" s="11"/>
      <c r="AH28" s="11"/>
      <c r="AI28" s="220"/>
      <c r="AJ28" s="184"/>
      <c r="AK28" s="11"/>
      <c r="AL28" s="11"/>
      <c r="AM28" s="11"/>
      <c r="AN28" s="220"/>
      <c r="AO28" s="184"/>
      <c r="AP28" s="11"/>
      <c r="AQ28" s="11"/>
      <c r="AR28" s="11"/>
      <c r="AS28" s="220"/>
      <c r="AT28" s="184"/>
      <c r="AU28" s="11"/>
      <c r="AV28" s="11"/>
      <c r="AW28" s="11"/>
      <c r="AX28" s="220"/>
      <c r="AY28" s="184"/>
      <c r="AZ28" s="11"/>
      <c r="BA28" s="11"/>
      <c r="BB28" s="11"/>
      <c r="BC28" s="220"/>
      <c r="BD28" s="184"/>
      <c r="BE28" s="11"/>
      <c r="BF28" s="11"/>
      <c r="BG28" s="11"/>
      <c r="BH28" s="220"/>
      <c r="BI28" s="184"/>
      <c r="BJ28" s="11"/>
      <c r="BK28" s="11"/>
      <c r="BL28" s="11"/>
      <c r="BM28" s="220"/>
      <c r="BN28" s="184"/>
      <c r="BO28" s="11"/>
      <c r="BP28" s="11"/>
    </row>
    <row r="29" ht="15.75" customHeight="1">
      <c r="A29" s="228" t="str">
        <f>IF($S$11="再製作", "◼︎ チノ（対応着地：再製作）" &amp; char(10) &amp; "《修正数値》", IF($S$11&lt;&gt;"", "◼︎ チノ（対応着地：お直し）" &amp; char(10) &amp; "《修正数値》", ""))</f>
        <v/>
      </c>
      <c r="B29" s="160"/>
      <c r="C29" s="11"/>
      <c r="D29" s="11" t="s">
        <v>83</v>
      </c>
      <c r="E29" s="232"/>
      <c r="F29" s="231" t="str">
        <f t="array" ref="F29">IF(
  E29 = 0, 
  "", 
  IFERROR(
    INDEX(
      'アイテム別限界値DB'!$K:$K, 
      MATCH(
        1, 
        ('アイテム別限界値DB'!$B:$B = D$10) * 
        ('アイテム別限界値DB'!$F:$F = D29) * 
        ('アイテム別限界値DB'!$H:$H = E29), 
        0
      )
    ), 
    "再製作"
  )
)
</f>
        <v/>
      </c>
      <c r="G29" s="218" t="str">
        <f t="array" ref="G29">IF(
  E29 = 0, 
  "", 
  IFERROR(
    INDEX(
      'アイテム別限界値DB'!$L:$L, 
      MATCH(
        1, 
        ('アイテム別限界値DB'!$B:$B = D$10) * 
        ('アイテム別限界値DB'!$C:$C = D29) * 
        ('アイテム別限界値DB'!$F:$F = E29), 
        0
      )
    ), 
    ""
  )
)
</f>
        <v/>
      </c>
      <c r="H29" s="11"/>
      <c r="I29" s="11"/>
      <c r="J29" s="220"/>
      <c r="K29" s="184"/>
      <c r="L29" s="11"/>
      <c r="M29" s="11"/>
      <c r="N29" s="11"/>
      <c r="O29" s="220"/>
      <c r="P29" s="184"/>
      <c r="Q29" s="11"/>
      <c r="R29" s="12"/>
      <c r="S29" s="11"/>
      <c r="T29" s="220"/>
      <c r="U29" s="184"/>
      <c r="V29" s="11"/>
      <c r="W29" s="11"/>
      <c r="X29" s="11" t="s">
        <v>79</v>
      </c>
      <c r="Y29" s="232"/>
      <c r="Z29" s="231" t="str">
        <f t="array" ref="Z29">IF(
  Y29 = 0, 
  "", 
  IFERROR(
    INDEX(
      'アイテム別限界値DB'!$K:$K, 
      MATCH(
        1, 
        ('アイテム別限界値DB'!$B:$B = X$10) * 
        ('アイテム別限界値DB'!$F:$F = X29) * 
        ('アイテム別限界値DB'!$H:$H = Y29), 
        0
      )
    ), 
    "再製作"
  )
)
</f>
        <v/>
      </c>
      <c r="AA29" s="11"/>
      <c r="AB29" s="11"/>
      <c r="AC29" s="11" t="s">
        <v>105</v>
      </c>
      <c r="AD29" s="232"/>
      <c r="AE29" s="231" t="str">
        <f t="array" ref="AE29">IF(
  AD29 = 0, 
  "", 
  IFERROR(
    INDEX(
      'アイテム別限界値DB'!$K:$K, 
      MATCH(
        1, 
        ('アイテム別限界値DB'!$B:$B = AC$10) * 
        ('アイテム別限界値DB'!$F:$F = AC29) * 
        ('アイテム別限界値DB'!$H:$H = AD29), 
        0
      )
    ), 
    "再製作"
  )
)
</f>
        <v/>
      </c>
      <c r="AF29" s="11"/>
      <c r="AG29" s="11"/>
      <c r="AH29" s="11"/>
      <c r="AI29" s="220"/>
      <c r="AJ29" s="184"/>
      <c r="AK29" s="11"/>
      <c r="AL29" s="11"/>
      <c r="AM29" s="11"/>
      <c r="AN29" s="220"/>
      <c r="AO29" s="184"/>
      <c r="AP29" s="11"/>
      <c r="AQ29" s="11"/>
      <c r="AR29" s="11"/>
      <c r="AS29" s="220"/>
      <c r="AT29" s="184"/>
      <c r="AU29" s="11"/>
      <c r="AV29" s="11"/>
      <c r="AW29" s="11"/>
      <c r="AX29" s="220"/>
      <c r="AY29" s="184"/>
      <c r="AZ29" s="11"/>
      <c r="BA29" s="11"/>
      <c r="BB29" s="11"/>
      <c r="BC29" s="220"/>
      <c r="BD29" s="184"/>
      <c r="BE29" s="11"/>
      <c r="BF29" s="11"/>
      <c r="BG29" s="11"/>
      <c r="BH29" s="220"/>
      <c r="BI29" s="184"/>
      <c r="BJ29" s="11"/>
      <c r="BK29" s="11"/>
      <c r="BL29" s="11"/>
      <c r="BM29" s="220"/>
      <c r="BN29" s="184"/>
      <c r="BO29" s="11"/>
      <c r="BP29" s="11"/>
    </row>
    <row r="30" ht="15.75" customHeight="1">
      <c r="A30" s="228" t="str">
        <f>IFERROR(__xludf.DUMMYFUNCTION("TEXTJOIN(CHAR(10),TRUE,FILTER(ARRAYFORMULA(IF(T$14:T72&lt;&gt;"""", S$14:S72 &amp;"" : ""&amp; T$14:T72 &amp;"" cm"","""")), S$14:S72 &lt;&gt;""""))"),"")</f>
        <v/>
      </c>
      <c r="B30" s="229"/>
      <c r="C30" s="11"/>
      <c r="D30" s="11" t="s">
        <v>106</v>
      </c>
      <c r="E30" s="232"/>
      <c r="F30" s="231" t="str">
        <f t="array" ref="F30">IF(
  E30 = 0, 
  "", 
  IFERROR(
    INDEX(
      'アイテム別限界値DB'!$K:$K, 
      MATCH(
        1, 
        ('アイテム別限界値DB'!$B:$B = D$10) * 
        ('アイテム別限界値DB'!$F:$F = D30) * 
        ('アイテム別限界値DB'!$H:$H = E30), 
        0
      )
    ), 
    "再製作"
  )
)
</f>
        <v/>
      </c>
      <c r="G30" s="218" t="str">
        <f t="array" ref="G30">IF(
  E30 = 0, 
  "", 
  IFERROR(
    INDEX(
      'アイテム別限界値DB'!$L:$L, 
      MATCH(
        1, 
        ('アイテム別限界値DB'!$B:$B = D$10) * 
        ('アイテム別限界値DB'!$C:$C = D30) * 
        ('アイテム別限界値DB'!$F:$F = E30), 
        0
      )
    ), 
    ""
  )
)
</f>
        <v/>
      </c>
      <c r="H30" s="11"/>
      <c r="I30" s="11"/>
      <c r="J30" s="220"/>
      <c r="K30" s="184"/>
      <c r="L30" s="11"/>
      <c r="M30" s="11"/>
      <c r="N30" s="11"/>
      <c r="O30" s="220"/>
      <c r="P30" s="184"/>
      <c r="Q30" s="11"/>
      <c r="R30" s="12"/>
      <c r="S30" s="11"/>
      <c r="T30" s="220"/>
      <c r="U30" s="184"/>
      <c r="V30" s="11"/>
      <c r="W30" s="11"/>
      <c r="X30" s="11" t="s">
        <v>83</v>
      </c>
      <c r="Y30" s="232"/>
      <c r="Z30" s="231" t="str">
        <f t="array" ref="Z30">IF(
  Y30 = 0, 
  "", 
  IFERROR(
    INDEX(
      'アイテム別限界値DB'!$K:$K, 
      MATCH(
        1, 
        ('アイテム別限界値DB'!$B:$B = X$10) * 
        ('アイテム別限界値DB'!$F:$F = X30) * 
        ('アイテム別限界値DB'!$H:$H = Y30), 
        0
      )
    ), 
    "再製作"
  )
)
</f>
        <v/>
      </c>
      <c r="AA30" s="11"/>
      <c r="AB30" s="11"/>
      <c r="AC30" s="11"/>
      <c r="AD30" s="220"/>
      <c r="AE30" s="184"/>
      <c r="AF30" s="11"/>
      <c r="AG30" s="11"/>
      <c r="AH30" s="11"/>
      <c r="AI30" s="220"/>
      <c r="AJ30" s="184"/>
      <c r="AK30" s="11"/>
      <c r="AL30" s="11"/>
      <c r="AM30" s="11"/>
      <c r="AN30" s="220"/>
      <c r="AO30" s="184"/>
      <c r="AP30" s="11"/>
      <c r="AQ30" s="11"/>
      <c r="AR30" s="11"/>
      <c r="AS30" s="220"/>
      <c r="AT30" s="184"/>
      <c r="AU30" s="11"/>
      <c r="AV30" s="11"/>
      <c r="AW30" s="11"/>
      <c r="AX30" s="220"/>
      <c r="AY30" s="184"/>
      <c r="AZ30" s="11"/>
      <c r="BA30" s="11"/>
      <c r="BB30" s="11"/>
      <c r="BC30" s="220"/>
      <c r="BD30" s="184"/>
      <c r="BE30" s="11"/>
      <c r="BF30" s="11"/>
      <c r="BG30" s="11"/>
      <c r="BH30" s="220"/>
      <c r="BI30" s="184"/>
      <c r="BJ30" s="11"/>
      <c r="BK30" s="11"/>
      <c r="BL30" s="11"/>
      <c r="BM30" s="220"/>
      <c r="BN30" s="184"/>
      <c r="BO30" s="11"/>
      <c r="BP30" s="11"/>
    </row>
    <row r="31" ht="15.75" customHeight="1">
      <c r="A31" s="242" t="str">
        <f>if($A$29&lt;&gt;"", "《仕上がり数値》","")</f>
        <v/>
      </c>
      <c r="B31" s="12"/>
      <c r="C31" s="11"/>
      <c r="D31" s="11" t="s">
        <v>107</v>
      </c>
      <c r="E31" s="232"/>
      <c r="F31" s="231" t="str">
        <f t="array" ref="F31">IF(
  E31 = 0, 
  "", 
  IFERROR(
    INDEX(
      'アイテム別限界値DB'!$K:$K, 
      MATCH(
        1, 
        ('アイテム別限界値DB'!$B:$B = D$10) * 
        ('アイテム別限界値DB'!$F:$F = D31) * 
        ('アイテム別限界値DB'!$H:$H = E31), 
        0
      )
    ), 
    "再製作"
  )
)
</f>
        <v/>
      </c>
      <c r="G31" s="218" t="str">
        <f t="array" ref="G31">IF(
  E31 = 0, 
  "", 
  IFERROR(
    INDEX(
      'アイテム別限界値DB'!$L:$L, 
      MATCH(
        1, 
        ('アイテム別限界値DB'!$B:$B = D$10) * 
        ('アイテム別限界値DB'!$C:$C = D31) * 
        ('アイテム別限界値DB'!$F:$F = E31), 
        0
      )
    ), 
    ""
  )
)
</f>
        <v/>
      </c>
      <c r="H31" s="11"/>
      <c r="I31" s="11"/>
      <c r="J31" s="220"/>
      <c r="K31" s="184"/>
      <c r="L31" s="11"/>
      <c r="M31" s="11"/>
      <c r="N31" s="11"/>
      <c r="O31" s="220"/>
      <c r="P31" s="184"/>
      <c r="Q31" s="11"/>
      <c r="R31" s="12"/>
      <c r="S31" s="11"/>
      <c r="T31" s="220"/>
      <c r="U31" s="184"/>
      <c r="V31" s="11"/>
      <c r="W31" s="11"/>
      <c r="X31" s="11" t="s">
        <v>105</v>
      </c>
      <c r="Y31" s="232"/>
      <c r="Z31" s="231" t="str">
        <f t="array" ref="Z31">IF(
  Y31 = 0, 
  "", 
  IFERROR(
    INDEX(
      'アイテム別限界値DB'!$K:$K, 
      MATCH(
        1, 
        ('アイテム別限界値DB'!$B:$B = X$10) * 
        ('アイテム別限界値DB'!$F:$F = X31) * 
        ('アイテム別限界値DB'!$H:$H = Y31), 
        0
      )
    ), 
    "再製作"
  )
)
</f>
        <v/>
      </c>
      <c r="AA31" s="11"/>
      <c r="AB31" s="11"/>
      <c r="AC31" s="11"/>
      <c r="AD31" s="220"/>
      <c r="AE31" s="184"/>
      <c r="AF31" s="11"/>
      <c r="AG31" s="11"/>
      <c r="AH31" s="11"/>
      <c r="AI31" s="220"/>
      <c r="AJ31" s="184"/>
      <c r="AK31" s="11"/>
      <c r="AL31" s="11"/>
      <c r="AM31" s="11"/>
      <c r="AN31" s="220"/>
      <c r="AO31" s="184"/>
      <c r="AP31" s="11"/>
      <c r="AQ31" s="11"/>
      <c r="AR31" s="11"/>
      <c r="AS31" s="220"/>
      <c r="AT31" s="184"/>
      <c r="AU31" s="11"/>
      <c r="AV31" s="11"/>
      <c r="AW31" s="11"/>
      <c r="AX31" s="220"/>
      <c r="AY31" s="184"/>
      <c r="AZ31" s="11"/>
      <c r="BA31" s="11"/>
      <c r="BB31" s="11"/>
      <c r="BC31" s="220"/>
      <c r="BD31" s="184"/>
      <c r="BE31" s="11"/>
      <c r="BF31" s="11"/>
      <c r="BG31" s="11"/>
      <c r="BH31" s="220"/>
      <c r="BI31" s="184"/>
      <c r="BJ31" s="11"/>
      <c r="BK31" s="11"/>
      <c r="BL31" s="11"/>
      <c r="BM31" s="220"/>
      <c r="BN31" s="184"/>
      <c r="BO31" s="11"/>
      <c r="BP31" s="11"/>
    </row>
    <row r="32" ht="15.75" customHeight="1">
      <c r="A32" s="228" t="str">
        <f>IFERROR(__xludf.DUMMYFUNCTION("TEXTJOIN(CHAR(10),TRUE,FILTER(ARRAYFORMULA(IF(T$14:T72&lt;&gt;"""", S$14:S72 &amp;"" :  cm"","""")), S$14:S72 &lt;&gt;""""))"),"")</f>
        <v/>
      </c>
      <c r="B32" s="160"/>
      <c r="C32" s="11"/>
      <c r="D32" s="11" t="s">
        <v>108</v>
      </c>
      <c r="E32" s="232"/>
      <c r="F32" s="231" t="str">
        <f t="array" ref="F32">IF(
  E32 = 0, 
  "", 
  IFERROR(
    INDEX(
      'アイテム別限界値DB'!$K:$K, 
      MATCH(
        1, 
        ('アイテム別限界値DB'!$B:$B = D$10) * 
        ('アイテム別限界値DB'!$F:$F = D32) * 
        ('アイテム別限界値DB'!$H:$H = E32), 
        0
      )
    ), 
    "再製作"
  )
)
</f>
        <v/>
      </c>
      <c r="G32" s="218" t="str">
        <f t="array" ref="G32">IF(
  E32 = 0, 
  "", 
  IFERROR(
    INDEX(
      'アイテム別限界値DB'!$L:$L, 
      MATCH(
        1, 
        ('アイテム別限界値DB'!$B:$B = D$10) * 
        ('アイテム別限界値DB'!$C:$C = D32) * 
        ('アイテム別限界値DB'!$F:$F = E32), 
        0
      )
    ), 
    ""
  )
)
</f>
        <v/>
      </c>
      <c r="H32" s="11"/>
      <c r="I32" s="11"/>
      <c r="J32" s="220"/>
      <c r="K32" s="184"/>
      <c r="L32" s="11"/>
      <c r="M32" s="11"/>
      <c r="N32" s="11"/>
      <c r="O32" s="220"/>
      <c r="P32" s="184"/>
      <c r="Q32" s="11"/>
      <c r="R32" s="12"/>
      <c r="S32" s="11"/>
      <c r="T32" s="220"/>
      <c r="U32" s="184"/>
      <c r="V32" s="11"/>
      <c r="W32" s="11"/>
      <c r="X32" s="11"/>
      <c r="Y32" s="220"/>
      <c r="Z32" s="184"/>
      <c r="AA32" s="11"/>
      <c r="AB32" s="11"/>
      <c r="AC32" s="11"/>
      <c r="AD32" s="220"/>
      <c r="AE32" s="184"/>
      <c r="AF32" s="11"/>
      <c r="AG32" s="11"/>
      <c r="AH32" s="11"/>
      <c r="AI32" s="220"/>
      <c r="AJ32" s="184"/>
      <c r="AK32" s="11"/>
      <c r="AL32" s="11"/>
      <c r="AM32" s="11"/>
      <c r="AN32" s="220"/>
      <c r="AO32" s="184"/>
      <c r="AP32" s="11"/>
      <c r="AQ32" s="11"/>
      <c r="AR32" s="11"/>
      <c r="AS32" s="220"/>
      <c r="AT32" s="184"/>
      <c r="AU32" s="11"/>
      <c r="AV32" s="11"/>
      <c r="AW32" s="11"/>
      <c r="AX32" s="220"/>
      <c r="AY32" s="184"/>
      <c r="AZ32" s="11"/>
      <c r="BA32" s="11"/>
      <c r="BB32" s="11"/>
      <c r="BC32" s="220"/>
      <c r="BD32" s="184"/>
      <c r="BE32" s="11"/>
      <c r="BF32" s="11"/>
      <c r="BG32" s="11"/>
      <c r="BH32" s="220"/>
      <c r="BI32" s="184"/>
      <c r="BJ32" s="11"/>
      <c r="BK32" s="11"/>
      <c r="BL32" s="11"/>
      <c r="BM32" s="220"/>
      <c r="BN32" s="184"/>
      <c r="BO32" s="11"/>
      <c r="BP32" s="11"/>
    </row>
    <row r="33" ht="15.75" customHeight="1">
      <c r="A33" s="237" t="s">
        <v>109</v>
      </c>
      <c r="B33" s="229"/>
      <c r="C33" s="11"/>
      <c r="D33" s="11" t="s">
        <v>110</v>
      </c>
      <c r="E33" s="232"/>
      <c r="F33" s="231" t="str">
        <f t="array" ref="F33">IF(
  E33 = 0, 
  "", 
  IFERROR(
    INDEX(
      'アイテム別限界値DB'!$K:$K, 
      MATCH(
        1, 
        ('アイテム別限界値DB'!$B:$B = D$10) * 
        ('アイテム別限界値DB'!$F:$F = D33) * 
        ('アイテム別限界値DB'!$H:$H = E33), 
        0
      )
    ), 
    "再製作"
  )
)
</f>
        <v/>
      </c>
      <c r="G33" s="218" t="str">
        <f t="array" ref="G33">IF(
  E33 = 0, 
  "", 
  IFERROR(
    INDEX(
      'アイテム別限界値DB'!$L:$L, 
      MATCH(
        1, 
        ('アイテム別限界値DB'!$B:$B = D$10) * 
        ('アイテム別限界値DB'!$C:$C = D33) * 
        ('アイテム別限界値DB'!$F:$F = E33), 
        0
      )
    ), 
    ""
  )
)
</f>
        <v/>
      </c>
      <c r="H33" s="11"/>
      <c r="I33" s="11"/>
      <c r="J33" s="220"/>
      <c r="K33" s="184"/>
      <c r="L33" s="11"/>
      <c r="M33" s="11"/>
      <c r="N33" s="11"/>
      <c r="O33" s="220"/>
      <c r="P33" s="184"/>
      <c r="Q33" s="11"/>
      <c r="R33" s="12"/>
      <c r="S33" s="11"/>
      <c r="T33" s="220"/>
      <c r="U33" s="184"/>
      <c r="V33" s="11"/>
      <c r="W33" s="11"/>
      <c r="X33" s="11"/>
      <c r="Y33" s="220"/>
      <c r="Z33" s="184"/>
      <c r="AA33" s="11"/>
      <c r="AB33" s="11"/>
      <c r="AC33" s="11"/>
      <c r="AD33" s="220"/>
      <c r="AE33" s="184"/>
      <c r="AF33" s="11"/>
      <c r="AG33" s="11"/>
      <c r="AH33" s="11"/>
      <c r="AI33" s="220"/>
      <c r="AJ33" s="184"/>
      <c r="AK33" s="11"/>
      <c r="AL33" s="11"/>
      <c r="AM33" s="11"/>
      <c r="AN33" s="220"/>
      <c r="AO33" s="184"/>
      <c r="AP33" s="11"/>
      <c r="AQ33" s="11"/>
      <c r="AR33" s="11"/>
      <c r="AS33" s="220"/>
      <c r="AT33" s="184"/>
      <c r="AU33" s="11"/>
      <c r="AV33" s="11"/>
      <c r="AW33" s="11"/>
      <c r="AX33" s="220"/>
      <c r="AY33" s="184"/>
      <c r="AZ33" s="11"/>
      <c r="BA33" s="11"/>
      <c r="BB33" s="11"/>
      <c r="BC33" s="220"/>
      <c r="BD33" s="184"/>
      <c r="BE33" s="11"/>
      <c r="BF33" s="11"/>
      <c r="BG33" s="11"/>
      <c r="BH33" s="220"/>
      <c r="BI33" s="184"/>
      <c r="BJ33" s="11"/>
      <c r="BK33" s="11"/>
      <c r="BL33" s="11"/>
      <c r="BM33" s="220"/>
      <c r="BN33" s="184"/>
      <c r="BO33" s="11"/>
      <c r="BP33" s="11"/>
    </row>
    <row r="34" ht="15.75" customHeight="1">
      <c r="A34" s="228" t="str">
        <f>IF($X$11="再製作", "◼︎ シャツ（対応着地：再製作）" &amp; char(10) &amp; "《修正数値》" , IF($X$11&lt;&gt;"", "◼︎ シャツ（対応着地：お直し）" &amp; char(10) &amp; "《修正数値》", ""))</f>
        <v/>
      </c>
      <c r="B34" s="12"/>
      <c r="C34" s="11"/>
      <c r="D34" s="11" t="s">
        <v>111</v>
      </c>
      <c r="E34" s="232"/>
      <c r="F34" s="231" t="str">
        <f t="array" ref="F34">IF(
  E34 = 0, 
  "", 
  IFERROR(
    INDEX(
      'アイテム別限界値DB'!$K:$K, 
      MATCH(
        1, 
        ('アイテム別限界値DB'!$B:$B = D$10) * 
        ('アイテム別限界値DB'!$F:$F = D34) * 
        ('アイテム別限界値DB'!$H:$H = E34), 
        0
      )
    ), 
    "再製作"
  )
)
</f>
        <v/>
      </c>
      <c r="G34" s="218" t="str">
        <f t="array" ref="G34">IF(
  E34 = 0, 
  "", 
  IFERROR(
    INDEX(
      'アイテム別限界値DB'!$L:$L, 
      MATCH(
        1, 
        ('アイテム別限界値DB'!$B:$B = D$10) * 
        ('アイテム別限界値DB'!$C:$C = D34) * 
        ('アイテム別限界値DB'!$F:$F = E34), 
        0
      )
    ), 
    ""
  )
)
</f>
        <v/>
      </c>
      <c r="H34" s="11"/>
      <c r="I34" s="11"/>
      <c r="J34" s="220"/>
      <c r="K34" s="184"/>
      <c r="L34" s="11"/>
      <c r="M34" s="11"/>
      <c r="N34" s="11"/>
      <c r="O34" s="220"/>
      <c r="P34" s="184"/>
      <c r="Q34" s="11"/>
      <c r="R34" s="12"/>
      <c r="S34" s="11"/>
      <c r="T34" s="220"/>
      <c r="U34" s="184"/>
      <c r="V34" s="11"/>
      <c r="W34" s="11"/>
      <c r="X34" s="11"/>
      <c r="Y34" s="220"/>
      <c r="Z34" s="184"/>
      <c r="AA34" s="11"/>
      <c r="AB34" s="11"/>
      <c r="AC34" s="11"/>
      <c r="AD34" s="220"/>
      <c r="AE34" s="184"/>
      <c r="AF34" s="11"/>
      <c r="AG34" s="11"/>
      <c r="AH34" s="11"/>
      <c r="AI34" s="220"/>
      <c r="AJ34" s="184"/>
      <c r="AK34" s="11"/>
      <c r="AL34" s="11"/>
      <c r="AM34" s="11"/>
      <c r="AN34" s="220"/>
      <c r="AO34" s="184"/>
      <c r="AP34" s="11"/>
      <c r="AQ34" s="11"/>
      <c r="AR34" s="11"/>
      <c r="AS34" s="220"/>
      <c r="AT34" s="184"/>
      <c r="AU34" s="11"/>
      <c r="AV34" s="11"/>
      <c r="AW34" s="11"/>
      <c r="AX34" s="220"/>
      <c r="AY34" s="184"/>
      <c r="AZ34" s="11"/>
      <c r="BA34" s="11"/>
      <c r="BB34" s="11"/>
      <c r="BC34" s="220"/>
      <c r="BD34" s="184"/>
      <c r="BE34" s="11"/>
      <c r="BF34" s="11"/>
      <c r="BG34" s="11"/>
      <c r="BH34" s="220"/>
      <c r="BI34" s="184"/>
      <c r="BJ34" s="11"/>
      <c r="BK34" s="11"/>
      <c r="BL34" s="11"/>
      <c r="BM34" s="220"/>
      <c r="BN34" s="184"/>
      <c r="BO34" s="11"/>
      <c r="BP34" s="11"/>
    </row>
    <row r="35" ht="15.75" customHeight="1">
      <c r="A35" s="228" t="str">
        <f>IFERROR(__xludf.DUMMYFUNCTION("TEXTJOIN(CHAR(10),TRUE,FILTER(ARRAYFORMULA(IF(Y$14:Y72&lt;&gt;"""", X$14:X72 &amp;"" : ""&amp; Y$14:Y72 &amp;"" cm"","""")), X$14:X72 &lt;&gt;""""))"),"")</f>
        <v/>
      </c>
      <c r="B35" s="160"/>
      <c r="C35" s="11"/>
      <c r="D35" s="11" t="s">
        <v>112</v>
      </c>
      <c r="E35" s="232"/>
      <c r="F35" s="231" t="str">
        <f t="array" ref="F35">IF(
  E35 = 0, 
  "", 
  IFERROR(
    INDEX(
      'アイテム別限界値DB'!$K:$K, 
      MATCH(
        1, 
        ('アイテム別限界値DB'!$B:$B = D$10) * 
        ('アイテム別限界値DB'!$F:$F = D35) * 
        ('アイテム別限界値DB'!$H:$H = E35), 
        0
      )
    ), 
    "再製作"
  )
)
</f>
        <v/>
      </c>
      <c r="G35" s="218" t="str">
        <f t="array" ref="G35">IF(
  E35 = 0, 
  "", 
  IFERROR(
    INDEX(
      'アイテム別限界値DB'!$L:$L, 
      MATCH(
        1, 
        ('アイテム別限界値DB'!$B:$B = D$10) * 
        ('アイテム別限界値DB'!$C:$C = D35) * 
        ('アイテム別限界値DB'!$F:$F = E35), 
        0
      )
    ), 
    ""
  )
)
</f>
        <v/>
      </c>
      <c r="H35" s="11"/>
      <c r="I35" s="11"/>
      <c r="J35" s="220"/>
      <c r="K35" s="184"/>
      <c r="L35" s="11"/>
      <c r="M35" s="11"/>
      <c r="N35" s="11"/>
      <c r="O35" s="220"/>
      <c r="P35" s="184"/>
      <c r="Q35" s="11"/>
      <c r="R35" s="12"/>
      <c r="S35" s="11"/>
      <c r="T35" s="220"/>
      <c r="U35" s="184"/>
      <c r="V35" s="11"/>
      <c r="W35" s="11"/>
      <c r="X35" s="11"/>
      <c r="Y35" s="220"/>
      <c r="Z35" s="184"/>
      <c r="AA35" s="11"/>
      <c r="AB35" s="11"/>
      <c r="AC35" s="11"/>
      <c r="AD35" s="220"/>
      <c r="AE35" s="184"/>
      <c r="AF35" s="11"/>
      <c r="AG35" s="11"/>
      <c r="AH35" s="11"/>
      <c r="AI35" s="220"/>
      <c r="AJ35" s="184"/>
      <c r="AK35" s="11"/>
      <c r="AL35" s="11"/>
      <c r="AM35" s="11"/>
      <c r="AN35" s="220"/>
      <c r="AO35" s="184"/>
      <c r="AP35" s="11"/>
      <c r="AQ35" s="11"/>
      <c r="AR35" s="11"/>
      <c r="AS35" s="220"/>
      <c r="AT35" s="184"/>
      <c r="AU35" s="11"/>
      <c r="AV35" s="11"/>
      <c r="AW35" s="11"/>
      <c r="AX35" s="220"/>
      <c r="AY35" s="184"/>
      <c r="AZ35" s="11"/>
      <c r="BA35" s="11"/>
      <c r="BB35" s="11"/>
      <c r="BC35" s="220"/>
      <c r="BD35" s="184"/>
      <c r="BE35" s="11"/>
      <c r="BF35" s="11"/>
      <c r="BG35" s="11"/>
      <c r="BH35" s="220"/>
      <c r="BI35" s="184"/>
      <c r="BJ35" s="11"/>
      <c r="BK35" s="11"/>
      <c r="BL35" s="11"/>
      <c r="BM35" s="220"/>
      <c r="BN35" s="184"/>
      <c r="BO35" s="11"/>
      <c r="BP35" s="11"/>
    </row>
    <row r="36" ht="15.75" customHeight="1">
      <c r="A36" s="236" t="str">
        <f>if($A$34&lt;&gt;"", "《仕上がり数値》","")</f>
        <v/>
      </c>
      <c r="B36" s="229"/>
      <c r="C36" s="11"/>
      <c r="D36" s="11" t="s">
        <v>113</v>
      </c>
      <c r="E36" s="232"/>
      <c r="F36" s="231" t="str">
        <f t="array" ref="F36">IF(
  E36 = 0, 
  "", 
  IFERROR(
    INDEX(
      'アイテム別限界値DB'!$K:$K, 
      MATCH(
        1, 
        ('アイテム別限界値DB'!$B:$B = D$10) * 
        ('アイテム別限界値DB'!$F:$F = D36) * 
        ('アイテム別限界値DB'!$H:$H = E36), 
        0
      )
    ), 
    "再製作"
  )
)
</f>
        <v/>
      </c>
      <c r="G36" s="218" t="str">
        <f t="array" ref="G36">IF(
  E36 = 0, 
  "", 
  IFERROR(
    INDEX(
      'アイテム別限界値DB'!$L:$L, 
      MATCH(
        1, 
        ('アイテム別限界値DB'!$B:$B = D$10) * 
        ('アイテム別限界値DB'!$C:$C = D36) * 
        ('アイテム別限界値DB'!$F:$F = E36), 
        0
      )
    ), 
    ""
  )
)
</f>
        <v/>
      </c>
      <c r="H36" s="11"/>
      <c r="I36" s="11"/>
      <c r="J36" s="220"/>
      <c r="K36" s="184"/>
      <c r="L36" s="11"/>
      <c r="M36" s="11"/>
      <c r="N36" s="11"/>
      <c r="O36" s="220"/>
      <c r="P36" s="184"/>
      <c r="Q36" s="11"/>
      <c r="R36" s="12"/>
      <c r="S36" s="11"/>
      <c r="T36" s="220"/>
      <c r="U36" s="184"/>
      <c r="V36" s="11"/>
      <c r="W36" s="11"/>
      <c r="X36" s="11"/>
      <c r="Y36" s="220"/>
      <c r="Z36" s="184"/>
      <c r="AA36" s="11"/>
      <c r="AB36" s="11"/>
      <c r="AC36" s="11"/>
      <c r="AD36" s="220"/>
      <c r="AE36" s="184"/>
      <c r="AF36" s="11"/>
      <c r="AG36" s="11"/>
      <c r="AH36" s="11"/>
      <c r="AI36" s="220"/>
      <c r="AJ36" s="184"/>
      <c r="AK36" s="11"/>
      <c r="AL36" s="11"/>
      <c r="AM36" s="11"/>
      <c r="AN36" s="220"/>
      <c r="AO36" s="184"/>
      <c r="AP36" s="11"/>
      <c r="AQ36" s="11"/>
      <c r="AR36" s="11"/>
      <c r="AS36" s="220"/>
      <c r="AT36" s="184"/>
      <c r="AU36" s="11"/>
      <c r="AV36" s="11"/>
      <c r="AW36" s="11"/>
      <c r="AX36" s="220"/>
      <c r="AY36" s="184"/>
      <c r="AZ36" s="11"/>
      <c r="BA36" s="11"/>
      <c r="BB36" s="11"/>
      <c r="BC36" s="220"/>
      <c r="BD36" s="184"/>
      <c r="BE36" s="11"/>
      <c r="BF36" s="11"/>
      <c r="BG36" s="11"/>
      <c r="BH36" s="220"/>
      <c r="BI36" s="184"/>
      <c r="BJ36" s="11"/>
      <c r="BK36" s="11"/>
      <c r="BL36" s="11"/>
      <c r="BM36" s="220"/>
      <c r="BN36" s="184"/>
      <c r="BO36" s="11"/>
      <c r="BP36" s="11"/>
    </row>
    <row r="37">
      <c r="A37" s="228" t="str">
        <f>IFERROR(__xludf.DUMMYFUNCTION("TEXTJOIN(CHAR(10),TRUE,FILTER(ARRAYFORMULA(IF(Y$14:Y72&lt;&gt;"""", X$14:X72 &amp;"" :  cm"","""")), X$14:X72 &lt;&gt;""""))"),"")</f>
        <v/>
      </c>
      <c r="B37" s="12"/>
      <c r="C37" s="11"/>
      <c r="D37" s="11" t="s">
        <v>114</v>
      </c>
      <c r="E37" s="232"/>
      <c r="F37" s="231" t="str">
        <f t="array" ref="F37">IF(
  E37 = 0, 
  "", 
  IFERROR(
    INDEX(
      'アイテム別限界値DB'!$K:$K, 
      MATCH(
        1, 
        ('アイテム別限界値DB'!$B:$B = D$10) * 
        ('アイテム別限界値DB'!$F:$F = D37) * 
        ('アイテム別限界値DB'!$H:$H = E37), 
        0
      )
    ), 
    "再製作"
  )
)
</f>
        <v/>
      </c>
      <c r="G37" s="218" t="str">
        <f t="array" ref="G37">IF(
  E37 = 0, 
  "", 
  IFERROR(
    INDEX(
      'アイテム別限界値DB'!$L:$L, 
      MATCH(
        1, 
        ('アイテム別限界値DB'!$B:$B = D$10) * 
        ('アイテム別限界値DB'!$C:$C = D37) * 
        ('アイテム別限界値DB'!$F:$F = E37), 
        0
      )
    ), 
    ""
  )
)
</f>
        <v/>
      </c>
      <c r="H37" s="11"/>
      <c r="I37" s="11"/>
      <c r="J37" s="220"/>
      <c r="K37" s="184"/>
      <c r="L37" s="11"/>
      <c r="M37" s="11"/>
      <c r="N37" s="11"/>
      <c r="O37" s="220"/>
      <c r="P37" s="184"/>
      <c r="Q37" s="11"/>
      <c r="R37" s="12"/>
      <c r="S37" s="11"/>
      <c r="T37" s="220"/>
      <c r="U37" s="184"/>
      <c r="V37" s="11"/>
      <c r="W37" s="11"/>
      <c r="X37" s="11"/>
      <c r="Y37" s="220"/>
      <c r="Z37" s="184"/>
      <c r="AA37" s="11"/>
      <c r="AB37" s="11"/>
      <c r="AC37" s="11"/>
      <c r="AD37" s="220"/>
      <c r="AE37" s="184"/>
      <c r="AF37" s="11"/>
      <c r="AG37" s="11"/>
      <c r="AH37" s="11"/>
      <c r="AI37" s="220"/>
      <c r="AJ37" s="184"/>
      <c r="AK37" s="11"/>
      <c r="AL37" s="11"/>
      <c r="AM37" s="11"/>
      <c r="AN37" s="220"/>
      <c r="AO37" s="184"/>
      <c r="AP37" s="11"/>
      <c r="AQ37" s="11"/>
      <c r="AR37" s="11"/>
      <c r="AS37" s="220"/>
      <c r="AT37" s="184"/>
      <c r="AU37" s="11"/>
      <c r="AV37" s="11"/>
      <c r="AW37" s="11"/>
      <c r="AX37" s="220"/>
      <c r="AY37" s="184"/>
      <c r="AZ37" s="11"/>
      <c r="BA37" s="11"/>
      <c r="BB37" s="11"/>
      <c r="BC37" s="220"/>
      <c r="BD37" s="184"/>
      <c r="BE37" s="11"/>
      <c r="BF37" s="11"/>
      <c r="BG37" s="11"/>
      <c r="BH37" s="220"/>
      <c r="BI37" s="184"/>
      <c r="BJ37" s="11"/>
      <c r="BK37" s="11"/>
      <c r="BL37" s="11"/>
      <c r="BM37" s="220"/>
      <c r="BN37" s="184"/>
      <c r="BO37" s="11"/>
      <c r="BP37" s="11"/>
    </row>
    <row r="38">
      <c r="A38" s="243" t="s">
        <v>115</v>
      </c>
      <c r="B38" s="160"/>
      <c r="C38" s="11"/>
      <c r="D38" s="11" t="s">
        <v>116</v>
      </c>
      <c r="E38" s="232"/>
      <c r="F38" s="231" t="str">
        <f t="array" ref="F38">IF(
  E38 = 0, 
  "", 
  IFERROR(
    INDEX(
      'アイテム別限界値DB'!$K:$K, 
      MATCH(
        1, 
        ('アイテム別限界値DB'!$B:$B = D$10) * 
        ('アイテム別限界値DB'!$F:$F = D38) * 
        ('アイテム別限界値DB'!$H:$H = E38), 
        0
      )
    ), 
    "再製作"
  )
)
</f>
        <v/>
      </c>
      <c r="G38" s="218" t="str">
        <f t="array" ref="G38">IF(
  E38 = 0, 
  "", 
  IFERROR(
    INDEX(
      'アイテム別限界値DB'!$L:$L, 
      MATCH(
        1, 
        ('アイテム別限界値DB'!$B:$B = D$10) * 
        ('アイテム別限界値DB'!$C:$C = D38) * 
        ('アイテム別限界値DB'!$F:$F = E38), 
        0
      )
    ), 
    ""
  )
)
</f>
        <v/>
      </c>
      <c r="H38" s="11"/>
      <c r="I38" s="11"/>
      <c r="J38" s="220"/>
      <c r="K38" s="184"/>
      <c r="L38" s="11"/>
      <c r="M38" s="11"/>
      <c r="N38" s="11"/>
      <c r="O38" s="220"/>
      <c r="P38" s="184"/>
      <c r="Q38" s="11"/>
      <c r="R38" s="12"/>
      <c r="S38" s="11"/>
      <c r="T38" s="220"/>
      <c r="U38" s="184"/>
      <c r="V38" s="11"/>
      <c r="W38" s="11"/>
      <c r="X38" s="11"/>
      <c r="Y38" s="220"/>
      <c r="Z38" s="184"/>
      <c r="AA38" s="11"/>
      <c r="AB38" s="11"/>
      <c r="AC38" s="11"/>
      <c r="AD38" s="220"/>
      <c r="AE38" s="184"/>
      <c r="AF38" s="11"/>
      <c r="AG38" s="11"/>
      <c r="AH38" s="11"/>
      <c r="AI38" s="220"/>
      <c r="AJ38" s="184"/>
      <c r="AK38" s="11"/>
      <c r="AL38" s="11"/>
      <c r="AM38" s="11"/>
      <c r="AN38" s="220"/>
      <c r="AO38" s="184"/>
      <c r="AP38" s="11"/>
      <c r="AQ38" s="11"/>
      <c r="AR38" s="11"/>
      <c r="AS38" s="220"/>
      <c r="AT38" s="184"/>
      <c r="AU38" s="11"/>
      <c r="AV38" s="11"/>
      <c r="AW38" s="11"/>
      <c r="AX38" s="220"/>
      <c r="AY38" s="184"/>
      <c r="AZ38" s="11"/>
      <c r="BA38" s="11"/>
      <c r="BB38" s="11"/>
      <c r="BC38" s="220"/>
      <c r="BD38" s="184"/>
      <c r="BE38" s="11"/>
      <c r="BF38" s="11"/>
      <c r="BG38" s="11"/>
      <c r="BH38" s="220"/>
      <c r="BI38" s="184"/>
      <c r="BJ38" s="11"/>
      <c r="BK38" s="11"/>
      <c r="BL38" s="11"/>
      <c r="BM38" s="220"/>
      <c r="BN38" s="184"/>
      <c r="BO38" s="11"/>
      <c r="BP38" s="11"/>
    </row>
    <row r="39">
      <c r="A39" s="228" t="str">
        <f>IF( $AC$11 = "再製作", "◼︎ ポロシャツ（対応着地：再製作）" &amp; char(10) &amp; "《修正数値》" , IF($AC$11 &lt;&gt; "", "◼︎ ポロシャツ（対応着地：お直し）" &amp; char(10) &amp; "《修正数値》" , ""))</f>
        <v/>
      </c>
      <c r="B39" s="229"/>
      <c r="C39" s="11"/>
      <c r="D39" s="11" t="s">
        <v>117</v>
      </c>
      <c r="E39" s="232"/>
      <c r="F39" s="231" t="str">
        <f t="array" ref="F39">IF(
  E39 = 0, 
  "", 
  IFERROR(
    INDEX(
      'アイテム別限界値DB'!$I:$I, 
      MATCH(
        1, 
        ('アイテム別限界値DB'!$B:$B = D$10) * 
        ('アイテム別限界値DB'!$C:$C = D39) * 
        ('アイテム別限界値DB'!$F:$F = E39), 
        0
      )
    ), 
    "再製作"
  )
)
</f>
        <v/>
      </c>
      <c r="G39" s="218" t="str">
        <f t="array" ref="G39">IF(
  E39 = 0, 
  "", 
  IFERROR(
    INDEX(
      'アイテム別限界値DB'!$L:$L, 
      MATCH(
        1, 
        ('アイテム別限界値DB'!$B:$B = D$10) * 
        ('アイテム別限界値DB'!$C:$C = D39) * 
        ('アイテム別限界値DB'!$F:$F = E39), 
        0
      )
    ), 
    ""
  )
)
</f>
        <v/>
      </c>
      <c r="H39" s="11"/>
      <c r="I39" s="11"/>
      <c r="J39" s="220"/>
      <c r="K39" s="184"/>
      <c r="L39" s="11"/>
      <c r="M39" s="11"/>
      <c r="N39" s="11"/>
      <c r="O39" s="220"/>
      <c r="P39" s="184"/>
      <c r="Q39" s="11"/>
      <c r="R39" s="12"/>
      <c r="S39" s="11"/>
      <c r="T39" s="220"/>
      <c r="U39" s="184"/>
      <c r="V39" s="11"/>
      <c r="W39" s="11"/>
      <c r="X39" s="11"/>
      <c r="Y39" s="220"/>
      <c r="Z39" s="184"/>
      <c r="AA39" s="11"/>
      <c r="AB39" s="11"/>
      <c r="AC39" s="11"/>
      <c r="AD39" s="220"/>
      <c r="AE39" s="184"/>
      <c r="AF39" s="11"/>
      <c r="AG39" s="11"/>
      <c r="AH39" s="11"/>
      <c r="AI39" s="220"/>
      <c r="AJ39" s="184"/>
      <c r="AK39" s="11"/>
      <c r="AL39" s="11"/>
      <c r="AM39" s="11"/>
      <c r="AN39" s="220"/>
      <c r="AO39" s="184"/>
      <c r="AP39" s="11"/>
      <c r="AQ39" s="11"/>
      <c r="AR39" s="11"/>
      <c r="AS39" s="220"/>
      <c r="AT39" s="184"/>
      <c r="AU39" s="11"/>
      <c r="AV39" s="11"/>
      <c r="AW39" s="11"/>
      <c r="AX39" s="220"/>
      <c r="AY39" s="184"/>
      <c r="AZ39" s="11"/>
      <c r="BA39" s="11"/>
      <c r="BB39" s="11"/>
      <c r="BC39" s="220"/>
      <c r="BD39" s="184"/>
      <c r="BE39" s="11"/>
      <c r="BF39" s="11"/>
      <c r="BG39" s="11"/>
      <c r="BH39" s="220"/>
      <c r="BI39" s="184"/>
      <c r="BJ39" s="11"/>
      <c r="BK39" s="11"/>
      <c r="BL39" s="11"/>
      <c r="BM39" s="220"/>
      <c r="BN39" s="184"/>
      <c r="BO39" s="11"/>
      <c r="BP39" s="11"/>
    </row>
    <row r="40">
      <c r="A40" s="228" t="str">
        <f>IFERROR(__xludf.DUMMYFUNCTION("TEXTJOIN(CHAR(10),TRUE,FILTER(ARRAYFORMULA(IF(AD$14:AD72&lt;&gt;"""",AC$14:AC72&amp;"" : ""&amp; AD$14:AD72 &amp;"" cm"","""")), AC$14:AC72 &lt;&gt;""""))"),"")</f>
        <v/>
      </c>
      <c r="B40" s="12"/>
      <c r="C40" s="11"/>
      <c r="D40" s="11" t="s">
        <v>118</v>
      </c>
      <c r="E40" s="232"/>
      <c r="F40" s="231" t="str">
        <f t="array" ref="F40">IF(
  E40 = 0, 
  "", 
  IFERROR(
    INDEX(
      'アイテム別限界値DB'!$I:$I, 
      MATCH(
        1, 
        ('アイテム別限界値DB'!$B:$B = D$10) * 
        ('アイテム別限界値DB'!$C:$C = D40) * 
        ('アイテム別限界値DB'!$F:$F = E40), 
        0
      )
    ), 
    "再製作"
  )
)
</f>
        <v/>
      </c>
      <c r="G40" s="121"/>
      <c r="H40" s="11"/>
      <c r="I40" s="11"/>
      <c r="J40" s="220"/>
      <c r="K40" s="184"/>
      <c r="L40" s="11"/>
      <c r="M40" s="11"/>
      <c r="N40" s="11"/>
      <c r="O40" s="220"/>
      <c r="P40" s="184"/>
      <c r="Q40" s="11"/>
      <c r="R40" s="12"/>
      <c r="S40" s="11"/>
      <c r="T40" s="220"/>
      <c r="U40" s="184"/>
      <c r="V40" s="11"/>
      <c r="W40" s="11"/>
      <c r="X40" s="11"/>
      <c r="Y40" s="220"/>
      <c r="Z40" s="184"/>
      <c r="AA40" s="11"/>
      <c r="AB40" s="11"/>
      <c r="AC40" s="11"/>
      <c r="AD40" s="220"/>
      <c r="AE40" s="184"/>
      <c r="AF40" s="11"/>
      <c r="AG40" s="11"/>
      <c r="AH40" s="11"/>
      <c r="AI40" s="220"/>
      <c r="AJ40" s="184"/>
      <c r="AK40" s="11"/>
      <c r="AL40" s="11"/>
      <c r="AM40" s="11"/>
      <c r="AN40" s="220"/>
      <c r="AO40" s="184"/>
      <c r="AP40" s="11"/>
      <c r="AQ40" s="11"/>
      <c r="AR40" s="11"/>
      <c r="AS40" s="220"/>
      <c r="AT40" s="184"/>
      <c r="AU40" s="11"/>
      <c r="AV40" s="11"/>
      <c r="AW40" s="11"/>
      <c r="AX40" s="220"/>
      <c r="AY40" s="184"/>
      <c r="AZ40" s="11"/>
      <c r="BA40" s="11"/>
      <c r="BB40" s="11"/>
      <c r="BC40" s="220"/>
      <c r="BD40" s="184"/>
      <c r="BE40" s="11"/>
      <c r="BF40" s="11"/>
      <c r="BG40" s="11"/>
      <c r="BH40" s="220"/>
      <c r="BI40" s="184"/>
      <c r="BJ40" s="11"/>
      <c r="BK40" s="11"/>
      <c r="BL40" s="11"/>
      <c r="BM40" s="220"/>
      <c r="BN40" s="184"/>
      <c r="BO40" s="11"/>
      <c r="BP40" s="11"/>
    </row>
    <row r="41">
      <c r="A41" s="244" t="str">
        <f>if($A$39&lt;&gt;"", "《仕上がり数値》","")</f>
        <v/>
      </c>
      <c r="B41" s="160"/>
      <c r="C41" s="11"/>
      <c r="D41" s="11" t="s">
        <v>119</v>
      </c>
      <c r="E41" s="232"/>
      <c r="F41" s="231" t="str">
        <f t="array" ref="F41">IF(
  E41 = 0, 
  "", 
  IFERROR(
    INDEX(
      'アイテム別限界値DB'!$I:$I, 
      MATCH(
        1, 
        ('アイテム別限界値DB'!$B:$B = D$10) * 
        ('アイテム別限界値DB'!$C:$C = D41) * 
        ('アイテム別限界値DB'!$F:$F = E41), 
        0
      )
    ), 
    "再製作"
  )
)
</f>
        <v/>
      </c>
      <c r="G41" s="195"/>
      <c r="H41" s="11"/>
      <c r="I41" s="11"/>
      <c r="J41" s="220"/>
      <c r="K41" s="184"/>
      <c r="L41" s="11"/>
      <c r="M41" s="11"/>
      <c r="N41" s="11"/>
      <c r="O41" s="220"/>
      <c r="P41" s="184"/>
      <c r="Q41" s="11"/>
      <c r="R41" s="12"/>
      <c r="S41" s="11"/>
      <c r="T41" s="220"/>
      <c r="U41" s="184"/>
      <c r="V41" s="11"/>
      <c r="W41" s="11"/>
      <c r="X41" s="11"/>
      <c r="Y41" s="220"/>
      <c r="Z41" s="184"/>
      <c r="AA41" s="11"/>
      <c r="AB41" s="11"/>
      <c r="AC41" s="11"/>
      <c r="AD41" s="220"/>
      <c r="AE41" s="184"/>
      <c r="AF41" s="11"/>
      <c r="AG41" s="11"/>
      <c r="AH41" s="11"/>
      <c r="AI41" s="220"/>
      <c r="AJ41" s="184"/>
      <c r="AK41" s="11"/>
      <c r="AL41" s="11"/>
      <c r="AM41" s="11"/>
      <c r="AN41" s="220"/>
      <c r="AO41" s="184"/>
      <c r="AP41" s="11"/>
      <c r="AQ41" s="11"/>
      <c r="AR41" s="11"/>
      <c r="AS41" s="220"/>
      <c r="AT41" s="184"/>
      <c r="AU41" s="11"/>
      <c r="AV41" s="11"/>
      <c r="AW41" s="11"/>
      <c r="AX41" s="220"/>
      <c r="AY41" s="184"/>
      <c r="AZ41" s="11"/>
      <c r="BA41" s="11"/>
      <c r="BB41" s="11"/>
      <c r="BC41" s="220"/>
      <c r="BD41" s="184"/>
      <c r="BE41" s="11"/>
      <c r="BF41" s="11"/>
      <c r="BG41" s="11"/>
      <c r="BH41" s="220"/>
      <c r="BI41" s="184"/>
      <c r="BJ41" s="11"/>
      <c r="BK41" s="11"/>
      <c r="BL41" s="11"/>
      <c r="BM41" s="220"/>
      <c r="BN41" s="184"/>
      <c r="BO41" s="11"/>
      <c r="BP41" s="11"/>
    </row>
    <row r="42">
      <c r="A42" s="228" t="str">
        <f>IFERROR(__xludf.DUMMYFUNCTION("TEXTJOIN(CHAR(10),TRUE,FILTER(ARRAYFORMULA(IF(AD$14:AD72&lt;&gt;"""",AC$14:AC72&amp;"" :  cm"","""")), AC$14:AC72 &lt;&gt;""""))"),"")</f>
        <v/>
      </c>
      <c r="B42" s="229"/>
      <c r="C42" s="11"/>
      <c r="D42" s="11" t="s">
        <v>120</v>
      </c>
      <c r="E42" s="232"/>
      <c r="F42" s="231" t="str">
        <f t="array" ref="F42">IF(
  E42 = 0, 
  "", 
  IFERROR(
    INDEX(
      'アイテム別限界値DB'!$I:$I, 
      MATCH(
        1, 
        ('アイテム別限界値DB'!$B:$B = D$10) * 
        ('アイテム別限界値DB'!$C:$C = D42) * 
        ('アイテム別限界値DB'!$F:$F = E42), 
        0
      )
    ), 
    "再製作"
  )
)
</f>
        <v/>
      </c>
      <c r="G42" s="195"/>
      <c r="H42" s="11"/>
      <c r="I42" s="11"/>
      <c r="J42" s="220"/>
      <c r="K42" s="184"/>
      <c r="L42" s="11"/>
      <c r="M42" s="11"/>
      <c r="N42" s="11"/>
      <c r="O42" s="220"/>
      <c r="P42" s="184"/>
      <c r="Q42" s="11"/>
      <c r="R42" s="12"/>
      <c r="S42" s="11"/>
      <c r="T42" s="220"/>
      <c r="U42" s="184"/>
      <c r="V42" s="11"/>
      <c r="W42" s="11"/>
      <c r="X42" s="11"/>
      <c r="Y42" s="220"/>
      <c r="Z42" s="184"/>
      <c r="AA42" s="11"/>
      <c r="AB42" s="11"/>
      <c r="AC42" s="11"/>
      <c r="AD42" s="220"/>
      <c r="AE42" s="184"/>
      <c r="AF42" s="11"/>
      <c r="AG42" s="11"/>
      <c r="AH42" s="11"/>
      <c r="AI42" s="220"/>
      <c r="AJ42" s="184"/>
      <c r="AK42" s="11"/>
      <c r="AL42" s="11"/>
      <c r="AM42" s="11"/>
      <c r="AN42" s="220"/>
      <c r="AO42" s="184"/>
      <c r="AP42" s="11"/>
      <c r="AQ42" s="11"/>
      <c r="AR42" s="11"/>
      <c r="AS42" s="220"/>
      <c r="AT42" s="184"/>
      <c r="AU42" s="11"/>
      <c r="AV42" s="11"/>
      <c r="AW42" s="11"/>
      <c r="AX42" s="220"/>
      <c r="AY42" s="184"/>
      <c r="AZ42" s="11"/>
      <c r="BA42" s="11"/>
      <c r="BB42" s="11"/>
      <c r="BC42" s="220"/>
      <c r="BD42" s="184"/>
      <c r="BE42" s="11"/>
      <c r="BF42" s="11"/>
      <c r="BG42" s="11"/>
      <c r="BH42" s="220"/>
      <c r="BI42" s="184"/>
      <c r="BJ42" s="11"/>
      <c r="BK42" s="11"/>
      <c r="BL42" s="11"/>
      <c r="BM42" s="220"/>
      <c r="BN42" s="184"/>
      <c r="BO42" s="11"/>
      <c r="BP42" s="11"/>
    </row>
    <row r="43">
      <c r="A43" s="222" t="s">
        <v>121</v>
      </c>
      <c r="B43" s="185"/>
      <c r="C43" s="11"/>
      <c r="D43" s="11"/>
      <c r="E43" s="220"/>
      <c r="F43" s="220"/>
      <c r="G43" s="220"/>
      <c r="H43" s="11"/>
      <c r="I43" s="11"/>
      <c r="J43" s="220"/>
      <c r="K43" s="184"/>
      <c r="L43" s="184"/>
      <c r="M43" s="11"/>
      <c r="N43" s="11"/>
      <c r="O43" s="195"/>
      <c r="P43" s="11"/>
      <c r="Q43" s="11"/>
      <c r="R43" s="12"/>
      <c r="S43" s="11"/>
      <c r="T43" s="220"/>
      <c r="U43" s="184"/>
      <c r="V43" s="184"/>
      <c r="W43" s="11"/>
      <c r="X43" s="11"/>
      <c r="Y43" s="220"/>
      <c r="Z43" s="184"/>
      <c r="AA43" s="184"/>
      <c r="AB43" s="11"/>
      <c r="AC43" s="11"/>
      <c r="AD43" s="220"/>
      <c r="AE43" s="184"/>
      <c r="AF43" s="184"/>
      <c r="AG43" s="11"/>
      <c r="AH43" s="11"/>
      <c r="AI43" s="220"/>
      <c r="AJ43" s="184"/>
      <c r="AK43" s="184"/>
      <c r="AL43" s="11"/>
      <c r="AM43" s="11"/>
      <c r="AN43" s="220"/>
      <c r="AO43" s="184"/>
      <c r="AP43" s="184"/>
      <c r="AQ43" s="11"/>
      <c r="AR43" s="11"/>
      <c r="AS43" s="220"/>
      <c r="AT43" s="184"/>
      <c r="AU43" s="184"/>
      <c r="AV43" s="11"/>
      <c r="AW43" s="11"/>
      <c r="AX43" s="220"/>
      <c r="AY43" s="184"/>
      <c r="AZ43" s="184"/>
      <c r="BA43" s="11"/>
      <c r="BB43" s="11"/>
      <c r="BC43" s="220"/>
      <c r="BD43" s="184"/>
      <c r="BE43" s="184"/>
      <c r="BF43" s="11"/>
      <c r="BG43" s="11"/>
      <c r="BH43" s="220"/>
      <c r="BI43" s="184"/>
      <c r="BJ43" s="184"/>
      <c r="BK43" s="184"/>
      <c r="BL43" s="184"/>
      <c r="BM43" s="184"/>
      <c r="BN43" s="184"/>
      <c r="BO43" s="184"/>
      <c r="BP43" s="184"/>
    </row>
    <row r="44">
      <c r="A44" s="245" t="str">
        <f>IF( $AH$11 = "再製作", "◼︎ アルスターコート（対応着地：再製作）" &amp; char(10) &amp; "《修正数値》", IF($AH$11 &lt;&gt; "", "◼︎ アルスターコート（対応着地：お直し）" &amp; char(10) &amp; "《修正数値》", ""))</f>
        <v/>
      </c>
      <c r="B44" s="187"/>
      <c r="C44" s="11"/>
      <c r="D44" s="11"/>
      <c r="E44" s="220"/>
      <c r="F44" s="220"/>
      <c r="G44" s="220"/>
      <c r="H44" s="11"/>
      <c r="I44" s="11"/>
      <c r="J44" s="220"/>
      <c r="K44" s="184"/>
      <c r="L44" s="184"/>
      <c r="M44" s="11"/>
      <c r="N44" s="11"/>
      <c r="O44" s="195"/>
      <c r="P44" s="11"/>
      <c r="Q44" s="11"/>
      <c r="R44" s="12"/>
      <c r="S44" s="11"/>
      <c r="T44" s="220"/>
      <c r="U44" s="184"/>
      <c r="V44" s="184"/>
      <c r="W44" s="11"/>
      <c r="X44" s="11"/>
      <c r="Y44" s="220"/>
      <c r="Z44" s="184"/>
      <c r="AA44" s="184"/>
      <c r="AB44" s="11"/>
      <c r="AC44" s="11"/>
      <c r="AD44" s="220"/>
      <c r="AE44" s="184"/>
      <c r="AF44" s="184"/>
      <c r="AG44" s="11"/>
      <c r="AH44" s="11"/>
      <c r="AI44" s="220"/>
      <c r="AJ44" s="184"/>
      <c r="AK44" s="184"/>
      <c r="AL44" s="11"/>
      <c r="AM44" s="11"/>
      <c r="AN44" s="220"/>
      <c r="AO44" s="184"/>
      <c r="AP44" s="184"/>
      <c r="AQ44" s="11"/>
      <c r="AR44" s="11"/>
      <c r="AS44" s="220"/>
      <c r="AT44" s="184"/>
      <c r="AU44" s="184"/>
      <c r="AV44" s="11"/>
      <c r="AW44" s="11"/>
      <c r="AX44" s="220"/>
      <c r="AY44" s="184"/>
      <c r="AZ44" s="184"/>
      <c r="BA44" s="11"/>
      <c r="BB44" s="11"/>
      <c r="BC44" s="220"/>
      <c r="BD44" s="184"/>
      <c r="BE44" s="184"/>
      <c r="BF44" s="11"/>
      <c r="BG44" s="11"/>
      <c r="BH44" s="220"/>
      <c r="BI44" s="184"/>
      <c r="BJ44" s="184"/>
      <c r="BK44" s="184"/>
      <c r="BL44" s="184"/>
      <c r="BM44" s="184"/>
      <c r="BN44" s="184"/>
      <c r="BO44" s="184"/>
      <c r="BP44" s="184"/>
    </row>
    <row r="45">
      <c r="A45" s="228" t="str">
        <f>IFERROR(__xludf.DUMMYFUNCTION("TEXTJOIN(CHAR(10),TRUE,FILTER(ARRAYFORMULA(IF($AI$14:$AI72&lt;&gt;"""",AH$14:AH72&amp;"" : ""&amp; AI$14:AI72 &amp;"" cm"","""")), AH$14:AH72 &lt;&gt;""""))"),"")</f>
        <v/>
      </c>
      <c r="B45" s="246"/>
      <c r="C45" s="11"/>
      <c r="D45" s="11"/>
      <c r="E45" s="220"/>
      <c r="F45" s="220"/>
      <c r="G45" s="220"/>
      <c r="H45" s="11"/>
      <c r="I45" s="11"/>
      <c r="J45" s="220"/>
      <c r="K45" s="184"/>
      <c r="L45" s="184"/>
      <c r="M45" s="11"/>
      <c r="N45" s="11"/>
      <c r="O45" s="195"/>
      <c r="P45" s="11"/>
      <c r="Q45" s="11"/>
      <c r="R45" s="12"/>
      <c r="S45" s="11"/>
      <c r="T45" s="220"/>
      <c r="U45" s="184"/>
      <c r="V45" s="184"/>
      <c r="W45" s="11"/>
      <c r="X45" s="11"/>
      <c r="Y45" s="220"/>
      <c r="Z45" s="184"/>
      <c r="AA45" s="184"/>
      <c r="AB45" s="11"/>
      <c r="AC45" s="11"/>
      <c r="AD45" s="220"/>
      <c r="AE45" s="184"/>
      <c r="AF45" s="184"/>
      <c r="AG45" s="11"/>
      <c r="AH45" s="11"/>
      <c r="AI45" s="220"/>
      <c r="AJ45" s="184"/>
      <c r="AK45" s="184"/>
      <c r="AL45" s="11"/>
      <c r="AM45" s="11"/>
      <c r="AN45" s="220"/>
      <c r="AO45" s="184"/>
      <c r="AP45" s="184"/>
      <c r="AQ45" s="11"/>
      <c r="AR45" s="11"/>
      <c r="AS45" s="220"/>
      <c r="AT45" s="184"/>
      <c r="AU45" s="184"/>
      <c r="AV45" s="11"/>
      <c r="AW45" s="11"/>
      <c r="AX45" s="220"/>
      <c r="AY45" s="184"/>
      <c r="AZ45" s="184"/>
      <c r="BA45" s="11"/>
      <c r="BB45" s="11"/>
      <c r="BC45" s="220"/>
      <c r="BD45" s="184"/>
      <c r="BE45" s="184"/>
      <c r="BF45" s="11"/>
      <c r="BG45" s="11"/>
      <c r="BH45" s="220"/>
      <c r="BI45" s="184"/>
      <c r="BJ45" s="184"/>
      <c r="BK45" s="184"/>
      <c r="BL45" s="184"/>
      <c r="BM45" s="184"/>
      <c r="BN45" s="184"/>
      <c r="BO45" s="184"/>
      <c r="BP45" s="184"/>
    </row>
    <row r="46">
      <c r="A46" s="242" t="str">
        <f>if($A$44&lt;&gt;"", "《仕上がり数値》","")</f>
        <v/>
      </c>
      <c r="B46" s="240"/>
      <c r="C46" s="11"/>
      <c r="D46" s="11"/>
      <c r="E46" s="220"/>
      <c r="F46" s="220"/>
      <c r="G46" s="220"/>
      <c r="H46" s="11"/>
      <c r="I46" s="11"/>
      <c r="J46" s="220"/>
      <c r="K46" s="184"/>
      <c r="L46" s="184"/>
      <c r="M46" s="11"/>
      <c r="N46" s="11"/>
      <c r="O46" s="195"/>
      <c r="P46" s="11"/>
      <c r="Q46" s="11"/>
      <c r="R46" s="12"/>
      <c r="S46" s="11"/>
      <c r="T46" s="220"/>
      <c r="U46" s="184"/>
      <c r="V46" s="184"/>
      <c r="W46" s="11"/>
      <c r="X46" s="11"/>
      <c r="Y46" s="220"/>
      <c r="Z46" s="184"/>
      <c r="AA46" s="184"/>
      <c r="AB46" s="11"/>
      <c r="AC46" s="11"/>
      <c r="AD46" s="220"/>
      <c r="AE46" s="184"/>
      <c r="AF46" s="184"/>
      <c r="AG46" s="11"/>
      <c r="AH46" s="11"/>
      <c r="AI46" s="220"/>
      <c r="AJ46" s="184"/>
      <c r="AK46" s="184"/>
      <c r="AL46" s="11"/>
      <c r="AM46" s="11"/>
      <c r="AN46" s="220"/>
      <c r="AO46" s="184"/>
      <c r="AP46" s="184"/>
      <c r="AQ46" s="11"/>
      <c r="AR46" s="11"/>
      <c r="AS46" s="220"/>
      <c r="AT46" s="184"/>
      <c r="AU46" s="184"/>
      <c r="AV46" s="11"/>
      <c r="AW46" s="11"/>
      <c r="AX46" s="220"/>
      <c r="AY46" s="184"/>
      <c r="AZ46" s="184"/>
      <c r="BA46" s="11"/>
      <c r="BB46" s="11"/>
      <c r="BC46" s="220"/>
      <c r="BD46" s="184"/>
      <c r="BE46" s="184"/>
      <c r="BF46" s="11"/>
      <c r="BG46" s="11"/>
      <c r="BH46" s="220"/>
      <c r="BI46" s="184"/>
      <c r="BJ46" s="184"/>
      <c r="BK46" s="184"/>
      <c r="BL46" s="184"/>
      <c r="BM46" s="184"/>
      <c r="BN46" s="184"/>
      <c r="BO46" s="184"/>
      <c r="BP46" s="184"/>
    </row>
    <row r="47">
      <c r="A47" s="228" t="str">
        <f>IFERROR(__xludf.DUMMYFUNCTION("TEXTJOIN(CHAR(10),TRUE,FILTER(ARRAYFORMULA(IF($AI$14:$AI72&lt;&gt;"""",AH$14:AH72&amp;"" :  cm"","""")), AH$14:AH72 &lt;&gt;""""))"),"")</f>
        <v/>
      </c>
      <c r="B47" s="240"/>
      <c r="C47" s="11"/>
      <c r="D47" s="11"/>
      <c r="E47" s="220"/>
      <c r="F47" s="220"/>
      <c r="G47" s="220"/>
      <c r="H47" s="11"/>
      <c r="I47" s="11"/>
      <c r="J47" s="220"/>
      <c r="K47" s="184"/>
      <c r="L47" s="184"/>
      <c r="M47" s="11"/>
      <c r="N47" s="11"/>
      <c r="O47" s="195"/>
      <c r="P47" s="11"/>
      <c r="Q47" s="11"/>
      <c r="R47" s="12"/>
      <c r="S47" s="11"/>
      <c r="T47" s="220"/>
      <c r="U47" s="184"/>
      <c r="V47" s="184"/>
      <c r="W47" s="11"/>
      <c r="X47" s="11"/>
      <c r="Y47" s="220"/>
      <c r="Z47" s="184"/>
      <c r="AA47" s="184"/>
      <c r="AB47" s="11"/>
      <c r="AC47" s="11"/>
      <c r="AD47" s="220"/>
      <c r="AE47" s="184"/>
      <c r="AF47" s="184"/>
      <c r="AG47" s="11"/>
      <c r="AH47" s="11"/>
      <c r="AI47" s="220"/>
      <c r="AJ47" s="184"/>
      <c r="AK47" s="184"/>
      <c r="AL47" s="11"/>
      <c r="AM47" s="11"/>
      <c r="AN47" s="220"/>
      <c r="AO47" s="184"/>
      <c r="AP47" s="184"/>
      <c r="AQ47" s="11"/>
      <c r="AR47" s="11"/>
      <c r="AS47" s="220"/>
      <c r="AT47" s="184"/>
      <c r="AU47" s="184"/>
      <c r="AV47" s="11"/>
      <c r="AW47" s="11"/>
      <c r="AX47" s="220"/>
      <c r="AY47" s="184"/>
      <c r="AZ47" s="184"/>
      <c r="BA47" s="11"/>
      <c r="BB47" s="11"/>
      <c r="BC47" s="220"/>
      <c r="BD47" s="184"/>
      <c r="BE47" s="184"/>
      <c r="BF47" s="11"/>
      <c r="BG47" s="11"/>
      <c r="BH47" s="220"/>
      <c r="BI47" s="184"/>
      <c r="BJ47" s="184"/>
      <c r="BK47" s="184"/>
      <c r="BL47" s="184"/>
      <c r="BM47" s="184"/>
      <c r="BN47" s="184"/>
      <c r="BO47" s="184"/>
      <c r="BP47" s="184"/>
    </row>
    <row r="48">
      <c r="A48" s="237" t="s">
        <v>122</v>
      </c>
      <c r="B48" s="240"/>
      <c r="C48" s="11"/>
      <c r="D48" s="11"/>
      <c r="E48" s="220"/>
      <c r="F48" s="220"/>
      <c r="G48" s="220"/>
      <c r="H48" s="11"/>
      <c r="I48" s="11"/>
      <c r="J48" s="220"/>
      <c r="K48" s="184"/>
      <c r="L48" s="184"/>
      <c r="M48" s="11"/>
      <c r="N48" s="11"/>
      <c r="O48" s="195"/>
      <c r="P48" s="11"/>
      <c r="Q48" s="11"/>
      <c r="R48" s="12"/>
      <c r="S48" s="11"/>
      <c r="T48" s="220"/>
      <c r="U48" s="184"/>
      <c r="V48" s="184"/>
      <c r="W48" s="11"/>
      <c r="X48" s="11"/>
      <c r="Y48" s="220"/>
      <c r="Z48" s="184"/>
      <c r="AA48" s="184"/>
      <c r="AB48" s="11"/>
      <c r="AC48" s="11"/>
      <c r="AD48" s="220"/>
      <c r="AE48" s="184"/>
      <c r="AF48" s="184"/>
      <c r="AG48" s="11"/>
      <c r="AH48" s="11"/>
      <c r="AI48" s="220"/>
      <c r="AJ48" s="184"/>
      <c r="AK48" s="184"/>
      <c r="AL48" s="11"/>
      <c r="AM48" s="11"/>
      <c r="AN48" s="220"/>
      <c r="AO48" s="184"/>
      <c r="AP48" s="184"/>
      <c r="AQ48" s="11"/>
      <c r="AR48" s="11"/>
      <c r="AS48" s="220"/>
      <c r="AT48" s="184"/>
      <c r="AU48" s="184"/>
      <c r="AV48" s="11"/>
      <c r="AW48" s="11"/>
      <c r="AX48" s="220"/>
      <c r="AY48" s="184"/>
      <c r="AZ48" s="184"/>
      <c r="BA48" s="11"/>
      <c r="BB48" s="11"/>
      <c r="BC48" s="220"/>
      <c r="BD48" s="184"/>
      <c r="BE48" s="184"/>
      <c r="BF48" s="11"/>
      <c r="BG48" s="11"/>
      <c r="BH48" s="220"/>
      <c r="BI48" s="184"/>
      <c r="BJ48" s="184"/>
      <c r="BK48" s="184"/>
      <c r="BL48" s="184"/>
      <c r="BM48" s="184"/>
      <c r="BN48" s="184"/>
      <c r="BO48" s="184"/>
      <c r="BP48" s="184"/>
    </row>
    <row r="49">
      <c r="A49" s="245" t="str">
        <f>IF( $AM$11 = "再製作", "◼︎ ショートステンカラーコート（対応着地：再製作）" &amp; char(10) &amp; "《修正数値》", IF($AM$11 &lt;&gt; "", "◼︎ ショートステンカラーコート（対応着地：お直し）"  &amp; char(10) &amp; "《修正数値》", ""))</f>
        <v/>
      </c>
      <c r="B49" s="240"/>
      <c r="C49" s="11"/>
      <c r="D49" s="11"/>
      <c r="E49" s="220"/>
      <c r="F49" s="220"/>
      <c r="G49" s="220"/>
      <c r="H49" s="11"/>
      <c r="I49" s="11"/>
      <c r="J49" s="220"/>
      <c r="K49" s="184"/>
      <c r="L49" s="184"/>
      <c r="M49" s="11"/>
      <c r="N49" s="11"/>
      <c r="O49" s="195"/>
      <c r="P49" s="11"/>
      <c r="Q49" s="11"/>
      <c r="R49" s="12"/>
      <c r="S49" s="11"/>
      <c r="T49" s="220"/>
      <c r="U49" s="184"/>
      <c r="V49" s="184"/>
      <c r="W49" s="11"/>
      <c r="X49" s="11"/>
      <c r="Y49" s="220"/>
      <c r="Z49" s="184"/>
      <c r="AA49" s="184"/>
      <c r="AB49" s="11"/>
      <c r="AC49" s="11"/>
      <c r="AD49" s="220"/>
      <c r="AE49" s="184"/>
      <c r="AF49" s="184"/>
      <c r="AG49" s="11"/>
      <c r="AH49" s="11"/>
      <c r="AI49" s="220"/>
      <c r="AJ49" s="184"/>
      <c r="AK49" s="184"/>
      <c r="AL49" s="11"/>
      <c r="AM49" s="11"/>
      <c r="AN49" s="220"/>
      <c r="AO49" s="184"/>
      <c r="AP49" s="184"/>
      <c r="AQ49" s="11"/>
      <c r="AR49" s="11"/>
      <c r="AS49" s="220"/>
      <c r="AT49" s="184"/>
      <c r="AU49" s="184"/>
      <c r="AV49" s="11"/>
      <c r="AW49" s="11"/>
      <c r="AX49" s="220"/>
      <c r="AY49" s="184"/>
      <c r="AZ49" s="184"/>
      <c r="BA49" s="11"/>
      <c r="BB49" s="11"/>
      <c r="BC49" s="220"/>
      <c r="BD49" s="184"/>
      <c r="BE49" s="184"/>
      <c r="BF49" s="11"/>
      <c r="BG49" s="11"/>
      <c r="BH49" s="220"/>
      <c r="BI49" s="184"/>
      <c r="BJ49" s="184"/>
      <c r="BK49" s="184"/>
      <c r="BL49" s="184"/>
      <c r="BM49" s="184"/>
      <c r="BN49" s="184"/>
      <c r="BO49" s="184"/>
      <c r="BP49" s="184"/>
    </row>
    <row r="50">
      <c r="A50" s="228" t="str">
        <f>IFERROR(__xludf.DUMMYFUNCTION("TEXTJOIN(CHAR(10),TRUE,FILTER(ARRAYFORMULA(IF(AN$14:AN72&lt;&gt;"""",AM$14:AM72&amp;"" : ""&amp; AN$14:AN72 &amp;"" cm"" &amp; ""（仕上がり寸：cm）"","""")), AM$14:AM72 &lt;&gt;""""))"),"")</f>
        <v/>
      </c>
      <c r="B50" s="240"/>
      <c r="C50" s="11"/>
      <c r="D50" s="11"/>
      <c r="E50" s="220"/>
      <c r="F50" s="220"/>
      <c r="G50" s="220"/>
      <c r="H50" s="11"/>
      <c r="I50" s="11"/>
      <c r="J50" s="220"/>
      <c r="K50" s="184"/>
      <c r="L50" s="184"/>
      <c r="M50" s="11"/>
      <c r="N50" s="11"/>
      <c r="O50" s="195"/>
      <c r="P50" s="11"/>
      <c r="Q50" s="11"/>
      <c r="R50" s="12"/>
      <c r="S50" s="11"/>
      <c r="T50" s="220"/>
      <c r="U50" s="184"/>
      <c r="V50" s="184"/>
      <c r="W50" s="11"/>
      <c r="X50" s="11"/>
      <c r="Y50" s="220"/>
      <c r="Z50" s="184"/>
      <c r="AA50" s="184"/>
      <c r="AB50" s="11"/>
      <c r="AC50" s="11"/>
      <c r="AD50" s="220"/>
      <c r="AE50" s="184"/>
      <c r="AF50" s="184"/>
      <c r="AG50" s="11"/>
      <c r="AH50" s="11"/>
      <c r="AI50" s="220"/>
      <c r="AJ50" s="184"/>
      <c r="AK50" s="184"/>
      <c r="AL50" s="11"/>
      <c r="AM50" s="11"/>
      <c r="AN50" s="220"/>
      <c r="AO50" s="184"/>
      <c r="AP50" s="184"/>
      <c r="AQ50" s="11"/>
      <c r="AR50" s="11"/>
      <c r="AS50" s="220"/>
      <c r="AT50" s="184"/>
      <c r="AU50" s="184"/>
      <c r="AV50" s="11"/>
      <c r="AW50" s="11"/>
      <c r="AX50" s="220"/>
      <c r="AY50" s="184"/>
      <c r="AZ50" s="184"/>
      <c r="BA50" s="11"/>
      <c r="BB50" s="11"/>
      <c r="BC50" s="220"/>
      <c r="BD50" s="184"/>
      <c r="BE50" s="184"/>
      <c r="BF50" s="11"/>
      <c r="BG50" s="11"/>
      <c r="BH50" s="220"/>
      <c r="BI50" s="184"/>
      <c r="BJ50" s="184"/>
      <c r="BK50" s="184"/>
      <c r="BL50" s="184"/>
      <c r="BM50" s="184"/>
      <c r="BN50" s="184"/>
      <c r="BO50" s="184"/>
      <c r="BP50" s="184"/>
    </row>
    <row r="51">
      <c r="A51" s="244" t="str">
        <f>if($A$49&lt;&gt;"", "《仕上がり数値》","")</f>
        <v/>
      </c>
      <c r="B51" s="240"/>
      <c r="C51" s="11"/>
      <c r="D51" s="11"/>
      <c r="E51" s="220"/>
      <c r="F51" s="220"/>
      <c r="G51" s="220"/>
      <c r="H51" s="11"/>
      <c r="I51" s="11"/>
      <c r="J51" s="220"/>
      <c r="K51" s="184"/>
      <c r="L51" s="184"/>
      <c r="M51" s="11"/>
      <c r="N51" s="11"/>
      <c r="O51" s="195"/>
      <c r="P51" s="11"/>
      <c r="Q51" s="11"/>
      <c r="R51" s="12"/>
      <c r="S51" s="11"/>
      <c r="T51" s="220"/>
      <c r="U51" s="184"/>
      <c r="V51" s="184"/>
      <c r="W51" s="11"/>
      <c r="X51" s="11"/>
      <c r="Y51" s="220"/>
      <c r="Z51" s="184"/>
      <c r="AA51" s="184"/>
      <c r="AB51" s="11"/>
      <c r="AC51" s="11"/>
      <c r="AD51" s="220"/>
      <c r="AE51" s="184"/>
      <c r="AF51" s="184"/>
      <c r="AG51" s="11"/>
      <c r="AH51" s="11"/>
      <c r="AI51" s="220"/>
      <c r="AJ51" s="184"/>
      <c r="AK51" s="184"/>
      <c r="AL51" s="11"/>
      <c r="AM51" s="11"/>
      <c r="AN51" s="220"/>
      <c r="AO51" s="184"/>
      <c r="AP51" s="184"/>
      <c r="AQ51" s="11"/>
      <c r="AR51" s="11"/>
      <c r="AS51" s="220"/>
      <c r="AT51" s="184"/>
      <c r="AU51" s="184"/>
      <c r="AV51" s="11"/>
      <c r="AW51" s="11"/>
      <c r="AX51" s="220"/>
      <c r="AY51" s="184"/>
      <c r="AZ51" s="184"/>
      <c r="BA51" s="11"/>
      <c r="BB51" s="11"/>
      <c r="BC51" s="220"/>
      <c r="BD51" s="184"/>
      <c r="BE51" s="184"/>
      <c r="BF51" s="11"/>
      <c r="BG51" s="11"/>
      <c r="BH51" s="220"/>
      <c r="BI51" s="184"/>
      <c r="BJ51" s="184"/>
      <c r="BK51" s="184"/>
      <c r="BL51" s="184"/>
      <c r="BM51" s="184"/>
      <c r="BN51" s="184"/>
      <c r="BO51" s="184"/>
      <c r="BP51" s="184"/>
    </row>
    <row r="52">
      <c r="A52" s="228" t="str">
        <f>IFERROR(__xludf.DUMMYFUNCTION("TEXTJOIN(CHAR(10),TRUE,FILTER(ARRAYFORMULA(IF(AN$14:AN72&lt;&gt;"""",AM$14:AM72&amp;"" : ""&amp; AN$14:AN72 &amp;"" cm"" &amp; ""（仕上がり寸：cm）"","""")), AM$14:AM72 &lt;&gt;""""))"),"")</f>
        <v/>
      </c>
      <c r="B52" s="240"/>
      <c r="C52" s="11"/>
      <c r="D52" s="11"/>
      <c r="E52" s="220"/>
      <c r="F52" s="220"/>
      <c r="G52" s="220"/>
      <c r="H52" s="11"/>
      <c r="I52" s="11"/>
      <c r="J52" s="220"/>
      <c r="K52" s="184"/>
      <c r="L52" s="184"/>
      <c r="M52" s="11"/>
      <c r="N52" s="11"/>
      <c r="O52" s="195"/>
      <c r="P52" s="11"/>
      <c r="Q52" s="11"/>
      <c r="R52" s="12"/>
      <c r="S52" s="11"/>
      <c r="T52" s="220"/>
      <c r="U52" s="184"/>
      <c r="V52" s="184"/>
      <c r="W52" s="11"/>
      <c r="X52" s="11"/>
      <c r="Y52" s="220"/>
      <c r="Z52" s="184"/>
      <c r="AA52" s="184"/>
      <c r="AB52" s="11"/>
      <c r="AC52" s="11"/>
      <c r="AD52" s="220"/>
      <c r="AE52" s="184"/>
      <c r="AF52" s="184"/>
      <c r="AG52" s="11"/>
      <c r="AH52" s="11"/>
      <c r="AI52" s="220"/>
      <c r="AJ52" s="184"/>
      <c r="AK52" s="184"/>
      <c r="AL52" s="11"/>
      <c r="AM52" s="11"/>
      <c r="AN52" s="220"/>
      <c r="AO52" s="184"/>
      <c r="AP52" s="184"/>
      <c r="AQ52" s="11"/>
      <c r="AR52" s="11"/>
      <c r="AS52" s="220"/>
      <c r="AT52" s="184"/>
      <c r="AU52" s="184"/>
      <c r="AV52" s="11"/>
      <c r="AW52" s="11"/>
      <c r="AX52" s="220"/>
      <c r="AY52" s="184"/>
      <c r="AZ52" s="184"/>
      <c r="BA52" s="11"/>
      <c r="BB52" s="11"/>
      <c r="BC52" s="220"/>
      <c r="BD52" s="184"/>
      <c r="BE52" s="184"/>
      <c r="BF52" s="11"/>
      <c r="BG52" s="11"/>
      <c r="BH52" s="220"/>
      <c r="BI52" s="184"/>
      <c r="BJ52" s="184"/>
      <c r="BK52" s="184"/>
      <c r="BL52" s="184"/>
      <c r="BM52" s="184"/>
      <c r="BN52" s="184"/>
      <c r="BO52" s="184"/>
      <c r="BP52" s="184"/>
    </row>
    <row r="53">
      <c r="A53" s="243" t="s">
        <v>123</v>
      </c>
      <c r="B53" s="240"/>
      <c r="C53" s="11"/>
      <c r="D53" s="11"/>
      <c r="E53" s="220"/>
      <c r="F53" s="220"/>
      <c r="G53" s="220"/>
      <c r="H53" s="11"/>
      <c r="I53" s="11"/>
      <c r="J53" s="220"/>
      <c r="K53" s="184"/>
      <c r="L53" s="184"/>
      <c r="M53" s="11"/>
      <c r="N53" s="11"/>
      <c r="O53" s="195"/>
      <c r="P53" s="11"/>
      <c r="Q53" s="11"/>
      <c r="R53" s="12"/>
      <c r="S53" s="11"/>
      <c r="T53" s="220"/>
      <c r="U53" s="184"/>
      <c r="V53" s="184"/>
      <c r="W53" s="11"/>
      <c r="X53" s="11"/>
      <c r="Y53" s="220"/>
      <c r="Z53" s="184"/>
      <c r="AA53" s="184"/>
      <c r="AB53" s="11"/>
      <c r="AC53" s="11"/>
      <c r="AD53" s="220"/>
      <c r="AE53" s="184"/>
      <c r="AF53" s="184"/>
      <c r="AG53" s="11"/>
      <c r="AH53" s="11"/>
      <c r="AI53" s="220"/>
      <c r="AJ53" s="184"/>
      <c r="AK53" s="184"/>
      <c r="AL53" s="11"/>
      <c r="AM53" s="11"/>
      <c r="AN53" s="220"/>
      <c r="AO53" s="184"/>
      <c r="AP53" s="184"/>
      <c r="AQ53" s="11"/>
      <c r="AR53" s="11"/>
      <c r="AS53" s="220"/>
      <c r="AT53" s="184"/>
      <c r="AU53" s="184"/>
      <c r="AV53" s="11"/>
      <c r="AW53" s="11"/>
      <c r="AX53" s="220"/>
      <c r="AY53" s="184"/>
      <c r="AZ53" s="184"/>
      <c r="BA53" s="11"/>
      <c r="BB53" s="11"/>
      <c r="BC53" s="220"/>
      <c r="BD53" s="184"/>
      <c r="BE53" s="184"/>
      <c r="BF53" s="11"/>
      <c r="BG53" s="11"/>
      <c r="BH53" s="220"/>
      <c r="BI53" s="184"/>
      <c r="BJ53" s="184"/>
      <c r="BK53" s="184"/>
      <c r="BL53" s="184"/>
      <c r="BM53" s="184"/>
      <c r="BN53" s="184"/>
      <c r="BO53" s="184"/>
      <c r="BP53" s="184"/>
    </row>
    <row r="54">
      <c r="A54" s="245" t="str">
        <f>IF( $AR$11 = "再製作", "◼︎ ステンカラーコート（対応着地：再製作）" &amp;char(10)&amp; "《修正数値》", IF($AR$11 &lt;&gt; "", "◼︎ ステンカラーコート（対応着地：お直し）" &amp;char(10)&amp; "《修正数値》", ""))</f>
        <v/>
      </c>
      <c r="B54" s="240"/>
      <c r="C54" s="11"/>
      <c r="D54" s="11"/>
      <c r="E54" s="220"/>
      <c r="F54" s="220"/>
      <c r="G54" s="220"/>
      <c r="H54" s="11"/>
      <c r="I54" s="11"/>
      <c r="J54" s="220"/>
      <c r="K54" s="184"/>
      <c r="L54" s="184"/>
      <c r="M54" s="11"/>
      <c r="N54" s="11"/>
      <c r="O54" s="195"/>
      <c r="P54" s="11"/>
      <c r="Q54" s="11"/>
      <c r="R54" s="12"/>
      <c r="S54" s="11"/>
      <c r="T54" s="220"/>
      <c r="U54" s="184"/>
      <c r="V54" s="184"/>
      <c r="W54" s="11"/>
      <c r="X54" s="11"/>
      <c r="Y54" s="220"/>
      <c r="Z54" s="184"/>
      <c r="AA54" s="184"/>
      <c r="AB54" s="11"/>
      <c r="AC54" s="11"/>
      <c r="AD54" s="220"/>
      <c r="AE54" s="184"/>
      <c r="AF54" s="184"/>
      <c r="AG54" s="11"/>
      <c r="AH54" s="11"/>
      <c r="AI54" s="220"/>
      <c r="AJ54" s="184"/>
      <c r="AK54" s="184"/>
      <c r="AL54" s="11"/>
      <c r="AM54" s="11"/>
      <c r="AN54" s="220"/>
      <c r="AO54" s="184"/>
      <c r="AP54" s="184"/>
      <c r="AQ54" s="11"/>
      <c r="AR54" s="11"/>
      <c r="AS54" s="220"/>
      <c r="AT54" s="184"/>
      <c r="AU54" s="184"/>
      <c r="AV54" s="11"/>
      <c r="AW54" s="11"/>
      <c r="AX54" s="220"/>
      <c r="AY54" s="184"/>
      <c r="AZ54" s="184"/>
      <c r="BA54" s="11"/>
      <c r="BB54" s="11"/>
      <c r="BC54" s="220"/>
      <c r="BD54" s="184"/>
      <c r="BE54" s="184"/>
      <c r="BF54" s="11"/>
      <c r="BG54" s="11"/>
      <c r="BH54" s="220"/>
      <c r="BI54" s="184"/>
      <c r="BJ54" s="184"/>
      <c r="BK54" s="184"/>
      <c r="BL54" s="184"/>
      <c r="BM54" s="184"/>
      <c r="BN54" s="184"/>
      <c r="BO54" s="184"/>
      <c r="BP54" s="184"/>
    </row>
    <row r="55">
      <c r="A55" s="228" t="str">
        <f>IFERROR(__xludf.DUMMYFUNCTION("TEXTJOIN(CHAR(10),TRUE,FILTER(ARRAYFORMULA(IF(AS$14:AS72&lt;&gt;"""",AR$14:AR72&amp;"" : ""&amp; AS$14:AS72 &amp;"" cm"","""")), AR$14:AR72 &lt;&gt;""""))"),"")</f>
        <v/>
      </c>
      <c r="B55" s="240"/>
      <c r="C55" s="11"/>
      <c r="D55" s="11"/>
      <c r="E55" s="220"/>
      <c r="F55" s="220"/>
      <c r="G55" s="220"/>
      <c r="H55" s="11"/>
      <c r="I55" s="11"/>
      <c r="J55" s="220"/>
      <c r="K55" s="184"/>
      <c r="L55" s="184"/>
      <c r="M55" s="11"/>
      <c r="N55" s="11"/>
      <c r="O55" s="195"/>
      <c r="P55" s="11"/>
      <c r="Q55" s="11"/>
      <c r="R55" s="12"/>
      <c r="S55" s="11"/>
      <c r="T55" s="220"/>
      <c r="U55" s="184"/>
      <c r="V55" s="184"/>
      <c r="W55" s="11"/>
      <c r="X55" s="11"/>
      <c r="Y55" s="220"/>
      <c r="Z55" s="184"/>
      <c r="AA55" s="184"/>
      <c r="AB55" s="11"/>
      <c r="AC55" s="11"/>
      <c r="AD55" s="220"/>
      <c r="AE55" s="184"/>
      <c r="AF55" s="184"/>
      <c r="AG55" s="11"/>
      <c r="AH55" s="11"/>
      <c r="AI55" s="220"/>
      <c r="AJ55" s="184"/>
      <c r="AK55" s="184"/>
      <c r="AL55" s="11"/>
      <c r="AM55" s="11"/>
      <c r="AN55" s="220"/>
      <c r="AO55" s="184"/>
      <c r="AP55" s="184"/>
      <c r="AQ55" s="11"/>
      <c r="AR55" s="11"/>
      <c r="AS55" s="220"/>
      <c r="AT55" s="184"/>
      <c r="AU55" s="184"/>
      <c r="AV55" s="11"/>
      <c r="AW55" s="11"/>
      <c r="AX55" s="220"/>
      <c r="AY55" s="184"/>
      <c r="AZ55" s="184"/>
      <c r="BA55" s="11"/>
      <c r="BB55" s="11"/>
      <c r="BC55" s="220"/>
      <c r="BD55" s="184"/>
      <c r="BE55" s="184"/>
      <c r="BF55" s="11"/>
      <c r="BG55" s="11"/>
      <c r="BH55" s="220"/>
      <c r="BI55" s="184"/>
      <c r="BJ55" s="184"/>
      <c r="BK55" s="184"/>
      <c r="BL55" s="184"/>
      <c r="BM55" s="184"/>
      <c r="BN55" s="184"/>
      <c r="BO55" s="184"/>
      <c r="BP55" s="184"/>
    </row>
    <row r="56">
      <c r="A56" s="244" t="str">
        <f>if($A$54&lt;&gt;"", "《仕上がり数値》","")</f>
        <v/>
      </c>
      <c r="B56" s="240"/>
      <c r="C56" s="11"/>
      <c r="D56" s="11"/>
      <c r="E56" s="220"/>
      <c r="F56" s="220"/>
      <c r="G56" s="220"/>
      <c r="H56" s="11"/>
      <c r="I56" s="11"/>
      <c r="J56" s="220"/>
      <c r="K56" s="184"/>
      <c r="L56" s="184"/>
      <c r="M56" s="11"/>
      <c r="N56" s="11"/>
      <c r="O56" s="195"/>
      <c r="P56" s="11"/>
      <c r="Q56" s="11"/>
      <c r="R56" s="12"/>
      <c r="S56" s="11"/>
      <c r="T56" s="220"/>
      <c r="U56" s="184"/>
      <c r="V56" s="184"/>
      <c r="W56" s="11"/>
      <c r="X56" s="11"/>
      <c r="Y56" s="220"/>
      <c r="Z56" s="184"/>
      <c r="AA56" s="184"/>
      <c r="AB56" s="11"/>
      <c r="AC56" s="11"/>
      <c r="AD56" s="220"/>
      <c r="AE56" s="184"/>
      <c r="AF56" s="184"/>
      <c r="AG56" s="11"/>
      <c r="AH56" s="11"/>
      <c r="AI56" s="220"/>
      <c r="AJ56" s="184"/>
      <c r="AK56" s="184"/>
      <c r="AL56" s="11"/>
      <c r="AM56" s="11"/>
      <c r="AN56" s="220"/>
      <c r="AO56" s="184"/>
      <c r="AP56" s="184"/>
      <c r="AQ56" s="11"/>
      <c r="AR56" s="11"/>
      <c r="AS56" s="220"/>
      <c r="AT56" s="184"/>
      <c r="AU56" s="184"/>
      <c r="AV56" s="11"/>
      <c r="AW56" s="11"/>
      <c r="AX56" s="220"/>
      <c r="AY56" s="184"/>
      <c r="AZ56" s="184"/>
      <c r="BA56" s="11"/>
      <c r="BB56" s="11"/>
      <c r="BC56" s="220"/>
      <c r="BD56" s="184"/>
      <c r="BE56" s="184"/>
      <c r="BF56" s="11"/>
      <c r="BG56" s="11"/>
      <c r="BH56" s="220"/>
      <c r="BI56" s="184"/>
      <c r="BJ56" s="184"/>
      <c r="BK56" s="184"/>
      <c r="BL56" s="184"/>
      <c r="BM56" s="184"/>
      <c r="BN56" s="184"/>
      <c r="BO56" s="184"/>
      <c r="BP56" s="184"/>
    </row>
    <row r="57">
      <c r="A57" s="228" t="str">
        <f>IFERROR(__xludf.DUMMYFUNCTION("TEXTJOIN(CHAR(10),TRUE,FILTER(ARRAYFORMULA(IF(AS$14:AS72&lt;&gt;"""",AR$14:AR72&amp;"" :  cm"","""")), AR$14:AR72 &lt;&gt;""""))"),"")</f>
        <v/>
      </c>
      <c r="B57" s="240"/>
      <c r="C57" s="11"/>
      <c r="D57" s="11"/>
      <c r="E57" s="220"/>
      <c r="F57" s="220"/>
      <c r="G57" s="220"/>
      <c r="H57" s="11"/>
      <c r="I57" s="11"/>
      <c r="J57" s="220"/>
      <c r="K57" s="184"/>
      <c r="L57" s="184"/>
      <c r="M57" s="11"/>
      <c r="N57" s="11"/>
      <c r="O57" s="195"/>
      <c r="P57" s="11"/>
      <c r="Q57" s="11"/>
      <c r="R57" s="12"/>
      <c r="S57" s="11"/>
      <c r="T57" s="220"/>
      <c r="U57" s="184"/>
      <c r="V57" s="184"/>
      <c r="W57" s="11"/>
      <c r="X57" s="11"/>
      <c r="Y57" s="220"/>
      <c r="Z57" s="184"/>
      <c r="AA57" s="184"/>
      <c r="AB57" s="11"/>
      <c r="AC57" s="11"/>
      <c r="AD57" s="220"/>
      <c r="AE57" s="184"/>
      <c r="AF57" s="184"/>
      <c r="AG57" s="11"/>
      <c r="AH57" s="11"/>
      <c r="AI57" s="220"/>
      <c r="AJ57" s="184"/>
      <c r="AK57" s="184"/>
      <c r="AL57" s="11"/>
      <c r="AM57" s="11"/>
      <c r="AN57" s="220"/>
      <c r="AO57" s="184"/>
      <c r="AP57" s="184"/>
      <c r="AQ57" s="11"/>
      <c r="AR57" s="11"/>
      <c r="AS57" s="220"/>
      <c r="AT57" s="184"/>
      <c r="AU57" s="184"/>
      <c r="AV57" s="11"/>
      <c r="AW57" s="11"/>
      <c r="AX57" s="220"/>
      <c r="AY57" s="184"/>
      <c r="AZ57" s="184"/>
      <c r="BA57" s="11"/>
      <c r="BB57" s="11"/>
      <c r="BC57" s="220"/>
      <c r="BD57" s="184"/>
      <c r="BE57" s="184"/>
      <c r="BF57" s="11"/>
      <c r="BG57" s="11"/>
      <c r="BH57" s="220"/>
      <c r="BI57" s="184"/>
      <c r="BJ57" s="184"/>
      <c r="BK57" s="184"/>
      <c r="BL57" s="184"/>
      <c r="BM57" s="184"/>
      <c r="BN57" s="184"/>
      <c r="BO57" s="184"/>
      <c r="BP57" s="184"/>
    </row>
    <row r="58">
      <c r="A58" s="243" t="s">
        <v>124</v>
      </c>
      <c r="B58" s="240"/>
      <c r="C58" s="11"/>
      <c r="D58" s="11"/>
      <c r="E58" s="220"/>
      <c r="F58" s="220"/>
      <c r="G58" s="220"/>
      <c r="H58" s="11"/>
      <c r="I58" s="11"/>
      <c r="J58" s="220"/>
      <c r="K58" s="184"/>
      <c r="L58" s="184"/>
      <c r="M58" s="11"/>
      <c r="N58" s="11"/>
      <c r="O58" s="195"/>
      <c r="P58" s="11"/>
      <c r="Q58" s="11"/>
      <c r="R58" s="12"/>
      <c r="S58" s="11"/>
      <c r="T58" s="220"/>
      <c r="U58" s="184"/>
      <c r="V58" s="184"/>
      <c r="W58" s="11"/>
      <c r="X58" s="11"/>
      <c r="Y58" s="220"/>
      <c r="Z58" s="184"/>
      <c r="AA58" s="184"/>
      <c r="AB58" s="11"/>
      <c r="AC58" s="11"/>
      <c r="AD58" s="220"/>
      <c r="AE58" s="184"/>
      <c r="AF58" s="184"/>
      <c r="AG58" s="11"/>
      <c r="AH58" s="11"/>
      <c r="AI58" s="220"/>
      <c r="AJ58" s="184"/>
      <c r="AK58" s="184"/>
      <c r="AL58" s="11"/>
      <c r="AM58" s="11"/>
      <c r="AN58" s="220"/>
      <c r="AO58" s="184"/>
      <c r="AP58" s="184"/>
      <c r="AQ58" s="11"/>
      <c r="AR58" s="11"/>
      <c r="AS58" s="220"/>
      <c r="AT58" s="184"/>
      <c r="AU58" s="184"/>
      <c r="AV58" s="11"/>
      <c r="AW58" s="11"/>
      <c r="AX58" s="220"/>
      <c r="AY58" s="184"/>
      <c r="AZ58" s="184"/>
      <c r="BA58" s="11"/>
      <c r="BB58" s="11"/>
      <c r="BC58" s="220"/>
      <c r="BD58" s="184"/>
      <c r="BE58" s="184"/>
      <c r="BF58" s="11"/>
      <c r="BG58" s="11"/>
      <c r="BH58" s="220"/>
      <c r="BI58" s="184"/>
      <c r="BJ58" s="184"/>
      <c r="BK58" s="184"/>
      <c r="BL58" s="184"/>
      <c r="BM58" s="184"/>
      <c r="BN58" s="184"/>
      <c r="BO58" s="184"/>
      <c r="BP58" s="184"/>
    </row>
    <row r="59">
      <c r="A59" s="245" t="str">
        <f>IF( $AW$11 = "再製作", "◼︎ チェスターコート（対応着地：再製作）" &amp;char(10)&amp;"《修正数値》", IF($AW$11 &lt;&gt; "", "◼︎ チェスターコート（対応着地：お直し）" &amp;char(10)&amp;"《修正数値》", ""))</f>
        <v/>
      </c>
      <c r="B59" s="240"/>
      <c r="C59" s="11"/>
      <c r="D59" s="11"/>
      <c r="E59" s="220"/>
      <c r="F59" s="220"/>
      <c r="G59" s="220"/>
      <c r="H59" s="11"/>
      <c r="I59" s="11"/>
      <c r="J59" s="220"/>
      <c r="K59" s="184"/>
      <c r="L59" s="184"/>
      <c r="M59" s="11"/>
      <c r="N59" s="11"/>
      <c r="O59" s="195"/>
      <c r="P59" s="11"/>
      <c r="Q59" s="11"/>
      <c r="R59" s="12"/>
      <c r="S59" s="11"/>
      <c r="T59" s="220"/>
      <c r="U59" s="184"/>
      <c r="V59" s="184"/>
      <c r="W59" s="11"/>
      <c r="X59" s="11"/>
      <c r="Y59" s="220"/>
      <c r="Z59" s="184"/>
      <c r="AA59" s="184"/>
      <c r="AB59" s="11"/>
      <c r="AC59" s="11"/>
      <c r="AD59" s="220"/>
      <c r="AE59" s="184"/>
      <c r="AF59" s="184"/>
      <c r="AG59" s="11"/>
      <c r="AH59" s="11"/>
      <c r="AI59" s="220"/>
      <c r="AJ59" s="184"/>
      <c r="AK59" s="184"/>
      <c r="AL59" s="11"/>
      <c r="AM59" s="11"/>
      <c r="AN59" s="220"/>
      <c r="AO59" s="184"/>
      <c r="AP59" s="184"/>
      <c r="AQ59" s="11"/>
      <c r="AR59" s="11"/>
      <c r="AS59" s="220"/>
      <c r="AT59" s="184"/>
      <c r="AU59" s="184"/>
      <c r="AV59" s="11"/>
      <c r="AW59" s="11"/>
      <c r="AX59" s="220"/>
      <c r="AY59" s="184"/>
      <c r="AZ59" s="184"/>
      <c r="BA59" s="11"/>
      <c r="BB59" s="11"/>
      <c r="BC59" s="220"/>
      <c r="BD59" s="184"/>
      <c r="BE59" s="184"/>
      <c r="BF59" s="11"/>
      <c r="BG59" s="11"/>
      <c r="BH59" s="220"/>
      <c r="BI59" s="184"/>
      <c r="BJ59" s="184"/>
      <c r="BK59" s="184"/>
      <c r="BL59" s="184"/>
      <c r="BM59" s="184"/>
      <c r="BN59" s="184"/>
      <c r="BO59" s="184"/>
      <c r="BP59" s="184"/>
    </row>
    <row r="60">
      <c r="A60" s="228" t="str">
        <f>IFERROR(__xludf.DUMMYFUNCTION("TEXTJOIN(CHAR(10),TRUE,FILTER(ARRAYFORMULA(IF(AX$14:AX72&lt;&gt;"""",AW$14:AW72&amp;"" : ""&amp; AX$14:AX72 &amp;"" cm"","""")), AC$14:AC72 &lt;&gt;""""))"),"")</f>
        <v/>
      </c>
      <c r="B60" s="240"/>
      <c r="C60" s="11"/>
      <c r="D60" s="11"/>
      <c r="E60" s="220"/>
      <c r="F60" s="220"/>
      <c r="G60" s="220"/>
      <c r="H60" s="11"/>
      <c r="I60" s="11"/>
      <c r="J60" s="220"/>
      <c r="K60" s="184"/>
      <c r="L60" s="184"/>
      <c r="M60" s="11"/>
      <c r="N60" s="11"/>
      <c r="O60" s="195"/>
      <c r="P60" s="11"/>
      <c r="Q60" s="11"/>
      <c r="R60" s="12"/>
      <c r="S60" s="11"/>
      <c r="T60" s="220"/>
      <c r="U60" s="184"/>
      <c r="V60" s="184"/>
      <c r="W60" s="11"/>
      <c r="X60" s="11"/>
      <c r="Y60" s="220"/>
      <c r="Z60" s="184"/>
      <c r="AA60" s="184"/>
      <c r="AB60" s="11"/>
      <c r="AC60" s="11"/>
      <c r="AD60" s="220"/>
      <c r="AE60" s="184"/>
      <c r="AF60" s="184"/>
      <c r="AG60" s="11"/>
      <c r="AH60" s="11"/>
      <c r="AI60" s="220"/>
      <c r="AJ60" s="184"/>
      <c r="AK60" s="184"/>
      <c r="AL60" s="11"/>
      <c r="AM60" s="11"/>
      <c r="AN60" s="220"/>
      <c r="AO60" s="184"/>
      <c r="AP60" s="184"/>
      <c r="AQ60" s="11"/>
      <c r="AR60" s="11"/>
      <c r="AS60" s="220"/>
      <c r="AT60" s="184"/>
      <c r="AU60" s="184"/>
      <c r="AV60" s="11"/>
      <c r="AW60" s="11"/>
      <c r="AX60" s="220"/>
      <c r="AY60" s="184"/>
      <c r="AZ60" s="184"/>
      <c r="BA60" s="11"/>
      <c r="BB60" s="11"/>
      <c r="BC60" s="220"/>
      <c r="BD60" s="184"/>
      <c r="BE60" s="184"/>
      <c r="BF60" s="11"/>
      <c r="BG60" s="11"/>
      <c r="BH60" s="220"/>
      <c r="BI60" s="184"/>
      <c r="BJ60" s="184"/>
      <c r="BK60" s="184"/>
      <c r="BL60" s="184"/>
      <c r="BM60" s="184"/>
      <c r="BN60" s="184"/>
      <c r="BO60" s="184"/>
      <c r="BP60" s="184"/>
    </row>
    <row r="61">
      <c r="A61" s="244" t="str">
        <f>if($A$59&lt;&gt;"", "《仕上がり数値》","")</f>
        <v/>
      </c>
      <c r="B61" s="240"/>
      <c r="C61" s="11"/>
      <c r="D61" s="11"/>
      <c r="E61" s="220"/>
      <c r="F61" s="220"/>
      <c r="G61" s="220"/>
      <c r="H61" s="11"/>
      <c r="I61" s="11"/>
      <c r="J61" s="220"/>
      <c r="K61" s="184"/>
      <c r="L61" s="184"/>
      <c r="M61" s="11"/>
      <c r="N61" s="11"/>
      <c r="O61" s="195"/>
      <c r="P61" s="11"/>
      <c r="Q61" s="11"/>
      <c r="R61" s="12"/>
      <c r="S61" s="11"/>
      <c r="T61" s="220"/>
      <c r="U61" s="184"/>
      <c r="V61" s="184"/>
      <c r="W61" s="11"/>
      <c r="X61" s="11"/>
      <c r="Y61" s="220"/>
      <c r="Z61" s="184"/>
      <c r="AA61" s="184"/>
      <c r="AB61" s="11"/>
      <c r="AC61" s="11"/>
      <c r="AD61" s="220"/>
      <c r="AE61" s="184"/>
      <c r="AF61" s="184"/>
      <c r="AG61" s="11"/>
      <c r="AH61" s="11"/>
      <c r="AI61" s="220"/>
      <c r="AJ61" s="184"/>
      <c r="AK61" s="184"/>
      <c r="AL61" s="11"/>
      <c r="AM61" s="11"/>
      <c r="AN61" s="220"/>
      <c r="AO61" s="184"/>
      <c r="AP61" s="184"/>
      <c r="AQ61" s="11"/>
      <c r="AR61" s="11"/>
      <c r="AS61" s="220"/>
      <c r="AT61" s="184"/>
      <c r="AU61" s="184"/>
      <c r="AV61" s="11"/>
      <c r="AW61" s="11"/>
      <c r="AX61" s="220"/>
      <c r="AY61" s="184"/>
      <c r="AZ61" s="184"/>
      <c r="BA61" s="11"/>
      <c r="BB61" s="11"/>
      <c r="BC61" s="220"/>
      <c r="BD61" s="184"/>
      <c r="BE61" s="184"/>
      <c r="BF61" s="11"/>
      <c r="BG61" s="11"/>
      <c r="BH61" s="220"/>
      <c r="BI61" s="184"/>
      <c r="BJ61" s="184"/>
      <c r="BK61" s="184"/>
      <c r="BL61" s="184"/>
      <c r="BM61" s="184"/>
      <c r="BN61" s="184"/>
      <c r="BO61" s="184"/>
      <c r="BP61" s="184"/>
    </row>
    <row r="62">
      <c r="A62" s="228" t="str">
        <f>IFERROR(__xludf.DUMMYFUNCTION("TEXTJOIN(CHAR(10),TRUE,FILTER(ARRAYFORMULA(IF(AX$14:AX72&lt;&gt;"""",AW$14:AW72&amp;"" :  cm"","""")), AC$14:AC72 &lt;&gt;""""))"),"")</f>
        <v/>
      </c>
      <c r="B62" s="240"/>
      <c r="C62" s="11"/>
      <c r="D62" s="11"/>
      <c r="E62" s="220"/>
      <c r="F62" s="220"/>
      <c r="G62" s="220"/>
      <c r="H62" s="11"/>
      <c r="I62" s="11"/>
      <c r="J62" s="220"/>
      <c r="K62" s="184"/>
      <c r="L62" s="184"/>
      <c r="M62" s="11"/>
      <c r="N62" s="11"/>
      <c r="O62" s="195"/>
      <c r="P62" s="11"/>
      <c r="Q62" s="11"/>
      <c r="R62" s="12"/>
      <c r="S62" s="11"/>
      <c r="T62" s="220"/>
      <c r="U62" s="184"/>
      <c r="V62" s="184"/>
      <c r="W62" s="11"/>
      <c r="X62" s="11"/>
      <c r="Y62" s="220"/>
      <c r="Z62" s="184"/>
      <c r="AA62" s="184"/>
      <c r="AB62" s="11"/>
      <c r="AC62" s="11"/>
      <c r="AD62" s="220"/>
      <c r="AE62" s="184"/>
      <c r="AF62" s="184"/>
      <c r="AG62" s="11"/>
      <c r="AH62" s="11"/>
      <c r="AI62" s="220"/>
      <c r="AJ62" s="184"/>
      <c r="AK62" s="184"/>
      <c r="AL62" s="11"/>
      <c r="AM62" s="11"/>
      <c r="AN62" s="220"/>
      <c r="AO62" s="184"/>
      <c r="AP62" s="184"/>
      <c r="AQ62" s="11"/>
      <c r="AR62" s="11"/>
      <c r="AS62" s="220"/>
      <c r="AT62" s="184"/>
      <c r="AU62" s="184"/>
      <c r="AV62" s="11"/>
      <c r="AW62" s="11"/>
      <c r="AX62" s="220"/>
      <c r="AY62" s="184"/>
      <c r="AZ62" s="184"/>
      <c r="BA62" s="11"/>
      <c r="BB62" s="11"/>
      <c r="BC62" s="220"/>
      <c r="BD62" s="184"/>
      <c r="BE62" s="184"/>
      <c r="BF62" s="11"/>
      <c r="BG62" s="11"/>
      <c r="BH62" s="220"/>
      <c r="BI62" s="184"/>
      <c r="BJ62" s="184"/>
      <c r="BK62" s="184"/>
      <c r="BL62" s="184"/>
      <c r="BM62" s="184"/>
      <c r="BN62" s="184"/>
      <c r="BO62" s="184"/>
      <c r="BP62" s="184"/>
    </row>
    <row r="63">
      <c r="A63" s="243" t="s">
        <v>125</v>
      </c>
      <c r="B63" s="240"/>
      <c r="C63" s="11"/>
      <c r="D63" s="11"/>
      <c r="E63" s="220"/>
      <c r="F63" s="220"/>
      <c r="G63" s="220"/>
      <c r="H63" s="11"/>
      <c r="I63" s="11"/>
      <c r="J63" s="220"/>
      <c r="K63" s="184"/>
      <c r="L63" s="184"/>
      <c r="M63" s="11"/>
      <c r="N63" s="11"/>
      <c r="O63" s="195"/>
      <c r="P63" s="11"/>
      <c r="Q63" s="11"/>
      <c r="R63" s="12"/>
      <c r="S63" s="11"/>
      <c r="T63" s="220"/>
      <c r="U63" s="184"/>
      <c r="V63" s="184"/>
      <c r="W63" s="11"/>
      <c r="X63" s="11"/>
      <c r="Y63" s="220"/>
      <c r="Z63" s="184"/>
      <c r="AA63" s="184"/>
      <c r="AB63" s="11"/>
      <c r="AC63" s="11"/>
      <c r="AD63" s="220"/>
      <c r="AE63" s="184"/>
      <c r="AF63" s="184"/>
      <c r="AG63" s="11"/>
      <c r="AH63" s="11"/>
      <c r="AI63" s="220"/>
      <c r="AJ63" s="184"/>
      <c r="AK63" s="184"/>
      <c r="AL63" s="11"/>
      <c r="AM63" s="11"/>
      <c r="AN63" s="220"/>
      <c r="AO63" s="184"/>
      <c r="AP63" s="184"/>
      <c r="AQ63" s="11"/>
      <c r="AR63" s="11"/>
      <c r="AS63" s="220"/>
      <c r="AT63" s="184"/>
      <c r="AU63" s="184"/>
      <c r="AV63" s="11"/>
      <c r="AW63" s="11"/>
      <c r="AX63" s="220"/>
      <c r="AY63" s="184"/>
      <c r="AZ63" s="184"/>
      <c r="BA63" s="11"/>
      <c r="BB63" s="11"/>
      <c r="BC63" s="220"/>
      <c r="BD63" s="184"/>
      <c r="BE63" s="184"/>
      <c r="BF63" s="11"/>
      <c r="BG63" s="11"/>
      <c r="BH63" s="220"/>
      <c r="BI63" s="184"/>
      <c r="BJ63" s="184"/>
      <c r="BK63" s="184"/>
      <c r="BL63" s="184"/>
      <c r="BM63" s="184"/>
      <c r="BN63" s="184"/>
      <c r="BO63" s="184"/>
      <c r="BP63" s="184"/>
    </row>
    <row r="64">
      <c r="A64" s="245" t="str">
        <f>IF( $BB$11 = "再製作", "◼︎ トレンチコート（対応着地：再製作）" &amp;char(10)&amp; "《修正数値》", IF($BB$11 &lt;&gt; "", "◼︎ トレンチコート（対応着地：お直し）" &amp;char(10)&amp; "《修正数値》", ""))</f>
        <v/>
      </c>
      <c r="B64" s="240"/>
      <c r="C64" s="11"/>
      <c r="D64" s="11"/>
      <c r="E64" s="220"/>
      <c r="F64" s="220"/>
      <c r="G64" s="220"/>
      <c r="H64" s="11"/>
      <c r="I64" s="11"/>
      <c r="J64" s="220"/>
      <c r="K64" s="184"/>
      <c r="L64" s="184"/>
      <c r="M64" s="11"/>
      <c r="N64" s="11"/>
      <c r="O64" s="195"/>
      <c r="P64" s="11"/>
      <c r="Q64" s="11"/>
      <c r="R64" s="12"/>
      <c r="S64" s="11"/>
      <c r="T64" s="220"/>
      <c r="U64" s="184"/>
      <c r="V64" s="184"/>
      <c r="W64" s="11"/>
      <c r="X64" s="11"/>
      <c r="Y64" s="220"/>
      <c r="Z64" s="184"/>
      <c r="AA64" s="184"/>
      <c r="AB64" s="11"/>
      <c r="AC64" s="11"/>
      <c r="AD64" s="220"/>
      <c r="AE64" s="184"/>
      <c r="AF64" s="184"/>
      <c r="AG64" s="11"/>
      <c r="AH64" s="11"/>
      <c r="AI64" s="220"/>
      <c r="AJ64" s="184"/>
      <c r="AK64" s="184"/>
      <c r="AL64" s="11"/>
      <c r="AM64" s="11"/>
      <c r="AN64" s="220"/>
      <c r="AO64" s="184"/>
      <c r="AP64" s="184"/>
      <c r="AQ64" s="11"/>
      <c r="AR64" s="11"/>
      <c r="AS64" s="220"/>
      <c r="AT64" s="184"/>
      <c r="AU64" s="184"/>
      <c r="AV64" s="11"/>
      <c r="AW64" s="11"/>
      <c r="AX64" s="220"/>
      <c r="AY64" s="184"/>
      <c r="AZ64" s="184"/>
      <c r="BA64" s="11"/>
      <c r="BB64" s="11"/>
      <c r="BC64" s="220"/>
      <c r="BD64" s="184"/>
      <c r="BE64" s="184"/>
      <c r="BF64" s="11"/>
      <c r="BG64" s="11"/>
      <c r="BH64" s="220"/>
      <c r="BI64" s="184"/>
      <c r="BJ64" s="184"/>
      <c r="BK64" s="184"/>
      <c r="BL64" s="184"/>
      <c r="BM64" s="184"/>
      <c r="BN64" s="184"/>
      <c r="BO64" s="184"/>
      <c r="BP64" s="184"/>
    </row>
    <row r="65">
      <c r="A65" s="228" t="str">
        <f>IFERROR(__xludf.DUMMYFUNCTION("TEXTJOIN(CHAR(10),TRUE,FILTER(ARRAYFORMULA(IF(BC$14:BC72&lt;&gt;"""",BB$14:BB72&amp;"" : ""&amp; BC$14:BC72 &amp;"" cm"","""")), BB$14:BB72 &lt;&gt;""""))"),"")</f>
        <v/>
      </c>
      <c r="B65" s="240"/>
      <c r="C65" s="11"/>
      <c r="D65" s="11"/>
      <c r="E65" s="220"/>
      <c r="F65" s="220"/>
      <c r="G65" s="220"/>
      <c r="H65" s="11"/>
      <c r="I65" s="11"/>
      <c r="J65" s="220"/>
      <c r="K65" s="184"/>
      <c r="L65" s="184"/>
      <c r="M65" s="11"/>
      <c r="N65" s="11"/>
      <c r="O65" s="195"/>
      <c r="P65" s="11"/>
      <c r="Q65" s="11"/>
      <c r="R65" s="12"/>
      <c r="S65" s="11"/>
      <c r="T65" s="220"/>
      <c r="U65" s="184"/>
      <c r="V65" s="184"/>
      <c r="W65" s="11"/>
      <c r="X65" s="11"/>
      <c r="Y65" s="220"/>
      <c r="Z65" s="184"/>
      <c r="AA65" s="184"/>
      <c r="AB65" s="11"/>
      <c r="AC65" s="11"/>
      <c r="AD65" s="220"/>
      <c r="AE65" s="184"/>
      <c r="AF65" s="184"/>
      <c r="AG65" s="11"/>
      <c r="AH65" s="11"/>
      <c r="AI65" s="220"/>
      <c r="AJ65" s="184"/>
      <c r="AK65" s="184"/>
      <c r="AL65" s="11"/>
      <c r="AM65" s="11"/>
      <c r="AN65" s="220"/>
      <c r="AO65" s="184"/>
      <c r="AP65" s="184"/>
      <c r="AQ65" s="11"/>
      <c r="AR65" s="11"/>
      <c r="AS65" s="220"/>
      <c r="AT65" s="184"/>
      <c r="AU65" s="184"/>
      <c r="AV65" s="11"/>
      <c r="AW65" s="11"/>
      <c r="AX65" s="220"/>
      <c r="AY65" s="184"/>
      <c r="AZ65" s="184"/>
      <c r="BA65" s="11"/>
      <c r="BB65" s="11"/>
      <c r="BC65" s="220"/>
      <c r="BD65" s="184"/>
      <c r="BE65" s="184"/>
      <c r="BF65" s="11"/>
      <c r="BG65" s="11"/>
      <c r="BH65" s="220"/>
      <c r="BI65" s="184"/>
      <c r="BJ65" s="184"/>
      <c r="BK65" s="184"/>
      <c r="BL65" s="184"/>
      <c r="BM65" s="184"/>
      <c r="BN65" s="184"/>
      <c r="BO65" s="184"/>
      <c r="BP65" s="184"/>
    </row>
    <row r="66">
      <c r="A66" s="244" t="str">
        <f>if($A$64&lt;&gt;"", "《仕上がり数値》","")</f>
        <v/>
      </c>
      <c r="B66" s="240"/>
      <c r="C66" s="11"/>
      <c r="D66" s="11"/>
      <c r="E66" s="220"/>
      <c r="F66" s="220"/>
      <c r="G66" s="220"/>
      <c r="H66" s="11"/>
      <c r="I66" s="11"/>
      <c r="J66" s="220"/>
      <c r="K66" s="184"/>
      <c r="L66" s="184"/>
      <c r="M66" s="11"/>
      <c r="N66" s="11"/>
      <c r="O66" s="195"/>
      <c r="P66" s="11"/>
      <c r="Q66" s="11"/>
      <c r="R66" s="12"/>
      <c r="S66" s="11"/>
      <c r="T66" s="220"/>
      <c r="U66" s="184"/>
      <c r="V66" s="184"/>
      <c r="W66" s="11"/>
      <c r="X66" s="11"/>
      <c r="Y66" s="220"/>
      <c r="Z66" s="184"/>
      <c r="AA66" s="184"/>
      <c r="AB66" s="11"/>
      <c r="AC66" s="11"/>
      <c r="AD66" s="220"/>
      <c r="AE66" s="184"/>
      <c r="AF66" s="184"/>
      <c r="AG66" s="11"/>
      <c r="AH66" s="11"/>
      <c r="AI66" s="220"/>
      <c r="AJ66" s="184"/>
      <c r="AK66" s="184"/>
      <c r="AL66" s="11"/>
      <c r="AM66" s="11"/>
      <c r="AN66" s="220"/>
      <c r="AO66" s="184"/>
      <c r="AP66" s="184"/>
      <c r="AQ66" s="11"/>
      <c r="AR66" s="11"/>
      <c r="AS66" s="220"/>
      <c r="AT66" s="184"/>
      <c r="AU66" s="184"/>
      <c r="AV66" s="11"/>
      <c r="AW66" s="11"/>
      <c r="AX66" s="220"/>
      <c r="AY66" s="184"/>
      <c r="AZ66" s="184"/>
      <c r="BA66" s="11"/>
      <c r="BB66" s="11"/>
      <c r="BC66" s="220"/>
      <c r="BD66" s="184"/>
      <c r="BE66" s="184"/>
      <c r="BF66" s="11"/>
      <c r="BG66" s="11"/>
      <c r="BH66" s="220"/>
      <c r="BI66" s="184"/>
      <c r="BJ66" s="184"/>
      <c r="BK66" s="184"/>
      <c r="BL66" s="184"/>
      <c r="BM66" s="184"/>
      <c r="BN66" s="184"/>
      <c r="BO66" s="184"/>
      <c r="BP66" s="184"/>
    </row>
    <row r="67">
      <c r="A67" s="228" t="str">
        <f>IFERROR(__xludf.DUMMYFUNCTION("TEXTJOIN(CHAR(10),TRUE,FILTER(ARRAYFORMULA(IF(BC$14:BC72&lt;&gt;"""",BB$14:BB72&amp;"" :  cm"","""")), BB$14:BB72 &lt;&gt;""""))"),"")</f>
        <v/>
      </c>
      <c r="B67" s="240"/>
      <c r="C67" s="11"/>
      <c r="D67" s="11"/>
      <c r="E67" s="220"/>
      <c r="F67" s="220"/>
      <c r="G67" s="220"/>
      <c r="H67" s="11"/>
      <c r="I67" s="11"/>
      <c r="J67" s="220"/>
      <c r="K67" s="184"/>
      <c r="L67" s="184"/>
      <c r="M67" s="11"/>
      <c r="N67" s="11"/>
      <c r="O67" s="195"/>
      <c r="P67" s="11"/>
      <c r="Q67" s="11"/>
      <c r="R67" s="12"/>
      <c r="S67" s="11"/>
      <c r="T67" s="220"/>
      <c r="U67" s="184"/>
      <c r="V67" s="184"/>
      <c r="W67" s="11"/>
      <c r="X67" s="11"/>
      <c r="Y67" s="220"/>
      <c r="Z67" s="184"/>
      <c r="AA67" s="184"/>
      <c r="AB67" s="11"/>
      <c r="AC67" s="11"/>
      <c r="AD67" s="220"/>
      <c r="AE67" s="184"/>
      <c r="AF67" s="184"/>
      <c r="AG67" s="11"/>
      <c r="AH67" s="11"/>
      <c r="AI67" s="220"/>
      <c r="AJ67" s="184"/>
      <c r="AK67" s="184"/>
      <c r="AL67" s="11"/>
      <c r="AM67" s="11"/>
      <c r="AN67" s="220"/>
      <c r="AO67" s="184"/>
      <c r="AP67" s="184"/>
      <c r="AQ67" s="11"/>
      <c r="AR67" s="11"/>
      <c r="AS67" s="220"/>
      <c r="AT67" s="184"/>
      <c r="AU67" s="184"/>
      <c r="AV67" s="11"/>
      <c r="AW67" s="11"/>
      <c r="AX67" s="220"/>
      <c r="AY67" s="184"/>
      <c r="AZ67" s="184"/>
      <c r="BA67" s="11"/>
      <c r="BB67" s="11"/>
      <c r="BC67" s="220"/>
      <c r="BD67" s="184"/>
      <c r="BE67" s="184"/>
      <c r="BF67" s="11"/>
      <c r="BG67" s="11"/>
      <c r="BH67" s="220"/>
      <c r="BI67" s="184"/>
      <c r="BJ67" s="184"/>
      <c r="BK67" s="184"/>
      <c r="BL67" s="184"/>
      <c r="BM67" s="184"/>
      <c r="BN67" s="184"/>
      <c r="BO67" s="184"/>
      <c r="BP67" s="184"/>
    </row>
    <row r="68">
      <c r="A68" s="243" t="s">
        <v>126</v>
      </c>
      <c r="B68" s="240"/>
      <c r="C68" s="11"/>
      <c r="D68" s="11"/>
      <c r="E68" s="220"/>
      <c r="F68" s="220"/>
      <c r="G68" s="220"/>
      <c r="H68" s="11"/>
      <c r="I68" s="11"/>
      <c r="J68" s="220"/>
      <c r="K68" s="184"/>
      <c r="L68" s="184"/>
      <c r="M68" s="11"/>
      <c r="N68" s="11"/>
      <c r="O68" s="195"/>
      <c r="P68" s="11"/>
      <c r="Q68" s="11"/>
      <c r="R68" s="12"/>
      <c r="S68" s="11"/>
      <c r="T68" s="220"/>
      <c r="U68" s="184"/>
      <c r="V68" s="184"/>
      <c r="W68" s="11"/>
      <c r="X68" s="11"/>
      <c r="Y68" s="220"/>
      <c r="Z68" s="184"/>
      <c r="AA68" s="184"/>
      <c r="AB68" s="11"/>
      <c r="AC68" s="11"/>
      <c r="AD68" s="220"/>
      <c r="AE68" s="184"/>
      <c r="AF68" s="184"/>
      <c r="AG68" s="11"/>
      <c r="AH68" s="11"/>
      <c r="AI68" s="220"/>
      <c r="AJ68" s="184"/>
      <c r="AK68" s="184"/>
      <c r="AL68" s="11"/>
      <c r="AM68" s="11"/>
      <c r="AN68" s="220"/>
      <c r="AO68" s="184"/>
      <c r="AP68" s="184"/>
      <c r="AQ68" s="11"/>
      <c r="AR68" s="11"/>
      <c r="AS68" s="220"/>
      <c r="AT68" s="184"/>
      <c r="AU68" s="184"/>
      <c r="AV68" s="11"/>
      <c r="AW68" s="11"/>
      <c r="AX68" s="220"/>
      <c r="AY68" s="184"/>
      <c r="AZ68" s="184"/>
      <c r="BA68" s="11"/>
      <c r="BB68" s="11"/>
      <c r="BC68" s="220"/>
      <c r="BD68" s="184"/>
      <c r="BE68" s="184"/>
      <c r="BF68" s="11"/>
      <c r="BG68" s="11"/>
      <c r="BH68" s="220"/>
      <c r="BI68" s="184"/>
      <c r="BJ68" s="184"/>
      <c r="BK68" s="184"/>
      <c r="BL68" s="184"/>
      <c r="BM68" s="184"/>
      <c r="BN68" s="184"/>
      <c r="BO68" s="184"/>
      <c r="BP68" s="184"/>
    </row>
    <row r="69">
      <c r="A69" s="245" t="str">
        <f>IF( $BG$11 = "再製作", "◼︎ フーデッドコート（対応着地：再製作）"&amp;char(10)&amp;"《修正数値》", IF($BG$11 &lt;&gt; "", "◼︎ フーデッドコート（対応着地：お直し）"&amp;char(10)&amp;"《修正数値》", ""))</f>
        <v/>
      </c>
      <c r="B69" s="240"/>
      <c r="C69" s="11"/>
      <c r="D69" s="11"/>
      <c r="E69" s="220"/>
      <c r="F69" s="220"/>
      <c r="G69" s="220"/>
      <c r="H69" s="11"/>
      <c r="I69" s="11"/>
      <c r="J69" s="220"/>
      <c r="K69" s="184"/>
      <c r="L69" s="184"/>
      <c r="M69" s="11"/>
      <c r="N69" s="11"/>
      <c r="O69" s="195"/>
      <c r="P69" s="11"/>
      <c r="Q69" s="11"/>
      <c r="R69" s="12"/>
      <c r="S69" s="11"/>
      <c r="T69" s="220"/>
      <c r="U69" s="184"/>
      <c r="V69" s="184"/>
      <c r="W69" s="11"/>
      <c r="X69" s="11"/>
      <c r="Y69" s="220"/>
      <c r="Z69" s="184"/>
      <c r="AA69" s="184"/>
      <c r="AB69" s="11"/>
      <c r="AC69" s="11"/>
      <c r="AD69" s="220"/>
      <c r="AE69" s="184"/>
      <c r="AF69" s="184"/>
      <c r="AG69" s="11"/>
      <c r="AH69" s="11"/>
      <c r="AI69" s="220"/>
      <c r="AJ69" s="184"/>
      <c r="AK69" s="184"/>
      <c r="AL69" s="11"/>
      <c r="AM69" s="11"/>
      <c r="AN69" s="220"/>
      <c r="AO69" s="184"/>
      <c r="AP69" s="184"/>
      <c r="AQ69" s="11"/>
      <c r="AR69" s="11"/>
      <c r="AS69" s="220"/>
      <c r="AT69" s="184"/>
      <c r="AU69" s="184"/>
      <c r="AV69" s="11"/>
      <c r="AW69" s="11"/>
      <c r="AX69" s="220"/>
      <c r="AY69" s="184"/>
      <c r="AZ69" s="184"/>
      <c r="BA69" s="11"/>
      <c r="BB69" s="11"/>
      <c r="BC69" s="220"/>
      <c r="BD69" s="184"/>
      <c r="BE69" s="184"/>
      <c r="BF69" s="11"/>
      <c r="BG69" s="11"/>
      <c r="BH69" s="220"/>
      <c r="BI69" s="184"/>
      <c r="BJ69" s="184"/>
      <c r="BK69" s="184"/>
      <c r="BL69" s="184"/>
      <c r="BM69" s="184"/>
      <c r="BN69" s="184"/>
      <c r="BO69" s="184"/>
      <c r="BP69" s="184"/>
    </row>
    <row r="70">
      <c r="A70" s="228" t="str">
        <f>IFERROR(__xludf.DUMMYFUNCTION("TEXTJOIN(CHAR(10),TRUE,FILTER(ARRAYFORMULA(IF(BH$14:BH72&lt;&gt;"""",BG$14:BG72&amp;"" : ""&amp; BH$14:BH72 &amp;"" cm"","""")), BG$14:BG72 &lt;&gt;""""))"),"")</f>
        <v/>
      </c>
      <c r="B70" s="240"/>
      <c r="C70" s="11"/>
      <c r="D70" s="11"/>
      <c r="E70" s="220"/>
      <c r="F70" s="220"/>
      <c r="G70" s="220"/>
      <c r="H70" s="11"/>
      <c r="I70" s="11"/>
      <c r="J70" s="220"/>
      <c r="K70" s="184"/>
      <c r="L70" s="184"/>
      <c r="M70" s="11"/>
      <c r="N70" s="11"/>
      <c r="O70" s="195"/>
      <c r="P70" s="11"/>
      <c r="Q70" s="11"/>
      <c r="R70" s="12"/>
      <c r="S70" s="11"/>
      <c r="T70" s="220"/>
      <c r="U70" s="184"/>
      <c r="V70" s="184"/>
      <c r="W70" s="11"/>
      <c r="X70" s="11"/>
      <c r="Y70" s="220"/>
      <c r="Z70" s="184"/>
      <c r="AA70" s="184"/>
      <c r="AB70" s="11"/>
      <c r="AC70" s="11"/>
      <c r="AD70" s="220"/>
      <c r="AE70" s="184"/>
      <c r="AF70" s="184"/>
      <c r="AG70" s="11"/>
      <c r="AH70" s="11"/>
      <c r="AI70" s="220"/>
      <c r="AJ70" s="184"/>
      <c r="AK70" s="184"/>
      <c r="AL70" s="11"/>
      <c r="AM70" s="11"/>
      <c r="AN70" s="220"/>
      <c r="AO70" s="184"/>
      <c r="AP70" s="184"/>
      <c r="AQ70" s="11"/>
      <c r="AR70" s="11"/>
      <c r="AS70" s="220"/>
      <c r="AT70" s="184"/>
      <c r="AU70" s="184"/>
      <c r="AV70" s="11"/>
      <c r="AW70" s="11"/>
      <c r="AX70" s="220"/>
      <c r="AY70" s="184"/>
      <c r="AZ70" s="184"/>
      <c r="BA70" s="11"/>
      <c r="BB70" s="11"/>
      <c r="BC70" s="220"/>
      <c r="BD70" s="184"/>
      <c r="BE70" s="184"/>
      <c r="BF70" s="11"/>
      <c r="BG70" s="11"/>
      <c r="BH70" s="220"/>
      <c r="BI70" s="184"/>
      <c r="BJ70" s="184"/>
      <c r="BK70" s="184"/>
      <c r="BL70" s="184"/>
      <c r="BM70" s="184"/>
      <c r="BN70" s="184"/>
      <c r="BO70" s="184"/>
      <c r="BP70" s="184"/>
    </row>
    <row r="71">
      <c r="A71" s="244" t="str">
        <f>if($A$69&lt;&gt;"", "《仕上がり数値》","")</f>
        <v/>
      </c>
      <c r="B71" s="240"/>
      <c r="C71" s="11"/>
      <c r="D71" s="11"/>
      <c r="E71" s="220"/>
      <c r="F71" s="220"/>
      <c r="G71" s="220"/>
      <c r="H71" s="11"/>
      <c r="I71" s="11"/>
      <c r="J71" s="220"/>
      <c r="K71" s="184"/>
      <c r="L71" s="184"/>
      <c r="M71" s="11"/>
      <c r="N71" s="11"/>
      <c r="O71" s="195"/>
      <c r="P71" s="11"/>
      <c r="Q71" s="11"/>
      <c r="R71" s="12"/>
      <c r="S71" s="11"/>
      <c r="T71" s="220"/>
      <c r="U71" s="184"/>
      <c r="V71" s="184"/>
      <c r="W71" s="11"/>
      <c r="X71" s="11"/>
      <c r="Y71" s="220"/>
      <c r="Z71" s="184"/>
      <c r="AA71" s="184"/>
      <c r="AB71" s="11"/>
      <c r="AC71" s="11"/>
      <c r="AD71" s="220"/>
      <c r="AE71" s="184"/>
      <c r="AF71" s="184"/>
      <c r="AG71" s="11"/>
      <c r="AH71" s="11"/>
      <c r="AI71" s="220"/>
      <c r="AJ71" s="184"/>
      <c r="AK71" s="184"/>
      <c r="AL71" s="11"/>
      <c r="AM71" s="11"/>
      <c r="AN71" s="220"/>
      <c r="AO71" s="184"/>
      <c r="AP71" s="184"/>
      <c r="AQ71" s="11"/>
      <c r="AR71" s="11"/>
      <c r="AS71" s="220"/>
      <c r="AT71" s="184"/>
      <c r="AU71" s="184"/>
      <c r="AV71" s="11"/>
      <c r="AW71" s="11"/>
      <c r="AX71" s="220"/>
      <c r="AY71" s="184"/>
      <c r="AZ71" s="184"/>
      <c r="BA71" s="11"/>
      <c r="BB71" s="11"/>
      <c r="BC71" s="220"/>
      <c r="BD71" s="184"/>
      <c r="BE71" s="184"/>
      <c r="BF71" s="11"/>
      <c r="BG71" s="11"/>
      <c r="BH71" s="220"/>
      <c r="BI71" s="184"/>
      <c r="BJ71" s="184"/>
      <c r="BK71" s="184"/>
      <c r="BL71" s="184"/>
      <c r="BM71" s="184"/>
      <c r="BN71" s="184"/>
      <c r="BO71" s="184"/>
      <c r="BP71" s="184"/>
    </row>
    <row r="72">
      <c r="A72" s="228" t="str">
        <f>IFERROR(__xludf.DUMMYFUNCTION("TEXTJOIN(CHAR(10),TRUE,FILTER(ARRAYFORMULA(IF(BH$14:BH72&lt;&gt;"""",BG$14:BG72&amp;"" :  cm"","""")), BG$14:BG72 &lt;&gt;""""))"),"")</f>
        <v/>
      </c>
      <c r="B72" s="240"/>
      <c r="C72" s="11"/>
      <c r="D72" s="11"/>
      <c r="E72" s="220"/>
      <c r="F72" s="220"/>
      <c r="G72" s="220"/>
      <c r="H72" s="11"/>
      <c r="I72" s="11"/>
      <c r="J72" s="220"/>
      <c r="K72" s="184"/>
      <c r="L72" s="184"/>
      <c r="M72" s="11"/>
      <c r="N72" s="11"/>
      <c r="O72" s="195"/>
      <c r="P72" s="11"/>
      <c r="Q72" s="11"/>
      <c r="R72" s="12"/>
      <c r="S72" s="11"/>
      <c r="T72" s="220"/>
      <c r="U72" s="184"/>
      <c r="V72" s="184"/>
      <c r="W72" s="11"/>
      <c r="X72" s="11"/>
      <c r="Y72" s="220"/>
      <c r="Z72" s="184"/>
      <c r="AA72" s="184"/>
      <c r="AB72" s="11"/>
      <c r="AC72" s="11"/>
      <c r="AD72" s="220"/>
      <c r="AE72" s="184"/>
      <c r="AF72" s="184"/>
      <c r="AG72" s="11"/>
      <c r="AH72" s="11"/>
      <c r="AI72" s="220"/>
      <c r="AJ72" s="184"/>
      <c r="AK72" s="184"/>
      <c r="AL72" s="11"/>
      <c r="AM72" s="11"/>
      <c r="AN72" s="220"/>
      <c r="AO72" s="184"/>
      <c r="AP72" s="184"/>
      <c r="AQ72" s="11"/>
      <c r="AR72" s="11"/>
      <c r="AS72" s="220"/>
      <c r="AT72" s="184"/>
      <c r="AU72" s="184"/>
      <c r="AV72" s="11"/>
      <c r="AW72" s="11"/>
      <c r="AX72" s="220"/>
      <c r="AY72" s="184"/>
      <c r="AZ72" s="184"/>
      <c r="BA72" s="11"/>
      <c r="BB72" s="11"/>
      <c r="BC72" s="220"/>
      <c r="BD72" s="184"/>
      <c r="BE72" s="184"/>
      <c r="BF72" s="11"/>
      <c r="BG72" s="11"/>
      <c r="BH72" s="220"/>
      <c r="BI72" s="184"/>
      <c r="BJ72" s="184"/>
      <c r="BK72" s="184"/>
      <c r="BL72" s="184"/>
      <c r="BM72" s="184"/>
      <c r="BN72" s="184"/>
      <c r="BO72" s="184"/>
      <c r="BP72" s="184"/>
    </row>
  </sheetData>
  <mergeCells count="1">
    <mergeCell ref="D5:G5"/>
  </mergeCells>
  <hyperlinks>
    <hyperlink r:id="rId1" location="gid=1551873484" ref="K5"/>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2.63" defaultRowHeight="15.75"/>
  <cols>
    <col customWidth="1" hidden="1" min="1" max="2" width="20.88"/>
    <col customWidth="1" min="3" max="3" width="3.88"/>
    <col customWidth="1" min="4" max="4" width="25.13"/>
    <col customWidth="1" min="5" max="6" width="12.63"/>
    <col customWidth="1" hidden="1" min="7" max="7" width="12.63"/>
    <col customWidth="1" min="8" max="8" width="6.38"/>
    <col customWidth="1" min="9" max="9" width="25.13"/>
    <col customWidth="1" min="10" max="11" width="12.63"/>
    <col customWidth="1" hidden="1" min="12" max="12" width="12.63"/>
    <col customWidth="1" min="13" max="13" width="6.38"/>
    <col customWidth="1" min="14" max="14" width="25.13"/>
    <col customWidth="1" min="15" max="16" width="12.63"/>
    <col customWidth="1" hidden="1" min="17" max="17" width="12.63"/>
    <col customWidth="1" min="18" max="18" width="6.25"/>
    <col customWidth="1" min="19" max="19" width="25.13"/>
    <col customWidth="1" min="20" max="21" width="12.63"/>
    <col customWidth="1" hidden="1" min="22" max="22" width="12.63"/>
    <col customWidth="1" min="23" max="23" width="6.38"/>
    <col customWidth="1" min="24" max="24" width="25.13"/>
    <col customWidth="1" min="25" max="26" width="12.63"/>
    <col customWidth="1" hidden="1" min="27" max="27" width="12.63"/>
    <col customWidth="1" min="28" max="28" width="6.38"/>
    <col customWidth="1" min="29" max="29" width="25.13"/>
    <col customWidth="1" min="30" max="31" width="12.63"/>
    <col customWidth="1" hidden="1" min="32" max="32" width="12.63"/>
    <col customWidth="1" min="33" max="33" width="7.13"/>
    <col customWidth="1" min="34" max="34" width="25.13"/>
    <col customWidth="1" min="35" max="36" width="12.63"/>
    <col customWidth="1" hidden="1" min="37" max="37" width="12.63"/>
    <col customWidth="1" min="38" max="38" width="7.13"/>
    <col customWidth="1" min="39" max="39" width="25.13"/>
    <col customWidth="1" min="40" max="41" width="12.63"/>
    <col customWidth="1" hidden="1" min="42" max="42" width="12.63"/>
    <col customWidth="1" min="43" max="43" width="7.13"/>
    <col customWidth="1" min="44" max="44" width="25.13"/>
    <col customWidth="1" min="45" max="46" width="12.63"/>
    <col customWidth="1" hidden="1" min="47" max="47" width="12.63"/>
    <col customWidth="1" min="48" max="48" width="12.63"/>
    <col customWidth="1" min="49" max="49" width="25.13"/>
    <col customWidth="1" min="50" max="51" width="12.63"/>
    <col customWidth="1" hidden="1" min="52" max="52" width="12.63"/>
    <col customWidth="1" min="53" max="53" width="12.63"/>
    <col customWidth="1" min="54" max="54" width="25.13"/>
    <col customWidth="1" min="55" max="56" width="12.63"/>
    <col customWidth="1" hidden="1" min="57" max="57" width="12.63"/>
    <col customWidth="1" min="58" max="58" width="12.63"/>
    <col customWidth="1" min="59" max="59" width="25.13"/>
    <col customWidth="1" min="60" max="61" width="12.63"/>
    <col customWidth="1" hidden="1" min="62" max="62" width="12.63"/>
    <col customWidth="1" min="63" max="68" width="12.63"/>
  </cols>
  <sheetData>
    <row r="1">
      <c r="A1" s="282">
        <f>today()</f>
        <v>45991</v>
      </c>
      <c r="B1" s="283"/>
      <c r="C1" s="284"/>
      <c r="D1" s="285" t="s">
        <v>17</v>
      </c>
      <c r="E1" s="286"/>
      <c r="F1" s="286"/>
      <c r="G1" s="286"/>
      <c r="H1" s="287"/>
      <c r="I1" s="284" t="s">
        <v>151</v>
      </c>
      <c r="J1" s="286"/>
      <c r="K1" s="286"/>
      <c r="L1" s="286"/>
      <c r="M1" s="287"/>
      <c r="N1" s="286"/>
      <c r="O1" s="286"/>
      <c r="P1" s="286"/>
      <c r="Q1" s="286"/>
      <c r="R1" s="287"/>
      <c r="S1" s="287"/>
      <c r="T1" s="288"/>
      <c r="U1" s="288"/>
      <c r="V1" s="288"/>
      <c r="W1" s="287"/>
      <c r="X1" s="286"/>
      <c r="Y1" s="288"/>
      <c r="Z1" s="288"/>
      <c r="AA1" s="288"/>
      <c r="AB1" s="287"/>
      <c r="AC1" s="286"/>
      <c r="AD1" s="288"/>
      <c r="AE1" s="288"/>
      <c r="AF1" s="288"/>
      <c r="AG1" s="287"/>
      <c r="AH1" s="286"/>
      <c r="AI1" s="288"/>
      <c r="AJ1" s="288"/>
      <c r="AK1" s="288"/>
      <c r="AL1" s="287"/>
      <c r="AM1" s="286"/>
      <c r="AN1" s="288"/>
      <c r="AO1" s="288"/>
      <c r="AP1" s="288"/>
      <c r="AQ1" s="287"/>
      <c r="AR1" s="286"/>
      <c r="AS1" s="288"/>
      <c r="AT1" s="288"/>
      <c r="AU1" s="288"/>
      <c r="AV1" s="287"/>
      <c r="AW1" s="286"/>
      <c r="AX1" s="288"/>
      <c r="AY1" s="288"/>
      <c r="AZ1" s="288"/>
      <c r="BA1" s="287"/>
      <c r="BB1" s="286"/>
      <c r="BC1" s="288"/>
      <c r="BD1" s="288"/>
      <c r="BE1" s="288"/>
      <c r="BF1" s="287"/>
      <c r="BG1" s="286"/>
      <c r="BH1" s="288"/>
      <c r="BI1" s="288"/>
      <c r="BJ1" s="288"/>
      <c r="BK1" s="288"/>
      <c r="BL1" s="288"/>
      <c r="BM1" s="288"/>
      <c r="BN1" s="288"/>
      <c r="BO1" s="288"/>
      <c r="BP1" s="288"/>
    </row>
    <row r="2">
      <c r="A2" s="11"/>
      <c r="B2" s="183"/>
      <c r="C2" s="12"/>
      <c r="D2" s="12"/>
      <c r="E2" s="12"/>
      <c r="F2" s="12"/>
      <c r="G2" s="12"/>
      <c r="H2" s="11"/>
      <c r="I2" s="11"/>
      <c r="J2" s="12"/>
      <c r="K2" s="12"/>
      <c r="L2" s="12"/>
      <c r="M2" s="11"/>
      <c r="N2" s="12"/>
      <c r="O2" s="12"/>
      <c r="P2" s="12"/>
      <c r="Q2" s="12"/>
      <c r="R2" s="11"/>
      <c r="S2" s="11"/>
      <c r="T2" s="184"/>
      <c r="U2" s="184"/>
      <c r="V2" s="184"/>
      <c r="W2" s="11"/>
      <c r="X2" s="12"/>
      <c r="Y2" s="184"/>
      <c r="Z2" s="184"/>
      <c r="AA2" s="184"/>
      <c r="AB2" s="11"/>
      <c r="AC2" s="12"/>
      <c r="AD2" s="184"/>
      <c r="AE2" s="184"/>
      <c r="AF2" s="184"/>
      <c r="AG2" s="11"/>
      <c r="AH2" s="12"/>
      <c r="AI2" s="184"/>
      <c r="AJ2" s="184"/>
      <c r="AK2" s="184"/>
      <c r="AL2" s="11"/>
      <c r="AM2" s="12"/>
      <c r="AN2" s="184"/>
      <c r="AO2" s="184"/>
      <c r="AP2" s="184"/>
      <c r="AQ2" s="11"/>
      <c r="AR2" s="12"/>
      <c r="AS2" s="184"/>
      <c r="AT2" s="184"/>
      <c r="AU2" s="184"/>
      <c r="AV2" s="11"/>
      <c r="AW2" s="12"/>
      <c r="AX2" s="184"/>
      <c r="AY2" s="184"/>
      <c r="AZ2" s="184"/>
      <c r="BA2" s="11"/>
      <c r="BB2" s="12"/>
      <c r="BC2" s="184"/>
      <c r="BD2" s="184"/>
      <c r="BE2" s="184"/>
      <c r="BF2" s="11"/>
      <c r="BG2" s="12"/>
      <c r="BH2" s="184"/>
      <c r="BI2" s="184"/>
      <c r="BJ2" s="184"/>
      <c r="BK2" s="184"/>
      <c r="BL2" s="184"/>
      <c r="BM2" s="184"/>
      <c r="BN2" s="184"/>
      <c r="BO2" s="184"/>
      <c r="BP2" s="184"/>
    </row>
    <row r="3">
      <c r="A3" s="12"/>
      <c r="B3" s="185"/>
      <c r="C3" s="12"/>
      <c r="D3" s="12" t="str">
        <f t="array" ref="D3:D5">index(A3:A5,0)</f>
        <v/>
      </c>
      <c r="E3" s="12"/>
      <c r="F3" s="12"/>
      <c r="G3" s="12"/>
      <c r="H3" s="11"/>
      <c r="I3" s="11"/>
      <c r="J3" s="12"/>
      <c r="K3" s="12"/>
      <c r="L3" s="12"/>
      <c r="M3" s="11"/>
      <c r="N3" s="12"/>
      <c r="O3" s="12"/>
      <c r="P3" s="12"/>
      <c r="Q3" s="12"/>
      <c r="R3" s="11"/>
      <c r="S3" s="11"/>
      <c r="T3" s="184"/>
      <c r="U3" s="184"/>
      <c r="V3" s="184"/>
      <c r="W3" s="11"/>
      <c r="X3" s="12"/>
      <c r="Y3" s="184"/>
      <c r="Z3" s="184"/>
      <c r="AA3" s="184"/>
      <c r="AB3" s="11"/>
      <c r="AC3" s="12"/>
      <c r="AD3" s="184"/>
      <c r="AE3" s="184"/>
      <c r="AF3" s="184"/>
      <c r="AG3" s="11"/>
      <c r="AH3" s="12"/>
      <c r="AI3" s="184"/>
      <c r="AJ3" s="184"/>
      <c r="AK3" s="184"/>
      <c r="AL3" s="11"/>
      <c r="AM3" s="12"/>
      <c r="AN3" s="184"/>
      <c r="AO3" s="184"/>
      <c r="AP3" s="184"/>
      <c r="AQ3" s="11"/>
      <c r="AR3" s="12"/>
      <c r="AS3" s="184"/>
      <c r="AT3" s="184"/>
      <c r="AU3" s="184"/>
      <c r="AV3" s="11"/>
      <c r="AW3" s="12"/>
      <c r="AX3" s="184"/>
      <c r="AY3" s="184"/>
      <c r="AZ3" s="184"/>
      <c r="BA3" s="11"/>
      <c r="BB3" s="12"/>
      <c r="BC3" s="184"/>
      <c r="BD3" s="184"/>
      <c r="BE3" s="184"/>
      <c r="BF3" s="11"/>
      <c r="BG3" s="12"/>
      <c r="BH3" s="184"/>
      <c r="BI3" s="184"/>
      <c r="BJ3" s="184"/>
      <c r="BK3" s="184"/>
      <c r="BL3" s="184"/>
      <c r="BM3" s="184"/>
      <c r="BN3" s="184"/>
      <c r="BO3" s="184"/>
      <c r="BP3" s="184"/>
    </row>
    <row r="4">
      <c r="A4" s="186" t="s">
        <v>28</v>
      </c>
      <c r="B4" s="185"/>
      <c r="C4" s="12"/>
      <c r="D4" s="12" t="s">
        <v>28</v>
      </c>
      <c r="E4" s="12"/>
      <c r="F4" s="12"/>
      <c r="G4" s="12"/>
      <c r="H4" s="11"/>
      <c r="I4" s="11"/>
      <c r="J4" s="12"/>
      <c r="K4" s="12"/>
      <c r="L4" s="12"/>
      <c r="M4" s="11"/>
      <c r="N4" s="12"/>
      <c r="O4" s="12"/>
      <c r="P4" s="12"/>
      <c r="Q4" s="12"/>
      <c r="R4" s="11"/>
      <c r="S4" s="11"/>
      <c r="T4" s="184"/>
      <c r="U4" s="184"/>
      <c r="V4" s="184"/>
      <c r="W4" s="11"/>
      <c r="X4" s="12"/>
      <c r="Y4" s="184"/>
      <c r="Z4" s="184"/>
      <c r="AA4" s="184"/>
      <c r="AB4" s="11"/>
      <c r="AC4" s="12"/>
      <c r="AD4" s="184"/>
      <c r="AE4" s="184"/>
      <c r="AF4" s="184"/>
      <c r="AG4" s="11"/>
      <c r="AH4" s="12"/>
      <c r="AI4" s="184"/>
      <c r="AJ4" s="184"/>
      <c r="AK4" s="184"/>
      <c r="AL4" s="11"/>
      <c r="AM4" s="12"/>
      <c r="AN4" s="184"/>
      <c r="AO4" s="184"/>
      <c r="AP4" s="184"/>
      <c r="AQ4" s="11"/>
      <c r="AR4" s="12"/>
      <c r="AS4" s="184"/>
      <c r="AT4" s="184"/>
      <c r="AU4" s="184"/>
      <c r="AV4" s="11"/>
      <c r="AW4" s="12"/>
      <c r="AX4" s="184"/>
      <c r="AY4" s="184"/>
      <c r="AZ4" s="184"/>
      <c r="BA4" s="11"/>
      <c r="BB4" s="12"/>
      <c r="BC4" s="184"/>
      <c r="BD4" s="184"/>
      <c r="BE4" s="184"/>
      <c r="BF4" s="11"/>
      <c r="BG4" s="12"/>
      <c r="BH4" s="184"/>
      <c r="BI4" s="184"/>
      <c r="BJ4" s="184"/>
      <c r="BK4" s="184"/>
      <c r="BL4" s="184"/>
      <c r="BM4" s="184"/>
      <c r="BN4" s="184"/>
      <c r="BO4" s="184"/>
      <c r="BP4" s="184"/>
    </row>
    <row r="5" ht="225.0" customHeight="1">
      <c r="A5" s="187" t="str">
        <f>$A$7 &amp; $A$8 &amp; CHAR(10) &amp; $A$10 &amp; CHAR(10) &amp; CHAR(10) &amp; $A$11</f>
        <v>FABRIC TOKYO 横浜 2025-11-30 お直し適用サイズ
◼︎ ステンカラーコート（対応着地：お直し）
《修正数値》
ウエスト : -4 cm
着丈 : -5 cm
裾まわり : -4 cm
《仕上がり数値》
ウエスト : cm
着丈 : cm
裾まわり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v>
      </c>
      <c r="B5" s="188" t="str">
        <f>"【お直し来店済み】" &amp; CHAR(10) &amp; 
 "来店⽇時：" &amp; text($A$1," yyyy/mm/dd")&amp; CHAR(10) &amp;
 "来店店舗：" &amp; $D$1 &amp; CHAR(10) &amp; CHAR(10) &amp;
 "お直し着地：" &amp; CHAR(10) &amp; $A$10</f>
        <v>【お直し来店済み】
来店⽇時： 2025/11/30
来店店舗：横浜
お直し着地：
◼︎ ステンカラーコート（対応着地：お直し）
《修正数値》
ウエスト : -4 cm
着丈 : -5 cm
裾まわり : -4 cm
《仕上がり数値》
ウエスト : cm
着丈 : cm
裾まわり : cm</v>
      </c>
      <c r="C5" s="12"/>
      <c r="D5" s="189" t="s">
        <v>152</v>
      </c>
      <c r="H5" s="11"/>
      <c r="I5" s="190" t="str">
        <f>"【お直し来店済み】" &amp; CHAR(10) &amp; 
 "来店⽇時：" &amp; text($A$1," yyyy/mm/dd")&amp; CHAR(10) &amp;
 "来店店舗：" &amp; $D$1 &amp; CHAR(10) &amp; CHAR(10) &amp;
 "お直し着地：" &amp; CHAR(10) &amp; $A$10</f>
        <v>【お直し来店済み】
来店⽇時： 2025/11/30
来店店舗：横浜
お直し着地：
◼︎ ステンカラーコート（対応着地：お直し）
《修正数値》
ウエスト : -4 cm
着丈 : -5 cm
裾まわり : -4 cm
《仕上がり数値》
ウエスト : cm
着丈 : cm
裾まわり : cm</v>
      </c>
      <c r="J5" s="12"/>
      <c r="K5" s="191" t="s">
        <v>30</v>
      </c>
      <c r="L5" s="12"/>
      <c r="M5" s="11"/>
      <c r="N5" s="12"/>
      <c r="O5" s="12"/>
      <c r="P5" s="12"/>
      <c r="Q5" s="12"/>
      <c r="R5" s="11"/>
      <c r="S5" s="11"/>
      <c r="T5" s="184"/>
      <c r="U5" s="184"/>
      <c r="V5" s="184"/>
      <c r="W5" s="11"/>
      <c r="X5" s="12"/>
      <c r="Y5" s="184"/>
      <c r="Z5" s="184"/>
      <c r="AA5" s="184"/>
      <c r="AB5" s="11"/>
      <c r="AC5" s="12"/>
      <c r="AD5" s="184"/>
      <c r="AE5" s="184"/>
      <c r="AF5" s="184"/>
      <c r="AG5" s="11"/>
      <c r="AH5" s="12"/>
      <c r="AI5" s="184"/>
      <c r="AJ5" s="184"/>
      <c r="AK5" s="184"/>
      <c r="AL5" s="11"/>
      <c r="AM5" s="12"/>
      <c r="AN5" s="184"/>
      <c r="AO5" s="184"/>
      <c r="AP5" s="184"/>
      <c r="AQ5" s="11"/>
      <c r="AR5" s="12"/>
      <c r="AS5" s="184"/>
      <c r="AT5" s="184"/>
      <c r="AU5" s="184"/>
      <c r="AV5" s="11"/>
      <c r="AW5" s="12"/>
      <c r="AX5" s="184"/>
      <c r="AY5" s="184"/>
      <c r="AZ5" s="184"/>
      <c r="BA5" s="11"/>
      <c r="BB5" s="12"/>
      <c r="BC5" s="184"/>
      <c r="BD5" s="184"/>
      <c r="BE5" s="184"/>
      <c r="BF5" s="11"/>
      <c r="BG5" s="12"/>
      <c r="BH5" s="184"/>
      <c r="BI5" s="184"/>
      <c r="BJ5" s="184"/>
      <c r="BK5" s="184"/>
      <c r="BL5" s="184"/>
      <c r="BM5" s="184"/>
      <c r="BN5" s="184"/>
      <c r="BO5" s="184"/>
      <c r="BP5" s="184"/>
    </row>
    <row r="6">
      <c r="A6" s="12"/>
      <c r="B6" s="186"/>
      <c r="C6" s="12"/>
      <c r="D6" s="12"/>
      <c r="E6" s="12"/>
      <c r="F6" s="12"/>
      <c r="G6" s="12"/>
      <c r="H6" s="11"/>
      <c r="I6" s="11"/>
      <c r="J6" s="12"/>
      <c r="K6" s="12"/>
      <c r="L6" s="12"/>
      <c r="M6" s="11"/>
      <c r="N6" s="12"/>
      <c r="O6" s="12"/>
      <c r="P6" s="12"/>
      <c r="Q6" s="12"/>
      <c r="R6" s="11"/>
      <c r="S6" s="11"/>
      <c r="T6" s="184"/>
      <c r="U6" s="184"/>
      <c r="V6" s="184"/>
      <c r="W6" s="11"/>
      <c r="X6" s="12"/>
      <c r="Y6" s="184"/>
      <c r="Z6" s="184"/>
      <c r="AA6" s="184"/>
      <c r="AB6" s="11"/>
      <c r="AC6" s="12"/>
      <c r="AD6" s="184"/>
      <c r="AE6" s="184"/>
      <c r="AF6" s="184"/>
      <c r="AG6" s="11"/>
      <c r="AH6" s="12"/>
      <c r="AI6" s="184"/>
      <c r="AJ6" s="184"/>
      <c r="AK6" s="184"/>
      <c r="AL6" s="11"/>
      <c r="AM6" s="12"/>
      <c r="AN6" s="184"/>
      <c r="AO6" s="184"/>
      <c r="AP6" s="184"/>
      <c r="AQ6" s="11"/>
      <c r="AR6" s="12"/>
      <c r="AS6" s="184"/>
      <c r="AT6" s="184"/>
      <c r="AU6" s="184"/>
      <c r="AV6" s="11"/>
      <c r="AW6" s="12"/>
      <c r="AX6" s="184"/>
      <c r="AY6" s="184"/>
      <c r="AZ6" s="184"/>
      <c r="BA6" s="11"/>
      <c r="BB6" s="12"/>
      <c r="BC6" s="184"/>
      <c r="BD6" s="184"/>
      <c r="BE6" s="184"/>
      <c r="BF6" s="11"/>
      <c r="BG6" s="12"/>
      <c r="BH6" s="184"/>
      <c r="BI6" s="184"/>
      <c r="BJ6" s="184"/>
      <c r="BK6" s="184"/>
      <c r="BL6" s="184"/>
      <c r="BM6" s="184"/>
      <c r="BN6" s="184"/>
      <c r="BO6" s="184"/>
      <c r="BP6" s="184"/>
    </row>
    <row r="7" ht="28.5" customHeight="1">
      <c r="A7" s="192" t="str">
        <f>IF((SUM(LEN(I11), LEN(N11), LEN(S11), LEN(X11), LEN(AC11), LEN(AH11), LEN(AM11), LEN(AR11), LEN(AW11), LEN(BB11), LEN(BG11)))&gt;0, "FABRIC TOKYO "&amp; $D$1 &amp; " " &amp; TEXT($A$1, "yyyy-m-d") &amp; " お直し適用サイズ" &amp; CHAR(10), "")</f>
        <v>FABRIC TOKYO 横浜 2025-11-30 お直し適用サイズ
</v>
      </c>
      <c r="B7" s="193"/>
      <c r="C7" s="12"/>
      <c r="D7" s="194" t="s">
        <v>31</v>
      </c>
      <c r="E7" s="12"/>
      <c r="F7" s="12"/>
      <c r="G7" s="12"/>
      <c r="H7" s="11"/>
      <c r="I7" s="11"/>
      <c r="J7" s="12"/>
      <c r="K7" s="12"/>
      <c r="L7" s="12"/>
      <c r="M7" s="11"/>
      <c r="N7" s="12"/>
      <c r="O7" s="12"/>
      <c r="P7" s="12"/>
      <c r="Q7" s="12"/>
      <c r="R7" s="11"/>
      <c r="S7" s="11"/>
      <c r="T7" s="184"/>
      <c r="U7" s="184"/>
      <c r="V7" s="184"/>
      <c r="W7" s="11"/>
      <c r="X7" s="12"/>
      <c r="Y7" s="184"/>
      <c r="Z7" s="184"/>
      <c r="AA7" s="184"/>
      <c r="AB7" s="11"/>
      <c r="AC7" s="12"/>
      <c r="AD7" s="184"/>
      <c r="AE7" s="184"/>
      <c r="AF7" s="184"/>
      <c r="AG7" s="11"/>
      <c r="AH7" s="12"/>
      <c r="AI7" s="184"/>
      <c r="AJ7" s="184"/>
      <c r="AK7" s="184"/>
      <c r="AL7" s="11"/>
      <c r="AM7" s="12"/>
      <c r="AN7" s="184"/>
      <c r="AO7" s="184"/>
      <c r="AP7" s="184"/>
      <c r="AQ7" s="11"/>
      <c r="AR7" s="12"/>
      <c r="AS7" s="184"/>
      <c r="AT7" s="184"/>
      <c r="AU7" s="184"/>
      <c r="AV7" s="11"/>
      <c r="AW7" s="12"/>
      <c r="AX7" s="184"/>
      <c r="AY7" s="184"/>
      <c r="AZ7" s="184"/>
      <c r="BA7" s="11"/>
      <c r="BB7" s="12"/>
      <c r="BC7" s="184"/>
      <c r="BD7" s="184"/>
      <c r="BE7" s="184"/>
      <c r="BF7" s="11"/>
      <c r="BG7" s="12"/>
      <c r="BH7" s="184"/>
      <c r="BI7" s="184"/>
      <c r="BJ7" s="184"/>
      <c r="BK7" s="184"/>
      <c r="BL7" s="184"/>
      <c r="BM7" s="184"/>
      <c r="BN7" s="184"/>
      <c r="BO7" s="184"/>
      <c r="BP7" s="184"/>
    </row>
    <row r="8">
      <c r="A8" s="192" t="str">
        <f>ifs($D$11&lt;&gt;"", 
"FABRIC TOKYO "&amp; $D$1&amp; "" &amp; text($A$1," yyyy-m-d"&amp;" お直し適用サイズ ＊スーツサイズ")
&amp; CHAR(10) &amp;
"FABRIC TOKYO "&amp; $D$1&amp; "" &amp; text($A$1," yyyy-m-d"&amp;" お直し適用サイズ ＊ビジネスカジュアルサイズ" &amp; CHAR(10))
,
$D$11="", "")</f>
        <v/>
      </c>
      <c r="B8" s="193"/>
      <c r="C8" s="195"/>
      <c r="D8" s="196" t="str">
        <f>IF(OR($D$11="再製作", $I$11="再製作", $N$11="再製作"), "再製作", 
  IF(AND(COUNTIF($E$11:$O$11, "&gt;=" &amp;  TODAY()), COUNTIF($E$11:$O11, "&lt;&gt;")), MAX($D$11, $I$11, $N$11), ""))</f>
        <v/>
      </c>
      <c r="E8" s="197" t="s">
        <v>32</v>
      </c>
      <c r="F8" s="12"/>
      <c r="G8" s="12"/>
      <c r="H8" s="12"/>
      <c r="I8" s="12"/>
      <c r="J8" s="195"/>
      <c r="K8" s="195"/>
      <c r="L8" s="195"/>
      <c r="M8" s="11"/>
      <c r="N8" s="198" t="s">
        <v>33</v>
      </c>
      <c r="O8" s="12"/>
      <c r="P8" s="12"/>
      <c r="Q8" s="12"/>
      <c r="R8" s="11"/>
      <c r="S8" s="11"/>
      <c r="T8" s="184"/>
      <c r="U8" s="184"/>
      <c r="V8" s="184"/>
      <c r="W8" s="11"/>
      <c r="X8" s="12"/>
      <c r="Y8" s="184"/>
      <c r="Z8" s="184"/>
      <c r="AA8" s="184"/>
      <c r="AB8" s="11"/>
      <c r="AC8" s="12"/>
      <c r="AD8" s="184"/>
      <c r="AE8" s="184"/>
      <c r="AF8" s="184"/>
      <c r="AG8" s="11"/>
      <c r="AH8" s="12"/>
      <c r="AI8" s="184"/>
      <c r="AJ8" s="184"/>
      <c r="AK8" s="184"/>
      <c r="AL8" s="11"/>
      <c r="AM8" s="12"/>
      <c r="AN8" s="184"/>
      <c r="AO8" s="184"/>
      <c r="AP8" s="184"/>
      <c r="AQ8" s="11"/>
      <c r="AR8" s="12"/>
      <c r="AS8" s="184"/>
      <c r="AT8" s="184"/>
      <c r="AU8" s="184"/>
      <c r="AV8" s="11"/>
      <c r="AW8" s="12"/>
      <c r="AX8" s="184"/>
      <c r="AY8" s="184"/>
      <c r="AZ8" s="184"/>
      <c r="BA8" s="11"/>
      <c r="BB8" s="12"/>
      <c r="BC8" s="184"/>
      <c r="BD8" s="184"/>
      <c r="BE8" s="184"/>
      <c r="BF8" s="11"/>
      <c r="BG8" s="12"/>
      <c r="BH8" s="184"/>
      <c r="BI8" s="184"/>
      <c r="BJ8" s="184"/>
      <c r="BK8" s="184"/>
      <c r="BL8" s="184"/>
      <c r="BM8" s="184"/>
      <c r="BN8" s="184"/>
      <c r="BO8" s="184"/>
      <c r="BP8" s="184"/>
    </row>
    <row r="9">
      <c r="A9" s="12"/>
      <c r="B9" s="186"/>
      <c r="C9" s="12"/>
      <c r="D9" s="12"/>
      <c r="E9" s="11"/>
      <c r="F9" s="11"/>
      <c r="G9" s="11"/>
      <c r="H9" s="11"/>
      <c r="I9" s="11"/>
      <c r="J9" s="11"/>
      <c r="K9" s="11"/>
      <c r="L9" s="11"/>
      <c r="M9" s="11"/>
      <c r="N9" s="11"/>
      <c r="O9" s="11"/>
      <c r="P9" s="11"/>
      <c r="Q9" s="11"/>
      <c r="R9" s="11"/>
      <c r="S9" s="12"/>
      <c r="T9" s="184"/>
      <c r="U9" s="184"/>
      <c r="V9" s="184"/>
      <c r="W9" s="11"/>
      <c r="X9" s="12"/>
      <c r="Y9" s="184"/>
      <c r="Z9" s="184"/>
      <c r="AA9" s="184"/>
      <c r="AB9" s="11"/>
      <c r="AC9" s="12"/>
      <c r="AD9" s="184"/>
      <c r="AE9" s="184"/>
      <c r="AF9" s="184"/>
      <c r="AG9" s="11"/>
      <c r="AH9" s="12"/>
      <c r="AI9" s="184"/>
      <c r="AJ9" s="184"/>
      <c r="AK9" s="184"/>
      <c r="AL9" s="11"/>
      <c r="AM9" s="12"/>
      <c r="AN9" s="184"/>
      <c r="AO9" s="184"/>
      <c r="AP9" s="184"/>
      <c r="AQ9" s="11"/>
      <c r="AR9" s="12"/>
      <c r="AS9" s="184"/>
      <c r="AT9" s="184"/>
      <c r="AU9" s="184"/>
      <c r="AV9" s="11"/>
      <c r="AW9" s="12"/>
      <c r="AX9" s="184"/>
      <c r="AY9" s="184"/>
      <c r="AZ9" s="184"/>
      <c r="BA9" s="11"/>
      <c r="BB9" s="12"/>
      <c r="BC9" s="184"/>
      <c r="BD9" s="184"/>
      <c r="BE9" s="184"/>
      <c r="BF9" s="11"/>
      <c r="BG9" s="12"/>
      <c r="BH9" s="184"/>
      <c r="BI9" s="184"/>
      <c r="BJ9" s="184"/>
      <c r="BK9" s="184"/>
      <c r="BL9" s="184"/>
      <c r="BM9" s="184"/>
      <c r="BN9" s="184"/>
      <c r="BO9" s="184"/>
      <c r="BP9" s="184"/>
    </row>
    <row r="10" ht="15.75" customHeight="1">
      <c r="A10" s="199" t="str">
        <f t="array" ref="A10">TRIM(
 IF($A$14&lt;&gt;"",TEXTJOIN(CHAR(10),TRUE,IF($A$14:$A$17&lt;&gt;"",$A$14:$A$17,"")) &amp; CHAR(10) &amp; CHAR(10),"") &amp;
 IF($A$19&lt;&gt;"",TEXTJOIN(CHAR(10),TRUE,IF($A$19:$A$22&lt;&gt;"",$A$19:$A$22,"")) &amp; CHAR(10) &amp; CHAR(10),"") &amp;
 IF($A$24&lt;&gt;"",TEXTJOIN(CHAR(10),TRUE,IF($A$24:$A$27&lt;&gt;"",$A$24:$A$27,"")) &amp; CHAR(10) &amp; CHAR(10),"") &amp;
 IF($A$29&lt;&gt;"",TEXTJOIN(CHAR(10),TRUE,IF($A$29:$A$32&lt;&gt;"",$A$29:$A$32,"")) &amp; CHAR(10) &amp; CHAR(10),"") &amp;
 IF($A$34&lt;&gt;"",TEXTJOIN(CHAR(10),TRUE,IF($A$34:$A$37&lt;&gt;"",$A$34:$A$37,"")) &amp; CHAR(10) &amp; CHAR(10),"") &amp;
 IF($A$39&lt;&gt;"",TEXTJOIN(CHAR(10),TRUE,IF($A$39:$A$42&lt;&gt;"",$A$39:$A$42,"")) &amp; CHAR(10) &amp; CHAR(10),"") &amp;
 IF($A$44&lt;&gt;"",TEXTJOIN(CHAR(10),TRUE,IF($A$44:$A$47&lt;&gt;"",$A$44:$A$47,"")) &amp; CHAR(10) &amp; CHAR(10),"") &amp;
 IF($A$49&lt;&gt;"",TEXTJOIN(CHAR(10),TRUE,IF($A$49:$A$52&lt;&gt;"",$A$49:$A$52,"")) &amp; CHAR(10) &amp; CHAR(10),"") &amp;
 IF($A$54&lt;&gt;"",TEXTJOIN(CHAR(10),TRUE,IF($A$54:$A$57&lt;&gt;"",$A$54:$A$57,"")) &amp; CHAR(10) &amp; CHAR(10),"") &amp;
 IF($A$59&lt;&gt;"",TEXTJOIN(CHAR(10),TRUE,IF($A$59:$A$62&lt;&gt;"",$A$59:$A$62,"")) &amp; CHAR(10) &amp; CHAR(10),"") &amp;
 IF($A$64&lt;&gt;"",TEXTJOIN(CHAR(10),TRUE,IF($A$64:$A$67&lt;&gt;"",$A$64:$A$67,"")) &amp; CHAR(10) &amp; CHAR(10),"") &amp;
 IF($A$69&lt;&gt;"",TEXTJOIN(CHAR(10),TRUE,IF($A$69:$A$72&lt;&gt;"",$A$69:$A$72,"")) &amp; CHAR(10) &amp; CHAR(10),"") 
)
</f>
        <v>◼︎ ステンカラーコート（対応着地：お直し）
《修正数値》
ウエスト : -4 cm
着丈 : -5 cm
裾まわり : -4 cm
《仕上がり数値》
ウエスト : cm
着丈 : cm
裾まわり : cm</v>
      </c>
      <c r="B10" s="12"/>
      <c r="C10" s="12"/>
      <c r="D10" s="200" t="s">
        <v>34</v>
      </c>
      <c r="E10" s="201"/>
      <c r="F10" s="201"/>
      <c r="G10" s="202" t="s">
        <v>35</v>
      </c>
      <c r="H10" s="11"/>
      <c r="I10" s="200" t="s">
        <v>36</v>
      </c>
      <c r="J10" s="203"/>
      <c r="K10" s="201"/>
      <c r="L10" s="202" t="s">
        <v>35</v>
      </c>
      <c r="M10" s="11"/>
      <c r="N10" s="204" t="s">
        <v>37</v>
      </c>
      <c r="O10" s="203"/>
      <c r="P10" s="201"/>
      <c r="Q10" s="202" t="s">
        <v>35</v>
      </c>
      <c r="R10" s="11"/>
      <c r="S10" s="200" t="s">
        <v>38</v>
      </c>
      <c r="T10" s="203"/>
      <c r="U10" s="201"/>
      <c r="V10" s="202" t="s">
        <v>35</v>
      </c>
      <c r="W10" s="11"/>
      <c r="X10" s="200" t="s">
        <v>39</v>
      </c>
      <c r="Y10" s="203"/>
      <c r="Z10" s="201"/>
      <c r="AA10" s="202" t="s">
        <v>35</v>
      </c>
      <c r="AB10" s="11"/>
      <c r="AC10" s="200" t="s">
        <v>40</v>
      </c>
      <c r="AD10" s="203"/>
      <c r="AE10" s="201"/>
      <c r="AF10" s="202" t="s">
        <v>35</v>
      </c>
      <c r="AG10" s="11"/>
      <c r="AH10" s="200" t="s">
        <v>41</v>
      </c>
      <c r="AI10" s="203"/>
      <c r="AJ10" s="201"/>
      <c r="AK10" s="202" t="s">
        <v>35</v>
      </c>
      <c r="AL10" s="11"/>
      <c r="AM10" s="200" t="s">
        <v>42</v>
      </c>
      <c r="AN10" s="203"/>
      <c r="AO10" s="201"/>
      <c r="AP10" s="202" t="s">
        <v>35</v>
      </c>
      <c r="AQ10" s="11"/>
      <c r="AR10" s="200" t="s">
        <v>43</v>
      </c>
      <c r="AS10" s="203"/>
      <c r="AT10" s="201"/>
      <c r="AU10" s="202" t="s">
        <v>35</v>
      </c>
      <c r="AV10" s="12"/>
      <c r="AW10" s="200" t="s">
        <v>44</v>
      </c>
      <c r="AX10" s="203"/>
      <c r="AY10" s="201"/>
      <c r="AZ10" s="202" t="s">
        <v>35</v>
      </c>
      <c r="BA10" s="12"/>
      <c r="BB10" s="200" t="s">
        <v>45</v>
      </c>
      <c r="BC10" s="203"/>
      <c r="BD10" s="201"/>
      <c r="BE10" s="202" t="s">
        <v>35</v>
      </c>
      <c r="BF10" s="12"/>
      <c r="BG10" s="200" t="s">
        <v>46</v>
      </c>
      <c r="BH10" s="203"/>
      <c r="BI10" s="201"/>
      <c r="BJ10" s="202" t="s">
        <v>35</v>
      </c>
      <c r="BK10" s="12"/>
      <c r="BL10" s="200" t="s">
        <v>47</v>
      </c>
      <c r="BM10" s="201"/>
      <c r="BN10" s="201"/>
      <c r="BO10" s="202" t="s">
        <v>35</v>
      </c>
      <c r="BP10" s="12"/>
    </row>
    <row r="11" ht="37.5" customHeight="1">
      <c r="A11" s="205" t="s">
        <v>48</v>
      </c>
      <c r="B11" s="206"/>
      <c r="C11" s="207"/>
      <c r="D11" s="196" t="str">
        <f t="array" ref="D11">IFS( COUNTA(F$13:F27) = 0, "", COUNTIF(F$13:F27, "再製作") &gt; 0, "再製作", COUNTIF(F$13:F27, "&gt;0") = 1, INDEX(F$13:F27, MATCH(TRUE, ISNUMBER(F$13:F27), 0)), COUNTIF(F$13:F27, "&gt;0") = 2, 'アイテム別限界値DB'!$S$4, COUNTIF(F$13:F27, "&gt;0") &gt;= 3, 'アイテム別限界値DB'!$S$6, TRUE, "" ) </f>
        <v/>
      </c>
      <c r="E11" s="208" t="s">
        <v>49</v>
      </c>
      <c r="F11" s="202" t="s">
        <v>50</v>
      </c>
      <c r="G11" s="209">
        <f>sum(G12:G72)</f>
        <v>0</v>
      </c>
      <c r="H11" s="206"/>
      <c r="I11" s="196" t="str">
        <f t="array" ref="I11">IFS( COUNTA(K$13:K27) = 0, "", COUNTIF(K$13:K27, "再製作") &gt; 0, "再製作", COUNTIF(K$13:K27, "&gt;0") = 1, INDEX(K$13:K27, MATCH(TRUE, ISNUMBER(K$13:K27), 0)), COUNTIF(K$13:K27, "&gt;0") = 2, 'アイテム別限界値DB'!$S$8, COUNTIF(K$13:K27, "&gt;0") &gt;= 3, 'アイテム別限界値DB'!$S$10, TRUE, "" ) </f>
        <v/>
      </c>
      <c r="J11" s="210" t="s">
        <v>49</v>
      </c>
      <c r="K11" s="202" t="s">
        <v>50</v>
      </c>
      <c r="L11" s="209">
        <f>sum(L12:L72)</f>
        <v>0</v>
      </c>
      <c r="M11" s="206"/>
      <c r="N11" s="196" t="str">
        <f t="array" ref="N11">IFS( COUNTA(P$13:P27) = 0, "", COUNTIF(P$13:P27, "再製作") &gt; 0, "再製作", COUNTIF(P$13:P27, "&gt;0") = 1, INDEX(P$13:P27, MATCH(TRUE, ISNUMBER(P$13:P27), 0)), COUNTIF(P$13:P27, "&gt;0") = 2, 'アイテム別限界値DB'!$S$4, COUNTIF(P$13:P27, "&gt;0") &gt;= 3, 'アイテム別限界値DB'!$S$6, TRUE, "" ) </f>
        <v/>
      </c>
      <c r="O11" s="210" t="s">
        <v>49</v>
      </c>
      <c r="P11" s="202" t="s">
        <v>50</v>
      </c>
      <c r="Q11" s="209">
        <f>sum(Q12:Q72)</f>
        <v>0</v>
      </c>
      <c r="R11" s="211"/>
      <c r="S11" s="196" t="str">
        <f t="array" ref="S11">IFS( COUNTA(U$13:U27) = 0, "", COUNTIF(U$13:U27, "再製作") &gt; 0, "再製作", COUNTIF(U$13:U27, "&gt;0") = 1, INDEX(U$13:U27, MATCH(TRUE, ISNUMBER(U$13:U27), 0)), COUNTIF(U$13:U27, "&gt;0") = 2, 'アイテム別限界値DB'!$S$8, COUNTIF(U$13:U27, "&gt;0") &gt;= 3, 'アイテム別限界値DB'!$S$10, TRUE, "" ) </f>
        <v/>
      </c>
      <c r="T11" s="210" t="s">
        <v>49</v>
      </c>
      <c r="U11" s="202" t="s">
        <v>50</v>
      </c>
      <c r="V11" s="209">
        <f>sum(V12:V72)</f>
        <v>0</v>
      </c>
      <c r="W11" s="212"/>
      <c r="X11" s="196" t="str">
        <f t="array" ref="X11">IFS( COUNTA(Z$13:Z27) = 0, "", COUNTIF(Z$13:Z27, "再製作") &gt; 0, "再製作", COUNTIF(Z$13:Z27, "&gt;0") = 1, INDEX(Z$13:Z27, MATCH(TRUE, ISNUMBER(Z$13:Z27), 0)), COUNTIF(Z$13:Z27, "&gt;0") = 2, 'アイテム別限界値DB'!$S$4, COUNTIF(Z$13:Z27, "&gt;0") &gt;= 3, 'アイテム別限界値DB'!$S$6, TRUE, "" ) </f>
        <v/>
      </c>
      <c r="Y11" s="210" t="s">
        <v>49</v>
      </c>
      <c r="Z11" s="202" t="s">
        <v>50</v>
      </c>
      <c r="AA11" s="209">
        <f>sum(AA12:AA72)</f>
        <v>0</v>
      </c>
      <c r="AB11" s="211"/>
      <c r="AC11" s="196" t="str">
        <f t="array" ref="AC11">IFS( COUNTA(AE$13:AE27) = 0, "", COUNTIF(AE$13:AE27, "再製作") &gt; 0, "再製作", COUNTIF(AE$13:AE27, "&gt;0") = 1, INDEX(AE$13:AE27, MATCH(TRUE, ISNUMBER(AE$13:AE27), 0)), COUNTIF(AE$13:AE27, "&gt;0") = 2, 'アイテム別限界値DB'!$S$4, COUNTIF(AE$13:AE27, "&gt;0") &gt;= 3, 'アイテム別限界値DB'!$S$6, TRUE, "" ) </f>
        <v/>
      </c>
      <c r="AD11" s="210" t="s">
        <v>49</v>
      </c>
      <c r="AE11" s="202" t="s">
        <v>50</v>
      </c>
      <c r="AF11" s="209">
        <f>sum(AF12:AF72)</f>
        <v>0</v>
      </c>
      <c r="AG11" s="211"/>
      <c r="AH11" s="196" t="str">
        <f t="array" ref="AH11">IFS( COUNTA(AJ$13:AJ27) = 0, "", COUNTIF(AJ$13:AJ27, "再製作") &gt; 0, "再製作", COUNTIF(AJ$13:AJ27, "&gt;0") = 1, INDEX(AJ$13:AJ27, MATCH(TRUE, ISNUMBER(AJ$13:AJ27), 0)), COUNTIF(AJ$13:AJ27, "&gt;0") = 2, 'アイテム別限界値DB'!$S$4, COUNTIF(AJ$13:AJ27, "&gt;0") &gt;= 3, 'アイテム別限界値DB'!$S$6, TRUE, "" ) </f>
        <v/>
      </c>
      <c r="AI11" s="210" t="s">
        <v>49</v>
      </c>
      <c r="AJ11" s="202" t="s">
        <v>50</v>
      </c>
      <c r="AK11" s="209">
        <f>sum(AK12:AK72)</f>
        <v>0</v>
      </c>
      <c r="AL11" s="211"/>
      <c r="AM11" s="196" t="str">
        <f t="array" ref="AM11">IFS( COUNTA(AO$13:AO27) = 0, "", COUNTIF(AO$13:AO27, "再製作") &gt; 0, "再製作", COUNTIF(AO$13:AO27, "&gt;0") = 1, INDEX(AO$13:AO27, MATCH(TRUE, ISNUMBER(AO$13:AO27), 0)), COUNTIF(AO$13:AO27, "&gt;0") = 2, 'アイテム別限界値DB'!$S$4, COUNTIF(AO$13:AO27, "&gt;0") &gt;= 3, 'アイテム別限界値DB'!$S$6, TRUE, "" ) </f>
        <v/>
      </c>
      <c r="AN11" s="210" t="s">
        <v>49</v>
      </c>
      <c r="AO11" s="202" t="s">
        <v>50</v>
      </c>
      <c r="AP11" s="209">
        <f>sum(AP12:AP72)</f>
        <v>0</v>
      </c>
      <c r="AQ11" s="211"/>
      <c r="AR11" s="196">
        <f t="array" ref="AR11">IFS( COUNTA(AT$13:AT27) = 0, "", COUNTIF(AT$13:AT27, "再製作") &gt; 0, "再製作", COUNTIF(AT$13:AT27, "&gt;0") = 1, INDEX(AT$13:AT27, MATCH(TRUE, ISNUMBER(AT$13:AT27), 0)), COUNTIF(AT$13:AT27, "&gt;0") = 2, 'アイテム別限界値DB'!$S$4, COUNTIF(AT$13:AT27, "&gt;0") &gt;= 3, 'アイテム別限界値DB'!$S$6, TRUE, "" ) </f>
        <v>46008</v>
      </c>
      <c r="AS11" s="210" t="s">
        <v>49</v>
      </c>
      <c r="AT11" s="202" t="s">
        <v>50</v>
      </c>
      <c r="AU11" s="209">
        <f>sum(AU12:AU72)</f>
        <v>0</v>
      </c>
      <c r="AV11" s="213"/>
      <c r="AW11" s="196" t="str">
        <f t="array" ref="AW11">IFS( COUNTA(AY$13:AY27) = 0, "", COUNTIF(AY$13:AY27, "再製作") &gt; 0, "再製作", COUNTIF(AY$13:AY27, "&gt;0") = 1, INDEX(AY$13:AY27, MATCH(TRUE, ISNUMBER(AY$13:AY27), 0)), COUNTIF(AY$13:AY27, "&gt;0") = 2, 'アイテム別限界値DB'!$S$4, COUNTIF(AY$13:AY27, "&gt;0") &gt;= 3, 'アイテム別限界値DB'!$S$6, TRUE, "" ) </f>
        <v/>
      </c>
      <c r="AX11" s="210" t="s">
        <v>49</v>
      </c>
      <c r="AY11" s="202" t="s">
        <v>50</v>
      </c>
      <c r="AZ11" s="209">
        <f>sum(AZ12:AZ72)</f>
        <v>0</v>
      </c>
      <c r="BA11" s="213"/>
      <c r="BB11" s="196" t="str">
        <f t="array" ref="BB11">IFS( COUNTA(BD$13:BD27) = 0, "", COUNTIF(BD$13:BD27, "再製作") &gt; 0, "再製作", COUNTIF(BD$13:BD27, "&gt;0") = 1, INDEX(BD$13:BD27, MATCH(TRUE, ISNUMBER(BD$13:BD27), 0)), COUNTIF(BD$13:BD27, "&gt;0") = 2, 'アイテム別限界値DB'!$S$4, COUNTIF(BD$13:BD27, "&gt;0") &gt;= 3, 'アイテム別限界値DB'!$S$6, TRUE, "" ) </f>
        <v/>
      </c>
      <c r="BC11" s="210" t="s">
        <v>49</v>
      </c>
      <c r="BD11" s="202" t="s">
        <v>50</v>
      </c>
      <c r="BE11" s="209">
        <f>sum(BE12:BE72)</f>
        <v>0</v>
      </c>
      <c r="BF11" s="213"/>
      <c r="BG11" s="196" t="str">
        <f t="array" ref="BG11">IFS( COUNTA(BI$13:BI27) = 0, "", COUNTIF(BI$13:BI27, "再製作") &gt; 0, "再製作", COUNTIF(BI$13:BI27, "&gt;0") = 1, INDEX(BI$13:BI27, MATCH(TRUE, ISNUMBER(BI$13:BI27), 0)), COUNTIF(BI$13:BI27, "&gt;0") = 2, 'アイテム別限界値DB'!$S$4, COUNTIF(BI$13:BI27, "&gt;0") &gt;= 3, 'アイテム別限界値DB'!$S$6, TRUE, "" ) </f>
        <v/>
      </c>
      <c r="BH11" s="210" t="s">
        <v>49</v>
      </c>
      <c r="BI11" s="202" t="s">
        <v>50</v>
      </c>
      <c r="BJ11" s="209">
        <f>sum(BJ12:BJ72)</f>
        <v>0</v>
      </c>
      <c r="BK11" s="213"/>
      <c r="BL11" s="196">
        <f t="array" ref="BL11">IFS( COUNTA(BN$13:BN27) = 0, "", COUNTIF(BN$13:BN27, "再製作") &gt; 0, "再製作", COUNTIF(BN$13:BN27, "&gt;0") = 1, INDEX(BN$13:BN27, MATCH(TRUE, ISNUMBER(BN$13:BN27), 0)), COUNTIF(BN$13:BN27, "&gt;0") = 2, 'アイテム別限界値DB'!$S$4, COUNTIF(BN$13:BN27, "&gt;0") &gt;= 3, 'アイテム別限界値DB'!$S$6, TRUE, "" ) </f>
        <v>46003</v>
      </c>
      <c r="BM11" s="214" t="s">
        <v>49</v>
      </c>
      <c r="BN11" s="215" t="s">
        <v>50</v>
      </c>
      <c r="BO11" s="209">
        <f>sum(BO12:BO72)</f>
        <v>0</v>
      </c>
      <c r="BP11" s="213"/>
    </row>
    <row r="12" ht="15.75" hidden="1" customHeight="1">
      <c r="A12" s="11"/>
      <c r="B12" s="11"/>
      <c r="C12" s="11"/>
      <c r="D12" s="216" t="s">
        <v>51</v>
      </c>
      <c r="E12" s="217" t="str">
        <f>IF(D11="再製作", "再製作", IF(D11&lt;&gt;"", "お直し", ""))
</f>
        <v/>
      </c>
      <c r="F12" s="195"/>
      <c r="G12" s="218" t="str">
        <f t="array" ref="G12">IF(
  E12 = "再製作", 
  "", 
 if(E12="", "",
  IFERROR(
    INDEX(
      'アイテム別限界値DB'!$L:$L, 
      MATCH(
        1, 
        ('アイテム別限界値DB'!$B:$B = D$10) * 
        ('アイテム別限界値DB'!$C:$C = D12), 
        0
      )
    ), 
    "再製作"
  )
))
</f>
        <v/>
      </c>
      <c r="H12" s="12"/>
      <c r="I12" s="216" t="s">
        <v>51</v>
      </c>
      <c r="J12" s="217" t="str">
        <f>IF(I11="再製作", "再製作", IF(I11&lt;&gt;"", "お直し", ""))
</f>
        <v/>
      </c>
      <c r="K12" s="195"/>
      <c r="L12" s="218" t="str">
        <f t="array" ref="L12">IF(
  J12 = "再製作", 
  "", 
 if(J12="", "",
  IFERROR(
    INDEX(
      'アイテム別限界値DB'!$L:$L, 
      MATCH(
        1, 
        ('アイテム別限界値DB'!$B:$B = I$10) * 
        ('アイテム別限界値DB'!$C:$C = I12), 
        0
      )
    ), 
    "再製作"
  )
))
</f>
        <v/>
      </c>
      <c r="M12" s="121"/>
      <c r="N12" s="216" t="s">
        <v>51</v>
      </c>
      <c r="O12" s="217" t="str">
        <f>IF(N11="再製作", "再製作", IF(N11&lt;&gt;"", "お直し", ""))
</f>
        <v/>
      </c>
      <c r="P12" s="195"/>
      <c r="Q12" s="218" t="str">
        <f t="array" ref="Q12">IF(
  O12 = "再製作", 
  "", 
 if(O12="", "",
  IFERROR(
    INDEX(
      'アイテム別限界値DB'!$L:$L, 
      MATCH(
        1, 
        ('アイテム別限界値DB'!$B:$B = N$10) * 
        ('アイテム別限界値DB'!$C:$C = N12), 
        0
      )
    ), 
    "再製作"
  )
))
</f>
        <v/>
      </c>
      <c r="R12" s="11"/>
      <c r="S12" s="216" t="s">
        <v>51</v>
      </c>
      <c r="T12" s="219" t="str">
        <f>IF(S11="再製作", "再製作", IF(S11&lt;&gt;"", "お直し", ""))
</f>
        <v/>
      </c>
      <c r="U12" s="220"/>
      <c r="V12" s="218" t="str">
        <f t="array" ref="V12">IF(
  T12 = "再製作", 
  "", 
 if(T12="", "",
  IFERROR(
    INDEX(
      'アイテム別限界値DB'!$L:$L, 
      MATCH(
        1, 
        ('アイテム別限界値DB'!$B:$B = S$10) * 
        ('アイテム別限界値DB'!$C:$C = S12), 
        0
      )
    ), 
    "再製作"
  )
))
</f>
        <v/>
      </c>
      <c r="W12" s="12"/>
      <c r="X12" s="216" t="s">
        <v>51</v>
      </c>
      <c r="Y12" s="219" t="str">
        <f>IF(X11="再製作", "再製作", IF(X11&lt;&gt;"", "お直し", ""))
</f>
        <v/>
      </c>
      <c r="Z12" s="220"/>
      <c r="AA12" s="218" t="str">
        <f t="array" ref="AA12">IF(
  Y12 = "再製作", 
  "", 
 if(Y12="", "",
  IFERROR(
    INDEX(
      'アイテム別限界値DB'!$L:$L, 
      MATCH(
        1, 
        ('アイテム別限界値DB'!$B:$B = X$10) * 
        ('アイテム別限界値DB'!$C:$C = X12), 
        0
      )
    ), 
    "再製作"
  )
))
</f>
        <v/>
      </c>
      <c r="AB12" s="11"/>
      <c r="AC12" s="216" t="s">
        <v>51</v>
      </c>
      <c r="AD12" s="219" t="str">
        <f>IF(AC11="再製作", "再製作", IF(AC11&lt;&gt;"", "お直し", ""))
</f>
        <v/>
      </c>
      <c r="AE12" s="220"/>
      <c r="AF12" s="218" t="str">
        <f t="array" ref="AF12">IF(
  AD12 = "再製作", 
  "", 
 if(AD12="", "",
  IFERROR(
    INDEX(
      'アイテム別限界値DB'!$L:$L, 
      MATCH(
        1, 
        ('アイテム別限界値DB'!$B:$B = AC$10) * 
        ('アイテム別限界値DB'!$C:$C = AC12), 
        0
      )
    ), 
    "再製作"
  )
))
</f>
        <v/>
      </c>
      <c r="AG12" s="11"/>
      <c r="AH12" s="216" t="s">
        <v>51</v>
      </c>
      <c r="AI12" s="219" t="str">
        <f>IF(AH11="再製作", "再製作", IF(AH11&lt;&gt;"", "お直し", ""))
</f>
        <v/>
      </c>
      <c r="AJ12" s="220"/>
      <c r="AK12" s="218" t="str">
        <f t="array" ref="AK12">IF(
  AI12 = "再製作", 
  "", 
 if(AI12="", "",
  IFERROR(
    INDEX(
      'アイテム別限界値DB'!$L:$L, 
      MATCH(
        1, 
        ('アイテム別限界値DB'!$B:$B = AH$10) * 
        ('アイテム別限界値DB'!$C:$C = AH12), 
        0
      )
    ), 
    "再製作"
  )
))
</f>
        <v/>
      </c>
      <c r="AL12" s="11"/>
      <c r="AM12" s="216" t="s">
        <v>51</v>
      </c>
      <c r="AN12" s="219" t="str">
        <f>IF(AM11="再製作", "再製作", IF(AM11&lt;&gt;"", "お直し", ""))
</f>
        <v/>
      </c>
      <c r="AO12" s="220"/>
      <c r="AP12" s="218" t="str">
        <f t="array" ref="AP12">IF(
  AN12 = "再製作", 
  "", 
 if(AN12="", "",
  IFERROR(
    INDEX(
      'アイテム別限界値DB'!$L:$L, 
      MATCH(
        1, 
        ('アイテム別限界値DB'!$B:$B = AM$10) * 
        ('アイテム別限界値DB'!$C:$C = AM12), 
        0
      )
    ), 
    "再製作"
  )
))
</f>
        <v/>
      </c>
      <c r="AQ12" s="11"/>
      <c r="AR12" s="216" t="s">
        <v>51</v>
      </c>
      <c r="AS12" s="219" t="str">
        <f>IF(AR11="再製作", "再製作", IF(AR11&lt;&gt;"", "お直し", ""))
</f>
        <v>お直し</v>
      </c>
      <c r="AT12" s="220"/>
      <c r="AU12" s="218" t="str">
        <f t="array" ref="AU12">IF(
  AS12 = "再製作", 
  "", 
 if(AS12="", "",
  IFERROR(
    INDEX(
      'アイテム別限界値DB'!$L:$L, 
      MATCH(
        1, 
        ('アイテム別限界値DB'!$B:$B = AR$10) * 
        ('アイテム別限界値DB'!$C:$C = AR12), 
        0
      )
    ), 
    "再製作"
  )
))
</f>
        <v/>
      </c>
      <c r="AV12" s="121"/>
      <c r="AW12" s="216" t="s">
        <v>51</v>
      </c>
      <c r="AX12" s="219" t="str">
        <f>IF(AW11="再製作", "再製作", IF(AW11&lt;&gt;"", "お直し", ""))
</f>
        <v/>
      </c>
      <c r="AY12" s="220"/>
      <c r="AZ12" s="218" t="str">
        <f t="array" ref="AZ12">IF(
  AX12 = "再製作", 
  "", 
 if(AX12="", "",
  IFERROR(
    INDEX(
      'アイテム別限界値DB'!$L:$L, 
      MATCH(
        1, 
        ('アイテム別限界値DB'!$B:$B = AW$10) * 
        ('アイテム別限界値DB'!$C:$C = AW12), 
        0
      )
    ), 
    "再製作"
  )
))
</f>
        <v/>
      </c>
      <c r="BA12" s="121"/>
      <c r="BB12" s="216" t="s">
        <v>51</v>
      </c>
      <c r="BC12" s="217" t="str">
        <f>IF(BB11="再製作", "再製作", IF(BB11&lt;&gt;"", "お直し", ""))
</f>
        <v/>
      </c>
      <c r="BD12" s="195"/>
      <c r="BE12" s="218" t="str">
        <f t="array" ref="BE12">IF(
  BC12 = "再製作", 
  "", 
 if(BC12="", "",
  IFERROR(
    INDEX(
      'アイテム別限界値DB'!$L:$L, 
      MATCH(
        1, 
        ('アイテム別限界値DB'!$B:$B = BB$10) * 
        ('アイテム別限界値DB'!$C:$C = BB12), 
        0
      )
    ), 
    "再製作"
  )
))
</f>
        <v/>
      </c>
      <c r="BF12" s="121"/>
      <c r="BG12" s="216" t="s">
        <v>51</v>
      </c>
      <c r="BH12" s="217" t="str">
        <f>IF(BG11="再製作", "再製作", IF(BG11&lt;&gt;"", "お直し", ""))
</f>
        <v/>
      </c>
      <c r="BI12" s="195"/>
      <c r="BJ12" s="218" t="str">
        <f t="array" ref="BJ12">IF(
  BH12 = "再製作", 
  "", 
 if(BH12="", "",
  IFERROR(
    INDEX(
      'アイテム別限界値DB'!$L:$L, 
      MATCH(
        1, 
        ('アイテム別限界値DB'!$B:$B = BG$10) * 
        ('アイテム別限界値DB'!$C:$C = BG12), 
        0
      )
    ), 
    "再製作"
  )
))
</f>
        <v/>
      </c>
      <c r="BK12" s="121"/>
      <c r="BL12" s="221" t="s">
        <v>51</v>
      </c>
      <c r="BM12" s="219" t="str">
        <f>IF(BL11="再製作", "再製作", IF(BL11&lt;&gt;"", "お直し", ""))
</f>
        <v>お直し</v>
      </c>
      <c r="BN12" s="195"/>
      <c r="BO12" s="218" t="str">
        <f t="array" ref="BO12">IF(
  BM12 = "再製作", 
  "", 
 if(BM12="", "",
  IFERROR(
    INDEX(
      'アイテム別限界値DB'!$L:$L, 
      MATCH(
        1, 
        ('アイテム別限界値DB'!$B:$B = BL$10) * 
        ('アイテム別限界値DB'!$C:$C = BL12), 
        0
      )
    ), 
    "再製作"
  )
))
</f>
        <v/>
      </c>
      <c r="BP12" s="195"/>
    </row>
    <row r="13" ht="18.75" hidden="1" customHeight="1">
      <c r="A13" s="222" t="s">
        <v>52</v>
      </c>
      <c r="B13" s="12"/>
      <c r="C13" s="12"/>
      <c r="D13" s="223" t="b">
        <f t="array" ref="D13:D42">UNIQUE(IF( ('アイテム別限界値DB'!$B:$B = D$10) * ('アイテム別限界値DB'!$A:$A = "サイズ"),  IF('アイテム別限界値DB'!$B:$B = D$10, 'アイテム別限界値DB'!$F:$F, "") ))</f>
        <v>0</v>
      </c>
      <c r="E13" s="224"/>
      <c r="F13" s="12"/>
      <c r="G13" s="121"/>
      <c r="H13" s="12"/>
      <c r="I13" s="223" t="b">
        <f t="array" ref="I13:I27">UNIQUE(IF( ('アイテム別限界値DB'!$B:$B = I$10) * ('アイテム別限界値DB'!$A:$A = "サイズ"),  IF('アイテム別限界値DB'!$B:$B = I$10, 'アイテム別限界値DB'!$F:$F, "") ))</f>
        <v>0</v>
      </c>
      <c r="J13" s="224"/>
      <c r="K13" s="12"/>
      <c r="L13" s="121"/>
      <c r="M13" s="12"/>
      <c r="N13" s="223" t="b">
        <f t="array" ref="N13:N21">UNIQUE(IF( ('アイテム別限界値DB'!$B:$B = N$10) * ('アイテム別限界値DB'!$A:$A = "サイズ"),  IF('アイテム別限界値DB'!$B:$B = N$10, 'アイテム別限界値DB'!$C:$C, "") ))</f>
        <v>0</v>
      </c>
      <c r="O13" s="224"/>
      <c r="P13" s="12"/>
      <c r="Q13" s="121"/>
      <c r="R13" s="11"/>
      <c r="S13" s="223" t="b">
        <f t="array" ref="S13:S28">UNIQUE(IF( ('アイテム別限界値DB'!$B:$B = S$10) * ('アイテム別限界値DB'!$A:$A = "サイズ"),  IF('アイテム別限界値DB'!$B:$B = S$10, 'アイテム別限界値DB'!$F:$F, "") ))</f>
        <v>0</v>
      </c>
      <c r="T13" s="225"/>
      <c r="U13" s="226"/>
      <c r="V13" s="121"/>
      <c r="W13" s="12"/>
      <c r="X13" s="223" t="b">
        <f t="array" ref="X13:X31">UNIQUE(IF( ('アイテム別限界値DB'!$B:$B = X$10) * ('アイテム別限界値DB'!$A:$A = "サイズ"),  IF('アイテム別限界値DB'!$B:$B = X$10, 'アイテム別限界値DB'!$C:$C, "") ))</f>
        <v>0</v>
      </c>
      <c r="Y13" s="225"/>
      <c r="Z13" s="226"/>
      <c r="AA13" s="121"/>
      <c r="AB13" s="11"/>
      <c r="AC13" s="223" t="b">
        <f t="array" ref="AC13:AC29">UNIQUE(IF( ('アイテム別限界値DB'!$B:$B = AC$10) * ('アイテム別限界値DB'!$A:$A = "サイズ"),  IF('アイテム別限界値DB'!$B:$B = AC$10, 'アイテム別限界値DB'!$F:$F, "") ))</f>
        <v>0</v>
      </c>
      <c r="AD13" s="225"/>
      <c r="AE13" s="226"/>
      <c r="AF13" s="121"/>
      <c r="AG13" s="11"/>
      <c r="AH13" s="223" t="b">
        <f t="array" ref="AH13:AH20">UNIQUE(IF( ('アイテム別限界値DB'!$B:$B = AH$10) * ('アイテム別限界値DB'!$A:$A = "サイズ"),  IF('アイテム別限界値DB'!$B:$B = AH$10, 'アイテム別限界値DB'!$F:$F, "") ))</f>
        <v>0</v>
      </c>
      <c r="AI13" s="225"/>
      <c r="AJ13" s="226"/>
      <c r="AK13" s="121"/>
      <c r="AL13" s="11"/>
      <c r="AM13" s="223" t="b">
        <f t="array" ref="AM13:AM20">UNIQUE(IF( ('アイテム別限界値DB'!$B:$B = AM$10) * ('アイテム別限界値DB'!$A:$A = "サイズ"),  IF('アイテム別限界値DB'!$B:$B = AM$10, 'アイテム別限界値DB'!$F:$F, "") ))</f>
        <v>0</v>
      </c>
      <c r="AN13" s="225"/>
      <c r="AO13" s="226"/>
      <c r="AP13" s="121"/>
      <c r="AQ13" s="11"/>
      <c r="AR13" s="223" t="b">
        <f t="array" ref="AR13:AR20">UNIQUE(IF( ('アイテム別限界値DB'!$B:$B = AR$10) * ('アイテム別限界値DB'!$A:$A = "サイズ"),  IF('アイテム別限界値DB'!$B:$B = AR$10, 'アイテム別限界値DB'!$F:$F, "") ))</f>
        <v>0</v>
      </c>
      <c r="AS13" s="225"/>
      <c r="AT13" s="226"/>
      <c r="AU13" s="121"/>
      <c r="AV13" s="121"/>
      <c r="AW13" s="223" t="b">
        <f t="array" ref="AW13:AW20">UNIQUE(IF( ('アイテム別限界値DB'!$B:$B = AW$10) * ('アイテム別限界値DB'!$A:$A = "サイズ"),  IF('アイテム別限界値DB'!$B:$B = AW$10, 'アイテム別限界値DB'!$F:$F, "") ))</f>
        <v>0</v>
      </c>
      <c r="AX13" s="225"/>
      <c r="AY13" s="226"/>
      <c r="AZ13" s="121"/>
      <c r="BA13" s="121"/>
      <c r="BB13" s="223" t="b">
        <f t="array" ref="BB13:BB20">UNIQUE(IF( ('アイテム別限界値DB'!$B:$B = BB$10) * ('アイテム別限界値DB'!$A:$A = "サイズ"),  IF('アイテム別限界値DB'!$B:$B = BB$10, 'アイテム別限界値DB'!$F:$F, "") ))</f>
        <v>0</v>
      </c>
      <c r="BC13" s="224"/>
      <c r="BD13" s="12"/>
      <c r="BE13" s="121"/>
      <c r="BF13" s="121"/>
      <c r="BG13" s="223" t="b">
        <f t="array" ref="BG13:BG20">UNIQUE(IF( ('アイテム別限界値DB'!$B:$B = BG$10) * ('アイテム別限界値DB'!$A:$A = "サイズ"),  IF('アイテム別限界値DB'!$B:$B = BG$10, 'アイテム別限界値DB'!$F:$F, "") ))</f>
        <v>0</v>
      </c>
      <c r="BH13" s="224"/>
      <c r="BI13" s="12"/>
      <c r="BJ13" s="121"/>
      <c r="BK13" s="121"/>
      <c r="BL13" s="227" t="b">
        <f t="array" ref="BL13:BL23">UNIQUE(IF( ('アイテム別限界値DB'!$B:$B = BL$10) * ('アイテム別限界値DB'!$A:$A = "サイズ"),  IF('アイテム別限界値DB'!$B:$B = BL$10, 'アイテム別限界値DB'!$F:$F, "") ))</f>
        <v>0</v>
      </c>
      <c r="BM13" s="224"/>
      <c r="BN13" s="121"/>
      <c r="BO13" s="121"/>
      <c r="BP13" s="121"/>
    </row>
    <row r="14" ht="18.75" customHeight="1">
      <c r="A14" s="228" t="str">
        <f>IF($D$11 = "再製作", "◼︎ ジャケット（対応着地：再製作）" &amp; char(10) &amp; "《修正数値》", IF( $D$11 &lt;&gt;"", "◼︎ ジャケット（対応着地：お直し）" &amp; char(10) &amp; "《修正数値》", ""))</f>
        <v/>
      </c>
      <c r="B14" s="229"/>
      <c r="C14" s="224"/>
      <c r="D14" s="224" t="s">
        <v>51</v>
      </c>
      <c r="E14" s="230"/>
      <c r="F14" s="231" t="str">
        <f t="array" ref="F14">IF(
  E14 = 0, 
  "", 
  IFERROR(
    INDEX(
      'アイテム別限界値DB'!$K:$K, 
      MATCH(
        1, 
        ('アイテム別限界値DB'!$B:$B = D$10) * 
        ('アイテム別限界値DB'!$F:$F = D14) * 
        ('アイテム別限界値DB'!$H:$H = E14), 
        0
      )
    ), 
    "再製作"
  )
)
</f>
        <v/>
      </c>
      <c r="G14" s="218" t="str">
        <f t="array" ref="G14">IF(
  E14 = 0, 
  "", 
  IFERROR(
    INDEX(
      'アイテム別限界値DB'!$L:$L, 
      MATCH(
        1, 
        ('アイテム別限界値DB'!$B:$B = D$10) * 
        ('アイテム別限界値DB'!$C:$C = D14) * 
        ('アイテム別限界値DB'!$F:$F = E14), 
        0
      )
    ), 
    ""
  )
)
</f>
        <v/>
      </c>
      <c r="H14" s="195"/>
      <c r="I14" s="224" t="s">
        <v>51</v>
      </c>
      <c r="J14" s="232"/>
      <c r="K14" s="231" t="str">
        <f t="array" ref="K14">IF(
  J14 = 0, 
  "", 
  IFERROR(
    INDEX(
      'アイテム別限界値DB'!$K:$K, 
      MATCH(
        1, 
        ('アイテム別限界値DB'!$B:$B = I$10) * 
        ('アイテム別限界値DB'!$F:$F = I14) * 
        ('アイテム別限界値DB'!$H:$H = J14), 
        0
      )
    ), 
    "再製作"
  )
)
</f>
        <v/>
      </c>
      <c r="L14" s="218" t="str">
        <f t="array" ref="L14">IF(
  J14 = 0, 
  "", 
  IFERROR(
    INDEX(
      'アイテム別限界値DB'!$L:$L, 
      MATCH(
        1, 
        ('アイテム別限界値DB'!$B:$B = I$10) * 
        ('アイテム別限界値DB'!$C:$C = I14) * 
        ('アイテム別限界値DB'!$F:$F = J14), 
        0
      )
    ), 
    ""
  )
)
</f>
        <v/>
      </c>
      <c r="M14" s="12"/>
      <c r="N14" s="224" t="s">
        <v>51</v>
      </c>
      <c r="O14" s="232"/>
      <c r="P14" s="231" t="str">
        <f t="array" ref="P14">IF(
  O14 = 0, 
  "", 
  IFERROR(
    INDEX(
      'アイテム別限界値DB'!$K:$K, 
      MATCH(
        1, 
        ('アイテム別限界値DB'!$B:$B = N$10) * 
        ('アイテム別限界値DB'!$F:$F = N14) * 
        ('アイテム別限界値DB'!$H:$H = O14), 
        0
      )
    ), 
    "再製作"
  )
)
</f>
        <v/>
      </c>
      <c r="Q14" s="218" t="str">
        <f t="array" ref="Q14">IF(
  O14 = 0, 
  "", 
  IFERROR(
    INDEX(
      'アイテム別限界値DB'!$L:$L, 
      MATCH(
        1, 
        ('アイテム別限界値DB'!$B:$B = N$10) * 
        ('アイテム別限界値DB'!$C:$C = N14) * 
        ('アイテム別限界値DB'!$F:$F = O14), 
        0
      )
    ), 
    ""
  )
)
</f>
        <v/>
      </c>
      <c r="R14" s="12"/>
      <c r="S14" s="224" t="s">
        <v>51</v>
      </c>
      <c r="T14" s="232"/>
      <c r="U14" s="231" t="str">
        <f t="array" ref="U14">IF(
  T14 = 0, 
  "", 
  IFERROR(
    INDEX(
      'アイテム別限界値DB'!$K:$K, 
      MATCH(
        1, 
        ('アイテム別限界値DB'!$B:$B = S$10) * 
        ('アイテム別限界値DB'!$F:$F = S14) * 
        ('アイテム別限界値DB'!$H:$H = T14), 
        0
      )
    ), 
    "再製作"
  )
)
</f>
        <v/>
      </c>
      <c r="V14" s="218" t="str">
        <f t="array" ref="V14">IF(
  T14 = 0, 
  "", 
  IFERROR(
    INDEX(
      'アイテム別限界値DB'!$L:$L, 
      MATCH(
        1, 
        ('アイテム別限界値DB'!$B:$B = S$10) * 
        ('アイテム別限界値DB'!$C:$C = S14) * 
        ('アイテム別限界値DB'!$F:$F = T14), 
        0
      )
    ), 
    ""
  )
)
</f>
        <v/>
      </c>
      <c r="W14" s="12"/>
      <c r="X14" s="224" t="s">
        <v>51</v>
      </c>
      <c r="Y14" s="232"/>
      <c r="Z14" s="231" t="str">
        <f t="array" ref="Z14">IF(
  Y14 = 0, 
  "", 
  IFERROR(
    INDEX(
      'アイテム別限界値DB'!$K:$K, 
      MATCH(
        1, 
        ('アイテム別限界値DB'!$B:$B = X$10) * 
        ('アイテム別限界値DB'!$F:$F = X14) * 
        ('アイテム別限界値DB'!$H:$H = Y14), 
        0
      )
    ), 
    "再製作"
  )
)
</f>
        <v/>
      </c>
      <c r="AA14" s="218" t="str">
        <f t="array" ref="AA14">IF(
  Y14 = 0, 
  "", 
  IFERROR(
    INDEX(
      'アイテム別限界値DB'!$L:$L, 
      MATCH(
        1, 
        ('アイテム別限界値DB'!$B:$B = X$10) * 
        ('アイテム別限界値DB'!$C:$C = X14) * 
        ('アイテム別限界値DB'!$F:$F = Y14), 
        0
      )
    ), 
    ""
  )
)
</f>
        <v/>
      </c>
      <c r="AB14" s="11"/>
      <c r="AC14" s="224" t="s">
        <v>51</v>
      </c>
      <c r="AD14" s="232"/>
      <c r="AE14" s="231" t="str">
        <f t="array" ref="AE14">IF(
  AD14 = 0, 
  "", 
  IFERROR(
    INDEX(
      'アイテム別限界値DB'!$K:$K, 
      MATCH(
        1, 
        ('アイテム別限界値DB'!$B:$B = AC$10) * 
        ('アイテム別限界値DB'!$F:$F = AC14) * 
        ('アイテム別限界値DB'!$H:$H = AD14), 
        0
      )
    ), 
    "再製作"
  )
)
</f>
        <v/>
      </c>
      <c r="AF14" s="218" t="str">
        <f t="array" ref="AF14">IF(
  AD14 = 0, 
  "", 
  IFERROR(
    INDEX(
      'アイテム別限界値DB'!$L:$L, 
      MATCH(
        1, 
        ('アイテム別限界値DB'!$B:$B = AC$10) * 
        ('アイテム別限界値DB'!$C:$C = AC14) * 
        ('アイテム別限界値DB'!$F:$F = AD14), 
        0
      )
    ), 
    ""
  )
)
</f>
        <v/>
      </c>
      <c r="AG14" s="11"/>
      <c r="AH14" s="224" t="s">
        <v>51</v>
      </c>
      <c r="AI14" s="232"/>
      <c r="AJ14" s="231" t="str">
        <f t="array" ref="AJ14">IF(
  AI14 = 0, 
  "", 
  IFERROR(
    INDEX(
      'アイテム別限界値DB'!$K:$K, 
      MATCH(
        1, 
        ('アイテム別限界値DB'!$B:$B = AH$10) * 
        ('アイテム別限界値DB'!$F:$F = AH14) * 
        ('アイテム別限界値DB'!$H:$H = AI14), 
        0
      )
    ), 
    "再製作"
  )
)
</f>
        <v/>
      </c>
      <c r="AK14" s="218" t="str">
        <f t="array" ref="AK14">IF(
  AI14 = 0, 
  "", 
  IFERROR(
    INDEX(
      'アイテム別限界値DB'!$L:$L, 
      MATCH(
        1, 
        ('アイテム別限界値DB'!$B:$B = AH$10) * 
        ('アイテム別限界値DB'!$C:$C = AH14) * 
        ('アイテム別限界値DB'!$F:$F = AI14), 
        0
      )
    ), 
    ""
  )
)
</f>
        <v/>
      </c>
      <c r="AL14" s="11"/>
      <c r="AM14" s="224" t="s">
        <v>51</v>
      </c>
      <c r="AN14" s="232"/>
      <c r="AO14" s="231" t="str">
        <f t="array" ref="AO14">IF(
  AN14 = 0, 
  "", 
  IFERROR(
    INDEX(
      'アイテム別限界値DB'!$K:$K, 
      MATCH(
        1, 
        ('アイテム別限界値DB'!$B:$B = AM$10) * 
        ('アイテム別限界値DB'!$F:$F = AM14) * 
        ('アイテム別限界値DB'!$H:$H = AN14), 
        0
      )
    ), 
    "再製作"
  )
)
</f>
        <v/>
      </c>
      <c r="AP14" s="218" t="str">
        <f t="array" ref="AP14">IF(
  AN14 = 0, 
  "", 
  IFERROR(
    INDEX(
      'アイテム別限界値DB'!$L:$L, 
      MATCH(
        1, 
        ('アイテム別限界値DB'!$B:$B = AM$10) * 
        ('アイテム別限界値DB'!$C:$C = AM14) * 
        ('アイテム別限界値DB'!$F:$F = AN14), 
        0
      )
    ), 
    ""
  )
)
</f>
        <v/>
      </c>
      <c r="AQ14" s="11"/>
      <c r="AR14" s="224" t="s">
        <v>51</v>
      </c>
      <c r="AS14" s="232"/>
      <c r="AT14" s="231" t="str">
        <f t="array" ref="AT14">IF(
  AS14 = 0, 
  "", 
  IFERROR(
    INDEX(
      'アイテム別限界値DB'!$K:$K, 
      MATCH(
        1, 
        ('アイテム別限界値DB'!$B:$B = AR$10) * 
        ('アイテム別限界値DB'!$F:$F = AR14) * 
        ('アイテム別限界値DB'!$H:$H = AS14), 
        0
      )
    ), 
    "再製作"
  )
)
</f>
        <v/>
      </c>
      <c r="AU14" s="218" t="str">
        <f t="array" ref="AU14">IF(
  AS14 = 0, 
  "", 
  IFERROR(
    INDEX(
      'アイテム別限界値DB'!$L:$L, 
      MATCH(
        1, 
        ('アイテム別限界値DB'!$B:$B = AR$10) * 
        ('アイテム別限界値DB'!$C:$C = AR14) * 
        ('アイテム別限界値DB'!$F:$F = AS14), 
        0
      )
    ), 
    ""
  )
)
</f>
        <v/>
      </c>
      <c r="AV14" s="121"/>
      <c r="AW14" s="224" t="s">
        <v>51</v>
      </c>
      <c r="AX14" s="232"/>
      <c r="AY14" s="231" t="str">
        <f t="array" ref="AY14">IF(
  AX14 = 0, 
  "", 
  IFERROR(
    INDEX(
      'アイテム別限界値DB'!$K:$K, 
      MATCH(
        1, 
        ('アイテム別限界値DB'!$B:$B = AW$10) * 
        ('アイテム別限界値DB'!$F:$F = AW14) * 
        ('アイテム別限界値DB'!$H:$H = AX14), 
        0
      )
    ), 
    "再製作"
  )
)
</f>
        <v/>
      </c>
      <c r="AZ14" s="218" t="str">
        <f t="array" ref="AZ14">IF(
  AX14 = 0, 
  "", 
  IFERROR(
    INDEX(
      'アイテム別限界値DB'!$L:$L, 
      MATCH(
        1, 
        ('アイテム別限界値DB'!$B:$B = AW$10) * 
        ('アイテム別限界値DB'!$C:$C = AW14) * 
        ('アイテム別限界値DB'!$F:$F = AX14), 
        0
      )
    ), 
    ""
  )
)
</f>
        <v/>
      </c>
      <c r="BA14" s="121"/>
      <c r="BB14" s="224" t="s">
        <v>51</v>
      </c>
      <c r="BC14" s="232"/>
      <c r="BD14" s="231" t="str">
        <f t="array" ref="BD14">IF(
  BC14 = 0, 
  "", 
  IFERROR(
    INDEX(
      'アイテム別限界値DB'!$K:$K, 
      MATCH(
        1, 
        ('アイテム別限界値DB'!$B:$B = BB$10) * 
        ('アイテム別限界値DB'!$F:$F = BB14) * 
        ('アイテム別限界値DB'!$H:$H = BC14), 
        0
      )
    ), 
    "再製作"
  )
)
</f>
        <v/>
      </c>
      <c r="BE14" s="218" t="str">
        <f t="array" ref="BE14">IF(
  BC14 = 0, 
  "", 
  IFERROR(
    INDEX(
      'アイテム別限界値DB'!$L:$L, 
      MATCH(
        1, 
        ('アイテム別限界値DB'!$B:$B = BB$10) * 
        ('アイテム別限界値DB'!$C:$C = BB14) * 
        ('アイテム別限界値DB'!$F:$F = BC14), 
        0
      )
    ), 
    ""
  )
)
</f>
        <v/>
      </c>
      <c r="BF14" s="121"/>
      <c r="BG14" s="224" t="s">
        <v>51</v>
      </c>
      <c r="BH14" s="233"/>
      <c r="BI14" s="234" t="str">
        <f t="array" ref="BI14">IF(
  BH14 = 0, 
  "", 
  IFERROR(
    INDEX(
      'アイテム別限界値DB'!$K:$K, 
      MATCH(
        1, 
        ('アイテム別限界値DB'!$B:$B = BG$10) * 
        ('アイテム別限界値DB'!$F:$F = BG14) * 
        ('アイテム別限界値DB'!$H:$H = BH14), 
        0
      )
    ), 
    "再製作"
  )
)
</f>
        <v/>
      </c>
      <c r="BJ14" s="218" t="str">
        <f t="array" ref="BJ14">IF(
  BH14 = 0, 
  "", 
  IFERROR(
    INDEX(
      'アイテム別限界値DB'!$L:$L, 
      MATCH(
        1, 
        ('アイテム別限界値DB'!$B:$B = BG$10) * 
        ('アイテム別限界値DB'!$C:$C = BG14) * 
        ('アイテム別限界値DB'!$F:$F = BH14), 
        0
      )
    ), 
    ""
  )
)
</f>
        <v/>
      </c>
      <c r="BK14" s="121"/>
      <c r="BL14" s="224" t="s">
        <v>51</v>
      </c>
      <c r="BM14" s="232"/>
      <c r="BN14" s="231" t="str">
        <f t="array" ref="BN14">IF(
  BM14 = 0, 
  "", 
  IFERROR(
    INDEX(
      'アイテム別限界値DB'!$K:$K, 
      MATCH(
        1, 
        ('アイテム別限界値DB'!$B:$B = BL$10) * 
        ('アイテム別限界値DB'!$F:$F = BL14) * 
        ('アイテム別限界値DB'!$H:$H = BM14), 
        0
      )
    ), 
    "再製作"
  )
)
</f>
        <v/>
      </c>
      <c r="BO14" s="218" t="str">
        <f t="array" ref="BO14">IF(
  BM14 = 0, 
  "", 
  IFERROR(
    INDEX(
      'アイテム別限界値DB'!$L:$L, 
      MATCH(
        1, 
        ('アイテム別限界値DB'!$B:$B = BL$10) * 
        ('アイテム別限界値DB'!$C:$C = BL14) * 
        ('アイテム別限界値DB'!$F:$F = BM14), 
        0
      )
    ), 
    ""
  )
)
</f>
        <v/>
      </c>
      <c r="BP14" s="195"/>
    </row>
    <row r="15" ht="18.75" customHeight="1">
      <c r="A15" s="228" t="str">
        <f>IFERROR(__xludf.DUMMYFUNCTION("TEXTJOIN(CHAR(10),TRUE,FILTER(ARRAYFORMULA(IF(E$14:E72&lt;&gt;"""",D$14:D72&amp;"" : ""&amp; E$14:E72 &amp;"" cm"","""")), D$14:D72 &lt;&gt;""""))"),"")</f>
        <v/>
      </c>
      <c r="B15" s="235"/>
      <c r="C15" s="224"/>
      <c r="D15" s="224" t="s">
        <v>53</v>
      </c>
      <c r="E15" s="230"/>
      <c r="F15" s="231" t="str">
        <f t="array" ref="F15">IF(
  E15 = 0, 
  "", 
  IFERROR(
    INDEX(
      'アイテム別限界値DB'!$K:$K, 
      MATCH(
        1, 
        ('アイテム別限界値DB'!$B:$B = D$10) * 
        ('アイテム別限界値DB'!$F:$F = D15) * 
        ('アイテム別限界値DB'!$H:$H = E15), 
        0
      )
    ), 
    "再製作"
  )
)
</f>
        <v/>
      </c>
      <c r="G15" s="218" t="str">
        <f t="array" ref="G15">IF(
  E15 = 0, 
  "", 
  IFERROR(
    INDEX(
      'アイテム別限界値DB'!$L:$L, 
      MATCH(
        1, 
        ('アイテム別限界値DB'!$B:$B = D$10) * 
        ('アイテム別限界値DB'!$C:$C = D15) * 
        ('アイテム別限界値DB'!$F:$F = E15), 
        0
      )
    ), 
    ""
  )
)
</f>
        <v/>
      </c>
      <c r="H15" s="12"/>
      <c r="I15" s="224" t="s">
        <v>54</v>
      </c>
      <c r="J15" s="230"/>
      <c r="K15" s="231" t="str">
        <f t="array" ref="K15">IF(
  J15 = 0, 
  "", 
  IFERROR(
    INDEX(
      'アイテム別限界値DB'!$K:$K, 
      MATCH(
        1, 
        ('アイテム別限界値DB'!$B:$B = I$10) * 
        ('アイテム別限界値DB'!$F:$F = I15) * 
        ('アイテム別限界値DB'!$H:$H = J15), 
        0
      )
    ), 
    "再製作"
  )
)
</f>
        <v/>
      </c>
      <c r="L15" s="218" t="str">
        <f t="array" ref="L15">IF(
  J15 = 0, 
  "", 
  IFERROR(
    INDEX(
      'アイテム別限界値DB'!$L:$L, 
      MATCH(
        1, 
        ('アイテム別限界値DB'!$B:$B = I$10) * 
        ('アイテム別限界値DB'!$C:$C = I15) * 
        ('アイテム別限界値DB'!$F:$F = J15), 
        0
      )
    ), 
    ""
  )
)
</f>
        <v/>
      </c>
      <c r="M15" s="12"/>
      <c r="N15" s="224" t="s">
        <v>55</v>
      </c>
      <c r="O15" s="230"/>
      <c r="P15" s="231" t="str">
        <f t="array" ref="P15">IF(
  O15 = 0, 
  "", 
  IFERROR(
    INDEX(
      'アイテム別限界値DB'!$K:$K, 
      MATCH(
        1, 
        ('アイテム別限界値DB'!$B:$B = N$10) * 
        ('アイテム別限界値DB'!$F:$F = N15) * 
        ('アイテム別限界値DB'!$H:$H = O15), 
        0
      )
    ), 
    "再製作"
  )
)
</f>
        <v/>
      </c>
      <c r="Q15" s="218" t="str">
        <f t="array" ref="Q15">IF(
  O15 = 0, 
  "", 
  IFERROR(
    INDEX(
      'アイテム別限界値DB'!$L:$L, 
      MATCH(
        1, 
        ('アイテム別限界値DB'!$B:$B = N$10) * 
        ('アイテム別限界値DB'!$C:$C = N15) * 
        ('アイテム別限界値DB'!$F:$F = O15), 
        0
      )
    ), 
    ""
  )
)
</f>
        <v/>
      </c>
      <c r="R15" s="12"/>
      <c r="S15" s="224" t="s">
        <v>54</v>
      </c>
      <c r="T15" s="232"/>
      <c r="U15" s="231" t="str">
        <f t="array" ref="U15">IF(
  T15 = 0, 
  "", 
  IFERROR(
    INDEX(
      'アイテム別限界値DB'!$K:$K, 
      MATCH(
        1, 
        ('アイテム別限界値DB'!$B:$B = S$10) * 
        ('アイテム別限界値DB'!$F:$F = S15) * 
        ('アイテム別限界値DB'!$H:$H = T15), 
        0
      )
    ), 
    "再製作"
  )
)
</f>
        <v/>
      </c>
      <c r="V15" s="218" t="str">
        <f t="array" ref="V15">IF(
  T15 = 0, 
  "", 
  IFERROR(
    INDEX(
      'アイテム別限界値DB'!$L:$L, 
      MATCH(
        1, 
        ('アイテム別限界値DB'!$B:$B = S$10) * 
        ('アイテム別限界値DB'!$C:$C = S15) * 
        ('アイテム別限界値DB'!$F:$F = T15), 
        0
      )
    ), 
    ""
  )
)
</f>
        <v/>
      </c>
      <c r="W15" s="12"/>
      <c r="X15" s="224" t="s">
        <v>53</v>
      </c>
      <c r="Y15" s="230"/>
      <c r="Z15" s="231" t="str">
        <f t="array" ref="Z15">IF(
  Y15 = 0, 
  "", 
  IFERROR(
    INDEX(
      'アイテム別限界値DB'!$K:$K, 
      MATCH(
        1, 
        ('アイテム別限界値DB'!$B:$B = X$10) * 
        ('アイテム別限界値DB'!$F:$F = X15) * 
        ('アイテム別限界値DB'!$H:$H = Y15), 
        0
      )
    ), 
    "再製作"
  )
)
</f>
        <v/>
      </c>
      <c r="AA15" s="218" t="str">
        <f t="array" ref="AA15">IF(
  Y15 = 0, 
  "", 
  IFERROR(
    INDEX(
      'アイテム別限界値DB'!$L:$L, 
      MATCH(
        1, 
        ('アイテム別限界値DB'!$B:$B = X$10) * 
        ('アイテム別限界値DB'!$C:$C = X15) * 
        ('アイテム別限界値DB'!$F:$F = Y15), 
        0
      )
    ), 
    ""
  )
)
</f>
        <v/>
      </c>
      <c r="AB15" s="11"/>
      <c r="AC15" s="224" t="s">
        <v>53</v>
      </c>
      <c r="AD15" s="230"/>
      <c r="AE15" s="231" t="str">
        <f t="array" ref="AE15">IF(
  AD15 = 0, 
  "", 
  IFERROR(
    INDEX(
      'アイテム別限界値DB'!$K:$K, 
      MATCH(
        1, 
        ('アイテム別限界値DB'!$B:$B = AC$10) * 
        ('アイテム別限界値DB'!$F:$F = AC15) * 
        ('アイテム別限界値DB'!$H:$H = AD15), 
        0
      )
    ), 
    "再製作"
  )
)
</f>
        <v/>
      </c>
      <c r="AF15" s="218" t="str">
        <f t="array" ref="AF15">IF(
  AD15 = 0, 
  "", 
  IFERROR(
    INDEX(
      'アイテム別限界値DB'!$L:$L, 
      MATCH(
        1, 
        ('アイテム別限界値DB'!$B:$B = AC$10) * 
        ('アイテム別限界値DB'!$C:$C = AC15) * 
        ('アイテム別限界値DB'!$F:$F = AD15), 
        0
      )
    ), 
    ""
  )
)
</f>
        <v/>
      </c>
      <c r="AG15" s="11"/>
      <c r="AH15" s="224" t="s">
        <v>53</v>
      </c>
      <c r="AI15" s="232"/>
      <c r="AJ15" s="231" t="str">
        <f t="array" ref="AJ15">IF(
  AI15 = 0, 
  "", 
  IFERROR(
    INDEX(
      'アイテム別限界値DB'!$K:$K, 
      MATCH(
        1, 
        ('アイテム別限界値DB'!$B:$B = AH$10) * 
        ('アイテム別限界値DB'!$F:$F = AH15) * 
        ('アイテム別限界値DB'!$H:$H = AI15), 
        0
      )
    ), 
    "再製作"
  )
)
</f>
        <v/>
      </c>
      <c r="AK15" s="218" t="str">
        <f t="array" ref="AK15">IF(
  AI15 = 0, 
  "", 
  IFERROR(
    INDEX(
      'アイテム別限界値DB'!$L:$L, 
      MATCH(
        1, 
        ('アイテム別限界値DB'!$B:$B = AH$10) * 
        ('アイテム別限界値DB'!$C:$C = AH15) * 
        ('アイテム別限界値DB'!$F:$F = AI15), 
        0
      )
    ), 
    ""
  )
)
</f>
        <v/>
      </c>
      <c r="AL15" s="11"/>
      <c r="AM15" s="224" t="s">
        <v>53</v>
      </c>
      <c r="AN15" s="232"/>
      <c r="AO15" s="231" t="str">
        <f t="array" ref="AO15">IF(
  AN15 = 0, 
  "", 
  IFERROR(
    INDEX(
      'アイテム別限界値DB'!$K:$K, 
      MATCH(
        1, 
        ('アイテム別限界値DB'!$B:$B = AM$10) * 
        ('アイテム別限界値DB'!$F:$F = AM15) * 
        ('アイテム別限界値DB'!$H:$H = AN15), 
        0
      )
    ), 
    "再製作"
  )
)
</f>
        <v/>
      </c>
      <c r="AP15" s="218" t="str">
        <f t="array" ref="AP15">IF(
  AN15 = 0, 
  "", 
  IFERROR(
    INDEX(
      'アイテム別限界値DB'!$L:$L, 
      MATCH(
        1, 
        ('アイテム別限界値DB'!$B:$B = AM$10) * 
        ('アイテム別限界値DB'!$C:$C = AM15) * 
        ('アイテム別限界値DB'!$F:$F = AN15), 
        0
      )
    ), 
    ""
  )
)
</f>
        <v/>
      </c>
      <c r="AQ15" s="11"/>
      <c r="AR15" s="224" t="s">
        <v>53</v>
      </c>
      <c r="AS15" s="232"/>
      <c r="AT15" s="231" t="str">
        <f t="array" ref="AT15">IF(
  AS15 = 0, 
  "", 
  IFERROR(
    INDEX(
      'アイテム別限界値DB'!$K:$K, 
      MATCH(
        1, 
        ('アイテム別限界値DB'!$B:$B = AR$10) * 
        ('アイテム別限界値DB'!$F:$F = AR15) * 
        ('アイテム別限界値DB'!$H:$H = AS15), 
        0
      )
    ), 
    "再製作"
  )
)
</f>
        <v/>
      </c>
      <c r="AU15" s="218" t="str">
        <f t="array" ref="AU15">IF(
  AS15 = 0, 
  "", 
  IFERROR(
    INDEX(
      'アイテム別限界値DB'!$L:$L, 
      MATCH(
        1, 
        ('アイテム別限界値DB'!$B:$B = AR$10) * 
        ('アイテム別限界値DB'!$C:$C = AR15) * 
        ('アイテム別限界値DB'!$F:$F = AS15), 
        0
      )
    ), 
    ""
  )
)
</f>
        <v/>
      </c>
      <c r="AV15" s="121"/>
      <c r="AW15" s="224" t="s">
        <v>53</v>
      </c>
      <c r="AX15" s="232"/>
      <c r="AY15" s="231" t="str">
        <f t="array" ref="AY15">IF(
  AX15 = 0, 
  "", 
  IFERROR(
    INDEX(
      'アイテム別限界値DB'!$K:$K, 
      MATCH(
        1, 
        ('アイテム別限界値DB'!$B:$B = AW$10) * 
        ('アイテム別限界値DB'!$F:$F = AW15) * 
        ('アイテム別限界値DB'!$H:$H = AX15), 
        0
      )
    ), 
    "再製作"
  )
)
</f>
        <v/>
      </c>
      <c r="AZ15" s="218" t="str">
        <f t="array" ref="AZ15">IF(
  AX15 = 0, 
  "", 
  IFERROR(
    INDEX(
      'アイテム別限界値DB'!$L:$L, 
      MATCH(
        1, 
        ('アイテム別限界値DB'!$B:$B = AW$10) * 
        ('アイテム別限界値DB'!$C:$C = AW15) * 
        ('アイテム別限界値DB'!$F:$F = AX15), 
        0
      )
    ), 
    ""
  )
)
</f>
        <v/>
      </c>
      <c r="BA15" s="121"/>
      <c r="BB15" s="224" t="s">
        <v>53</v>
      </c>
      <c r="BC15" s="232"/>
      <c r="BD15" s="231" t="str">
        <f t="array" ref="BD15">IF(
  BC15 = 0, 
  "", 
  IFERROR(
    INDEX(
      'アイテム別限界値DB'!$K:$K, 
      MATCH(
        1, 
        ('アイテム別限界値DB'!$B:$B = BB$10) * 
        ('アイテム別限界値DB'!$F:$F = BB15) * 
        ('アイテム別限界値DB'!$H:$H = BC15), 
        0
      )
    ), 
    "再製作"
  )
)
</f>
        <v/>
      </c>
      <c r="BE15" s="218" t="str">
        <f t="array" ref="BE15">IF(
  BC15 = 0, 
  "", 
  IFERROR(
    INDEX(
      'アイテム別限界値DB'!$L:$L, 
      MATCH(
        1, 
        ('アイテム別限界値DB'!$B:$B = BB$10) * 
        ('アイテム別限界値DB'!$C:$C = BB15) * 
        ('アイテム別限界値DB'!$F:$F = BC15), 
        0
      )
    ), 
    ""
  )
)
</f>
        <v/>
      </c>
      <c r="BF15" s="121"/>
      <c r="BG15" s="224" t="s">
        <v>53</v>
      </c>
      <c r="BH15" s="232"/>
      <c r="BI15" s="231" t="str">
        <f t="array" ref="BI15">IF(
  BH15 = 0, 
  "", 
  IFERROR(
    INDEX(
      'アイテム別限界値DB'!$K:$K, 
      MATCH(
        1, 
        ('アイテム別限界値DB'!$B:$B = BG$10) * 
        ('アイテム別限界値DB'!$F:$F = BG15) * 
        ('アイテム別限界値DB'!$H:$H = BH15), 
        0
      )
    ), 
    "再製作"
  )
)
</f>
        <v/>
      </c>
      <c r="BJ15" s="218" t="str">
        <f t="array" ref="BJ15">IF(
  BH15 = 0, 
  "", 
  IFERROR(
    INDEX(
      'アイテム別限界値DB'!$L:$L, 
      MATCH(
        1, 
        ('アイテム別限界値DB'!$B:$B = BG$10) * 
        ('アイテム別限界値DB'!$C:$C = BG15) * 
        ('アイテム別限界値DB'!$F:$F = BH15), 
        0
      )
    ), 
    ""
  )
)
</f>
        <v/>
      </c>
      <c r="BK15" s="121"/>
      <c r="BL15" s="224" t="s">
        <v>53</v>
      </c>
      <c r="BM15" s="232"/>
      <c r="BN15" s="231" t="str">
        <f t="array" ref="BN15">IF(
  BM15 = 0, 
  "", 
  IFERROR(
    INDEX(
      'アイテム別限界値DB'!$K:$K, 
      MATCH(
        1, 
        ('アイテム別限界値DB'!$B:$B = BL$10) * 
        ('アイテム別限界値DB'!$F:$F = BL15) * 
        ('アイテム別限界値DB'!$H:$H = BM15), 
        0
      )
    ), 
    "再製作"
  )
)
</f>
        <v/>
      </c>
      <c r="BO15" s="218" t="str">
        <f t="array" ref="BO15">IF(
  BM15 = 0, 
  "", 
  IFERROR(
    INDEX(
      'アイテム別限界値DB'!$L:$L, 
      MATCH(
        1, 
        ('アイテム別限界値DB'!$B:$B = BL$10) * 
        ('アイテム別限界値DB'!$C:$C = BL15) * 
        ('アイテム別限界値DB'!$F:$F = BM15), 
        0
      )
    ), 
    ""
  )
)
</f>
        <v/>
      </c>
      <c r="BP15" s="195"/>
    </row>
    <row r="16" ht="18.75" customHeight="1">
      <c r="A16" s="236" t="str">
        <f>if($A$14&lt;&gt;"", "《仕上がり数値》","")</f>
        <v/>
      </c>
      <c r="B16" s="224"/>
      <c r="C16" s="224"/>
      <c r="D16" s="224" t="s">
        <v>55</v>
      </c>
      <c r="E16" s="230"/>
      <c r="F16" s="231" t="str">
        <f t="array" ref="F16">IF(
  E16 = 0, 
  "", 
  IFERROR(
    INDEX(
      'アイテム別限界値DB'!$K:$K, 
      MATCH(
        1, 
        ('アイテム別限界値DB'!$B:$B = D$10) * 
        ('アイテム別限界値DB'!$F:$F = D16) * 
        ('アイテム別限界値DB'!$H:$H = E16), 
        0
      )
    ), 
    "再製作"
  )
)
</f>
        <v/>
      </c>
      <c r="G16" s="218" t="str">
        <f t="array" ref="G16">IF(
  E16 = 0, 
  "", 
  IFERROR(
    INDEX(
      'アイテム別限界値DB'!$L:$L, 
      MATCH(
        1, 
        ('アイテム別限界値DB'!$B:$B = D$10) * 
        ('アイテム別限界値DB'!$C:$C = D16) * 
        ('アイテム別限界値DB'!$F:$F = E16), 
        0
      )
    ), 
    ""
  )
)
</f>
        <v/>
      </c>
      <c r="H16" s="12"/>
      <c r="I16" s="224" t="s">
        <v>56</v>
      </c>
      <c r="J16" s="230"/>
      <c r="K16" s="231" t="str">
        <f t="array" ref="K16">IF(
  J16 = 0, 
  "", 
  IFERROR(
    INDEX(
      'アイテム別限界値DB'!$K:$K, 
      MATCH(
        1, 
        ('アイテム別限界値DB'!$B:$B = I$10) * 
        ('アイテム別限界値DB'!$F:$F = I16) * 
        ('アイテム別限界値DB'!$H:$H = J16), 
        0
      )
    ), 
    "再製作"
  )
)
</f>
        <v/>
      </c>
      <c r="L16" s="218" t="str">
        <f t="array" ref="L16">IF(
  J16 = 0, 
  "", 
  IFERROR(
    INDEX(
      'アイテム別限界値DB'!$L:$L, 
      MATCH(
        1, 
        ('アイテム別限界値DB'!$B:$B = I$10) * 
        ('アイテム別限界値DB'!$C:$C = I16) * 
        ('アイテム別限界値DB'!$F:$F = J16), 
        0
      )
    ), 
    ""
  )
)
</f>
        <v/>
      </c>
      <c r="M16" s="12"/>
      <c r="N16" s="224" t="s">
        <v>57</v>
      </c>
      <c r="O16" s="230"/>
      <c r="P16" s="231" t="str">
        <f t="array" ref="P16">IF(
  O16 = 0, 
  "", 
  IFERROR(
    INDEX(
      'アイテム別限界値DB'!$K:$K, 
      MATCH(
        1, 
        ('アイテム別限界値DB'!$B:$B = N$10) * 
        ('アイテム別限界値DB'!$F:$F = N16) * 
        ('アイテム別限界値DB'!$H:$H = O16), 
        0
      )
    ), 
    "再製作"
  )
)
</f>
        <v/>
      </c>
      <c r="Q16" s="218" t="str">
        <f t="array" ref="Q16">IF(
  O16 = 0, 
  "", 
  IFERROR(
    INDEX(
      'アイテム別限界値DB'!$L:$L, 
      MATCH(
        1, 
        ('アイテム別限界値DB'!$B:$B = N$10) * 
        ('アイテム別限界値DB'!$C:$C = N16) * 
        ('アイテム別限界値DB'!$F:$F = O16), 
        0
      )
    ), 
    ""
  )
)
</f>
        <v/>
      </c>
      <c r="R16" s="12"/>
      <c r="S16" s="224" t="s">
        <v>56</v>
      </c>
      <c r="T16" s="232"/>
      <c r="U16" s="231" t="str">
        <f t="array" ref="U16">IF(
  T16 = 0, 
  "", 
  IFERROR(
    INDEX(
      'アイテム別限界値DB'!$K:$K, 
      MATCH(
        1, 
        ('アイテム別限界値DB'!$B:$B = S$10) * 
        ('アイテム別限界値DB'!$F:$F = S16) * 
        ('アイテム別限界値DB'!$H:$H = T16), 
        0
      )
    ), 
    "再製作"
  )
)
</f>
        <v/>
      </c>
      <c r="V16" s="218" t="str">
        <f t="array" ref="V16">IF(
  T16 = 0, 
  "", 
  IFERROR(
    INDEX(
      'アイテム別限界値DB'!$L:$L, 
      MATCH(
        1, 
        ('アイテム別限界値DB'!$B:$B = S$10) * 
        ('アイテム別限界値DB'!$C:$C = S16) * 
        ('アイテム別限界値DB'!$F:$F = T16), 
        0
      )
    ), 
    ""
  )
)
</f>
        <v/>
      </c>
      <c r="W16" s="12"/>
      <c r="X16" s="224" t="s">
        <v>58</v>
      </c>
      <c r="Y16" s="230"/>
      <c r="Z16" s="231" t="str">
        <f t="array" ref="Z16">IF(
  Y16 = 0, 
  "", 
  IFERROR(
    INDEX(
      'アイテム別限界値DB'!$K:$K, 
      MATCH(
        1, 
        ('アイテム別限界値DB'!$B:$B = X$10) * 
        ('アイテム別限界値DB'!$F:$F = X16) * 
        ('アイテム別限界値DB'!$H:$H = Y16), 
        0
      )
    ), 
    "再製作"
  )
)
</f>
        <v/>
      </c>
      <c r="AA16" s="218" t="str">
        <f t="array" ref="AA16">IF(
  Y16 = 0, 
  "", 
  IFERROR(
    INDEX(
      'アイテム別限界値DB'!$L:$L, 
      MATCH(
        1, 
        ('アイテム別限界値DB'!$B:$B = X$10) * 
        ('アイテム別限界値DB'!$C:$C = X16) * 
        ('アイテム別限界値DB'!$F:$F = Y16), 
        0
      )
    ), 
    ""
  )
)
</f>
        <v/>
      </c>
      <c r="AB16" s="11"/>
      <c r="AC16" s="224" t="s">
        <v>55</v>
      </c>
      <c r="AD16" s="230"/>
      <c r="AE16" s="231" t="str">
        <f t="array" ref="AE16">IF(
  AD16 = 0, 
  "", 
  IFERROR(
    INDEX(
      'アイテム別限界値DB'!$K:$K, 
      MATCH(
        1, 
        ('アイテム別限界値DB'!$B:$B = AC$10) * 
        ('アイテム別限界値DB'!$F:$F = AC16) * 
        ('アイテム別限界値DB'!$H:$H = AD16), 
        0
      )
    ), 
    "再製作"
  )
)
</f>
        <v/>
      </c>
      <c r="AF16" s="218" t="str">
        <f t="array" ref="AF16">IF(
  AD16 = 0, 
  "", 
  IFERROR(
    INDEX(
      'アイテム別限界値DB'!$L:$L, 
      MATCH(
        1, 
        ('アイテム別限界値DB'!$B:$B = AC$10) * 
        ('アイテム別限界値DB'!$C:$C = AC16) * 
        ('アイテム別限界値DB'!$F:$F = AD16), 
        0
      )
    ), 
    ""
  )
)
</f>
        <v/>
      </c>
      <c r="AG16" s="11"/>
      <c r="AH16" s="224" t="s">
        <v>55</v>
      </c>
      <c r="AI16" s="232"/>
      <c r="AJ16" s="231" t="str">
        <f t="array" ref="AJ16">IF(
  AI16 = 0, 
  "", 
  IFERROR(
    INDEX(
      'アイテム別限界値DB'!$K:$K, 
      MATCH(
        1, 
        ('アイテム別限界値DB'!$B:$B = AH$10) * 
        ('アイテム別限界値DB'!$F:$F = AH16) * 
        ('アイテム別限界値DB'!$H:$H = AI16), 
        0
      )
    ), 
    "再製作"
  )
)
</f>
        <v/>
      </c>
      <c r="AK16" s="218" t="str">
        <f t="array" ref="AK16">IF(
  AI16 = 0, 
  "", 
  IFERROR(
    INDEX(
      'アイテム別限界値DB'!$L:$L, 
      MATCH(
        1, 
        ('アイテム別限界値DB'!$B:$B = AH$10) * 
        ('アイテム別限界値DB'!$C:$C = AH16) * 
        ('アイテム別限界値DB'!$F:$F = AI16), 
        0
      )
    ), 
    ""
  )
)
</f>
        <v/>
      </c>
      <c r="AL16" s="11"/>
      <c r="AM16" s="224" t="s">
        <v>55</v>
      </c>
      <c r="AN16" s="232"/>
      <c r="AO16" s="231" t="str">
        <f t="array" ref="AO16">IF(
  AN16 = 0, 
  "", 
  IFERROR(
    INDEX(
      'アイテム別限界値DB'!$K:$K, 
      MATCH(
        1, 
        ('アイテム別限界値DB'!$B:$B = AM$10) * 
        ('アイテム別限界値DB'!$F:$F = AM16) * 
        ('アイテム別限界値DB'!$H:$H = AN16), 
        0
      )
    ), 
    "再製作"
  )
)
</f>
        <v/>
      </c>
      <c r="AP16" s="218" t="str">
        <f t="array" ref="AP16">IF(
  AN16 = 0, 
  "", 
  IFERROR(
    INDEX(
      'アイテム別限界値DB'!$L:$L, 
      MATCH(
        1, 
        ('アイテム別限界値DB'!$B:$B = AM$10) * 
        ('アイテム別限界値DB'!$C:$C = AM16) * 
        ('アイテム別限界値DB'!$F:$F = AN16), 
        0
      )
    ), 
    ""
  )
)
</f>
        <v/>
      </c>
      <c r="AQ16" s="11"/>
      <c r="AR16" s="224" t="s">
        <v>55</v>
      </c>
      <c r="AS16" s="232"/>
      <c r="AT16" s="231" t="str">
        <f t="array" ref="AT16">IF(
  AS16 = 0, 
  "", 
  IFERROR(
    INDEX(
      'アイテム別限界値DB'!$K:$K, 
      MATCH(
        1, 
        ('アイテム別限界値DB'!$B:$B = AR$10) * 
        ('アイテム別限界値DB'!$F:$F = AR16) * 
        ('アイテム別限界値DB'!$H:$H = AS16), 
        0
      )
    ), 
    "再製作"
  )
)
</f>
        <v/>
      </c>
      <c r="AU16" s="218" t="str">
        <f t="array" ref="AU16">IF(
  AS16 = 0, 
  "", 
  IFERROR(
    INDEX(
      'アイテム別限界値DB'!$L:$L, 
      MATCH(
        1, 
        ('アイテム別限界値DB'!$B:$B = AR$10) * 
        ('アイテム別限界値DB'!$C:$C = AR16) * 
        ('アイテム別限界値DB'!$F:$F = AS16), 
        0
      )
    ), 
    ""
  )
)
</f>
        <v/>
      </c>
      <c r="AV16" s="121"/>
      <c r="AW16" s="224" t="s">
        <v>55</v>
      </c>
      <c r="AX16" s="232"/>
      <c r="AY16" s="231" t="str">
        <f t="array" ref="AY16">IF(
  AX16 = 0, 
  "", 
  IFERROR(
    INDEX(
      'アイテム別限界値DB'!$K:$K, 
      MATCH(
        1, 
        ('アイテム別限界値DB'!$B:$B = AW$10) * 
        ('アイテム別限界値DB'!$F:$F = AW16) * 
        ('アイテム別限界値DB'!$H:$H = AX16), 
        0
      )
    ), 
    "再製作"
  )
)
</f>
        <v/>
      </c>
      <c r="AZ16" s="218" t="str">
        <f t="array" ref="AZ16">IF(
  AX16 = 0, 
  "", 
  IFERROR(
    INDEX(
      'アイテム別限界値DB'!$L:$L, 
      MATCH(
        1, 
        ('アイテム別限界値DB'!$B:$B = AW$10) * 
        ('アイテム別限界値DB'!$C:$C = AW16) * 
        ('アイテム別限界値DB'!$F:$F = AX16), 
        0
      )
    ), 
    ""
  )
)
</f>
        <v/>
      </c>
      <c r="BA16" s="121"/>
      <c r="BB16" s="224" t="s">
        <v>55</v>
      </c>
      <c r="BC16" s="232"/>
      <c r="BD16" s="231" t="str">
        <f t="array" ref="BD16">IF(
  BC16 = 0, 
  "", 
  IFERROR(
    INDEX(
      'アイテム別限界値DB'!$K:$K, 
      MATCH(
        1, 
        ('アイテム別限界値DB'!$B:$B = BB$10) * 
        ('アイテム別限界値DB'!$F:$F = BB16) * 
        ('アイテム別限界値DB'!$H:$H = BC16), 
        0
      )
    ), 
    "再製作"
  )
)
</f>
        <v/>
      </c>
      <c r="BE16" s="218" t="str">
        <f t="array" ref="BE16">IF(
  BC16 = 0, 
  "", 
  IFERROR(
    INDEX(
      'アイテム別限界値DB'!$L:$L, 
      MATCH(
        1, 
        ('アイテム別限界値DB'!$B:$B = BB$10) * 
        ('アイテム別限界値DB'!$C:$C = BB16) * 
        ('アイテム別限界値DB'!$F:$F = BC16), 
        0
      )
    ), 
    ""
  )
)
</f>
        <v/>
      </c>
      <c r="BF16" s="121"/>
      <c r="BG16" s="224" t="s">
        <v>55</v>
      </c>
      <c r="BH16" s="232"/>
      <c r="BI16" s="231" t="str">
        <f t="array" ref="BI16">IF(
  BH16 = 0, 
  "", 
  IFERROR(
    INDEX(
      'アイテム別限界値DB'!$K:$K, 
      MATCH(
        1, 
        ('アイテム別限界値DB'!$B:$B = BG$10) * 
        ('アイテム別限界値DB'!$F:$F = BG16) * 
        ('アイテム別限界値DB'!$H:$H = BH16), 
        0
      )
    ), 
    "再製作"
  )
)
</f>
        <v/>
      </c>
      <c r="BJ16" s="218" t="str">
        <f t="array" ref="BJ16">IF(
  BH16 = 0, 
  "", 
  IFERROR(
    INDEX(
      'アイテム別限界値DB'!$L:$L, 
      MATCH(
        1, 
        ('アイテム別限界値DB'!$B:$B = BG$10) * 
        ('アイテム別限界値DB'!$C:$C = BG16) * 
        ('アイテム別限界値DB'!$F:$F = BH16), 
        0
      )
    ), 
    ""
  )
)
</f>
        <v/>
      </c>
      <c r="BK16" s="121"/>
      <c r="BL16" s="224" t="s">
        <v>55</v>
      </c>
      <c r="BM16" s="232" t="s">
        <v>59</v>
      </c>
      <c r="BN16" s="231">
        <f t="array" ref="BN16">IF(
  BM16 = 0, 
  "", 
  IFERROR(
    INDEX(
      'アイテム別限界値DB'!$K:$K, 
      MATCH(
        1, 
        ('アイテム別限界値DB'!$B:$B = BL$10) * 
        ('アイテム別限界値DB'!$F:$F = BL16) * 
        ('アイテム別限界値DB'!$H:$H = BM16), 
        0
      )
    ), 
    "再製作"
  )
)
</f>
        <v>46000</v>
      </c>
      <c r="BO16" s="218" t="str">
        <f t="array" ref="BO16">IF(
  BM16 = 0, 
  "", 
  IFERROR(
    INDEX(
      'アイテム別限界値DB'!$L:$L, 
      MATCH(
        1, 
        ('アイテム別限界値DB'!$B:$B = BL$10) * 
        ('アイテム別限界値DB'!$C:$C = BL16) * 
        ('アイテム別限界値DB'!$F:$F = BM16), 
        0
      )
    ), 
    ""
  )
)
</f>
        <v/>
      </c>
      <c r="BP16" s="195"/>
    </row>
    <row r="17" ht="18.75" customHeight="1">
      <c r="A17" s="228" t="str">
        <f>IFERROR(__xludf.DUMMYFUNCTION("TEXTJOIN(CHAR(10),TRUE,FILTER(ARRAYFORMULA(IF(E$14:E72&lt;&gt;"""",D$14:D72&amp;"" :  cm"","""")), D$14:D72 &lt;&gt;""""))"),"")</f>
        <v/>
      </c>
      <c r="B17" s="229"/>
      <c r="C17" s="224"/>
      <c r="D17" s="224" t="s">
        <v>60</v>
      </c>
      <c r="E17" s="230"/>
      <c r="F17" s="231" t="str">
        <f t="array" ref="F17">IF(
  E17 = 0, 
  "", 
  IFERROR(
    INDEX(
      'アイテム別限界値DB'!$K:$K, 
      MATCH(
        1, 
        ('アイテム別限界値DB'!$B:$B = D$10) * 
        ('アイテム別限界値DB'!$F:$F = D17) * 
        ('アイテム別限界値DB'!$H:$H = E17), 
        0
      )
    ), 
    "再製作"
  )
)
</f>
        <v/>
      </c>
      <c r="G17" s="218" t="str">
        <f t="array" ref="G17">IF(
  E17 = 0, 
  "", 
  IFERROR(
    INDEX(
      'アイテム別限界値DB'!$L:$L, 
      MATCH(
        1, 
        ('アイテム別限界値DB'!$B:$B = D$10) * 
        ('アイテム別限界値DB'!$C:$C = D17) * 
        ('アイテム別限界値DB'!$F:$F = E17), 
        0
      )
    ), 
    ""
  )
)
</f>
        <v/>
      </c>
      <c r="H17" s="12"/>
      <c r="I17" s="224" t="s">
        <v>61</v>
      </c>
      <c r="J17" s="230"/>
      <c r="K17" s="231" t="str">
        <f t="array" ref="K17">IF(
  J17 = 0, 
  "", 
  IFERROR(
    INDEX(
      'アイテム別限界値DB'!$K:$K, 
      MATCH(
        1, 
        ('アイテム別限界値DB'!$B:$B = I$10) * 
        ('アイテム別限界値DB'!$F:$F = I17) * 
        ('アイテム別限界値DB'!$H:$H = J17), 
        0
      )
    ), 
    "再製作"
  )
)
</f>
        <v/>
      </c>
      <c r="L17" s="218" t="str">
        <f t="array" ref="L17">IF(
  J17 = 0, 
  "", 
  IFERROR(
    INDEX(
      'アイテム別限界値DB'!$L:$L, 
      MATCH(
        1, 
        ('アイテム別限界値DB'!$B:$B = I$10) * 
        ('アイテム別限界値DB'!$C:$C = I17) * 
        ('アイテム別限界値DB'!$F:$F = J17), 
        0
      )
    ), 
    ""
  )
)
</f>
        <v/>
      </c>
      <c r="M17" s="12"/>
      <c r="N17" s="224" t="s">
        <v>62</v>
      </c>
      <c r="O17" s="230"/>
      <c r="P17" s="231" t="str">
        <f t="array" ref="P17">IF(
  O17 = 0, 
  "", 
  IFERROR(
    INDEX(
      'アイテム別限界値DB'!$K:$K, 
      MATCH(
        1, 
        ('アイテム別限界値DB'!$B:$B = N$10) * 
        ('アイテム別限界値DB'!$F:$F = N17) * 
        ('アイテム別限界値DB'!$H:$H = O17), 
        0
      )
    ), 
    "再製作"
  )
)
</f>
        <v/>
      </c>
      <c r="Q17" s="218" t="str">
        <f t="array" ref="Q17">IF(
  O17 = 0, 
  "", 
  IFERROR(
    INDEX(
      'アイテム別限界値DB'!$L:$L, 
      MATCH(
        1, 
        ('アイテム別限界値DB'!$B:$B = N$10) * 
        ('アイテム別限界値DB'!$C:$C = N17) * 
        ('アイテム別限界値DB'!$F:$F = O17), 
        0
      )
    ), 
    ""
  )
)
</f>
        <v/>
      </c>
      <c r="R17" s="11"/>
      <c r="S17" s="224" t="s">
        <v>61</v>
      </c>
      <c r="T17" s="230"/>
      <c r="U17" s="231" t="str">
        <f t="array" ref="U17">IF(
  T17 = 0, 
  "", 
  IFERROR(
    INDEX(
      'アイテム別限界値DB'!$K:$K, 
      MATCH(
        1, 
        ('アイテム別限界値DB'!$B:$B = S$10) * 
        ('アイテム別限界値DB'!$F:$F = S17) * 
        ('アイテム別限界値DB'!$H:$H = T17), 
        0
      )
    ), 
    "再製作"
  )
)
</f>
        <v/>
      </c>
      <c r="V17" s="218" t="str">
        <f t="array" ref="V17">IF(
  T17 = 0, 
  "", 
  IFERROR(
    INDEX(
      'アイテム別限界値DB'!$L:$L, 
      MATCH(
        1, 
        ('アイテム別限界値DB'!$B:$B = S$10) * 
        ('アイテム別限界値DB'!$C:$C = S17) * 
        ('アイテム別限界値DB'!$F:$F = T17), 
        0
      )
    ), 
    ""
  )
)
</f>
        <v/>
      </c>
      <c r="W17" s="12"/>
      <c r="X17" s="224" t="s">
        <v>63</v>
      </c>
      <c r="Y17" s="232"/>
      <c r="Z17" s="231" t="str">
        <f t="array" ref="Z17">IF(
  Y17 = 0, 
  "", 
  IFERROR(
    INDEX(
      'アイテム別限界値DB'!$K:$K, 
      MATCH(
        1, 
        ('アイテム別限界値DB'!$B:$B = X$10) * 
        ('アイテム別限界値DB'!$F:$F = X17) * 
        ('アイテム別限界値DB'!$H:$H = Y17), 
        0
      )
    ), 
    "再製作"
  )
)
</f>
        <v/>
      </c>
      <c r="AA17" s="218" t="str">
        <f t="array" ref="AA17">IF(
  Y17 = 0, 
  "", 
  IFERROR(
    INDEX(
      'アイテム別限界値DB'!$L:$L, 
      MATCH(
        1, 
        ('アイテム別限界値DB'!$B:$B = X$10) * 
        ('アイテム別限界値DB'!$C:$C = X17) * 
        ('アイテム別限界値DB'!$F:$F = Y17), 
        0
      )
    ), 
    ""
  )
)
</f>
        <v/>
      </c>
      <c r="AB17" s="11"/>
      <c r="AC17" s="224" t="s">
        <v>57</v>
      </c>
      <c r="AD17" s="232"/>
      <c r="AE17" s="231" t="str">
        <f t="array" ref="AE17">IF(
  AD17 = 0, 
  "", 
  IFERROR(
    INDEX(
      'アイテム別限界値DB'!$K:$K, 
      MATCH(
        1, 
        ('アイテム別限界値DB'!$B:$B = AC$10) * 
        ('アイテム別限界値DB'!$F:$F = AC17) * 
        ('アイテム別限界値DB'!$H:$H = AD17), 
        0
      )
    ), 
    "再製作"
  )
)
</f>
        <v/>
      </c>
      <c r="AF17" s="218" t="str">
        <f t="array" ref="AF17">IF(
  AD17 = 0, 
  "", 
  IFERROR(
    INDEX(
      'アイテム別限界値DB'!$L:$L, 
      MATCH(
        1, 
        ('アイテム別限界値DB'!$B:$B = AC$10) * 
        ('アイテム別限界値DB'!$C:$C = AC17) * 
        ('アイテム別限界値DB'!$F:$F = AD17), 
        0
      )
    ), 
    ""
  )
)
</f>
        <v/>
      </c>
      <c r="AG17" s="11"/>
      <c r="AH17" s="224" t="s">
        <v>57</v>
      </c>
      <c r="AI17" s="232"/>
      <c r="AJ17" s="231" t="str">
        <f t="array" ref="AJ17">IF(
  AI17 = 0, 
  "", 
  IFERROR(
    INDEX(
      'アイテム別限界値DB'!$K:$K, 
      MATCH(
        1, 
        ('アイテム別限界値DB'!$B:$B = AH$10) * 
        ('アイテム別限界値DB'!$F:$F = AH17) * 
        ('アイテム別限界値DB'!$H:$H = AI17), 
        0
      )
    ), 
    "再製作"
  )
)
</f>
        <v/>
      </c>
      <c r="AK17" s="218" t="str">
        <f t="array" ref="AK17">IF(
  AI17 = 0, 
  "", 
  IFERROR(
    INDEX(
      'アイテム別限界値DB'!$L:$L, 
      MATCH(
        1, 
        ('アイテム別限界値DB'!$B:$B = AH$10) * 
        ('アイテム別限界値DB'!$C:$C = AH17) * 
        ('アイテム別限界値DB'!$F:$F = AI17), 
        0
      )
    ), 
    ""
  )
)
</f>
        <v/>
      </c>
      <c r="AL17" s="11"/>
      <c r="AM17" s="224" t="s">
        <v>57</v>
      </c>
      <c r="AN17" s="232"/>
      <c r="AO17" s="231" t="str">
        <f t="array" ref="AO17">IF(
  AN17 = 0, 
  "", 
  IFERROR(
    INDEX(
      'アイテム別限界値DB'!$K:$K, 
      MATCH(
        1, 
        ('アイテム別限界値DB'!$B:$B = AM$10) * 
        ('アイテム別限界値DB'!$F:$F = AM17) * 
        ('アイテム別限界値DB'!$H:$H = AN17), 
        0
      )
    ), 
    "再製作"
  )
)
</f>
        <v/>
      </c>
      <c r="AP17" s="218" t="str">
        <f t="array" ref="AP17">IF(
  AN17 = 0, 
  "", 
  IFERROR(
    INDEX(
      'アイテム別限界値DB'!$L:$L, 
      MATCH(
        1, 
        ('アイテム別限界値DB'!$B:$B = AM$10) * 
        ('アイテム別限界値DB'!$C:$C = AM17) * 
        ('アイテム別限界値DB'!$F:$F = AN17), 
        0
      )
    ), 
    ""
  )
)
</f>
        <v/>
      </c>
      <c r="AQ17" s="11"/>
      <c r="AR17" s="224" t="s">
        <v>57</v>
      </c>
      <c r="AS17" s="230" t="s">
        <v>142</v>
      </c>
      <c r="AT17" s="231">
        <f t="array" ref="AT17">IF(
  AS17 = 0, 
  "", 
  IFERROR(
    INDEX(
      'アイテム別限界値DB'!$K:$K, 
      MATCH(
        1, 
        ('アイテム別限界値DB'!$B:$B = AR$10) * 
        ('アイテム別限界値DB'!$F:$F = AR17) * 
        ('アイテム別限界値DB'!$H:$H = AS17), 
        0
      )
    ), 
    "再製作"
  )
)
</f>
        <v>46000</v>
      </c>
      <c r="AU17" s="218" t="str">
        <f t="array" ref="AU17">IF(
  AS17 = 0, 
  "", 
  IFERROR(
    INDEX(
      'アイテム別限界値DB'!$L:$L, 
      MATCH(
        1, 
        ('アイテム別限界値DB'!$B:$B = AR$10) * 
        ('アイテム別限界値DB'!$C:$C = AR17) * 
        ('アイテム別限界値DB'!$F:$F = AS17), 
        0
      )
    ), 
    ""
  )
)
</f>
        <v/>
      </c>
      <c r="AV17" s="121"/>
      <c r="AW17" s="224" t="s">
        <v>57</v>
      </c>
      <c r="AX17" s="232"/>
      <c r="AY17" s="231" t="str">
        <f t="array" ref="AY17">IF(
  AX17 = 0, 
  "", 
  IFERROR(
    INDEX(
      'アイテム別限界値DB'!$K:$K, 
      MATCH(
        1, 
        ('アイテム別限界値DB'!$B:$B = AW$10) * 
        ('アイテム別限界値DB'!$F:$F = AW17) * 
        ('アイテム別限界値DB'!$H:$H = AX17), 
        0
      )
    ), 
    "再製作"
  )
)
</f>
        <v/>
      </c>
      <c r="AZ17" s="218" t="str">
        <f t="array" ref="AZ17">IF(
  AX17 = 0, 
  "", 
  IFERROR(
    INDEX(
      'アイテム別限界値DB'!$L:$L, 
      MATCH(
        1, 
        ('アイテム別限界値DB'!$B:$B = AW$10) * 
        ('アイテム別限界値DB'!$C:$C = AW17) * 
        ('アイテム別限界値DB'!$F:$F = AX17), 
        0
      )
    ), 
    ""
  )
)
</f>
        <v/>
      </c>
      <c r="BA17" s="121"/>
      <c r="BB17" s="224" t="s">
        <v>57</v>
      </c>
      <c r="BC17" s="232"/>
      <c r="BD17" s="231" t="str">
        <f t="array" ref="BD17">IF(
  BC17 = 0, 
  "", 
  IFERROR(
    INDEX(
      'アイテム別限界値DB'!$K:$K, 
      MATCH(
        1, 
        ('アイテム別限界値DB'!$B:$B = BB$10) * 
        ('アイテム別限界値DB'!$F:$F = BB17) * 
        ('アイテム別限界値DB'!$H:$H = BC17), 
        0
      )
    ), 
    "再製作"
  )
)
</f>
        <v/>
      </c>
      <c r="BE17" s="218" t="str">
        <f t="array" ref="BE17">IF(
  BC17 = 0, 
  "", 
  IFERROR(
    INDEX(
      'アイテム別限界値DB'!$L:$L, 
      MATCH(
        1, 
        ('アイテム別限界値DB'!$B:$B = BB$10) * 
        ('アイテム別限界値DB'!$C:$C = BB17) * 
        ('アイテム別限界値DB'!$F:$F = BC17), 
        0
      )
    ), 
    ""
  )
)
</f>
        <v/>
      </c>
      <c r="BF17" s="121"/>
      <c r="BG17" s="224" t="s">
        <v>57</v>
      </c>
      <c r="BH17" s="232"/>
      <c r="BI17" s="231" t="str">
        <f t="array" ref="BI17">IF(
  BH17 = 0, 
  "", 
  IFERROR(
    INDEX(
      'アイテム別限界値DB'!$K:$K, 
      MATCH(
        1, 
        ('アイテム別限界値DB'!$B:$B = BG$10) * 
        ('アイテム別限界値DB'!$F:$F = BG17) * 
        ('アイテム別限界値DB'!$H:$H = BH17), 
        0
      )
    ), 
    "再製作"
  )
)
</f>
        <v/>
      </c>
      <c r="BJ17" s="218" t="str">
        <f t="array" ref="BJ17">IF(
  BH17 = 0, 
  "", 
  IFERROR(
    INDEX(
      'アイテム別限界値DB'!$L:$L, 
      MATCH(
        1, 
        ('アイテム別限界値DB'!$B:$B = BG$10) * 
        ('アイテム別限界値DB'!$C:$C = BG17) * 
        ('アイテム別限界値DB'!$F:$F = BH17), 
        0
      )
    ), 
    ""
  )
)
</f>
        <v/>
      </c>
      <c r="BK17" s="121"/>
      <c r="BL17" s="224" t="s">
        <v>57</v>
      </c>
      <c r="BM17" s="232" t="s">
        <v>59</v>
      </c>
      <c r="BN17" s="231">
        <f t="array" ref="BN17">IF(
  BM17 = 0, 
  "", 
  IFERROR(
    INDEX(
      'アイテム別限界値DB'!$K:$K, 
      MATCH(
        1, 
        ('アイテム別限界値DB'!$B:$B = BL$10) * 
        ('アイテム別限界値DB'!$F:$F = BL17) * 
        ('アイテム別限界値DB'!$H:$H = BM17), 
        0
      )
    ), 
    "再製作"
  )
)
</f>
        <v>46000</v>
      </c>
      <c r="BO17" s="218" t="str">
        <f t="array" ref="BO17">IF(
  BM17 = 0, 
  "", 
  IFERROR(
    INDEX(
      'アイテム別限界値DB'!$L:$L, 
      MATCH(
        1, 
        ('アイテム別限界値DB'!$B:$B = BL$10) * 
        ('アイテム別限界値DB'!$C:$C = BL17) * 
        ('アイテム別限界値DB'!$F:$F = BM17), 
        0
      )
    ), 
    ""
  )
)
</f>
        <v/>
      </c>
      <c r="BP17" s="195"/>
    </row>
    <row r="18" ht="18.75" customHeight="1">
      <c r="A18" s="237" t="s">
        <v>64</v>
      </c>
      <c r="B18" s="235"/>
      <c r="C18" s="224"/>
      <c r="D18" s="224" t="s">
        <v>65</v>
      </c>
      <c r="E18" s="230"/>
      <c r="F18" s="231" t="str">
        <f t="array" ref="F18">IF(
  E18 = 0, 
  "", 
  IFERROR(
    INDEX(
      'アイテム別限界値DB'!$K:$K, 
      MATCH(
        1, 
        ('アイテム別限界値DB'!$B:$B = D$10) * 
        ('アイテム別限界値DB'!$F:$F = D18) * 
        ('アイテム別限界値DB'!$H:$H = E18), 
        0
      )
    ), 
    "再製作"
  )
)
</f>
        <v/>
      </c>
      <c r="G18" s="218" t="str">
        <f t="array" ref="G18">IF(
  E18 = 0, 
  "", 
  IFERROR(
    INDEX(
      'アイテム別限界値DB'!$L:$L, 
      MATCH(
        1, 
        ('アイテム別限界値DB'!$B:$B = D$10) * 
        ('アイテム別限界値DB'!$C:$C = D18) * 
        ('アイテム別限界値DB'!$F:$F = E18), 
        0
      )
    ), 
    ""
  )
)
</f>
        <v/>
      </c>
      <c r="H18" s="12"/>
      <c r="I18" s="224" t="s">
        <v>66</v>
      </c>
      <c r="J18" s="230"/>
      <c r="K18" s="231" t="str">
        <f t="array" ref="K18">IF(
  J18 = 0, 
  "", 
  IFERROR(
    INDEX(
      'アイテム別限界値DB'!$K:$K, 
      MATCH(
        1, 
        ('アイテム別限界値DB'!$B:$B = I$10) * 
        ('アイテム別限界値DB'!$F:$F = I18) * 
        ('アイテム別限界値DB'!$H:$H = J18), 
        0
      )
    ), 
    "再製作"
  )
)
</f>
        <v/>
      </c>
      <c r="L18" s="218" t="str">
        <f t="array" ref="L18">IF(
  J18 = 0, 
  "", 
  IFERROR(
    INDEX(
      'アイテム別限界値DB'!$L:$L, 
      MATCH(
        1, 
        ('アイテム別限界値DB'!$B:$B = I$10) * 
        ('アイテム別限界値DB'!$C:$C = I18) * 
        ('アイテム別限界値DB'!$F:$F = J18), 
        0
      )
    ), 
    ""
  )
)
</f>
        <v/>
      </c>
      <c r="M18" s="12"/>
      <c r="N18" s="224" t="s">
        <v>67</v>
      </c>
      <c r="O18" s="232"/>
      <c r="P18" s="231" t="str">
        <f t="array" ref="P18">IF(
  O18 = 0, 
  "", 
  IFERROR(
    INDEX(
      'アイテム別限界値DB'!$K:$K, 
      MATCH(
        1, 
        ('アイテム別限界値DB'!$B:$B = N$10) * 
        ('アイテム別限界値DB'!$F:$F = N18) * 
        ('アイテム別限界値DB'!$H:$H = O18), 
        0
      )
    ), 
    "再製作"
  )
)
</f>
        <v/>
      </c>
      <c r="Q18" s="218" t="str">
        <f t="array" ref="Q18">IF(
  O18 = 0, 
  "", 
  IFERROR(
    INDEX(
      'アイテム別限界値DB'!$L:$L, 
      MATCH(
        1, 
        ('アイテム別限界値DB'!$B:$B = N$10) * 
        ('アイテム別限界値DB'!$C:$C = N18) * 
        ('アイテム別限界値DB'!$F:$F = O18), 
        0
      )
    ), 
    ""
  )
)
</f>
        <v/>
      </c>
      <c r="R18" s="11"/>
      <c r="S18" s="224" t="s">
        <v>68</v>
      </c>
      <c r="T18" s="232"/>
      <c r="U18" s="231" t="str">
        <f t="array" ref="U18">IF(
  T18 = 0, 
  "", 
  IFERROR(
    INDEX(
      'アイテム別限界値DB'!$K:$K, 
      MATCH(
        1, 
        ('アイテム別限界値DB'!$B:$B = S$10) * 
        ('アイテム別限界値DB'!$F:$F = S18) * 
        ('アイテム別限界値DB'!$H:$H = T18), 
        0
      )
    ), 
    "再製作"
  )
)
</f>
        <v/>
      </c>
      <c r="V18" s="218" t="str">
        <f t="array" ref="V18">IF(
  T18 = 0, 
  "", 
  IFERROR(
    INDEX(
      'アイテム別限界値DB'!$L:$L, 
      MATCH(
        1, 
        ('アイテム別限界値DB'!$B:$B = S$10) * 
        ('アイテム別限界値DB'!$C:$C = S18) * 
        ('アイテム別限界値DB'!$F:$F = T18), 
        0
      )
    ), 
    ""
  )
)
</f>
        <v/>
      </c>
      <c r="W18" s="11"/>
      <c r="X18" s="224" t="s">
        <v>57</v>
      </c>
      <c r="Y18" s="230"/>
      <c r="Z18" s="231" t="str">
        <f t="array" ref="Z18">IF(
  Y18 = 0, 
  "", 
  IFERROR(
    INDEX(
      'アイテム別限界値DB'!$K:$K, 
      MATCH(
        1, 
        ('アイテム別限界値DB'!$B:$B = X$10) * 
        ('アイテム別限界値DB'!$F:$F = X18) * 
        ('アイテム別限界値DB'!$H:$H = Y18), 
        0
      )
    ), 
    "再製作"
  )
)
</f>
        <v/>
      </c>
      <c r="AA18" s="218" t="str">
        <f t="array" ref="AA18">IF(
  Y18 = 0, 
  "", 
  IFERROR(
    INDEX(
      'アイテム別限界値DB'!$L:$L, 
      MATCH(
        1, 
        ('アイテム別限界値DB'!$B:$B = X$10) * 
        ('アイテム別限界値DB'!$C:$C = X18) * 
        ('アイテム別限界値DB'!$F:$F = Y18), 
        0
      )
    ), 
    ""
  )
)
</f>
        <v/>
      </c>
      <c r="AB18" s="11"/>
      <c r="AC18" s="224" t="s">
        <v>69</v>
      </c>
      <c r="AD18" s="232"/>
      <c r="AE18" s="231" t="str">
        <f t="array" ref="AE18">IF(
  AD18 = 0, 
  "", 
  IFERROR(
    INDEX(
      'アイテム別限界値DB'!$K:$K, 
      MATCH(
        1, 
        ('アイテム別限界値DB'!$B:$B = AC$10) * 
        ('アイテム別限界値DB'!$F:$F = AC18) * 
        ('アイテム別限界値DB'!$H:$H = AD18), 
        0
      )
    ), 
    "再製作"
  )
)
</f>
        <v/>
      </c>
      <c r="AF18" s="218" t="str">
        <f t="array" ref="AF18">IF(
  AD18 = 0, 
  "", 
  IFERROR(
    INDEX(
      'アイテム別限界値DB'!$L:$L, 
      MATCH(
        1, 
        ('アイテム別限界値DB'!$B:$B = AC$10) * 
        ('アイテム別限界値DB'!$C:$C = AC18) * 
        ('アイテム別限界値DB'!$F:$F = AD18), 
        0
      )
    ), 
    ""
  )
)
</f>
        <v/>
      </c>
      <c r="AG18" s="11"/>
      <c r="AH18" s="224" t="s">
        <v>70</v>
      </c>
      <c r="AI18" s="232"/>
      <c r="AJ18" s="231" t="str">
        <f t="array" ref="AJ18">IF(
  AI18 = 0, 
  "", 
  IFERROR(
    INDEX(
      'アイテム別限界値DB'!$K:$K, 
      MATCH(
        1, 
        ('アイテム別限界値DB'!$B:$B = AH$10) * 
        ('アイテム別限界値DB'!$F:$F = AH18) * 
        ('アイテム別限界値DB'!$H:$H = AI18), 
        0
      )
    ), 
    "再製作"
  )
)
</f>
        <v/>
      </c>
      <c r="AK18" s="218" t="str">
        <f t="array" ref="AK18">IF(
  AI18 = 0, 
  "", 
  IFERROR(
    INDEX(
      'アイテム別限界値DB'!$L:$L, 
      MATCH(
        1, 
        ('アイテム別限界値DB'!$B:$B = AH$10) * 
        ('アイテム別限界値DB'!$C:$C = AH18) * 
        ('アイテム別限界値DB'!$F:$F = AI18), 
        0
      )
    ), 
    ""
  )
)
</f>
        <v/>
      </c>
      <c r="AL18" s="11"/>
      <c r="AM18" s="224" t="s">
        <v>71</v>
      </c>
      <c r="AN18" s="232"/>
      <c r="AO18" s="231" t="str">
        <f t="array" ref="AO18">IF(
  AN18 = 0, 
  "", 
  IFERROR(
    INDEX(
      'アイテム別限界値DB'!$K:$K, 
      MATCH(
        1, 
        ('アイテム別限界値DB'!$B:$B = AM$10) * 
        ('アイテム別限界値DB'!$F:$F = AM18) * 
        ('アイテム別限界値DB'!$H:$H = AN18), 
        0
      )
    ), 
    "再製作"
  )
)
</f>
        <v/>
      </c>
      <c r="AP18" s="218" t="str">
        <f t="array" ref="AP18">IF(
  AN18 = 0, 
  "", 
  IFERROR(
    INDEX(
      'アイテム別限界値DB'!$L:$L, 
      MATCH(
        1, 
        ('アイテム別限界値DB'!$B:$B = AM$10) * 
        ('アイテム別限界値DB'!$C:$C = AM18) * 
        ('アイテム別限界値DB'!$F:$F = AN18), 
        0
      )
    ), 
    ""
  )
)
</f>
        <v/>
      </c>
      <c r="AQ18" s="11"/>
      <c r="AR18" s="224" t="s">
        <v>71</v>
      </c>
      <c r="AS18" s="232"/>
      <c r="AT18" s="231" t="str">
        <f t="array" ref="AT18">IF(
  AS18 = 0, 
  "", 
  IFERROR(
    INDEX(
      'アイテム別限界値DB'!$K:$K, 
      MATCH(
        1, 
        ('アイテム別限界値DB'!$B:$B = AR$10) * 
        ('アイテム別限界値DB'!$F:$F = AR18) * 
        ('アイテム別限界値DB'!$H:$H = AS18), 
        0
      )
    ), 
    "再製作"
  )
)
</f>
        <v/>
      </c>
      <c r="AU18" s="218" t="str">
        <f t="array" ref="AU18">IF(
  AS18 = 0, 
  "", 
  IFERROR(
    INDEX(
      'アイテム別限界値DB'!$L:$L, 
      MATCH(
        1, 
        ('アイテム別限界値DB'!$B:$B = AR$10) * 
        ('アイテム別限界値DB'!$C:$C = AR18) * 
        ('アイテム別限界値DB'!$F:$F = AS18), 
        0
      )
    ), 
    ""
  )
)
</f>
        <v/>
      </c>
      <c r="AV18" s="121"/>
      <c r="AW18" s="224" t="s">
        <v>71</v>
      </c>
      <c r="AX18" s="232"/>
      <c r="AY18" s="231" t="str">
        <f t="array" ref="AY18">IF(
  AX18 = 0, 
  "", 
  IFERROR(
    INDEX(
      'アイテム別限界値DB'!$K:$K, 
      MATCH(
        1, 
        ('アイテム別限界値DB'!$B:$B = AW$10) * 
        ('アイテム別限界値DB'!$F:$F = AW18) * 
        ('アイテム別限界値DB'!$H:$H = AX18), 
        0
      )
    ), 
    "再製作"
  )
)
</f>
        <v/>
      </c>
      <c r="AZ18" s="218" t="str">
        <f t="array" ref="AZ18">IF(
  AX18 = 0, 
  "", 
  IFERROR(
    INDEX(
      'アイテム別限界値DB'!$L:$L, 
      MATCH(
        1, 
        ('アイテム別限界値DB'!$B:$B = AW$10) * 
        ('アイテム別限界値DB'!$C:$C = AW18) * 
        ('アイテム別限界値DB'!$F:$F = AX18), 
        0
      )
    ), 
    ""
  )
)
</f>
        <v/>
      </c>
      <c r="BA18" s="121"/>
      <c r="BB18" s="224" t="s">
        <v>71</v>
      </c>
      <c r="BC18" s="232"/>
      <c r="BD18" s="231" t="str">
        <f t="array" ref="BD18">IF(
  BC18 = 0, 
  "", 
  IFERROR(
    INDEX(
      'アイテム別限界値DB'!$K:$K, 
      MATCH(
        1, 
        ('アイテム別限界値DB'!$B:$B = BB$10) * 
        ('アイテム別限界値DB'!$F:$F = BB18) * 
        ('アイテム別限界値DB'!$H:$H = BC18), 
        0
      )
    ), 
    "再製作"
  )
)
</f>
        <v/>
      </c>
      <c r="BE18" s="218" t="str">
        <f t="array" ref="BE18">IF(
  BC18 = 0, 
  "", 
  IFERROR(
    INDEX(
      'アイテム別限界値DB'!$L:$L, 
      MATCH(
        1, 
        ('アイテム別限界値DB'!$B:$B = BB$10) * 
        ('アイテム別限界値DB'!$C:$C = BB18) * 
        ('アイテム別限界値DB'!$F:$F = BC18), 
        0
      )
    ), 
    ""
  )
)
</f>
        <v/>
      </c>
      <c r="BF18" s="121"/>
      <c r="BG18" s="224" t="s">
        <v>71</v>
      </c>
      <c r="BH18" s="232"/>
      <c r="BI18" s="231" t="str">
        <f t="array" ref="BI18">IF(
  BH18 = 0, 
  "", 
  IFERROR(
    INDEX(
      'アイテム別限界値DB'!$K:$K, 
      MATCH(
        1, 
        ('アイテム別限界値DB'!$B:$B = BG$10) * 
        ('アイテム別限界値DB'!$F:$F = BG18) * 
        ('アイテム別限界値DB'!$H:$H = BH18), 
        0
      )
    ), 
    "再製作"
  )
)
</f>
        <v/>
      </c>
      <c r="BJ18" s="218" t="str">
        <f t="array" ref="BJ18">IF(
  BH18 = 0, 
  "", 
  IFERROR(
    INDEX(
      'アイテム別限界値DB'!$L:$L, 
      MATCH(
        1, 
        ('アイテム別限界値DB'!$B:$B = BG$10) * 
        ('アイテム別限界値DB'!$C:$C = BG18) * 
        ('アイテム別限界値DB'!$F:$F = BH18), 
        0
      )
    ), 
    ""
  )
)
</f>
        <v/>
      </c>
      <c r="BK18" s="121"/>
      <c r="BL18" s="224" t="s">
        <v>69</v>
      </c>
      <c r="BM18" s="232"/>
      <c r="BN18" s="231" t="str">
        <f t="array" ref="BN18">IF(
  BM18 = 0, 
  "", 
  IFERROR(
    INDEX(
      'アイテム別限界値DB'!$K:$K, 
      MATCH(
        1, 
        ('アイテム別限界値DB'!$B:$B = BL$10) * 
        ('アイテム別限界値DB'!$F:$F = BL18) * 
        ('アイテム別限界値DB'!$H:$H = BM18), 
        0
      )
    ), 
    "再製作"
  )
)
</f>
        <v/>
      </c>
      <c r="BO18" s="218" t="str">
        <f t="array" ref="BO18">IF(
  BM18 = 0, 
  "", 
  IFERROR(
    INDEX(
      'アイテム別限界値DB'!$L:$L, 
      MATCH(
        1, 
        ('アイテム別限界値DB'!$B:$B = BL$10) * 
        ('アイテム別限界値DB'!$C:$C = BL18) * 
        ('アイテム別限界値DB'!$F:$F = BM18), 
        0
      )
    ), 
    ""
  )
)
</f>
        <v/>
      </c>
      <c r="BP18" s="195"/>
    </row>
    <row r="19" ht="18.75" customHeight="1">
      <c r="A19" s="228" t="str">
        <f>IF($I$11 ="再製作", "◼︎ パンツ（対応着地：再製作）"　&amp; char(10) &amp; "《修正数値》", IF($I$11 &lt;&gt; "", "◼︎ パンツ（対応着地：お直し）"　&amp; char(10) &amp; "《修正数値》", ""))</f>
        <v/>
      </c>
      <c r="B19" s="224"/>
      <c r="C19" s="224"/>
      <c r="D19" s="238" t="s">
        <v>72</v>
      </c>
      <c r="E19" s="232"/>
      <c r="F19" s="231" t="str">
        <f t="array" ref="F19">IF(
  E19 = 0, 
  "", 
  IFERROR(
    INDEX(
      'アイテム別限界値DB'!$K:$K, 
      MATCH(
        1, 
        ('アイテム別限界値DB'!$B:$B = D$10) * 
        ('アイテム別限界値DB'!$F:$F = D19) * 
        ('アイテム別限界値DB'!$H:$H = E19), 
        0
      )
    ), 
    "再製作"
  )
)
</f>
        <v/>
      </c>
      <c r="G19" s="218" t="str">
        <f t="array" ref="G19">IF(
  E19 = 0, 
  "", 
  IFERROR(
    INDEX(
      'アイテム別限界値DB'!$L:$L, 
      MATCH(
        1, 
        ('アイテム別限界値DB'!$B:$B = D$10) * 
        ('アイテム別限界値DB'!$C:$C = D19) * 
        ('アイテム別限界値DB'!$F:$F = E19), 
        0
      )
    ), 
    ""
  )
)
</f>
        <v/>
      </c>
      <c r="H19" s="12"/>
      <c r="I19" s="238" t="s">
        <v>73</v>
      </c>
      <c r="J19" s="232"/>
      <c r="K19" s="231" t="str">
        <f t="array" ref="K19">IF(
  J19 = 0, 
  "", 
  IFERROR(
    INDEX(
      'アイテム別限界値DB'!$K:$K, 
      MATCH(
        1, 
        ('アイテム別限界値DB'!$B:$B = I$10) * 
        ('アイテム別限界値DB'!$F:$F = I19) * 
        ('アイテム別限界値DB'!$H:$H = J19), 
        0
      )
    ), 
    "再製作"
  )
)
</f>
        <v/>
      </c>
      <c r="L19" s="218" t="str">
        <f t="array" ref="L19">IF(
  J19 = 0, 
  "", 
  IFERROR(
    INDEX(
      'アイテム別限界値DB'!$L:$L, 
      MATCH(
        1, 
        ('アイテム別限界値DB'!$B:$B = I$10) * 
        ('アイテム別限界値DB'!$C:$C = I19) * 
        ('アイテム別限界値DB'!$F:$F = J19), 
        0
      )
    ), 
    ""
  )
)
</f>
        <v/>
      </c>
      <c r="M19" s="12"/>
      <c r="N19" s="238" t="s">
        <v>74</v>
      </c>
      <c r="O19" s="232"/>
      <c r="P19" s="231" t="str">
        <f t="array" ref="P19">IF(
  O19 = 0, 
  "", 
  IFERROR(
    INDEX(
      'アイテム別限界値DB'!$K:$K, 
      MATCH(
        1, 
        ('アイテム別限界値DB'!$B:$B = N$10) * 
        ('アイテム別限界値DB'!$F:$F = N19) * 
        ('アイテム別限界値DB'!$H:$H = O19), 
        0
      )
    ), 
    "再製作"
  )
)
</f>
        <v/>
      </c>
      <c r="Q19" s="218" t="str">
        <f t="array" ref="Q19">IF(
  O19 = 0, 
  "", 
  IFERROR(
    INDEX(
      'アイテム別限界値DB'!$L:$L, 
      MATCH(
        1, 
        ('アイテム別限界値DB'!$B:$B = N$10) * 
        ('アイテム別限界値DB'!$C:$C = N19) * 
        ('アイテム別限界値DB'!$F:$F = O19), 
        0
      )
    ), 
    ""
  )
)
</f>
        <v/>
      </c>
      <c r="R19" s="11"/>
      <c r="S19" s="238" t="s">
        <v>75</v>
      </c>
      <c r="T19" s="230"/>
      <c r="U19" s="231" t="str">
        <f t="array" ref="U19">IF(
  T19 = 0, 
  "", 
  IFERROR(
    INDEX(
      'アイテム別限界値DB'!$K:$K, 
      MATCH(
        1, 
        ('アイテム別限界値DB'!$B:$B = S$10) * 
        ('アイテム別限界値DB'!$F:$F = S19) * 
        ('アイテム別限界値DB'!$H:$H = T19), 
        0
      )
    ), 
    "再製作"
  )
)
</f>
        <v/>
      </c>
      <c r="V19" s="218" t="str">
        <f t="array" ref="V19">IF(
  T19 = 0, 
  "", 
  IFERROR(
    INDEX(
      'アイテム別限界値DB'!$L:$L, 
      MATCH(
        1, 
        ('アイテム別限界値DB'!$B:$B = S$10) * 
        ('アイテム別限界値DB'!$C:$C = S19) * 
        ('アイテム別限界値DB'!$F:$F = T19), 
        0
      )
    ), 
    ""
  )
)
</f>
        <v/>
      </c>
      <c r="W19" s="11"/>
      <c r="X19" s="238" t="s">
        <v>69</v>
      </c>
      <c r="Y19" s="230"/>
      <c r="Z19" s="231" t="str">
        <f t="array" ref="Z19">IF(
  Y19 = 0, 
  "", 
  IFERROR(
    INDEX(
      'アイテム別限界値DB'!$K:$K, 
      MATCH(
        1, 
        ('アイテム別限界値DB'!$B:$B = X$10) * 
        ('アイテム別限界値DB'!$F:$F = X19) * 
        ('アイテム別限界値DB'!$H:$H = Y19), 
        0
      )
    ), 
    "再製作"
  )
)
</f>
        <v/>
      </c>
      <c r="AA19" s="218" t="str">
        <f t="array" ref="AA19">IF(
  Y19 = 0, 
  "", 
  IFERROR(
    INDEX(
      'アイテム別限界値DB'!$L:$L, 
      MATCH(
        1, 
        ('アイテム別限界値DB'!$B:$B = X$10) * 
        ('アイテム別限界値DB'!$C:$C = X19) * 
        ('アイテム別限界値DB'!$F:$F = Y19), 
        0
      )
    ), 
    ""
  )
)
</f>
        <v/>
      </c>
      <c r="AB19" s="11"/>
      <c r="AC19" s="238" t="s">
        <v>76</v>
      </c>
      <c r="AD19" s="232"/>
      <c r="AE19" s="231" t="str">
        <f t="array" ref="AE19">IF(
  AD19 = 0, 
  "", 
  IFERROR(
    INDEX(
      'アイテム別限界値DB'!$K:$K, 
      MATCH(
        1, 
        ('アイテム別限界値DB'!$B:$B = AC$10) * 
        ('アイテム別限界値DB'!$F:$F = AC19) * 
        ('アイテム別限界値DB'!$H:$H = AD19), 
        0
      )
    ), 
    "再製作"
  )
)
</f>
        <v/>
      </c>
      <c r="AF19" s="218" t="str">
        <f t="array" ref="AF19">IF(
  AD19 = 0, 
  "", 
  IFERROR(
    INDEX(
      'アイテム別限界値DB'!$L:$L, 
      MATCH(
        1, 
        ('アイテム別限界値DB'!$B:$B = AC$10) * 
        ('アイテム別限界値DB'!$C:$C = AC19) * 
        ('アイテム別限界値DB'!$F:$F = AD19), 
        0
      )
    ), 
    ""
  )
)
</f>
        <v/>
      </c>
      <c r="AG19" s="11"/>
      <c r="AH19" s="238" t="s">
        <v>71</v>
      </c>
      <c r="AI19" s="232"/>
      <c r="AJ19" s="231" t="str">
        <f t="array" ref="AJ19">IF(
  AI19 = 0, 
  "", 
  IFERROR(
    INDEX(
      'アイテム別限界値DB'!$K:$K, 
      MATCH(
        1, 
        ('アイテム別限界値DB'!$B:$B = AH$10) * 
        ('アイテム別限界値DB'!$F:$F = AH19) * 
        ('アイテム別限界値DB'!$H:$H = AI19), 
        0
      )
    ), 
    "再製作"
  )
)
</f>
        <v/>
      </c>
      <c r="AK19" s="218" t="str">
        <f t="array" ref="AK19">IF(
  AI19 = 0, 
  "", 
  IFERROR(
    INDEX(
      'アイテム別限界値DB'!$L:$L, 
      MATCH(
        1, 
        ('アイテム別限界値DB'!$B:$B = AH$10) * 
        ('アイテム別限界値DB'!$C:$C = AH19) * 
        ('アイテム別限界値DB'!$F:$F = AI19), 
        0
      )
    ), 
    ""
  )
)
</f>
        <v/>
      </c>
      <c r="AL19" s="11"/>
      <c r="AM19" s="238" t="s">
        <v>62</v>
      </c>
      <c r="AN19" s="232"/>
      <c r="AO19" s="231" t="str">
        <f t="array" ref="AO19">IF(
  AN19 = 0, 
  "", 
  IFERROR(
    INDEX(
      'アイテム別限界値DB'!$K:$K, 
      MATCH(
        1, 
        ('アイテム別限界値DB'!$B:$B = AM$10) * 
        ('アイテム別限界値DB'!$F:$F = AM19) * 
        ('アイテム別限界値DB'!$H:$H = AN19), 
        0
      )
    ), 
    "再製作"
  )
)
</f>
        <v/>
      </c>
      <c r="AP19" s="218" t="str">
        <f t="array" ref="AP19">IF(
  AN19 = 0, 
  "", 
  IFERROR(
    INDEX(
      'アイテム別限界値DB'!$L:$L, 
      MATCH(
        1, 
        ('アイテム別限界値DB'!$B:$B = AM$10) * 
        ('アイテム別限界値DB'!$C:$C = AM19) * 
        ('アイテム別限界値DB'!$F:$F = AN19), 
        0
      )
    ), 
    ""
  )
)
</f>
        <v/>
      </c>
      <c r="AQ19" s="11"/>
      <c r="AR19" s="238" t="s">
        <v>62</v>
      </c>
      <c r="AS19" s="230" t="s">
        <v>153</v>
      </c>
      <c r="AT19" s="231">
        <f t="array" ref="AT19">IF(
  AS19 = 0, 
  "", 
  IFERROR(
    INDEX(
      'アイテム別限界値DB'!$K:$K, 
      MATCH(
        1, 
        ('アイテム別限界値DB'!$B:$B = AR$10) * 
        ('アイテム別限界値DB'!$F:$F = AR19) * 
        ('アイテム別限界値DB'!$H:$H = AS19), 
        0
      )
    ), 
    "再製作"
  )
)
</f>
        <v>46000</v>
      </c>
      <c r="AU19" s="218" t="str">
        <f t="array" ref="AU19">IF(
  AS19 = 0, 
  "", 
  IFERROR(
    INDEX(
      'アイテム別限界値DB'!$L:$L, 
      MATCH(
        1, 
        ('アイテム別限界値DB'!$B:$B = AR$10) * 
        ('アイテム別限界値DB'!$C:$C = AR19) * 
        ('アイテム別限界値DB'!$F:$F = AS19), 
        0
      )
    ), 
    ""
  )
)
</f>
        <v/>
      </c>
      <c r="AV19" s="121"/>
      <c r="AW19" s="224" t="s">
        <v>62</v>
      </c>
      <c r="AX19" s="232"/>
      <c r="AY19" s="231" t="str">
        <f t="array" ref="AY19">IF(
  AX19 = 0, 
  "", 
  IFERROR(
    INDEX(
      'アイテム別限界値DB'!$K:$K, 
      MATCH(
        1, 
        ('アイテム別限界値DB'!$B:$B = AW$10) * 
        ('アイテム別限界値DB'!$F:$F = AW19) * 
        ('アイテム別限界値DB'!$H:$H = AX19), 
        0
      )
    ), 
    "再製作"
  )
)
</f>
        <v/>
      </c>
      <c r="AZ19" s="218" t="str">
        <f t="array" ref="AZ19">IF(
  AX19 = 0, 
  "", 
  IFERROR(
    INDEX(
      'アイテム別限界値DB'!$L:$L, 
      MATCH(
        1, 
        ('アイテム別限界値DB'!$B:$B = AW$10) * 
        ('アイテム別限界値DB'!$C:$C = AW19) * 
        ('アイテム別限界値DB'!$F:$F = AX19), 
        0
      )
    ), 
    ""
  )
)
</f>
        <v/>
      </c>
      <c r="BA19" s="121"/>
      <c r="BB19" s="224" t="s">
        <v>62</v>
      </c>
      <c r="BC19" s="232"/>
      <c r="BD19" s="231" t="str">
        <f t="array" ref="BD19">IF(
  BC19 = 0, 
  "", 
  IFERROR(
    INDEX(
      'アイテム別限界値DB'!$K:$K, 
      MATCH(
        1, 
        ('アイテム別限界値DB'!$B:$B = BB$10) * 
        ('アイテム別限界値DB'!$F:$F = BB19) * 
        ('アイテム別限界値DB'!$H:$H = BC19), 
        0
      )
    ), 
    "再製作"
  )
)
</f>
        <v/>
      </c>
      <c r="BE19" s="218" t="str">
        <f t="array" ref="BE19">IF(
  BC19 = 0, 
  "", 
  IFERROR(
    INDEX(
      'アイテム別限界値DB'!$L:$L, 
      MATCH(
        1, 
        ('アイテム別限界値DB'!$B:$B = BB$10) * 
        ('アイテム別限界値DB'!$C:$C = BB19) * 
        ('アイテム別限界値DB'!$F:$F = BC19), 
        0
      )
    ), 
    ""
  )
)
</f>
        <v/>
      </c>
      <c r="BF19" s="121"/>
      <c r="BG19" s="224" t="s">
        <v>62</v>
      </c>
      <c r="BH19" s="232"/>
      <c r="BI19" s="231" t="str">
        <f t="array" ref="BI19">IF(
  BH19 = 0, 
  "", 
  IFERROR(
    INDEX(
      'アイテム別限界値DB'!$K:$K, 
      MATCH(
        1, 
        ('アイテム別限界値DB'!$B:$B = BG$10) * 
        ('アイテム別限界値DB'!$F:$F = BG19) * 
        ('アイテム別限界値DB'!$H:$H = BH19), 
        0
      )
    ), 
    "再製作"
  )
)
</f>
        <v/>
      </c>
      <c r="BJ19" s="218" t="str">
        <f t="array" ref="BJ19">IF(
  BH19 = 0, 
  "", 
  IFERROR(
    INDEX(
      'アイテム別限界値DB'!$L:$L, 
      MATCH(
        1, 
        ('アイテム別限界値DB'!$B:$B = BG$10) * 
        ('アイテム別限界値DB'!$C:$C = BG19) * 
        ('アイテム別限界値DB'!$F:$F = BH19), 
        0
      )
    ), 
    ""
  )
)
</f>
        <v/>
      </c>
      <c r="BK19" s="121"/>
      <c r="BL19" s="224" t="s">
        <v>76</v>
      </c>
      <c r="BM19" s="232"/>
      <c r="BN19" s="231" t="str">
        <f t="array" ref="BN19">IF(
  BM19 = 0, 
  "", 
  IFERROR(
    INDEX(
      'アイテム別限界値DB'!$K:$K, 
      MATCH(
        1, 
        ('アイテム別限界値DB'!$B:$B = BL$10) * 
        ('アイテム別限界値DB'!$F:$F = BL19) * 
        ('アイテム別限界値DB'!$H:$H = BM19), 
        0
      )
    ), 
    "再製作"
  )
)
</f>
        <v/>
      </c>
      <c r="BO19" s="218" t="str">
        <f t="array" ref="BO19">IF(
  BM19 = 0, 
  "", 
  IFERROR(
    INDEX(
      'アイテム別限界値DB'!$L:$L, 
      MATCH(
        1, 
        ('アイテム別限界値DB'!$B:$B = BL$10) * 
        ('アイテム別限界値DB'!$C:$C = BL19) * 
        ('アイテム別限界値DB'!$F:$F = BM19), 
        0
      )
    ), 
    ""
  )
)
</f>
        <v/>
      </c>
      <c r="BP19" s="195"/>
    </row>
    <row r="20" ht="18.75" customHeight="1">
      <c r="A20" s="228" t="str">
        <f>IFERROR(__xludf.DUMMYFUNCTION("TEXTJOIN(CHAR(10),TRUE,FILTER(ARRAYFORMULA(IF(J$14:J72&lt;&gt;"""", I$14:I72 &amp;"" : ""&amp; J$14:J72 &amp;"" cm"","""")), I$14:I72 &lt;&gt;""""))"),"")</f>
        <v/>
      </c>
      <c r="B20" s="229"/>
      <c r="C20" s="224"/>
      <c r="D20" s="238" t="s">
        <v>77</v>
      </c>
      <c r="E20" s="230"/>
      <c r="F20" s="231" t="str">
        <f t="array" ref="F20">IF(
  E20 = 0, 
  "", 
  IFERROR(
    INDEX(
      'アイテム別限界値DB'!$K:$K, 
      MATCH(
        1, 
        ('アイテム別限界値DB'!$B:$B = D$10) * 
        ('アイテム別限界値DB'!$F:$F = D20) * 
        ('アイテム別限界値DB'!$H:$H = E20), 
        0
      )
    ), 
    "再製作"
  )
)
</f>
        <v/>
      </c>
      <c r="G20" s="218" t="str">
        <f t="array" ref="G20">IF(
  E20 = 0, 
  "", 
  IFERROR(
    INDEX(
      'アイテム別限界値DB'!$L:$L, 
      MATCH(
        1, 
        ('アイテム別限界値DB'!$B:$B = D$10) * 
        ('アイテム別限界値DB'!$C:$C = D20) * 
        ('アイテム別限界値DB'!$F:$F = E20), 
        0
      )
    ), 
    ""
  )
)
</f>
        <v/>
      </c>
      <c r="H20" s="12"/>
      <c r="I20" s="238" t="s">
        <v>78</v>
      </c>
      <c r="J20" s="230"/>
      <c r="K20" s="231" t="str">
        <f t="array" ref="K20">IF(
  J20 = 0, 
  "", 
  IFERROR(
    INDEX(
      'アイテム別限界値DB'!$K:$K, 
      MATCH(
        1, 
        ('アイテム別限界値DB'!$B:$B = I$10) * 
        ('アイテム別限界値DB'!$F:$F = I20) * 
        ('アイテム別限界値DB'!$H:$H = J20), 
        0
      )
    ), 
    "再製作"
  )
)
</f>
        <v/>
      </c>
      <c r="L20" s="218" t="str">
        <f t="array" ref="L20">IF(
  J20 = 0, 
  "", 
  IFERROR(
    INDEX(
      'アイテム別限界値DB'!$L:$L, 
      MATCH(
        1, 
        ('アイテム別限界値DB'!$B:$B = I$10) * 
        ('アイテム別限界値DB'!$C:$C = I20) * 
        ('アイテム別限界値DB'!$F:$F = J20), 
        0
      )
    ), 
    ""
  )
)
</f>
        <v/>
      </c>
      <c r="M20" s="12"/>
      <c r="N20" s="238" t="s">
        <v>79</v>
      </c>
      <c r="O20" s="232"/>
      <c r="P20" s="231" t="str">
        <f t="array" ref="P20">IF(
  O20 = 0, 
  "", 
  IFERROR(
    INDEX(
      'アイテム別限界値DB'!$K:$K, 
      MATCH(
        1, 
        ('アイテム別限界値DB'!$B:$B = N$10) * 
        ('アイテム別限界値DB'!$F:$F = N20) * 
        ('アイテム別限界値DB'!$H:$H = O20), 
        0
      )
    ), 
    "再製作"
  )
)
</f>
        <v/>
      </c>
      <c r="Q20" s="218" t="str">
        <f t="array" ref="Q20">IF(
  O20 = 0, 
  "", 
  IFERROR(
    INDEX(
      'アイテム別限界値DB'!$L:$L, 
      MATCH(
        1, 
        ('アイテム別限界値DB'!$B:$B = N$10) * 
        ('アイテム別限界値DB'!$C:$C = N20) * 
        ('アイテム別限界値DB'!$F:$F = O20), 
        0
      )
    ), 
    ""
  )
)
</f>
        <v/>
      </c>
      <c r="R20" s="11"/>
      <c r="S20" s="238" t="s">
        <v>78</v>
      </c>
      <c r="T20" s="230"/>
      <c r="U20" s="231" t="str">
        <f t="array" ref="U20">IF(
  T20 = 0, 
  "", 
  IFERROR(
    INDEX(
      'アイテム別限界値DB'!$K:$K, 
      MATCH(
        1, 
        ('アイテム別限界値DB'!$B:$B = S$10) * 
        ('アイテム別限界値DB'!$F:$F = S20) * 
        ('アイテム別限界値DB'!$H:$H = T20), 
        0
      )
    ), 
    "再製作"
  )
)
</f>
        <v/>
      </c>
      <c r="V20" s="218" t="str">
        <f t="array" ref="V20">IF(
  T20 = 0, 
  "", 
  IFERROR(
    INDEX(
      'アイテム別限界値DB'!$L:$L, 
      MATCH(
        1, 
        ('アイテム別限界値DB'!$B:$B = S$10) * 
        ('アイテム別限界値DB'!$C:$C = S20) * 
        ('アイテム別限界値DB'!$F:$F = T20), 
        0
      )
    ), 
    ""
  )
)
</f>
        <v/>
      </c>
      <c r="W20" s="11"/>
      <c r="X20" s="238" t="s">
        <v>76</v>
      </c>
      <c r="Y20" s="230"/>
      <c r="Z20" s="231" t="str">
        <f t="array" ref="Z20">IF(
  Y20 = 0, 
  "", 
  IFERROR(
    INDEX(
      'アイテム別限界値DB'!$K:$K, 
      MATCH(
        1, 
        ('アイテム別限界値DB'!$B:$B = X$10) * 
        ('アイテム別限界値DB'!$F:$F = X20) * 
        ('アイテム別限界値DB'!$H:$H = Y20), 
        0
      )
    ), 
    "再製作"
  )
)
</f>
        <v/>
      </c>
      <c r="AA20" s="218" t="str">
        <f t="array" ref="AA20">IF(
  Y20 = 0, 
  "", 
  IFERROR(
    INDEX(
      'アイテム別限界値DB'!$L:$L, 
      MATCH(
        1, 
        ('アイテム別限界値DB'!$B:$B = X$10) * 
        ('アイテム別限界値DB'!$C:$C = X20) * 
        ('アイテム別限界値DB'!$F:$F = Y20), 
        0
      )
    ), 
    ""
  )
)
</f>
        <v/>
      </c>
      <c r="AB20" s="11"/>
      <c r="AC20" s="238" t="s">
        <v>80</v>
      </c>
      <c r="AD20" s="232"/>
      <c r="AE20" s="231" t="str">
        <f t="array" ref="AE20">IF(
  AD20 = 0, 
  "", 
  IFERROR(
    INDEX(
      'アイテム別限界値DB'!$K:$K, 
      MATCH(
        1, 
        ('アイテム別限界値DB'!$B:$B = AC$10) * 
        ('アイテム別限界値DB'!$F:$F = AC20) * 
        ('アイテム別限界値DB'!$H:$H = AD20), 
        0
      )
    ), 
    "再製作"
  )
)
</f>
        <v/>
      </c>
      <c r="AF20" s="218" t="str">
        <f t="array" ref="AF20">IF(
  AD20 = 0, 
  "", 
  IFERROR(
    INDEX(
      'アイテム別限界値DB'!$L:$L, 
      MATCH(
        1, 
        ('アイテム別限界値DB'!$B:$B = AC$10) * 
        ('アイテム別限界値DB'!$C:$C = AC20) * 
        ('アイテム別限界値DB'!$F:$F = AD20), 
        0
      )
    ), 
    ""
  )
)
</f>
        <v/>
      </c>
      <c r="AG20" s="11"/>
      <c r="AH20" s="224" t="s">
        <v>62</v>
      </c>
      <c r="AI20" s="232"/>
      <c r="AJ20" s="231" t="str">
        <f t="array" ref="AJ20">IF(
  AI20 = 0, 
  "", 
  IFERROR(
    INDEX(
      'アイテム別限界値DB'!$K:$K, 
      MATCH(
        1, 
        ('アイテム別限界値DB'!$B:$B = AH$10) * 
        ('アイテム別限界値DB'!$F:$F = AH20) * 
        ('アイテム別限界値DB'!$H:$H = AI20), 
        0
      )
    ), 
    "再製作"
  )
)
</f>
        <v/>
      </c>
      <c r="AK20" s="218" t="str">
        <f t="array" ref="AK20">IF(
  AI20 = 0, 
  "", 
  IFERROR(
    INDEX(
      'アイテム別限界値DB'!$L:$L, 
      MATCH(
        1, 
        ('アイテム別限界値DB'!$B:$B = AH$10) * 
        ('アイテム別限界値DB'!$C:$C = AH20) * 
        ('アイテム別限界値DB'!$F:$F = AI20), 
        0
      )
    ), 
    ""
  )
)
</f>
        <v/>
      </c>
      <c r="AL20" s="11"/>
      <c r="AM20" s="224" t="s">
        <v>70</v>
      </c>
      <c r="AN20" s="232"/>
      <c r="AO20" s="231" t="str">
        <f t="array" ref="AO20">IF(
  AN20 = 0, 
  "", 
  IFERROR(
    INDEX(
      'アイテム別限界値DB'!$K:$K, 
      MATCH(
        1, 
        ('アイテム別限界値DB'!$B:$B = AM$10) * 
        ('アイテム別限界値DB'!$F:$F = AM20) * 
        ('アイテム別限界値DB'!$H:$H = AN20), 
        0
      )
    ), 
    "再製作"
  )
)
</f>
        <v/>
      </c>
      <c r="AP20" s="218" t="str">
        <f t="array" ref="AP20">IF(
  AN20 = 0, 
  "", 
  IFERROR(
    INDEX(
      'アイテム別限界値DB'!$L:$L, 
      MATCH(
        1, 
        ('アイテム別限界値DB'!$B:$B = AM$10) * 
        ('アイテム別限界値DB'!$C:$C = AM20) * 
        ('アイテム別限界値DB'!$F:$F = AN20), 
        0
      )
    ), 
    ""
  )
)
</f>
        <v/>
      </c>
      <c r="AQ20" s="11"/>
      <c r="AR20" s="224" t="s">
        <v>70</v>
      </c>
      <c r="AS20" s="230" t="s">
        <v>142</v>
      </c>
      <c r="AT20" s="231">
        <f t="array" ref="AT20">IF(
  AS20 = 0, 
  "", 
  IFERROR(
    INDEX(
      'アイテム別限界値DB'!$K:$K, 
      MATCH(
        1, 
        ('アイテム別限界値DB'!$B:$B = AR$10) * 
        ('アイテム別限界値DB'!$F:$F = AR20) * 
        ('アイテム別限界値DB'!$H:$H = AS20), 
        0
      )
    ), 
    "再製作"
  )
)
</f>
        <v>46003</v>
      </c>
      <c r="AU20" s="218" t="str">
        <f t="array" ref="AU20">IF(
  AS20 = 0, 
  "", 
  IFERROR(
    INDEX(
      'アイテム別限界値DB'!$L:$L, 
      MATCH(
        1, 
        ('アイテム別限界値DB'!$B:$B = AR$10) * 
        ('アイテム別限界値DB'!$C:$C = AR20) * 
        ('アイテム別限界値DB'!$F:$F = AS20), 
        0
      )
    ), 
    ""
  )
)
</f>
        <v/>
      </c>
      <c r="AV20" s="121"/>
      <c r="AW20" s="224" t="s">
        <v>70</v>
      </c>
      <c r="AX20" s="232"/>
      <c r="AY20" s="231" t="str">
        <f t="array" ref="AY20">IF(
  AX20 = 0, 
  "", 
  IFERROR(
    INDEX(
      'アイテム別限界値DB'!$K:$K, 
      MATCH(
        1, 
        ('アイテム別限界値DB'!$B:$B = AW$10) * 
        ('アイテム別限界値DB'!$F:$F = AW20) * 
        ('アイテム別限界値DB'!$H:$H = AX20), 
        0
      )
    ), 
    "再製作"
  )
)
</f>
        <v/>
      </c>
      <c r="AZ20" s="218" t="str">
        <f t="array" ref="AZ20">IF(
  AX20 = 0, 
  "", 
  IFERROR(
    INDEX(
      'アイテム別限界値DB'!$L:$L, 
      MATCH(
        1, 
        ('アイテム別限界値DB'!$B:$B = AW$10) * 
        ('アイテム別限界値DB'!$C:$C = AW20) * 
        ('アイテム別限界値DB'!$F:$F = AX20), 
        0
      )
    ), 
    ""
  )
)
</f>
        <v/>
      </c>
      <c r="BA20" s="121"/>
      <c r="BB20" s="224" t="s">
        <v>70</v>
      </c>
      <c r="BC20" s="232"/>
      <c r="BD20" s="231" t="str">
        <f t="array" ref="BD20">IF(
  BC20 = 0, 
  "", 
  IFERROR(
    INDEX(
      'アイテム別限界値DB'!$K:$K, 
      MATCH(
        1, 
        ('アイテム別限界値DB'!$B:$B = BB$10) * 
        ('アイテム別限界値DB'!$F:$F = BB20) * 
        ('アイテム別限界値DB'!$H:$H = BC20), 
        0
      )
    ), 
    "再製作"
  )
)
</f>
        <v/>
      </c>
      <c r="BE20" s="218" t="str">
        <f t="array" ref="BE20">IF(
  BC20 = 0, 
  "", 
  IFERROR(
    INDEX(
      'アイテム別限界値DB'!$L:$L, 
      MATCH(
        1, 
        ('アイテム別限界値DB'!$B:$B = BB$10) * 
        ('アイテム別限界値DB'!$C:$C = BB20) * 
        ('アイテム別限界値DB'!$F:$F = BC20), 
        0
      )
    ), 
    ""
  )
)
</f>
        <v/>
      </c>
      <c r="BF20" s="121"/>
      <c r="BG20" s="224" t="s">
        <v>70</v>
      </c>
      <c r="BH20" s="232"/>
      <c r="BI20" s="231" t="str">
        <f t="array" ref="BI20">IF(
  BH20 = 0, 
  "", 
  IFERROR(
    INDEX(
      'アイテム別限界値DB'!$K:$K, 
      MATCH(
        1, 
        ('アイテム別限界値DB'!$B:$B = BG$10) * 
        ('アイテム別限界値DB'!$F:$F = BG20) * 
        ('アイテム別限界値DB'!$H:$H = BH20), 
        0
      )
    ), 
    "再製作"
  )
)
</f>
        <v/>
      </c>
      <c r="BJ20" s="218" t="str">
        <f t="array" ref="BJ20">IF(
  BH20 = 0, 
  "", 
  IFERROR(
    INDEX(
      'アイテム別限界値DB'!$L:$L, 
      MATCH(
        1, 
        ('アイテム別限界値DB'!$B:$B = BG$10) * 
        ('アイテム別限界値DB'!$C:$C = BG20) * 
        ('アイテム別限界値DB'!$F:$F = BH20), 
        0
      )
    ), 
    ""
  )
)
</f>
        <v/>
      </c>
      <c r="BK20" s="121"/>
      <c r="BL20" s="224" t="s">
        <v>80</v>
      </c>
      <c r="BM20" s="232"/>
      <c r="BN20" s="231" t="str">
        <f t="array" ref="BN20">IF(
  BM20 = 0, 
  "", 
  IFERROR(
    INDEX(
      'アイテム別限界値DB'!$K:$K, 
      MATCH(
        1, 
        ('アイテム別限界値DB'!$B:$B = BL$10) * 
        ('アイテム別限界値DB'!$F:$F = BL20) * 
        ('アイテム別限界値DB'!$H:$H = BM20), 
        0
      )
    ), 
    "再製作"
  )
)
</f>
        <v/>
      </c>
      <c r="BO20" s="218" t="str">
        <f t="array" ref="BO20">IF(
  BM20 = 0, 
  "", 
  IFERROR(
    INDEX(
      'アイテム別限界値DB'!$L:$L, 
      MATCH(
        1, 
        ('アイテム別限界値DB'!$B:$B = BL$10) * 
        ('アイテム別限界値DB'!$C:$C = BL20) * 
        ('アイテム別限界値DB'!$F:$F = BM20), 
        0
      )
    ), 
    ""
  )
)
</f>
        <v/>
      </c>
      <c r="BP20" s="195"/>
    </row>
    <row r="21" ht="18.75" customHeight="1">
      <c r="A21" s="236" t="str">
        <f>if($A$19&lt;&gt;"", "《仕上がり数値》","")</f>
        <v/>
      </c>
      <c r="B21" s="229"/>
      <c r="C21" s="224"/>
      <c r="D21" s="238" t="s">
        <v>81</v>
      </c>
      <c r="E21" s="230"/>
      <c r="F21" s="231" t="str">
        <f t="array" ref="F21">IF(
  E21 = 0, 
  "", 
  IFERROR(
    INDEX(
      'アイテム別限界値DB'!$K:$K, 
      MATCH(
        1, 
        ('アイテム別限界値DB'!$B:$B = D$10) * 
        ('アイテム別限界値DB'!$F:$F = D21) * 
        ('アイテム別限界値DB'!$H:$H = E21), 
        0
      )
    ), 
    "再製作"
  )
)
</f>
        <v/>
      </c>
      <c r="G21" s="218" t="str">
        <f t="array" ref="G21">IF(
  E21 = 0, 
  "", 
  IFERROR(
    INDEX(
      'アイテム別限界値DB'!$L:$L, 
      MATCH(
        1, 
        ('アイテム別限界値DB'!$B:$B = D$10) * 
        ('アイテム別限界値DB'!$C:$C = D21) * 
        ('アイテム別限界値DB'!$F:$F = E21), 
        0
      )
    ), 
    ""
  )
)
</f>
        <v/>
      </c>
      <c r="H21" s="12"/>
      <c r="I21" s="238" t="s">
        <v>82</v>
      </c>
      <c r="J21" s="230"/>
      <c r="K21" s="231" t="str">
        <f t="array" ref="K21">IF(
  J21 = 0, 
  "", 
  IFERROR(
    INDEX(
      'アイテム別限界値DB'!$K:$K, 
      MATCH(
        1, 
        ('アイテム別限界値DB'!$B:$B = I$10) * 
        ('アイテム別限界値DB'!$F:$F = I21) * 
        ('アイテム別限界値DB'!$H:$H = J21), 
        0
      )
    ), 
    "再製作"
  )
)
</f>
        <v/>
      </c>
      <c r="L21" s="218" t="str">
        <f t="array" ref="L21">IF(
  J21 = 0, 
  "", 
  IFERROR(
    INDEX(
      'アイテム別限界値DB'!$L:$L, 
      MATCH(
        1, 
        ('アイテム別限界値DB'!$B:$B = I$10) * 
        ('アイテム別限界値DB'!$C:$C = I21) * 
        ('アイテム別限界値DB'!$F:$F = J21), 
        0
      )
    ), 
    ""
  )
)
</f>
        <v/>
      </c>
      <c r="M21" s="12"/>
      <c r="N21" s="224" t="s">
        <v>83</v>
      </c>
      <c r="O21" s="232"/>
      <c r="P21" s="231" t="str">
        <f t="array" ref="P21">IF(
  O21 = 0, 
  "", 
  IFERROR(
    INDEX(
      'アイテム別限界値DB'!$K:$K, 
      MATCH(
        1, 
        ('アイテム別限界値DB'!$B:$B = N$10) * 
        ('アイテム別限界値DB'!$F:$F = N21) * 
        ('アイテム別限界値DB'!$H:$H = O21), 
        0
      )
    ), 
    "再製作"
  )
)
</f>
        <v/>
      </c>
      <c r="Q21" s="121" t="str">
        <f t="array" ref="Q21">IF(
  O21 = 0, 
  "", 
  IFERROR(
    INDEX(
      'アイテム別限界値DB'!$L:$L, 
      MATCH(
        1, 
        ('アイテム別限界値DB'!$B:$B = N$10) * 
        ('アイテム別限界値DB'!$C:$C = N21) * 
        ('アイテム別限界値DB'!$F:$F = O21), 
        0
      )
    ), 
    ""
  )
)
</f>
        <v/>
      </c>
      <c r="R21" s="11"/>
      <c r="S21" s="238" t="s">
        <v>82</v>
      </c>
      <c r="T21" s="230"/>
      <c r="U21" s="231" t="str">
        <f t="array" ref="U21">IF(
  T21 = 0, 
  "", 
  IFERROR(
    INDEX(
      'アイテム別限界値DB'!$K:$K, 
      MATCH(
        1, 
        ('アイテム別限界値DB'!$B:$B = S$10) * 
        ('アイテム別限界値DB'!$F:$F = S21) * 
        ('アイテム別限界値DB'!$H:$H = T21), 
        0
      )
    ), 
    "再製作"
  )
)
</f>
        <v/>
      </c>
      <c r="V21" s="218" t="str">
        <f t="array" ref="V21">IF(
  T21 = 0, 
  "", 
  IFERROR(
    INDEX(
      'アイテム別限界値DB'!$L:$L, 
      MATCH(
        1, 
        ('アイテム別限界値DB'!$B:$B = S$10) * 
        ('アイテム別限界値DB'!$C:$C = S21) * 
        ('アイテム別限界値DB'!$F:$F = T21), 
        0
      )
    ), 
    ""
  )
)
</f>
        <v/>
      </c>
      <c r="W21" s="11"/>
      <c r="X21" s="238" t="s">
        <v>84</v>
      </c>
      <c r="Y21" s="230"/>
      <c r="Z21" s="231" t="str">
        <f t="array" ref="Z21">IF(
  Y21 = 0, 
  "", 
  IFERROR(
    INDEX(
      'アイテム別限界値DB'!$K:$K, 
      MATCH(
        1, 
        ('アイテム別限界値DB'!$B:$B = X$10) * 
        ('アイテム別限界値DB'!$F:$F = X21) * 
        ('アイテム別限界値DB'!$H:$H = Y21), 
        0
      )
    ), 
    "再製作"
  )
)
</f>
        <v/>
      </c>
      <c r="AA21" s="218" t="str">
        <f t="array" ref="AA21">IF(
  Y21 = 0, 
  "", 
  IFERROR(
    INDEX(
      'アイテム別限界値DB'!$L:$L, 
      MATCH(
        1, 
        ('アイテム別限界値DB'!$B:$B = X$10) * 
        ('アイテム別限界値DB'!$C:$C = X21) * 
        ('アイテム別限界値DB'!$F:$F = Y21), 
        0
      )
    ), 
    ""
  )
)
</f>
        <v/>
      </c>
      <c r="AB21" s="11"/>
      <c r="AC21" s="238" t="s">
        <v>85</v>
      </c>
      <c r="AD21" s="232"/>
      <c r="AE21" s="231" t="str">
        <f t="array" ref="AE21">IF(
  AD21 = 0, 
  "", 
  IFERROR(
    INDEX(
      'アイテム別限界値DB'!$K:$K, 
      MATCH(
        1, 
        ('アイテム別限界値DB'!$B:$B = AC$10) * 
        ('アイテム別限界値DB'!$F:$F = AC21) * 
        ('アイテム別限界値DB'!$H:$H = AD21), 
        0
      )
    ), 
    "再製作"
  )
)
</f>
        <v/>
      </c>
      <c r="AF21" s="218" t="str">
        <f t="array" ref="AF21">IF(
  AD21 = 0, 
  "", 
  IFERROR(
    INDEX(
      'アイテム別限界値DB'!$L:$L, 
      MATCH(
        1, 
        ('アイテム別限界値DB'!$B:$B = AC$10) * 
        ('アイテム別限界値DB'!$C:$C = AC21) * 
        ('アイテム別限界値DB'!$F:$F = AD21), 
        0
      )
    ), 
    ""
  )
)
</f>
        <v/>
      </c>
      <c r="AG21" s="11"/>
      <c r="AH21" s="224"/>
      <c r="AI21" s="225"/>
      <c r="AJ21" s="220" t="str">
        <f t="array" ref="AJ21">IF(
  AI21 = 0, 
  "", 
  IFERROR(
    INDEX(
      'アイテム別限界値DB'!$I:$I, 
      MATCH(
        1, 
        ('アイテム別限界値DB'!$B:$B = AH$10) * 
        ('アイテム別限界値DB'!$C:$C = AH21) * 
        ('アイテム別限界値DB'!$F:$F = AI21), 
        0
      )
    ), 
    "再製作"
  )
)
</f>
        <v/>
      </c>
      <c r="AK21" s="121" t="str">
        <f t="array" ref="AK21">IF(
  AI21 = 0, 
  "", 
  IFERROR(
    INDEX(
      'アイテム別限界値DB'!$L:$L, 
      MATCH(
        1, 
        ('アイテム別限界値DB'!$B:$B = AH$10) * 
        ('アイテム別限界値DB'!$C:$C = AH21) * 
        ('アイテム別限界値DB'!$F:$F = AI21), 
        0
      )
    ), 
    ""
  )
)
</f>
        <v/>
      </c>
      <c r="AL21" s="11"/>
      <c r="AM21" s="224"/>
      <c r="AN21" s="225"/>
      <c r="AO21" s="220" t="str">
        <f t="array" ref="AO21">IF(
  AN21 = 0, 
  "", 
  IFERROR(
    INDEX(
      'アイテム別限界値DB'!$I:$I, 
      MATCH(
        1, 
        ('アイテム別限界値DB'!$B:$B = AM$10) * 
        ('アイテム別限界値DB'!$C:$C = AM21) * 
        ('アイテム別限界値DB'!$F:$F = AN21), 
        0
      )
    ), 
    "再製作"
  )
)
</f>
        <v/>
      </c>
      <c r="AP21" s="121" t="str">
        <f t="array" ref="AP21">IF(
  AN21 = 0, 
  "", 
  IFERROR(
    INDEX(
      'アイテム別限界値DB'!$L:$L, 
      MATCH(
        1, 
        ('アイテム別限界値DB'!$B:$B = AM$10) * 
        ('アイテム別限界値DB'!$C:$C = AM21) * 
        ('アイテム別限界値DB'!$F:$F = AN21), 
        0
      )
    ), 
    ""
  )
)
</f>
        <v/>
      </c>
      <c r="AQ21" s="11"/>
      <c r="AR21" s="224"/>
      <c r="AS21" s="225"/>
      <c r="AT21" s="220" t="str">
        <f t="array" ref="AT21">IF(
  AS21 = 0, 
  "", 
  IFERROR(
    INDEX(
      'アイテム別限界値DB'!$I:$I, 
      MATCH(
        1, 
        ('アイテム別限界値DB'!$B:$B = AR$10) * 
        ('アイテム別限界値DB'!$C:$C = AR21) * 
        ('アイテム別限界値DB'!$F:$F = AS21), 
        0
      )
    ), 
    "再製作"
  )
)
</f>
        <v/>
      </c>
      <c r="AU21" s="121" t="str">
        <f t="array" ref="AU21">IF(
  AS21 = 0, 
  "", 
  IFERROR(
    INDEX(
      'アイテム別限界値DB'!$L:$L, 
      MATCH(
        1, 
        ('アイテム別限界値DB'!$B:$B = AR$10) * 
        ('アイテム別限界値DB'!$C:$C = AR21) * 
        ('アイテム別限界値DB'!$F:$F = AS21), 
        0
      )
    ), 
    ""
  )
)
</f>
        <v/>
      </c>
      <c r="AV21" s="121"/>
      <c r="AW21" s="224"/>
      <c r="AX21" s="225"/>
      <c r="AY21" s="220" t="str">
        <f t="array" ref="AY21">IF(
  AX21 = 0, 
  "", 
  IFERROR(
    INDEX(
      'アイテム別限界値DB'!$I:$I, 
      MATCH(
        1, 
        ('アイテム別限界値DB'!$B:$B = AW$10) * 
        ('アイテム別限界値DB'!$C:$C = AW21) * 
        ('アイテム別限界値DB'!$F:$F = AX21), 
        0
      )
    ), 
    "再製作"
  )
)
</f>
        <v/>
      </c>
      <c r="AZ21" s="121" t="str">
        <f t="array" ref="AZ21">IF(
  AX21 = 0, 
  "", 
  IFERROR(
    INDEX(
      'アイテム別限界値DB'!$L:$L, 
      MATCH(
        1, 
        ('アイテム別限界値DB'!$B:$B = AW$10) * 
        ('アイテム別限界値DB'!$C:$C = AW21) * 
        ('アイテム別限界値DB'!$F:$F = AX21), 
        0
      )
    ), 
    ""
  )
)
</f>
        <v/>
      </c>
      <c r="BA21" s="121"/>
      <c r="BB21" s="224"/>
      <c r="BC21" s="225"/>
      <c r="BD21" s="220" t="str">
        <f t="array" ref="BD21">IF(
  BC21 = 0, 
  "", 
  IFERROR(
    INDEX(
      'アイテム別限界値DB'!$I:$I, 
      MATCH(
        1, 
        ('アイテム別限界値DB'!$B:$B = BB$10) * 
        ('アイテム別限界値DB'!$C:$C = BB21) * 
        ('アイテム別限界値DB'!$F:$F = BC21), 
        0
      )
    ), 
    "再製作"
  )
)
</f>
        <v/>
      </c>
      <c r="BE21" s="121" t="str">
        <f t="array" ref="BE21">IF(
  BC21 = 0, 
  "", 
  IFERROR(
    INDEX(
      'アイテム別限界値DB'!$L:$L, 
      MATCH(
        1, 
        ('アイテム別限界値DB'!$B:$B = BB$10) * 
        ('アイテム別限界値DB'!$C:$C = BB21) * 
        ('アイテム別限界値DB'!$F:$F = BC21), 
        0
      )
    ), 
    ""
  )
)
</f>
        <v/>
      </c>
      <c r="BF21" s="121"/>
      <c r="BG21" s="224"/>
      <c r="BH21" s="225"/>
      <c r="BI21" s="220" t="str">
        <f t="array" ref="BI21">IF(
  BH21 = 0, 
  "", 
  IFERROR(
    INDEX(
      'アイテム別限界値DB'!$I:$I, 
      MATCH(
        1, 
        ('アイテム別限界値DB'!$B:$B = BG$10) * 
        ('アイテム別限界値DB'!$C:$C = BG21) * 
        ('アイテム別限界値DB'!$F:$F = BH21), 
        0
      )
    ), 
    "再製作"
  )
)
</f>
        <v/>
      </c>
      <c r="BJ21" s="121" t="str">
        <f t="array" ref="BJ21">IF(
  BH21 = 0, 
  "", 
  IFERROR(
    INDEX(
      'アイテム別限界値DB'!$L:$L, 
      MATCH(
        1, 
        ('アイテム別限界値DB'!$B:$B = BG$10) * 
        ('アイテム別限界値DB'!$C:$C = BG21) * 
        ('アイテム別限界値DB'!$F:$F = BH21), 
        0
      )
    ), 
    ""
  )
)
</f>
        <v/>
      </c>
      <c r="BK21" s="121"/>
      <c r="BL21" s="224" t="s">
        <v>85</v>
      </c>
      <c r="BM21" s="232"/>
      <c r="BN21" s="231" t="str">
        <f t="array" ref="BN21">IF(
  BM21 = 0, 
  "", 
  IFERROR(
    INDEX(
      'アイテム別限界値DB'!$K:$K, 
      MATCH(
        1, 
        ('アイテム別限界値DB'!$B:$B = BL$10) * 
        ('アイテム別限界値DB'!$F:$F = BL21) * 
        ('アイテム別限界値DB'!$H:$H = BM21), 
        0
      )
    ), 
    "再製作"
  )
)
</f>
        <v/>
      </c>
      <c r="BO21" s="218" t="str">
        <f t="array" ref="BO21">IF(
  BM21 = 0, 
  "", 
  IFERROR(
    INDEX(
      'アイテム別限界値DB'!$L:$L, 
      MATCH(
        1, 
        ('アイテム別限界値DB'!$B:$B = BL$10) * 
        ('アイテム別限界値DB'!$C:$C = BL21) * 
        ('アイテム別限界値DB'!$F:$F = BM21), 
        0
      )
    ), 
    ""
  )
)
</f>
        <v/>
      </c>
      <c r="BP21" s="195"/>
    </row>
    <row r="22" ht="18.75" customHeight="1">
      <c r="A22" s="228" t="str">
        <f>IFERROR(__xludf.DUMMYFUNCTION("TEXTJOIN(CHAR(10),TRUE,FILTER(ARRAYFORMULA(IF(J$14:J72&lt;&gt;"""", I$14:I72 &amp;"" :  cm"","""")), I$14:I72 &lt;&gt;""""))"),"")</f>
        <v/>
      </c>
      <c r="B22" s="224"/>
      <c r="C22" s="224"/>
      <c r="D22" s="238" t="s">
        <v>86</v>
      </c>
      <c r="E22" s="230"/>
      <c r="F22" s="231" t="str">
        <f t="array" ref="F22">IF(
  E22 = 0, 
  "", 
  IFERROR(
    INDEX(
      'アイテム別限界値DB'!$K:$K, 
      MATCH(
        1, 
        ('アイテム別限界値DB'!$B:$B = D$10) * 
        ('アイテム別限界値DB'!$F:$F = D22) * 
        ('アイテム別限界値DB'!$H:$H = E22), 
        0
      )
    ), 
    "再製作"
  )
)
</f>
        <v/>
      </c>
      <c r="G22" s="218" t="str">
        <f t="array" ref="G22">IF(
  E22 = 0, 
  "", 
  IFERROR(
    INDEX(
      'アイテム別限界値DB'!$L:$L, 
      MATCH(
        1, 
        ('アイテム別限界値DB'!$B:$B = D$10) * 
        ('アイテム別限界値DB'!$C:$C = D22) * 
        ('アイテム別限界値DB'!$F:$F = E22), 
        0
      )
    ), 
    ""
  )
)
</f>
        <v/>
      </c>
      <c r="H22" s="12"/>
      <c r="I22" s="238" t="s">
        <v>87</v>
      </c>
      <c r="J22" s="230"/>
      <c r="K22" s="231" t="str">
        <f t="array" ref="K22">IF(
  J22 = 0, 
  "", 
  IFERROR(
    INDEX(
      'アイテム別限界値DB'!$K:$K, 
      MATCH(
        1, 
        ('アイテム別限界値DB'!$B:$B = I$10) * 
        ('アイテム別限界値DB'!$F:$F = I22) * 
        ('アイテム別限界値DB'!$H:$H = J22), 
        0
      )
    ), 
    "再製作"
  )
)
</f>
        <v/>
      </c>
      <c r="L22" s="218" t="str">
        <f t="array" ref="L22">IF(
  J22 = 0, 
  "", 
  IFERROR(
    INDEX(
      'アイテム別限界値DB'!$L:$L, 
      MATCH(
        1, 
        ('アイテム別限界値DB'!$B:$B = I$10) * 
        ('アイテム別限界値DB'!$C:$C = I22) * 
        ('アイテム別限界値DB'!$F:$F = J22), 
        0
      )
    ), 
    ""
  )
)
</f>
        <v/>
      </c>
      <c r="M22" s="11"/>
      <c r="N22" s="224"/>
      <c r="O22" s="220"/>
      <c r="P22" s="220" t="str">
        <f t="array" ref="P22">IF(
  O22 = 0, 
  "", 
  IFERROR(
    INDEX(
      'アイテム別限界値DB'!$I:$I, 
      MATCH(
        1, 
        ('アイテム別限界値DB'!$B:$B = N$10) * 
        ('アイテム別限界値DB'!$C:$C = N22) * 
        ('アイテム別限界値DB'!$F:$F = O22), 
        0
      )
    ), 
    "再製作"
  )
)
</f>
        <v/>
      </c>
      <c r="Q22" s="121" t="str">
        <f t="array" ref="Q22">IF(
  O22 = 0, 
  "", 
  IFERROR(
    INDEX(
      'アイテム別限界値DB'!$L:$L, 
      MATCH(
        1, 
        ('アイテム別限界値DB'!$B:$B = N$10) * 
        ('アイテム別限界値DB'!$C:$C = N22) * 
        ('アイテム別限界値DB'!$F:$F = O22), 
        0
      )
    ), 
    ""
  )
)
</f>
        <v/>
      </c>
      <c r="R22" s="11"/>
      <c r="S22" s="238" t="s">
        <v>87</v>
      </c>
      <c r="T22" s="232"/>
      <c r="U22" s="231" t="str">
        <f t="array" ref="U22">IF(
  T22 = 0, 
  "", 
  IFERROR(
    INDEX(
      'アイテム別限界値DB'!$K:$K, 
      MATCH(
        1, 
        ('アイテム別限界値DB'!$B:$B = S$10) * 
        ('アイテム別限界値DB'!$F:$F = S22) * 
        ('アイテム別限界値DB'!$H:$H = T22), 
        0
      )
    ), 
    "再製作"
  )
)
</f>
        <v/>
      </c>
      <c r="V22" s="218" t="str">
        <f t="array" ref="V22">IF(
  T22 = 0, 
  "", 
  IFERROR(
    INDEX(
      'アイテム別限界値DB'!$L:$L, 
      MATCH(
        1, 
        ('アイテム別限界値DB'!$B:$B = S$10) * 
        ('アイテム別限界値DB'!$C:$C = S22) * 
        ('アイテム別限界値DB'!$F:$F = T22), 
        0
      )
    ), 
    ""
  )
)
</f>
        <v/>
      </c>
      <c r="W22" s="11"/>
      <c r="X22" s="238" t="s">
        <v>88</v>
      </c>
      <c r="Y22" s="230"/>
      <c r="Z22" s="231" t="str">
        <f t="array" ref="Z22">IF(
  Y22 = 0, 
  "", 
  IFERROR(
    INDEX(
      'アイテム別限界値DB'!$K:$K, 
      MATCH(
        1, 
        ('アイテム別限界値DB'!$B:$B = X$10) * 
        ('アイテム別限界値DB'!$F:$F = X22) * 
        ('アイテム別限界値DB'!$H:$H = Y22), 
        0
      )
    ), 
    "再製作"
  )
)
</f>
        <v/>
      </c>
      <c r="AA22" s="218" t="str">
        <f t="array" ref="AA22">IF(
  Y22 = 0, 
  "", 
  IFERROR(
    INDEX(
      'アイテム別限界値DB'!$L:$L, 
      MATCH(
        1, 
        ('アイテム別限界値DB'!$B:$B = X$10) * 
        ('アイテム別限界値DB'!$C:$C = X22) * 
        ('アイテム別限界値DB'!$F:$F = Y22), 
        0
      )
    ), 
    ""
  )
)
</f>
        <v/>
      </c>
      <c r="AB22" s="11"/>
      <c r="AC22" s="238" t="s">
        <v>89</v>
      </c>
      <c r="AD22" s="230"/>
      <c r="AE22" s="231" t="str">
        <f t="array" ref="AE22">IF(
  AD22 = 0, 
  "", 
  IFERROR(
    INDEX(
      'アイテム別限界値DB'!$K:$K, 
      MATCH(
        1, 
        ('アイテム別限界値DB'!$B:$B = AC$10) * 
        ('アイテム別限界値DB'!$F:$F = AC22) * 
        ('アイテム別限界値DB'!$H:$H = AD22), 
        0
      )
    ), 
    "再製作"
  )
)
</f>
        <v/>
      </c>
      <c r="AF22" s="218" t="str">
        <f t="array" ref="AF22">IF(
  AD22 = 0, 
  "", 
  IFERROR(
    INDEX(
      'アイテム別限界値DB'!$L:$L, 
      MATCH(
        1, 
        ('アイテム別限界値DB'!$B:$B = AC$10) * 
        ('アイテム別限界値DB'!$C:$C = AC22) * 
        ('アイテム別限界値DB'!$F:$F = AD22), 
        0
      )
    ), 
    ""
  )
)
</f>
        <v/>
      </c>
      <c r="AG22" s="11"/>
      <c r="AH22" s="224"/>
      <c r="AI22" s="225"/>
      <c r="AJ22" s="220" t="str">
        <f t="array" ref="AJ22">IF(
  AI22 = 0, 
  "", 
  IFERROR(
    INDEX(
      'アイテム別限界値DB'!$I:$I, 
      MATCH(
        1, 
        ('アイテム別限界値DB'!$B:$B = AH$10) * 
        ('アイテム別限界値DB'!$C:$C = AH22) * 
        ('アイテム別限界値DB'!$F:$F = AI22), 
        0
      )
    ), 
    "再製作"
  )
)
</f>
        <v/>
      </c>
      <c r="AK22" s="121" t="str">
        <f t="array" ref="AK22">IF(
  AI22 = 0, 
  "", 
  IFERROR(
    INDEX(
      'アイテム別限界値DB'!$L:$L, 
      MATCH(
        1, 
        ('アイテム別限界値DB'!$B:$B = AH$10) * 
        ('アイテム別限界値DB'!$C:$C = AH22) * 
        ('アイテム別限界値DB'!$F:$F = AI22), 
        0
      )
    ), 
    ""
  )
)
</f>
        <v/>
      </c>
      <c r="AL22" s="11"/>
      <c r="AM22" s="224"/>
      <c r="AN22" s="225"/>
      <c r="AO22" s="220" t="str">
        <f t="array" ref="AO22">IF(
  AN22 = 0, 
  "", 
  IFERROR(
    INDEX(
      'アイテム別限界値DB'!$I:$I, 
      MATCH(
        1, 
        ('アイテム別限界値DB'!$B:$B = AM$10) * 
        ('アイテム別限界値DB'!$C:$C = AM22) * 
        ('アイテム別限界値DB'!$F:$F = AN22), 
        0
      )
    ), 
    "再製作"
  )
)
</f>
        <v/>
      </c>
      <c r="AP22" s="121" t="str">
        <f t="array" ref="AP22">IF(
  AN22 = 0, 
  "", 
  IFERROR(
    INDEX(
      'アイテム別限界値DB'!$L:$L, 
      MATCH(
        1, 
        ('アイテム別限界値DB'!$B:$B = AM$10) * 
        ('アイテム別限界値DB'!$C:$C = AM22) * 
        ('アイテム別限界値DB'!$F:$F = AN22), 
        0
      )
    ), 
    ""
  )
)
</f>
        <v/>
      </c>
      <c r="AQ22" s="11"/>
      <c r="AR22" s="224"/>
      <c r="AS22" s="225"/>
      <c r="AT22" s="220" t="str">
        <f t="array" ref="AT22">IF(
  AS22 = 0, 
  "", 
  IFERROR(
    INDEX(
      'アイテム別限界値DB'!$I:$I, 
      MATCH(
        1, 
        ('アイテム別限界値DB'!$B:$B = AR$10) * 
        ('アイテム別限界値DB'!$C:$C = AR22) * 
        ('アイテム別限界値DB'!$F:$F = AS22), 
        0
      )
    ), 
    "再製作"
  )
)
</f>
        <v/>
      </c>
      <c r="AU22" s="121" t="str">
        <f t="array" ref="AU22">IF(
  AS22 = 0, 
  "", 
  IFERROR(
    INDEX(
      'アイテム別限界値DB'!$L:$L, 
      MATCH(
        1, 
        ('アイテム別限界値DB'!$B:$B = AR$10) * 
        ('アイテム別限界値DB'!$C:$C = AR22) * 
        ('アイテム別限界値DB'!$F:$F = AS22), 
        0
      )
    ), 
    ""
  )
)
</f>
        <v/>
      </c>
      <c r="AV22" s="121"/>
      <c r="AW22" s="224"/>
      <c r="AX22" s="225"/>
      <c r="AY22" s="220" t="str">
        <f t="array" ref="AY22">IF(
  AX22 = 0, 
  "", 
  IFERROR(
    INDEX(
      'アイテム別限界値DB'!$I:$I, 
      MATCH(
        1, 
        ('アイテム別限界値DB'!$B:$B = AW$10) * 
        ('アイテム別限界値DB'!$C:$C = AW22) * 
        ('アイテム別限界値DB'!$F:$F = AX22), 
        0
      )
    ), 
    "再製作"
  )
)
</f>
        <v/>
      </c>
      <c r="AZ22" s="121" t="str">
        <f t="array" ref="AZ22">IF(
  AX22 = 0, 
  "", 
  IFERROR(
    INDEX(
      'アイテム別限界値DB'!$L:$L, 
      MATCH(
        1, 
        ('アイテム別限界値DB'!$B:$B = AW$10) * 
        ('アイテム別限界値DB'!$C:$C = AW22) * 
        ('アイテム別限界値DB'!$F:$F = AX22), 
        0
      )
    ), 
    ""
  )
)
</f>
        <v/>
      </c>
      <c r="BA22" s="121"/>
      <c r="BB22" s="224"/>
      <c r="BC22" s="225"/>
      <c r="BD22" s="220" t="str">
        <f t="array" ref="BD22">IF(
  BC22 = 0, 
  "", 
  IFERROR(
    INDEX(
      'アイテム別限界値DB'!$I:$I, 
      MATCH(
        1, 
        ('アイテム別限界値DB'!$B:$B = BB$10) * 
        ('アイテム別限界値DB'!$C:$C = BB22) * 
        ('アイテム別限界値DB'!$F:$F = BC22), 
        0
      )
    ), 
    "再製作"
  )
)
</f>
        <v/>
      </c>
      <c r="BE22" s="121" t="str">
        <f t="array" ref="BE22">IF(
  BC22 = 0, 
  "", 
  IFERROR(
    INDEX(
      'アイテム別限界値DB'!$L:$L, 
      MATCH(
        1, 
        ('アイテム別限界値DB'!$B:$B = BB$10) * 
        ('アイテム別限界値DB'!$C:$C = BB22) * 
        ('アイテム別限界値DB'!$F:$F = BC22), 
        0
      )
    ), 
    ""
  )
)
</f>
        <v/>
      </c>
      <c r="BF22" s="121"/>
      <c r="BG22" s="224"/>
      <c r="BH22" s="225"/>
      <c r="BI22" s="220" t="str">
        <f t="array" ref="BI22">IF(
  BH22 = 0, 
  "", 
  IFERROR(
    INDEX(
      'アイテム別限界値DB'!$I:$I, 
      MATCH(
        1, 
        ('アイテム別限界値DB'!$B:$B = BG$10) * 
        ('アイテム別限界値DB'!$C:$C = BG22) * 
        ('アイテム別限界値DB'!$F:$F = BH22), 
        0
      )
    ), 
    "再製作"
  )
)
</f>
        <v/>
      </c>
      <c r="BJ22" s="121" t="str">
        <f t="array" ref="BJ22">IF(
  BH22 = 0, 
  "", 
  IFERROR(
    INDEX(
      'アイテム別限界値DB'!$L:$L, 
      MATCH(
        1, 
        ('アイテム別限界値DB'!$B:$B = BG$10) * 
        ('アイテム別限界値DB'!$C:$C = BG22) * 
        ('アイテム別限界値DB'!$F:$F = BH22), 
        0
      )
    ), 
    ""
  )
)
</f>
        <v/>
      </c>
      <c r="BK22" s="121"/>
      <c r="BL22" s="224" t="s">
        <v>90</v>
      </c>
      <c r="BM22" s="232"/>
      <c r="BN22" s="231" t="str">
        <f t="array" ref="BN22">IF(
  BM22 = 0, 
  "", 
  IFERROR(
    INDEX(
      'アイテム別限界値DB'!$K:$K, 
      MATCH(
        1, 
        ('アイテム別限界値DB'!$B:$B = BL$10) * 
        ('アイテム別限界値DB'!$F:$F = BL22) * 
        ('アイテム別限界値DB'!$H:$H = BM22), 
        0
      )
    ), 
    "再製作"
  )
)
</f>
        <v/>
      </c>
      <c r="BO22" s="218" t="str">
        <f t="array" ref="BO22">IF(
  BM22 = 0, 
  "", 
  IFERROR(
    INDEX(
      'アイテム別限界値DB'!$L:$L, 
      MATCH(
        1, 
        ('アイテム別限界値DB'!$B:$B = BL$10) * 
        ('アイテム別限界値DB'!$C:$C = BL22) * 
        ('アイテム別限界値DB'!$F:$F = BM22), 
        0
      )
    ), 
    ""
  )
)
</f>
        <v/>
      </c>
      <c r="BP22" s="195"/>
    </row>
    <row r="23" ht="18.75" customHeight="1">
      <c r="A23" s="237" t="s">
        <v>91</v>
      </c>
      <c r="B23" s="229"/>
      <c r="C23" s="224"/>
      <c r="D23" s="238" t="s">
        <v>92</v>
      </c>
      <c r="E23" s="230"/>
      <c r="F23" s="231" t="str">
        <f t="array" ref="F23">IF(
  E23 = 0, 
  "", 
  IFERROR(
    INDEX(
      'アイテム別限界値DB'!$K:$K, 
      MATCH(
        1, 
        ('アイテム別限界値DB'!$B:$B = D$10) * 
        ('アイテム別限界値DB'!$F:$F = D23) * 
        ('アイテム別限界値DB'!$H:$H = E23), 
        0
      )
    ), 
    "再製作"
  )
)
</f>
        <v/>
      </c>
      <c r="G23" s="218" t="str">
        <f t="array" ref="G23">IF(
  E23 = 0, 
  "", 
  IFERROR(
    INDEX(
      'アイテム別限界値DB'!$L:$L, 
      MATCH(
        1, 
        ('アイテム別限界値DB'!$B:$B = D$10) * 
        ('アイテム別限界値DB'!$C:$C = D23) * 
        ('アイテム別限界値DB'!$F:$F = E23), 
        0
      )
    ), 
    ""
  )
)
</f>
        <v/>
      </c>
      <c r="H23" s="12"/>
      <c r="I23" s="238" t="s">
        <v>93</v>
      </c>
      <c r="J23" s="230"/>
      <c r="K23" s="231" t="str">
        <f t="array" ref="K23">IF(
  J23 = 0, 
  "", 
  IFERROR(
    INDEX(
      'アイテム別限界値DB'!$K:$K, 
      MATCH(
        1, 
        ('アイテム別限界値DB'!$B:$B = I$10) * 
        ('アイテム別限界値DB'!$F:$F = I23) * 
        ('アイテム別限界値DB'!$H:$H = J23), 
        0
      )
    ), 
    "再製作"
  )
)
</f>
        <v/>
      </c>
      <c r="L23" s="218" t="str">
        <f t="array" ref="L23">IF(
  J23 = 0, 
  "", 
  IFERROR(
    INDEX(
      'アイテム別限界値DB'!$L:$L, 
      MATCH(
        1, 
        ('アイテム別限界値DB'!$B:$B = I$10) * 
        ('アイテム別限界値DB'!$C:$C = I23) * 
        ('アイテム別限界値DB'!$F:$F = J23), 
        0
      )
    ), 
    ""
  )
)
</f>
        <v/>
      </c>
      <c r="M23" s="11"/>
      <c r="N23" s="224"/>
      <c r="O23" s="220"/>
      <c r="P23" s="220" t="str">
        <f t="array" ref="P23">IF(
  O23 = 0, 
  "", 
  IFERROR(
    INDEX(
      'アイテム別限界値DB'!$I:$I, 
      MATCH(
        1, 
        ('アイテム別限界値DB'!$B:$B = N$10) * 
        ('アイテム別限界値DB'!$C:$C = N23) * 
        ('アイテム別限界値DB'!$F:$F = O23), 
        0
      )
    ), 
    "再製作"
  )
)
</f>
        <v/>
      </c>
      <c r="Q23" s="121" t="str">
        <f t="array" ref="Q23">IF(
  O23 = 0, 
  "", 
  IFERROR(
    INDEX(
      'アイテム別限界値DB'!$L:$L, 
      MATCH(
        1, 
        ('アイテム別限界値DB'!$B:$B = N$10) * 
        ('アイテム別限界値DB'!$C:$C = N23) * 
        ('アイテム別限界値DB'!$F:$F = O23), 
        0
      )
    ), 
    ""
  )
)
</f>
        <v/>
      </c>
      <c r="R23" s="11"/>
      <c r="S23" s="238" t="s">
        <v>93</v>
      </c>
      <c r="T23" s="232"/>
      <c r="U23" s="231" t="str">
        <f t="array" ref="U23">IF(
  T23 = 0, 
  "", 
  IFERROR(
    INDEX(
      'アイテム別限界値DB'!$K:$K, 
      MATCH(
        1, 
        ('アイテム別限界値DB'!$B:$B = S$10) * 
        ('アイテム別限界値DB'!$F:$F = S23) * 
        ('アイテム別限界値DB'!$H:$H = T23), 
        0
      )
    ), 
    "再製作"
  )
)
</f>
        <v/>
      </c>
      <c r="V23" s="218" t="str">
        <f t="array" ref="V23">IF(
  T23 = 0, 
  "", 
  IFERROR(
    INDEX(
      'アイテム別限界値DB'!$L:$L, 
      MATCH(
        1, 
        ('アイテム別限界値DB'!$B:$B = S$10) * 
        ('アイテム別限界値DB'!$C:$C = S23) * 
        ('アイテム別限界値DB'!$F:$F = T23), 
        0
      )
    ), 
    ""
  )
)
</f>
        <v/>
      </c>
      <c r="W23" s="11"/>
      <c r="X23" s="238" t="s">
        <v>89</v>
      </c>
      <c r="Y23" s="232"/>
      <c r="Z23" s="231" t="str">
        <f t="array" ref="Z23">IF(
  Y23 = 0, 
  "", 
  IFERROR(
    INDEX(
      'アイテム別限界値DB'!$K:$K, 
      MATCH(
        1, 
        ('アイテム別限界値DB'!$B:$B = X$10) * 
        ('アイテム別限界値DB'!$F:$F = X23) * 
        ('アイテム別限界値DB'!$H:$H = Y23), 
        0
      )
    ), 
    "再製作"
  )
)
</f>
        <v/>
      </c>
      <c r="AA23" s="218" t="str">
        <f t="array" ref="AA23">IF(
  Y23 = 0, 
  "", 
  IFERROR(
    INDEX(
      'アイテム別限界値DB'!$L:$L, 
      MATCH(
        1, 
        ('アイテム別限界値DB'!$B:$B = X$10) * 
        ('アイテム別限界値DB'!$C:$C = X23) * 
        ('アイテム別限界値DB'!$F:$F = Y23), 
        0
      )
    ), 
    ""
  )
)
</f>
        <v/>
      </c>
      <c r="AB23" s="11"/>
      <c r="AC23" s="238" t="s">
        <v>90</v>
      </c>
      <c r="AD23" s="230"/>
      <c r="AE23" s="231" t="str">
        <f t="array" ref="AE23">IF(
  AD23 = 0, 
  "", 
  IFERROR(
    INDEX(
      'アイテム別限界値DB'!$K:$K, 
      MATCH(
        1, 
        ('アイテム別限界値DB'!$B:$B = AC$10) * 
        ('アイテム別限界値DB'!$F:$F = AC23) * 
        ('アイテム別限界値DB'!$H:$H = AD23), 
        0
      )
    ), 
    "再製作"
  )
)
</f>
        <v/>
      </c>
      <c r="AF23" s="218" t="str">
        <f t="array" ref="AF23">IF(
  AD23 = 0, 
  "", 
  IFERROR(
    INDEX(
      'アイテム別限界値DB'!$L:$L, 
      MATCH(
        1, 
        ('アイテム別限界値DB'!$B:$B = AC$10) * 
        ('アイテム別限界値DB'!$C:$C = AC23) * 
        ('アイテム別限界値DB'!$F:$F = AD23), 
        0
      )
    ), 
    ""
  )
)
</f>
        <v/>
      </c>
      <c r="AG23" s="11"/>
      <c r="AH23" s="224"/>
      <c r="AI23" s="225"/>
      <c r="AJ23" s="220" t="str">
        <f t="array" ref="AJ23">IF(
  AI23 = 0, 
  "", 
  IFERROR(
    INDEX(
      'アイテム別限界値DB'!$I:$I, 
      MATCH(
        1, 
        ('アイテム別限界値DB'!$B:$B = AH$10) * 
        ('アイテム別限界値DB'!$C:$C = AH23) * 
        ('アイテム別限界値DB'!$F:$F = AI23), 
        0
      )
    ), 
    "再製作"
  )
)
</f>
        <v/>
      </c>
      <c r="AK23" s="121" t="str">
        <f t="array" ref="AK23">IF(
  AI23 = 0, 
  "", 
  IFERROR(
    INDEX(
      'アイテム別限界値DB'!$L:$L, 
      MATCH(
        1, 
        ('アイテム別限界値DB'!$B:$B = AH$10) * 
        ('アイテム別限界値DB'!$C:$C = AH23) * 
        ('アイテム別限界値DB'!$F:$F = AI23), 
        0
      )
    ), 
    ""
  )
)
</f>
        <v/>
      </c>
      <c r="AL23" s="11"/>
      <c r="AM23" s="224"/>
      <c r="AN23" s="225"/>
      <c r="AO23" s="220" t="str">
        <f t="array" ref="AO23">IF(
  AN23 = 0, 
  "", 
  IFERROR(
    INDEX(
      'アイテム別限界値DB'!$I:$I, 
      MATCH(
        1, 
        ('アイテム別限界値DB'!$B:$B = AM$10) * 
        ('アイテム別限界値DB'!$C:$C = AM23) * 
        ('アイテム別限界値DB'!$F:$F = AN23), 
        0
      )
    ), 
    "再製作"
  )
)
</f>
        <v/>
      </c>
      <c r="AP23" s="121" t="str">
        <f t="array" ref="AP23">IF(
  AN23 = 0, 
  "", 
  IFERROR(
    INDEX(
      'アイテム別限界値DB'!$L:$L, 
      MATCH(
        1, 
        ('アイテム別限界値DB'!$B:$B = AM$10) * 
        ('アイテム別限界値DB'!$C:$C = AM23) * 
        ('アイテム別限界値DB'!$F:$F = AN23), 
        0
      )
    ), 
    ""
  )
)
</f>
        <v/>
      </c>
      <c r="AQ23" s="11"/>
      <c r="AR23" s="224"/>
      <c r="AS23" s="225"/>
      <c r="AT23" s="220" t="str">
        <f t="array" ref="AT23">IF(
  AS23 = 0, 
  "", 
  IFERROR(
    INDEX(
      'アイテム別限界値DB'!$I:$I, 
      MATCH(
        1, 
        ('アイテム別限界値DB'!$B:$B = AR$10) * 
        ('アイテム別限界値DB'!$C:$C = AR23) * 
        ('アイテム別限界値DB'!$F:$F = AS23), 
        0
      )
    ), 
    "再製作"
  )
)
</f>
        <v/>
      </c>
      <c r="AU23" s="121" t="str">
        <f t="array" ref="AU23">IF(
  AS23 = 0, 
  "", 
  IFERROR(
    INDEX(
      'アイテム別限界値DB'!$L:$L, 
      MATCH(
        1, 
        ('アイテム別限界値DB'!$B:$B = AR$10) * 
        ('アイテム別限界値DB'!$C:$C = AR23) * 
        ('アイテム別限界値DB'!$F:$F = AS23), 
        0
      )
    ), 
    ""
  )
)
</f>
        <v/>
      </c>
      <c r="AV23" s="121"/>
      <c r="AW23" s="224"/>
      <c r="AX23" s="225"/>
      <c r="AY23" s="220" t="str">
        <f t="array" ref="AY23">IF(
  AX23 = 0, 
  "", 
  IFERROR(
    INDEX(
      'アイテム別限界値DB'!$I:$I, 
      MATCH(
        1, 
        ('アイテム別限界値DB'!$B:$B = AW$10) * 
        ('アイテム別限界値DB'!$C:$C = AW23) * 
        ('アイテム別限界値DB'!$F:$F = AX23), 
        0
      )
    ), 
    "再製作"
  )
)
</f>
        <v/>
      </c>
      <c r="AZ23" s="121" t="str">
        <f t="array" ref="AZ23">IF(
  AX23 = 0, 
  "", 
  IFERROR(
    INDEX(
      'アイテム別限界値DB'!$L:$L, 
      MATCH(
        1, 
        ('アイテム別限界値DB'!$B:$B = AW$10) * 
        ('アイテム別限界値DB'!$C:$C = AW23) * 
        ('アイテム別限界値DB'!$F:$F = AX23), 
        0
      )
    ), 
    ""
  )
)
</f>
        <v/>
      </c>
      <c r="BA23" s="121"/>
      <c r="BB23" s="224"/>
      <c r="BC23" s="225"/>
      <c r="BD23" s="220" t="str">
        <f t="array" ref="BD23">IF(
  BC23 = 0, 
  "", 
  IFERROR(
    INDEX(
      'アイテム別限界値DB'!$I:$I, 
      MATCH(
        1, 
        ('アイテム別限界値DB'!$B:$B = BB$10) * 
        ('アイテム別限界値DB'!$C:$C = BB23) * 
        ('アイテム別限界値DB'!$F:$F = BC23), 
        0
      )
    ), 
    "再製作"
  )
)
</f>
        <v/>
      </c>
      <c r="BE23" s="121" t="str">
        <f t="array" ref="BE23">IF(
  BC23 = 0, 
  "", 
  IFERROR(
    INDEX(
      'アイテム別限界値DB'!$L:$L, 
      MATCH(
        1, 
        ('アイテム別限界値DB'!$B:$B = BB$10) * 
        ('アイテム別限界値DB'!$C:$C = BB23) * 
        ('アイテム別限界値DB'!$F:$F = BC23), 
        0
      )
    ), 
    ""
  )
)
</f>
        <v/>
      </c>
      <c r="BF23" s="121"/>
      <c r="BG23" s="224"/>
      <c r="BH23" s="225"/>
      <c r="BI23" s="220" t="str">
        <f t="array" ref="BI23">IF(
  BH23 = 0, 
  "", 
  IFERROR(
    INDEX(
      'アイテム別限界値DB'!$I:$I, 
      MATCH(
        1, 
        ('アイテム別限界値DB'!$B:$B = BG$10) * 
        ('アイテム別限界値DB'!$C:$C = BG23) * 
        ('アイテム別限界値DB'!$F:$F = BH23), 
        0
      )
    ), 
    "再製作"
  )
)
</f>
        <v/>
      </c>
      <c r="BJ23" s="121" t="str">
        <f t="array" ref="BJ23">IF(
  BH23 = 0, 
  "", 
  IFERROR(
    INDEX(
      'アイテム別限界値DB'!$L:$L, 
      MATCH(
        1, 
        ('アイテム別限界値DB'!$B:$B = BG$10) * 
        ('アイテム別限界値DB'!$C:$C = BG23) * 
        ('アイテム別限界値DB'!$F:$F = BH23), 
        0
      )
    ), 
    ""
  )
)
</f>
        <v/>
      </c>
      <c r="BK23" s="121"/>
      <c r="BL23" s="224" t="s">
        <v>62</v>
      </c>
      <c r="BM23" s="232"/>
      <c r="BN23" s="231" t="str">
        <f t="array" ref="BN23">IF(
  BM23 = 0, 
  "", 
  IFERROR(
    INDEX(
      'アイテム別限界値DB'!$K:$K, 
      MATCH(
        1, 
        ('アイテム別限界値DB'!$B:$B = BL$10) * 
        ('アイテム別限界値DB'!$F:$F = BL23) * 
        ('アイテム別限界値DB'!$H:$H = BM23), 
        0
      )
    ), 
    "再製作"
  )
)
</f>
        <v/>
      </c>
      <c r="BO23" s="218" t="str">
        <f t="array" ref="BO23">IF(
  BM23 = 0, 
  "", 
  IFERROR(
    INDEX(
      'アイテム別限界値DB'!$L:$L, 
      MATCH(
        1, 
        ('アイテム別限界値DB'!$B:$B = BL$10) * 
        ('アイテム別限界値DB'!$C:$C = BL23) * 
        ('アイテム別限界値DB'!$F:$F = BM23), 
        0
      )
    ), 
    ""
  )
)
</f>
        <v/>
      </c>
      <c r="BP23" s="195"/>
    </row>
    <row r="24" ht="18.75" customHeight="1">
      <c r="A24" s="228" t="str">
        <f>IF($N$11="再製作", "◼︎ ベスト（対応着地：再製作）" &amp; char(10) &amp; "《修正数値》", IF($N$11&lt;&gt;"", "◼︎ ベスト（対応着地：お直し）" &amp; char(10) &amp; "《修正数値》", ""))</f>
        <v/>
      </c>
      <c r="B24" s="229"/>
      <c r="C24" s="224"/>
      <c r="D24" s="239" t="s">
        <v>94</v>
      </c>
      <c r="E24" s="232"/>
      <c r="F24" s="231" t="str">
        <f t="array" ref="F24">IF(
  E24 = 0, 
  "", 
  IFERROR(
    INDEX(
      'アイテム別限界値DB'!$K:$K, 
      MATCH(
        1, 
        ('アイテム別限界値DB'!$B:$B = D$10) * 
        ('アイテム別限界値DB'!$F:$F = D24) * 
        ('アイテム別限界値DB'!$H:$H = E24), 
        0
      )
    ), 
    "再製作"
  )
)
</f>
        <v/>
      </c>
      <c r="G24" s="218" t="str">
        <f t="array" ref="G24">IF(
  E24 = 0, 
  "", 
  IFERROR(
    INDEX(
      'アイテム別限界値DB'!$L:$L, 
      MATCH(
        1, 
        ('アイテム別限界値DB'!$B:$B = D$10) * 
        ('アイテム別限界値DB'!$C:$C = D24) * 
        ('アイテム別限界値DB'!$F:$F = E24), 
        0
      )
    ), 
    ""
  )
)
</f>
        <v/>
      </c>
      <c r="H24" s="12"/>
      <c r="I24" s="239" t="s">
        <v>95</v>
      </c>
      <c r="J24" s="232"/>
      <c r="K24" s="231" t="str">
        <f t="array" ref="K24">IF(
  J24 = 0, 
  "", 
  IFERROR(
    INDEX(
      'アイテム別限界値DB'!$K:$K, 
      MATCH(
        1, 
        ('アイテム別限界値DB'!$B:$B = I$10) * 
        ('アイテム別限界値DB'!$F:$F = I24) * 
        ('アイテム別限界値DB'!$H:$H = J24), 
        0
      )
    ), 
    "再製作"
  )
)
</f>
        <v/>
      </c>
      <c r="L24" s="218" t="str">
        <f t="array" ref="L24">IF(
  J24 = 0, 
  "", 
  IFERROR(
    INDEX(
      'アイテム別限界値DB'!$L:$L, 
      MATCH(
        1, 
        ('アイテム別限界値DB'!$B:$B = I$10) * 
        ('アイテム別限界値DB'!$C:$C = I24) * 
        ('アイテム別限界値DB'!$F:$F = J24), 
        0
      )
    ), 
    ""
  )
)
</f>
        <v/>
      </c>
      <c r="M24" s="11"/>
      <c r="N24" s="224"/>
      <c r="O24" s="220"/>
      <c r="P24" s="220" t="str">
        <f t="array" ref="P24">IF(
  O24 = 0, 
  "", 
  IFERROR(
    INDEX(
      'アイテム別限界値DB'!$I:$I, 
      MATCH(
        1, 
        ('アイテム別限界値DB'!$B:$B = N$10) * 
        ('アイテム別限界値DB'!$C:$C = N24) * 
        ('アイテム別限界値DB'!$F:$F = O24), 
        0
      )
    ), 
    "再製作"
  )
)
</f>
        <v/>
      </c>
      <c r="Q24" s="121" t="str">
        <f t="array" ref="Q24">IF(
  O24 = 0, 
  "", 
  IFERROR(
    INDEX(
      'アイテム別限界値DB'!$L:$L, 
      MATCH(
        1, 
        ('アイテム別限界値DB'!$B:$B = N$10) * 
        ('アイテム別限界値DB'!$C:$C = N24) * 
        ('アイテム別限界値DB'!$F:$F = O24), 
        0
      )
    ), 
    ""
  )
)
</f>
        <v/>
      </c>
      <c r="R24" s="11"/>
      <c r="S24" s="239" t="s">
        <v>96</v>
      </c>
      <c r="T24" s="230"/>
      <c r="U24" s="231" t="str">
        <f t="array" ref="U24">IF(
  T24 = 0, 
  "", 
  IFERROR(
    INDEX(
      'アイテム別限界値DB'!$K:$K, 
      MATCH(
        1, 
        ('アイテム別限界値DB'!$B:$B = S$10) * 
        ('アイテム別限界値DB'!$F:$F = S24) * 
        ('アイテム別限界値DB'!$H:$H = T24), 
        0
      )
    ), 
    "再製作"
  )
)
</f>
        <v/>
      </c>
      <c r="V24" s="218" t="str">
        <f t="array" ref="V24">IF(
  T24 = 0, 
  "", 
  IFERROR(
    INDEX(
      'アイテム別限界値DB'!$L:$L, 
      MATCH(
        1, 
        ('アイテム別限界値DB'!$B:$B = S$10) * 
        ('アイテム別限界値DB'!$C:$C = S24) * 
        ('アイテム別限界値DB'!$F:$F = T24), 
        0
      )
    ), 
    ""
  )
)
</f>
        <v/>
      </c>
      <c r="W24" s="11"/>
      <c r="X24" s="239" t="s">
        <v>97</v>
      </c>
      <c r="Y24" s="232"/>
      <c r="Z24" s="231" t="str">
        <f t="array" ref="Z24">IF(
  Y24 = 0, 
  "", 
  IFERROR(
    INDEX(
      'アイテム別限界値DB'!$K:$K, 
      MATCH(
        1, 
        ('アイテム別限界値DB'!$B:$B = X$10) * 
        ('アイテム別限界値DB'!$F:$F = X24) * 
        ('アイテム別限界値DB'!$H:$H = Y24), 
        0
      )
    ), 
    "再製作"
  )
)
</f>
        <v/>
      </c>
      <c r="AA24" s="218" t="str">
        <f t="array" ref="AA24">IF(
  Y24 = 0, 
  "", 
  IFERROR(
    INDEX(
      'アイテム別限界値DB'!$L:$L, 
      MATCH(
        1, 
        ('アイテム別限界値DB'!$B:$B = X$10) * 
        ('アイテム別限界値DB'!$C:$C = X24) * 
        ('アイテム別限界値DB'!$F:$F = Y24), 
        0
      )
    ), 
    ""
  )
)
</f>
        <v/>
      </c>
      <c r="AB24" s="11"/>
      <c r="AC24" s="239" t="s">
        <v>62</v>
      </c>
      <c r="AD24" s="232"/>
      <c r="AE24" s="231" t="str">
        <f t="array" ref="AE24">IF(
  AD24 = 0, 
  "", 
  IFERROR(
    INDEX(
      'アイテム別限界値DB'!$K:$K, 
      MATCH(
        1, 
        ('アイテム別限界値DB'!$B:$B = AC$10) * 
        ('アイテム別限界値DB'!$F:$F = AC24) * 
        ('アイテム別限界値DB'!$H:$H = AD24), 
        0
      )
    ), 
    "再製作"
  )
)
</f>
        <v/>
      </c>
      <c r="AF24" s="218" t="str">
        <f t="array" ref="AF24">IF(
  AD24 = 0, 
  "", 
  IFERROR(
    INDEX(
      'アイテム別限界値DB'!$L:$L, 
      MATCH(
        1, 
        ('アイテム別限界値DB'!$B:$B = AC$10) * 
        ('アイテム別限界値DB'!$C:$C = AC24) * 
        ('アイテム別限界値DB'!$F:$F = AD24), 
        0
      )
    ), 
    ""
  )
)
</f>
        <v/>
      </c>
      <c r="AG24" s="11"/>
      <c r="AH24" s="224"/>
      <c r="AI24" s="225"/>
      <c r="AJ24" s="220" t="str">
        <f t="array" ref="AJ24">IF(
  AI24 = 0, 
  "", 
  IFERROR(
    INDEX(
      'アイテム別限界値DB'!$I:$I, 
      MATCH(
        1, 
        ('アイテム別限界値DB'!$B:$B = AH$10) * 
        ('アイテム別限界値DB'!$C:$C = AH24) * 
        ('アイテム別限界値DB'!$F:$F = AI24), 
        0
      )
    ), 
    "再製作"
  )
)
</f>
        <v/>
      </c>
      <c r="AK24" s="121" t="str">
        <f t="array" ref="AK24">IF(
  AI24 = 0, 
  "", 
  IFERROR(
    INDEX(
      'アイテム別限界値DB'!$L:$L, 
      MATCH(
        1, 
        ('アイテム別限界値DB'!$B:$B = AH$10) * 
        ('アイテム別限界値DB'!$C:$C = AH24) * 
        ('アイテム別限界値DB'!$F:$F = AI24), 
        0
      )
    ), 
    ""
  )
)
</f>
        <v/>
      </c>
      <c r="AL24" s="11"/>
      <c r="AM24" s="224"/>
      <c r="AN24" s="225"/>
      <c r="AO24" s="220" t="str">
        <f t="array" ref="AO24">IF(
  AN24 = 0, 
  "", 
  IFERROR(
    INDEX(
      'アイテム別限界値DB'!$I:$I, 
      MATCH(
        1, 
        ('アイテム別限界値DB'!$B:$B = AM$10) * 
        ('アイテム別限界値DB'!$C:$C = AM24) * 
        ('アイテム別限界値DB'!$F:$F = AN24), 
        0
      )
    ), 
    "再製作"
  )
)
</f>
        <v/>
      </c>
      <c r="AP24" s="121" t="str">
        <f t="array" ref="AP24">IF(
  AN24 = 0, 
  "", 
  IFERROR(
    INDEX(
      'アイテム別限界値DB'!$L:$L, 
      MATCH(
        1, 
        ('アイテム別限界値DB'!$B:$B = AM$10) * 
        ('アイテム別限界値DB'!$C:$C = AM24) * 
        ('アイテム別限界値DB'!$F:$F = AN24), 
        0
      )
    ), 
    ""
  )
)
</f>
        <v/>
      </c>
      <c r="AQ24" s="11"/>
      <c r="AR24" s="224"/>
      <c r="AS24" s="225"/>
      <c r="AT24" s="220" t="str">
        <f t="array" ref="AT24">IF(
  AS24 = 0, 
  "", 
  IFERROR(
    INDEX(
      'アイテム別限界値DB'!$I:$I, 
      MATCH(
        1, 
        ('アイテム別限界値DB'!$B:$B = AR$10) * 
        ('アイテム別限界値DB'!$C:$C = AR24) * 
        ('アイテム別限界値DB'!$F:$F = AS24), 
        0
      )
    ), 
    "再製作"
  )
)
</f>
        <v/>
      </c>
      <c r="AU24" s="121" t="str">
        <f t="array" ref="AU24">IF(
  AS24 = 0, 
  "", 
  IFERROR(
    INDEX(
      'アイテム別限界値DB'!$L:$L, 
      MATCH(
        1, 
        ('アイテム別限界値DB'!$B:$B = AR$10) * 
        ('アイテム別限界値DB'!$C:$C = AR24) * 
        ('アイテム別限界値DB'!$F:$F = AS24), 
        0
      )
    ), 
    ""
  )
)
</f>
        <v/>
      </c>
      <c r="AV24" s="121"/>
      <c r="AW24" s="224"/>
      <c r="AX24" s="225"/>
      <c r="AY24" s="220" t="str">
        <f t="array" ref="AY24">IF(
  AX24 = 0, 
  "", 
  IFERROR(
    INDEX(
      'アイテム別限界値DB'!$I:$I, 
      MATCH(
        1, 
        ('アイテム別限界値DB'!$B:$B = AW$10) * 
        ('アイテム別限界値DB'!$C:$C = AW24) * 
        ('アイテム別限界値DB'!$F:$F = AX24), 
        0
      )
    ), 
    "再製作"
  )
)
</f>
        <v/>
      </c>
      <c r="AZ24" s="121" t="str">
        <f t="array" ref="AZ24">IF(
  AX24 = 0, 
  "", 
  IFERROR(
    INDEX(
      'アイテム別限界値DB'!$L:$L, 
      MATCH(
        1, 
        ('アイテム別限界値DB'!$B:$B = AW$10) * 
        ('アイテム別限界値DB'!$C:$C = AW24) * 
        ('アイテム別限界値DB'!$F:$F = AX24), 
        0
      )
    ), 
    ""
  )
)
</f>
        <v/>
      </c>
      <c r="BA24" s="121"/>
      <c r="BB24" s="224"/>
      <c r="BC24" s="225"/>
      <c r="BD24" s="220" t="str">
        <f t="array" ref="BD24">IF(
  BC24 = 0, 
  "", 
  IFERROR(
    INDEX(
      'アイテム別限界値DB'!$I:$I, 
      MATCH(
        1, 
        ('アイテム別限界値DB'!$B:$B = BB$10) * 
        ('アイテム別限界値DB'!$C:$C = BB24) * 
        ('アイテム別限界値DB'!$F:$F = BC24), 
        0
      )
    ), 
    "再製作"
  )
)
</f>
        <v/>
      </c>
      <c r="BE24" s="121" t="str">
        <f t="array" ref="BE24">IF(
  BC24 = 0, 
  "", 
  IFERROR(
    INDEX(
      'アイテム別限界値DB'!$L:$L, 
      MATCH(
        1, 
        ('アイテム別限界値DB'!$B:$B = BB$10) * 
        ('アイテム別限界値DB'!$C:$C = BB24) * 
        ('アイテム別限界値DB'!$F:$F = BC24), 
        0
      )
    ), 
    ""
  )
)
</f>
        <v/>
      </c>
      <c r="BF24" s="121"/>
      <c r="BG24" s="224"/>
      <c r="BH24" s="225"/>
      <c r="BI24" s="220" t="str">
        <f t="array" ref="BI24">IF(
  BH24 = 0, 
  "", 
  IFERROR(
    INDEX(
      'アイテム別限界値DB'!$I:$I, 
      MATCH(
        1, 
        ('アイテム別限界値DB'!$B:$B = BG$10) * 
        ('アイテム別限界値DB'!$C:$C = BG24) * 
        ('アイテム別限界値DB'!$F:$F = BH24), 
        0
      )
    ), 
    "再製作"
  )
)
</f>
        <v/>
      </c>
      <c r="BJ24" s="121" t="str">
        <f t="array" ref="BJ24">IF(
  BH24 = 0, 
  "", 
  IFERROR(
    INDEX(
      'アイテム別限界値DB'!$L:$L, 
      MATCH(
        1, 
        ('アイテム別限界値DB'!$B:$B = BG$10) * 
        ('アイテム別限界値DB'!$C:$C = BG24) * 
        ('アイテム別限界値DB'!$F:$F = BH24), 
        0
      )
    ), 
    ""
  )
)
</f>
        <v/>
      </c>
      <c r="BK24" s="121"/>
      <c r="BL24" s="224"/>
      <c r="BM24" s="225"/>
      <c r="BN24" s="220" t="str">
        <f t="array" ref="BN24">IF(
  BM24 = 0, 
  "", 
  IFERROR(
    INDEX(
      'アイテム別限界値DB'!$I:$I, 
      MATCH(
        1, 
        ('アイテム別限界値DB'!$B:$B = BL$10) * 
        ('アイテム別限界値DB'!$C:$C = BL24) * 
        ('アイテム別限界値DB'!$F:$F = BM24), 
        0
      )
    ), 
    "再製作"
  )
)
</f>
        <v/>
      </c>
      <c r="BO24" s="121" t="str">
        <f t="array" ref="BO24">IF(
  BM24 = 0, 
  "", 
  IFERROR(
    INDEX(
      'アイテム別限界値DB'!$L:$L, 
      MATCH(
        1, 
        ('アイテム別限界値DB'!$B:$B = BL$10) * 
        ('アイテム別限界値DB'!$C:$C = BL24) * 
        ('アイテム別限界値DB'!$F:$F = BM24), 
        0
      )
    ), 
    ""
  )
)
</f>
        <v/>
      </c>
      <c r="BP24" s="195"/>
    </row>
    <row r="25" ht="18.75" customHeight="1">
      <c r="A25" s="228" t="str">
        <f>IFERROR(__xludf.DUMMYFUNCTION("TEXTJOIN(CHAR(10),TRUE,FILTER(ARRAYFORMULA(IF(O$14:O72&lt;&gt;"""",N$14:N72 &amp;"" : ""&amp; O$14:O72 &amp;"" cm"","""")), N$14:N72 &lt;&gt;""""))"),"")</f>
        <v/>
      </c>
      <c r="B25" s="224"/>
      <c r="C25" s="224"/>
      <c r="D25" s="239" t="s">
        <v>98</v>
      </c>
      <c r="E25" s="232"/>
      <c r="F25" s="231" t="str">
        <f t="array" ref="F25">IF(
  E25 = 0, 
  "", 
  IFERROR(
    INDEX(
      'アイテム別限界値DB'!$K:$K, 
      MATCH(
        1, 
        ('アイテム別限界値DB'!$B:$B = D$10) * 
        ('アイテム別限界値DB'!$F:$F = D25) * 
        ('アイテム別限界値DB'!$H:$H = E25), 
        0
      )
    ), 
    "再製作"
  )
)
</f>
        <v/>
      </c>
      <c r="G25" s="218" t="str">
        <f t="array" ref="G25">IF(
  E25 = 0, 
  "", 
  IFERROR(
    INDEX(
      'アイテム別限界値DB'!$L:$L, 
      MATCH(
        1, 
        ('アイテム別限界値DB'!$B:$B = D$10) * 
        ('アイテム別限界値DB'!$C:$C = D25) * 
        ('アイテム別限界値DB'!$F:$F = E25), 
        0
      )
    ), 
    ""
  )
)
</f>
        <v/>
      </c>
      <c r="H25" s="12"/>
      <c r="I25" s="224" t="s">
        <v>99</v>
      </c>
      <c r="J25" s="230"/>
      <c r="K25" s="231" t="str">
        <f t="array" ref="K25">IF(
  J25 = 0, 
  "", 
  IFERROR(
    INDEX(
      'アイテム別限界値DB'!$K:$K, 
      MATCH(
        1, 
        ('アイテム別限界値DB'!$B:$B = I$10) * 
        ('アイテム別限界値DB'!$F:$F = I25) * 
        ('アイテム別限界値DB'!$H:$H = J25), 
        0
      )
    ), 
    "再製作"
  )
)
</f>
        <v/>
      </c>
      <c r="L25" s="195"/>
      <c r="M25" s="11"/>
      <c r="N25" s="11"/>
      <c r="O25" s="220"/>
      <c r="P25" s="184"/>
      <c r="Q25" s="11"/>
      <c r="R25" s="11"/>
      <c r="S25" s="186" t="s">
        <v>100</v>
      </c>
      <c r="T25" s="232"/>
      <c r="U25" s="231" t="str">
        <f t="array" ref="U25">IF(
  T25 = 0, 
  "", 
  IFERROR(
    INDEX(
      'アイテム別限界値DB'!$K:$K, 
      MATCH(
        1, 
        ('アイテム別限界値DB'!$B:$B = S$10) * 
        ('アイテム別限界値DB'!$F:$F = S25) * 
        ('アイテム別限界値DB'!$H:$H = T25), 
        0
      )
    ), 
    "再製作"
  )
)
</f>
        <v/>
      </c>
      <c r="V25" s="234"/>
      <c r="W25" s="11"/>
      <c r="X25" s="186" t="s">
        <v>101</v>
      </c>
      <c r="Y25" s="232"/>
      <c r="Z25" s="231" t="str">
        <f t="array" ref="Z25">IF(
  Y25 = 0, 
  "", 
  IFERROR(
    INDEX(
      'アイテム別限界値DB'!$K:$K, 
      MATCH(
        1, 
        ('アイテム別限界値DB'!$B:$B = X$10) * 
        ('アイテム別限界値DB'!$F:$F = X25) * 
        ('アイテム別限界値DB'!$H:$H = Y25), 
        0
      )
    ), 
    "再製作"
  )
)
</f>
        <v/>
      </c>
      <c r="AA25" s="218" t="str">
        <f t="array" ref="AA25">IF(
  Y25 = 0, 
  "", 
  IFERROR(
    INDEX(
      'アイテム別限界値DB'!$L:$L, 
      MATCH(
        1, 
        ('アイテム別限界値DB'!$B:$B = X$10) * 
        ('アイテム別限界値DB'!$C:$C = X25) * 
        ('アイテム別限界値DB'!$F:$F = Y25), 
        0
      )
    ), 
    ""
  )
)
</f>
        <v/>
      </c>
      <c r="AB25" s="11"/>
      <c r="AC25" s="186" t="s">
        <v>74</v>
      </c>
      <c r="AD25" s="230"/>
      <c r="AE25" s="231" t="str">
        <f t="array" ref="AE25">IF(
  AD25 = 0, 
  "", 
  IFERROR(
    INDEX(
      'アイテム別限界値DB'!$K:$K, 
      MATCH(
        1, 
        ('アイテム別限界値DB'!$B:$B = AC$10) * 
        ('アイテム別限界値DB'!$F:$F = AC25) * 
        ('アイテム別限界値DB'!$H:$H = AD25), 
        0
      )
    ), 
    "再製作"
  )
)
</f>
        <v/>
      </c>
      <c r="AF25" s="218" t="str">
        <f t="array" ref="AF25">IF(
  AD25 = 0, 
  "", 
  IFERROR(
    INDEX(
      'アイテム別限界値DB'!$L:$L, 
      MATCH(
        1, 
        ('アイテム別限界値DB'!$B:$B = AC$10) * 
        ('アイテム別限界値DB'!$C:$C = AC25) * 
        ('アイテム別限界値DB'!$F:$F = AD25), 
        0
      )
    ), 
    ""
  )
)
</f>
        <v/>
      </c>
      <c r="AG25" s="11"/>
      <c r="AH25" s="12"/>
      <c r="AI25" s="220"/>
      <c r="AJ25" s="220" t="str">
        <f t="array" ref="AJ25">IF(
  AI25 = 0, 
  "", 
  IFERROR(
    INDEX(
      'アイテム別限界値DB'!$I:$I, 
      MATCH(
        1, 
        ('アイテム別限界値DB'!$B:$B = AH$10) * 
        ('アイテム別限界値DB'!$C:$C = AH25) * 
        ('アイテム別限界値DB'!$F:$F = AI25), 
        0
      )
    ), 
    "再製作"
  )
)
</f>
        <v/>
      </c>
      <c r="AK25" s="195"/>
      <c r="AL25" s="11"/>
      <c r="AM25" s="12"/>
      <c r="AN25" s="220"/>
      <c r="AO25" s="220" t="str">
        <f t="array" ref="AO25">IF(
  AN25 = 0, 
  "", 
  IFERROR(
    INDEX(
      'アイテム別限界値DB'!$I:$I, 
      MATCH(
        1, 
        ('アイテム別限界値DB'!$B:$B = AM$10) * 
        ('アイテム別限界値DB'!$C:$C = AM25) * 
        ('アイテム別限界値DB'!$F:$F = AN25), 
        0
      )
    ), 
    "再製作"
  )
)
</f>
        <v/>
      </c>
      <c r="AP25" s="195"/>
      <c r="AQ25" s="11"/>
      <c r="AR25" s="12"/>
      <c r="AS25" s="220"/>
      <c r="AT25" s="220" t="str">
        <f t="array" ref="AT25">IF(
  AS25 = 0, 
  "", 
  IFERROR(
    INDEX(
      'アイテム別限界値DB'!$I:$I, 
      MATCH(
        1, 
        ('アイテム別限界値DB'!$B:$B = AR$10) * 
        ('アイテム別限界値DB'!$C:$C = AR25) * 
        ('アイテム別限界値DB'!$F:$F = AS25), 
        0
      )
    ), 
    "再製作"
  )
)
</f>
        <v/>
      </c>
      <c r="AU25" s="195"/>
      <c r="AV25" s="195"/>
      <c r="AW25" s="12"/>
      <c r="AX25" s="220"/>
      <c r="AY25" s="220" t="str">
        <f t="array" ref="AY25">IF(
  AX25 = 0, 
  "", 
  IFERROR(
    INDEX(
      'アイテム別限界値DB'!$I:$I, 
      MATCH(
        1, 
        ('アイテム別限界値DB'!$B:$B = AW$10) * 
        ('アイテム別限界値DB'!$C:$C = AW25) * 
        ('アイテム別限界値DB'!$F:$F = AX25), 
        0
      )
    ), 
    "再製作"
  )
)
</f>
        <v/>
      </c>
      <c r="AZ25" s="195"/>
      <c r="BA25" s="195"/>
      <c r="BB25" s="12"/>
      <c r="BC25" s="220"/>
      <c r="BD25" s="220" t="str">
        <f t="array" ref="BD25">IF(
  BC25 = 0, 
  "", 
  IFERROR(
    INDEX(
      'アイテム別限界値DB'!$I:$I, 
      MATCH(
        1, 
        ('アイテム別限界値DB'!$B:$B = BB$10) * 
        ('アイテム別限界値DB'!$C:$C = BB25) * 
        ('アイテム別限界値DB'!$F:$F = BC25), 
        0
      )
    ), 
    "再製作"
  )
)
</f>
        <v/>
      </c>
      <c r="BE25" s="195"/>
      <c r="BF25" s="195"/>
      <c r="BG25" s="12"/>
      <c r="BH25" s="220"/>
      <c r="BI25" s="220" t="str">
        <f t="array" ref="BI25">IF(
  BH25 = 0, 
  "", 
  IFERROR(
    INDEX(
      'アイテム別限界値DB'!$I:$I, 
      MATCH(
        1, 
        ('アイテム別限界値DB'!$B:$B = BG$10) * 
        ('アイテム別限界値DB'!$C:$C = BG25) * 
        ('アイテム別限界値DB'!$F:$F = BH25), 
        0
      )
    ), 
    "再製作"
  )
)
</f>
        <v/>
      </c>
      <c r="BJ25" s="195"/>
      <c r="BK25" s="195"/>
      <c r="BL25" s="195"/>
      <c r="BM25" s="220"/>
      <c r="BN25" s="220" t="str">
        <f t="array" ref="BN25">IF(
  BM25 = 0, 
  "", 
  IFERROR(
    INDEX(
      'アイテム別限界値DB'!$I:$I, 
      MATCH(
        1, 
        ('アイテム別限界値DB'!$B:$B = BL$10) * 
        ('アイテム別限界値DB'!$C:$C = BL25) * 
        ('アイテム別限界値DB'!$F:$F = BM25), 
        0
      )
    ), 
    "再製作"
  )
)
</f>
        <v/>
      </c>
      <c r="BO25" s="195"/>
      <c r="BP25" s="195"/>
    </row>
    <row r="26" ht="18.75" customHeight="1">
      <c r="A26" s="236" t="str">
        <f>if($A$24&lt;&gt;"", "《仕上がり数値》","")</f>
        <v/>
      </c>
      <c r="B26" s="229"/>
      <c r="C26" s="224"/>
      <c r="D26" s="239" t="s">
        <v>74</v>
      </c>
      <c r="E26" s="232"/>
      <c r="F26" s="231" t="str">
        <f t="array" ref="F26">IF(
  E26 = 0, 
  "", 
  IFERROR(
    INDEX(
      'アイテム別限界値DB'!$K:$K, 
      MATCH(
        1, 
        ('アイテム別限界値DB'!$B:$B = D$10) * 
        ('アイテム別限界値DB'!$F:$F = D26) * 
        ('アイテム別限界値DB'!$H:$H = E26), 
        0
      )
    ), 
    "再製作"
  )
)
</f>
        <v/>
      </c>
      <c r="G26" s="218" t="str">
        <f t="array" ref="G26">IF(
  E26 = 0, 
  "", 
  IFERROR(
    INDEX(
      'アイテム別限界値DB'!$L:$L, 
      MATCH(
        1, 
        ('アイテム別限界値DB'!$B:$B = D$10) * 
        ('アイテム別限界値DB'!$C:$C = D26) * 
        ('アイテム別限界値DB'!$F:$F = E26), 
        0
      )
    ), 
    ""
  )
)
</f>
        <v/>
      </c>
      <c r="H26" s="12"/>
      <c r="I26" s="11" t="s">
        <v>100</v>
      </c>
      <c r="J26" s="230"/>
      <c r="K26" s="231" t="str">
        <f t="array" ref="K26">IF(
  J26 = 0, 
  "", 
  IFERROR(
    INDEX(
      'アイテム別限界値DB'!$K:$K, 
      MATCH(
        1, 
        ('アイテム別限界値DB'!$B:$B = I$10) * 
        ('アイテム別限界値DB'!$F:$F = I26) * 
        ('アイテム別限界値DB'!$H:$H = J26), 
        0
      )
    ), 
    "再製作"
  )
)
</f>
        <v/>
      </c>
      <c r="L26" s="195"/>
      <c r="M26" s="11"/>
      <c r="N26" s="11"/>
      <c r="O26" s="220"/>
      <c r="P26" s="184"/>
      <c r="Q26" s="11"/>
      <c r="R26" s="11"/>
      <c r="S26" s="12" t="s">
        <v>95</v>
      </c>
      <c r="T26" s="232"/>
      <c r="U26" s="231" t="str">
        <f t="array" ref="U26">IF(
  T26 = 0, 
  "", 
  IFERROR(
    INDEX(
      'アイテム別限界値DB'!$K:$K, 
      MATCH(
        1, 
        ('アイテム別限界値DB'!$B:$B = S$10) * 
        ('アイテム別限界値DB'!$F:$F = S26) * 
        ('アイテム別限界値DB'!$H:$H = T26), 
        0
      )
    ), 
    "再製作"
  )
)
</f>
        <v/>
      </c>
      <c r="V26" s="195"/>
      <c r="W26" s="11"/>
      <c r="X26" s="186" t="s">
        <v>62</v>
      </c>
      <c r="Y26" s="230"/>
      <c r="Z26" s="231" t="str">
        <f t="array" ref="Z26">IF(
  Y26 = 0, 
  "", 
  IFERROR(
    INDEX(
      'アイテム別限界値DB'!$K:$K, 
      MATCH(
        1, 
        ('アイテム別限界値DB'!$B:$B = X$10) * 
        ('アイテム別限界値DB'!$F:$F = X26) * 
        ('アイテム別限界値DB'!$H:$H = Y26), 
        0
      )
    ), 
    "再製作"
  )
)
</f>
        <v/>
      </c>
      <c r="AA26" s="218" t="str">
        <f t="array" ref="AA26">IF(
  Y26 = 0, 
  "", 
  IFERROR(
    INDEX(
      'アイテム別限界値DB'!$L:$L, 
      MATCH(
        1, 
        ('アイテム別限界値DB'!$B:$B = X$10) * 
        ('アイテム別限界値DB'!$C:$C = X26) * 
        ('アイテム別限界値DB'!$F:$F = Y26), 
        0
      )
    ), 
    ""
  )
)
</f>
        <v/>
      </c>
      <c r="AB26" s="11"/>
      <c r="AC26" s="186" t="s">
        <v>67</v>
      </c>
      <c r="AD26" s="232"/>
      <c r="AE26" s="231" t="str">
        <f t="array" ref="AE26">IF(
  AD26 = 0, 
  "", 
  IFERROR(
    INDEX(
      'アイテム別限界値DB'!$K:$K, 
      MATCH(
        1, 
        ('アイテム別限界値DB'!$B:$B = AC$10) * 
        ('アイテム別限界値DB'!$F:$F = AC26) * 
        ('アイテム別限界値DB'!$H:$H = AD26), 
        0
      )
    ), 
    "再製作"
  )
)
</f>
        <v/>
      </c>
      <c r="AF26" s="218" t="str">
        <f t="array" ref="AF26">IF(
  AD26 = 0, 
  "", 
  IFERROR(
    INDEX(
      'アイテム別限界値DB'!$L:$L, 
      MATCH(
        1, 
        ('アイテム別限界値DB'!$B:$B = AC$10) * 
        ('アイテム別限界値DB'!$C:$C = AC26) * 
        ('アイテム別限界値DB'!$F:$F = AD26), 
        0
      )
    ), 
    ""
  )
)
</f>
        <v/>
      </c>
      <c r="AG26" s="11"/>
      <c r="AH26" s="12"/>
      <c r="AI26" s="220"/>
      <c r="AJ26" s="220" t="str">
        <f t="array" ref="AJ26">IF(
  AI26 = 0, 
  "", 
  IFERROR(
    INDEX(
      'アイテム別限界値DB'!$I:$I, 
      MATCH(
        1, 
        ('アイテム別限界値DB'!$B:$B = AH$10) * 
        ('アイテム別限界値DB'!$C:$C = AH26) * 
        ('アイテム別限界値DB'!$F:$F = AI26), 
        0
      )
    ), 
    "再製作"
  )
)
</f>
        <v/>
      </c>
      <c r="AK26" s="195"/>
      <c r="AL26" s="11"/>
      <c r="AM26" s="12"/>
      <c r="AN26" s="220"/>
      <c r="AO26" s="220" t="str">
        <f t="array" ref="AO26">IF(
  AN26 = 0, 
  "", 
  IFERROR(
    INDEX(
      'アイテム別限界値DB'!$I:$I, 
      MATCH(
        1, 
        ('アイテム別限界値DB'!$B:$B = AM$10) * 
        ('アイテム別限界値DB'!$C:$C = AM26) * 
        ('アイテム別限界値DB'!$F:$F = AN26), 
        0
      )
    ), 
    "再製作"
  )
)
</f>
        <v/>
      </c>
      <c r="AP26" s="195"/>
      <c r="AQ26" s="11"/>
      <c r="AR26" s="12"/>
      <c r="AS26" s="220"/>
      <c r="AT26" s="220" t="str">
        <f t="array" ref="AT26">IF(
  AS26 = 0, 
  "", 
  IFERROR(
    INDEX(
      'アイテム別限界値DB'!$I:$I, 
      MATCH(
        1, 
        ('アイテム別限界値DB'!$B:$B = AR$10) * 
        ('アイテム別限界値DB'!$C:$C = AR26) * 
        ('アイテム別限界値DB'!$F:$F = AS26), 
        0
      )
    ), 
    "再製作"
  )
)
</f>
        <v/>
      </c>
      <c r="AU26" s="195"/>
      <c r="AV26" s="195"/>
      <c r="AW26" s="12"/>
      <c r="AX26" s="220"/>
      <c r="AY26" s="220" t="str">
        <f t="array" ref="AY26">IF(
  AX26 = 0, 
  "", 
  IFERROR(
    INDEX(
      'アイテム別限界値DB'!$I:$I, 
      MATCH(
        1, 
        ('アイテム別限界値DB'!$B:$B = AW$10) * 
        ('アイテム別限界値DB'!$C:$C = AW26) * 
        ('アイテム別限界値DB'!$F:$F = AX26), 
        0
      )
    ), 
    "再製作"
  )
)
</f>
        <v/>
      </c>
      <c r="AZ26" s="195"/>
      <c r="BA26" s="195"/>
      <c r="BB26" s="12"/>
      <c r="BC26" s="220"/>
      <c r="BD26" s="220" t="str">
        <f t="array" ref="BD26">IF(
  BC26 = 0, 
  "", 
  IFERROR(
    INDEX(
      'アイテム別限界値DB'!$I:$I, 
      MATCH(
        1, 
        ('アイテム別限界値DB'!$B:$B = BB$10) * 
        ('アイテム別限界値DB'!$C:$C = BB26) * 
        ('アイテム別限界値DB'!$F:$F = BC26), 
        0
      )
    ), 
    "再製作"
  )
)
</f>
        <v/>
      </c>
      <c r="BE26" s="195"/>
      <c r="BF26" s="195"/>
      <c r="BG26" s="12"/>
      <c r="BH26" s="220"/>
      <c r="BI26" s="220" t="str">
        <f t="array" ref="BI26">IF(
  BH26 = 0, 
  "", 
  IFERROR(
    INDEX(
      'アイテム別限界値DB'!$I:$I, 
      MATCH(
        1, 
        ('アイテム別限界値DB'!$B:$B = BG$10) * 
        ('アイテム別限界値DB'!$C:$C = BG26) * 
        ('アイテム別限界値DB'!$F:$F = BH26), 
        0
      )
    ), 
    "再製作"
  )
)
</f>
        <v/>
      </c>
      <c r="BJ26" s="195"/>
      <c r="BK26" s="195"/>
      <c r="BL26" s="195"/>
      <c r="BM26" s="220"/>
      <c r="BN26" s="220" t="str">
        <f t="array" ref="BN26">IF(
  BM26 = 0, 
  "", 
  IFERROR(
    INDEX(
      'アイテム別限界値DB'!$I:$I, 
      MATCH(
        1, 
        ('アイテム別限界値DB'!$B:$B = BL$10) * 
        ('アイテム別限界値DB'!$C:$C = BL26) * 
        ('アイテム別限界値DB'!$F:$F = BM26), 
        0
      )
    ), 
    "再製作"
  )
)
</f>
        <v/>
      </c>
      <c r="BO26" s="195"/>
      <c r="BP26" s="195"/>
    </row>
    <row r="27" ht="18.75" customHeight="1">
      <c r="A27" s="228" t="str">
        <f>IFERROR(__xludf.DUMMYFUNCTION("TEXTJOIN(CHAR(10),TRUE,FILTER(ARRAYFORMULA(IF(O$14:O72&lt;&gt;"""",N$14:N72 &amp;"" :  cm"","""")), N$14:N72 &lt;&gt;""""))"),"")</f>
        <v/>
      </c>
      <c r="B27" s="229"/>
      <c r="C27" s="224"/>
      <c r="D27" s="239" t="s">
        <v>67</v>
      </c>
      <c r="E27" s="232"/>
      <c r="F27" s="231" t="str">
        <f t="array" ref="F27">IF(
  E27 = 0, 
  "", 
  IFERROR(
    INDEX(
      'アイテム別限界値DB'!$K:$K, 
      MATCH(
        1, 
        ('アイテム別限界値DB'!$B:$B = D$10) * 
        ('アイテム別限界値DB'!$F:$F = D27) * 
        ('アイテム別限界値DB'!$H:$H = E27), 
        0
      )
    ), 
    "再製作"
  )
)
</f>
        <v/>
      </c>
      <c r="G27" s="218" t="str">
        <f t="array" ref="G27">IF(
  E27 = 0, 
  "", 
  IFERROR(
    INDEX(
      'アイテム別限界値DB'!$L:$L, 
      MATCH(
        1, 
        ('アイテム別限界値DB'!$B:$B = D$10) * 
        ('アイテム別限界値DB'!$C:$C = D27) * 
        ('アイテム別限界値DB'!$F:$F = E27), 
        0
      )
    ), 
    ""
  )
)
</f>
        <v/>
      </c>
      <c r="H27" s="12"/>
      <c r="I27" s="11" t="s">
        <v>103</v>
      </c>
      <c r="J27" s="230"/>
      <c r="K27" s="231" t="str">
        <f t="array" ref="K27">IF(
  J27 = 0, 
  "", 
  IFERROR(
    INDEX(
      'アイテム別限界値DB'!$K:$K, 
      MATCH(
        1, 
        ('アイテム別限界値DB'!$B:$B = I$10) * 
        ('アイテム別限界値DB'!$F:$F = I27) * 
        ('アイテム別限界値DB'!$H:$H = J27), 
        0
      )
    ), 
    "再製作"
  )
)
</f>
        <v/>
      </c>
      <c r="L27" s="11"/>
      <c r="M27" s="11"/>
      <c r="N27" s="11"/>
      <c r="O27" s="220"/>
      <c r="P27" s="184"/>
      <c r="Q27" s="11"/>
      <c r="R27" s="11"/>
      <c r="S27" s="12" t="s">
        <v>99</v>
      </c>
      <c r="T27" s="232"/>
      <c r="U27" s="231" t="str">
        <f t="array" ref="U27">IF(
  T27 = 0, 
  "", 
  IFERROR(
    INDEX(
      'アイテム別限界値DB'!$K:$K, 
      MATCH(
        1, 
        ('アイテム別限界値DB'!$B:$B = S$10) * 
        ('アイテム別限界値DB'!$F:$F = S27) * 
        ('アイテム別限界値DB'!$H:$H = T27), 
        0
      )
    ), 
    "再製作"
  )
)
</f>
        <v/>
      </c>
      <c r="V27" s="12"/>
      <c r="W27" s="11"/>
      <c r="X27" s="240" t="s">
        <v>74</v>
      </c>
      <c r="Y27" s="232"/>
      <c r="Z27" s="231" t="str">
        <f t="array" ref="Z27">IF(
  Y27 = 0, 
  "", 
  IFERROR(
    INDEX(
      'アイテム別限界値DB'!$K:$K, 
      MATCH(
        1, 
        ('アイテム別限界値DB'!$B:$B = X$10) * 
        ('アイテム別限界値DB'!$F:$F = X27) * 
        ('アイテム別限界値DB'!$H:$H = Y27), 
        0
      )
    ), 
    "再製作"
  )
)
</f>
        <v/>
      </c>
      <c r="AA27" s="218" t="str">
        <f t="array" ref="AA27">IF(
  Y27 = 0, 
  "", 
  IFERROR(
    INDEX(
      'アイテム別限界値DB'!$L:$L, 
      MATCH(
        1, 
        ('アイテム別限界値DB'!$B:$B = X$10) * 
        ('アイテム別限界値DB'!$C:$C = X27) * 
        ('アイテム別限界値DB'!$F:$F = Y27), 
        0
      )
    ), 
    ""
  )
)
</f>
        <v/>
      </c>
      <c r="AB27" s="11"/>
      <c r="AC27" s="240" t="s">
        <v>79</v>
      </c>
      <c r="AD27" s="232"/>
      <c r="AE27" s="231" t="str">
        <f t="array" ref="AE27">IF(
  AD27 = 0, 
  "", 
  IFERROR(
    INDEX(
      'アイテム別限界値DB'!$K:$K, 
      MATCH(
        1, 
        ('アイテム別限界値DB'!$B:$B = AC$10) * 
        ('アイテム別限界値DB'!$F:$F = AC27) * 
        ('アイテム別限界値DB'!$H:$H = AD27), 
        0
      )
    ), 
    "再製作"
  )
)
</f>
        <v/>
      </c>
      <c r="AF27" s="218" t="str">
        <f t="array" ref="AF27">IF(
  AD27 = 0, 
  "", 
  IFERROR(
    INDEX(
      'アイテム別限界値DB'!$L:$L, 
      MATCH(
        1, 
        ('アイテム別限界値DB'!$B:$B = AC$10) * 
        ('アイテム別限界値DB'!$C:$C = AC27) * 
        ('アイテム別限界値DB'!$F:$F = AD27), 
        0
      )
    ), 
    ""
  )
)
</f>
        <v/>
      </c>
      <c r="AG27" s="11"/>
      <c r="AH27" s="11"/>
      <c r="AI27" s="220"/>
      <c r="AJ27" s="184"/>
      <c r="AK27" s="11"/>
      <c r="AL27" s="11"/>
      <c r="AM27" s="11"/>
      <c r="AN27" s="220"/>
      <c r="AO27" s="184"/>
      <c r="AP27" s="11"/>
      <c r="AQ27" s="11"/>
      <c r="AR27" s="11"/>
      <c r="AS27" s="220"/>
      <c r="AT27" s="184"/>
      <c r="AU27" s="11"/>
      <c r="AV27" s="11"/>
      <c r="AW27" s="11"/>
      <c r="AX27" s="220"/>
      <c r="AY27" s="184"/>
      <c r="AZ27" s="11"/>
      <c r="BA27" s="11"/>
      <c r="BB27" s="11"/>
      <c r="BC27" s="220"/>
      <c r="BD27" s="184"/>
      <c r="BE27" s="11"/>
      <c r="BF27" s="11"/>
      <c r="BG27" s="11"/>
      <c r="BH27" s="220"/>
      <c r="BI27" s="184"/>
      <c r="BJ27" s="11"/>
      <c r="BK27" s="11"/>
      <c r="BL27" s="11"/>
      <c r="BM27" s="220"/>
      <c r="BN27" s="184"/>
      <c r="BO27" s="11"/>
      <c r="BP27" s="11"/>
    </row>
    <row r="28" ht="15.75" customHeight="1">
      <c r="A28" s="237" t="s">
        <v>104</v>
      </c>
      <c r="B28" s="11"/>
      <c r="C28" s="11"/>
      <c r="D28" s="11" t="s">
        <v>79</v>
      </c>
      <c r="E28" s="232"/>
      <c r="F28" s="231" t="str">
        <f t="array" ref="F28">IF(
  E28 = 0, 
  "", 
  IFERROR(
    INDEX(
      'アイテム別限界値DB'!$K:$K, 
      MATCH(
        1, 
        ('アイテム別限界値DB'!$B:$B = D$10) * 
        ('アイテム別限界値DB'!$F:$F = D28) * 
        ('アイテム別限界値DB'!$H:$H = E28), 
        0
      )
    ), 
    "再製作"
  )
)
</f>
        <v/>
      </c>
      <c r="G28" s="218" t="str">
        <f t="array" ref="G28">IF(
  E28 = 0, 
  "", 
  IFERROR(
    INDEX(
      'アイテム別限界値DB'!$L:$L, 
      MATCH(
        1, 
        ('アイテム別限界値DB'!$B:$B = D$10) * 
        ('アイテム別限界値DB'!$C:$C = D28) * 
        ('アイテム別限界値DB'!$F:$F = E28), 
        0
      )
    ), 
    ""
  )
)
</f>
        <v/>
      </c>
      <c r="H28" s="11"/>
      <c r="I28" s="11"/>
      <c r="J28" s="220"/>
      <c r="K28" s="184"/>
      <c r="L28" s="11"/>
      <c r="M28" s="11"/>
      <c r="N28" s="11"/>
      <c r="O28" s="220"/>
      <c r="P28" s="184"/>
      <c r="Q28" s="11"/>
      <c r="R28" s="12"/>
      <c r="S28" s="11" t="s">
        <v>103</v>
      </c>
      <c r="T28" s="232"/>
      <c r="U28" s="231" t="str">
        <f t="array" ref="U28">IF(
  T28 = 0, 
  "", 
  IFERROR(
    INDEX(
      'アイテム別限界値DB'!$K:$K, 
      MATCH(
        1, 
        ('アイテム別限界値DB'!$B:$B = S$10) * 
        ('アイテム別限界値DB'!$F:$F = S28) * 
        ('アイテム別限界値DB'!$H:$H = T28), 
        0
      )
    ), 
    "再製作"
  )
)
</f>
        <v/>
      </c>
      <c r="V28" s="11"/>
      <c r="W28" s="11"/>
      <c r="X28" s="11" t="s">
        <v>67</v>
      </c>
      <c r="Y28" s="241"/>
      <c r="Z28" s="231" t="str">
        <f t="array" ref="Z28">IF(
  Y28 = 0, 
  "", 
  IFERROR(
    INDEX(
      'アイテム別限界値DB'!$K:$K, 
      MATCH(
        1, 
        ('アイテム別限界値DB'!$B:$B = X$10) * 
        ('アイテム別限界値DB'!$F:$F = X28) * 
        ('アイテム別限界値DB'!$H:$H = Y28), 
        0
      )
    ), 
    "再製作"
  )
)
</f>
        <v/>
      </c>
      <c r="AA28" s="218" t="str">
        <f t="array" ref="AA28">IF(
  Y28 = 0, 
  "", 
  IFERROR(
    INDEX(
      'アイテム別限界値DB'!$L:$L, 
      MATCH(
        1, 
        ('アイテム別限界値DB'!$B:$B = X$10) * 
        ('アイテム別限界値DB'!$C:$C = X28) * 
        ('アイテム別限界値DB'!$F:$F = Y28), 
        0
      )
    ), 
    ""
  )
)
</f>
        <v/>
      </c>
      <c r="AB28" s="11"/>
      <c r="AC28" s="11" t="s">
        <v>83</v>
      </c>
      <c r="AD28" s="232"/>
      <c r="AE28" s="231" t="str">
        <f t="array" ref="AE28">IF(
  AD28 = 0, 
  "", 
  IFERROR(
    INDEX(
      'アイテム別限界値DB'!$K:$K, 
      MATCH(
        1, 
        ('アイテム別限界値DB'!$B:$B = AC$10) * 
        ('アイテム別限界値DB'!$F:$F = AC28) * 
        ('アイテム別限界値DB'!$H:$H = AD28), 
        0
      )
    ), 
    "再製作"
  )
)
</f>
        <v/>
      </c>
      <c r="AF28" s="218" t="str">
        <f t="array" ref="AF28">IF(
  AD28 = 0, 
  "", 
  IFERROR(
    INDEX(
      'アイテム別限界値DB'!$L:$L, 
      MATCH(
        1, 
        ('アイテム別限界値DB'!$B:$B = AC$10) * 
        ('アイテム別限界値DB'!$C:$C = AC28) * 
        ('アイテム別限界値DB'!$F:$F = AD28), 
        0
      )
    ), 
    ""
  )
)
</f>
        <v/>
      </c>
      <c r="AG28" s="11"/>
      <c r="AH28" s="11"/>
      <c r="AI28" s="220"/>
      <c r="AJ28" s="184"/>
      <c r="AK28" s="11"/>
      <c r="AL28" s="11"/>
      <c r="AM28" s="11"/>
      <c r="AN28" s="220"/>
      <c r="AO28" s="184"/>
      <c r="AP28" s="11"/>
      <c r="AQ28" s="11"/>
      <c r="AR28" s="11"/>
      <c r="AS28" s="220"/>
      <c r="AT28" s="184"/>
      <c r="AU28" s="11"/>
      <c r="AV28" s="11"/>
      <c r="AW28" s="11"/>
      <c r="AX28" s="220"/>
      <c r="AY28" s="184"/>
      <c r="AZ28" s="11"/>
      <c r="BA28" s="11"/>
      <c r="BB28" s="11"/>
      <c r="BC28" s="220"/>
      <c r="BD28" s="184"/>
      <c r="BE28" s="11"/>
      <c r="BF28" s="11"/>
      <c r="BG28" s="11"/>
      <c r="BH28" s="220"/>
      <c r="BI28" s="184"/>
      <c r="BJ28" s="11"/>
      <c r="BK28" s="11"/>
      <c r="BL28" s="11"/>
      <c r="BM28" s="220"/>
      <c r="BN28" s="184"/>
      <c r="BO28" s="11"/>
      <c r="BP28" s="11"/>
    </row>
    <row r="29" ht="15.75" customHeight="1">
      <c r="A29" s="228" t="str">
        <f>IF($S$11="再製作", "◼︎ チノ（対応着地：再製作）" &amp; char(10) &amp; "《修正数値》", IF($S$11&lt;&gt;"", "◼︎ チノ（対応着地：お直し）" &amp; char(10) &amp; "《修正数値》", ""))</f>
        <v/>
      </c>
      <c r="B29" s="160"/>
      <c r="C29" s="11"/>
      <c r="D29" s="11" t="s">
        <v>83</v>
      </c>
      <c r="E29" s="230"/>
      <c r="F29" s="231" t="str">
        <f t="array" ref="F29">IF(
  E29 = 0, 
  "", 
  IFERROR(
    INDEX(
      'アイテム別限界値DB'!$K:$K, 
      MATCH(
        1, 
        ('アイテム別限界値DB'!$B:$B = D$10) * 
        ('アイテム別限界値DB'!$F:$F = D29) * 
        ('アイテム別限界値DB'!$H:$H = E29), 
        0
      )
    ), 
    "再製作"
  )
)
</f>
        <v/>
      </c>
      <c r="G29" s="218" t="str">
        <f t="array" ref="G29">IF(
  E29 = 0, 
  "", 
  IFERROR(
    INDEX(
      'アイテム別限界値DB'!$L:$L, 
      MATCH(
        1, 
        ('アイテム別限界値DB'!$B:$B = D$10) * 
        ('アイテム別限界値DB'!$C:$C = D29) * 
        ('アイテム別限界値DB'!$F:$F = E29), 
        0
      )
    ), 
    ""
  )
)
</f>
        <v/>
      </c>
      <c r="H29" s="11"/>
      <c r="I29" s="11"/>
      <c r="J29" s="220"/>
      <c r="K29" s="184"/>
      <c r="L29" s="11"/>
      <c r="M29" s="11"/>
      <c r="N29" s="11"/>
      <c r="O29" s="220"/>
      <c r="P29" s="184"/>
      <c r="Q29" s="11"/>
      <c r="R29" s="12"/>
      <c r="S29" s="11"/>
      <c r="T29" s="220"/>
      <c r="U29" s="184"/>
      <c r="V29" s="11"/>
      <c r="W29" s="11"/>
      <c r="X29" s="11" t="s">
        <v>79</v>
      </c>
      <c r="Y29" s="232"/>
      <c r="Z29" s="231" t="str">
        <f t="array" ref="Z29">IF(
  Y29 = 0, 
  "", 
  IFERROR(
    INDEX(
      'アイテム別限界値DB'!$K:$K, 
      MATCH(
        1, 
        ('アイテム別限界値DB'!$B:$B = X$10) * 
        ('アイテム別限界値DB'!$F:$F = X29) * 
        ('アイテム別限界値DB'!$H:$H = Y29), 
        0
      )
    ), 
    "再製作"
  )
)
</f>
        <v/>
      </c>
      <c r="AA29" s="11"/>
      <c r="AB29" s="11"/>
      <c r="AC29" s="11" t="s">
        <v>105</v>
      </c>
      <c r="AD29" s="232"/>
      <c r="AE29" s="231" t="str">
        <f t="array" ref="AE29">IF(
  AD29 = 0, 
  "", 
  IFERROR(
    INDEX(
      'アイテム別限界値DB'!$K:$K, 
      MATCH(
        1, 
        ('アイテム別限界値DB'!$B:$B = AC$10) * 
        ('アイテム別限界値DB'!$F:$F = AC29) * 
        ('アイテム別限界値DB'!$H:$H = AD29), 
        0
      )
    ), 
    "再製作"
  )
)
</f>
        <v/>
      </c>
      <c r="AF29" s="11"/>
      <c r="AG29" s="11"/>
      <c r="AH29" s="11"/>
      <c r="AI29" s="220"/>
      <c r="AJ29" s="184"/>
      <c r="AK29" s="11"/>
      <c r="AL29" s="11"/>
      <c r="AM29" s="11"/>
      <c r="AN29" s="220"/>
      <c r="AO29" s="184"/>
      <c r="AP29" s="11"/>
      <c r="AQ29" s="11"/>
      <c r="AR29" s="11"/>
      <c r="AS29" s="220"/>
      <c r="AT29" s="184"/>
      <c r="AU29" s="11"/>
      <c r="AV29" s="11"/>
      <c r="AW29" s="11"/>
      <c r="AX29" s="220"/>
      <c r="AY29" s="184"/>
      <c r="AZ29" s="11"/>
      <c r="BA29" s="11"/>
      <c r="BB29" s="11"/>
      <c r="BC29" s="220"/>
      <c r="BD29" s="184"/>
      <c r="BE29" s="11"/>
      <c r="BF29" s="11"/>
      <c r="BG29" s="11"/>
      <c r="BH29" s="220"/>
      <c r="BI29" s="184"/>
      <c r="BJ29" s="11"/>
      <c r="BK29" s="11"/>
      <c r="BL29" s="11"/>
      <c r="BM29" s="220"/>
      <c r="BN29" s="184"/>
      <c r="BO29" s="11"/>
      <c r="BP29" s="11"/>
    </row>
    <row r="30" ht="15.75" customHeight="1">
      <c r="A30" s="228" t="str">
        <f>IFERROR(__xludf.DUMMYFUNCTION("TEXTJOIN(CHAR(10),TRUE,FILTER(ARRAYFORMULA(IF(T$14:T72&lt;&gt;"""", S$14:S72 &amp;"" : ""&amp; T$14:T72 &amp;"" cm"","""")), S$14:S72 &lt;&gt;""""))"),"")</f>
        <v/>
      </c>
      <c r="B30" s="229"/>
      <c r="C30" s="11"/>
      <c r="D30" s="11" t="s">
        <v>106</v>
      </c>
      <c r="E30" s="232"/>
      <c r="F30" s="231" t="str">
        <f t="array" ref="F30">IF(
  E30 = 0, 
  "", 
  IFERROR(
    INDEX(
      'アイテム別限界値DB'!$K:$K, 
      MATCH(
        1, 
        ('アイテム別限界値DB'!$B:$B = D$10) * 
        ('アイテム別限界値DB'!$F:$F = D30) * 
        ('アイテム別限界値DB'!$H:$H = E30), 
        0
      )
    ), 
    "再製作"
  )
)
</f>
        <v/>
      </c>
      <c r="G30" s="218" t="str">
        <f t="array" ref="G30">IF(
  E30 = 0, 
  "", 
  IFERROR(
    INDEX(
      'アイテム別限界値DB'!$L:$L, 
      MATCH(
        1, 
        ('アイテム別限界値DB'!$B:$B = D$10) * 
        ('アイテム別限界値DB'!$C:$C = D30) * 
        ('アイテム別限界値DB'!$F:$F = E30), 
        0
      )
    ), 
    ""
  )
)
</f>
        <v/>
      </c>
      <c r="H30" s="11"/>
      <c r="I30" s="11"/>
      <c r="J30" s="220"/>
      <c r="K30" s="184"/>
      <c r="L30" s="11"/>
      <c r="M30" s="11"/>
      <c r="N30" s="11"/>
      <c r="O30" s="220"/>
      <c r="P30" s="184"/>
      <c r="Q30" s="11"/>
      <c r="R30" s="12"/>
      <c r="S30" s="11"/>
      <c r="T30" s="220"/>
      <c r="U30" s="184"/>
      <c r="V30" s="11"/>
      <c r="W30" s="11"/>
      <c r="X30" s="11" t="s">
        <v>83</v>
      </c>
      <c r="Y30" s="232"/>
      <c r="Z30" s="231" t="str">
        <f t="array" ref="Z30">IF(
  Y30 = 0, 
  "", 
  IFERROR(
    INDEX(
      'アイテム別限界値DB'!$K:$K, 
      MATCH(
        1, 
        ('アイテム別限界値DB'!$B:$B = X$10) * 
        ('アイテム別限界値DB'!$F:$F = X30) * 
        ('アイテム別限界値DB'!$H:$H = Y30), 
        0
      )
    ), 
    "再製作"
  )
)
</f>
        <v/>
      </c>
      <c r="AA30" s="11"/>
      <c r="AB30" s="11"/>
      <c r="AC30" s="11"/>
      <c r="AD30" s="220"/>
      <c r="AE30" s="184"/>
      <c r="AF30" s="11"/>
      <c r="AG30" s="11"/>
      <c r="AH30" s="11"/>
      <c r="AI30" s="220"/>
      <c r="AJ30" s="184"/>
      <c r="AK30" s="11"/>
      <c r="AL30" s="11"/>
      <c r="AM30" s="11"/>
      <c r="AN30" s="220"/>
      <c r="AO30" s="184"/>
      <c r="AP30" s="11"/>
      <c r="AQ30" s="11"/>
      <c r="AR30" s="11"/>
      <c r="AS30" s="220"/>
      <c r="AT30" s="184"/>
      <c r="AU30" s="11"/>
      <c r="AV30" s="11"/>
      <c r="AW30" s="11"/>
      <c r="AX30" s="220"/>
      <c r="AY30" s="184"/>
      <c r="AZ30" s="11"/>
      <c r="BA30" s="11"/>
      <c r="BB30" s="11"/>
      <c r="BC30" s="220"/>
      <c r="BD30" s="184"/>
      <c r="BE30" s="11"/>
      <c r="BF30" s="11"/>
      <c r="BG30" s="11"/>
      <c r="BH30" s="220"/>
      <c r="BI30" s="184"/>
      <c r="BJ30" s="11"/>
      <c r="BK30" s="11"/>
      <c r="BL30" s="11"/>
      <c r="BM30" s="220"/>
      <c r="BN30" s="184"/>
      <c r="BO30" s="11"/>
      <c r="BP30" s="11"/>
    </row>
    <row r="31" ht="15.75" customHeight="1">
      <c r="A31" s="242" t="str">
        <f>if($A$29&lt;&gt;"", "《仕上がり数値》","")</f>
        <v/>
      </c>
      <c r="B31" s="12"/>
      <c r="C31" s="11"/>
      <c r="D31" s="11" t="s">
        <v>107</v>
      </c>
      <c r="E31" s="230"/>
      <c r="F31" s="231" t="str">
        <f t="array" ref="F31">IF(
  E31 = 0, 
  "", 
  IFERROR(
    INDEX(
      'アイテム別限界値DB'!$K:$K, 
      MATCH(
        1, 
        ('アイテム別限界値DB'!$B:$B = D$10) * 
        ('アイテム別限界値DB'!$F:$F = D31) * 
        ('アイテム別限界値DB'!$H:$H = E31), 
        0
      )
    ), 
    "再製作"
  )
)
</f>
        <v/>
      </c>
      <c r="G31" s="218" t="str">
        <f t="array" ref="G31">IF(
  E31 = 0, 
  "", 
  IFERROR(
    INDEX(
      'アイテム別限界値DB'!$L:$L, 
      MATCH(
        1, 
        ('アイテム別限界値DB'!$B:$B = D$10) * 
        ('アイテム別限界値DB'!$C:$C = D31) * 
        ('アイテム別限界値DB'!$F:$F = E31), 
        0
      )
    ), 
    ""
  )
)
</f>
        <v/>
      </c>
      <c r="H31" s="11"/>
      <c r="I31" s="11"/>
      <c r="J31" s="220"/>
      <c r="K31" s="184"/>
      <c r="L31" s="11"/>
      <c r="M31" s="11"/>
      <c r="N31" s="11"/>
      <c r="O31" s="220"/>
      <c r="P31" s="184"/>
      <c r="Q31" s="11"/>
      <c r="R31" s="12"/>
      <c r="S31" s="11"/>
      <c r="T31" s="220"/>
      <c r="U31" s="184"/>
      <c r="V31" s="11"/>
      <c r="W31" s="11"/>
      <c r="X31" s="11" t="s">
        <v>105</v>
      </c>
      <c r="Y31" s="232"/>
      <c r="Z31" s="231" t="str">
        <f t="array" ref="Z31">IF(
  Y31 = 0, 
  "", 
  IFERROR(
    INDEX(
      'アイテム別限界値DB'!$K:$K, 
      MATCH(
        1, 
        ('アイテム別限界値DB'!$B:$B = X$10) * 
        ('アイテム別限界値DB'!$F:$F = X31) * 
        ('アイテム別限界値DB'!$H:$H = Y31), 
        0
      )
    ), 
    "再製作"
  )
)
</f>
        <v/>
      </c>
      <c r="AA31" s="11"/>
      <c r="AB31" s="11"/>
      <c r="AC31" s="11"/>
      <c r="AD31" s="220"/>
      <c r="AE31" s="184"/>
      <c r="AF31" s="11"/>
      <c r="AG31" s="11"/>
      <c r="AH31" s="11"/>
      <c r="AI31" s="220"/>
      <c r="AJ31" s="184"/>
      <c r="AK31" s="11"/>
      <c r="AL31" s="11"/>
      <c r="AM31" s="11"/>
      <c r="AN31" s="220"/>
      <c r="AO31" s="184"/>
      <c r="AP31" s="11"/>
      <c r="AQ31" s="11"/>
      <c r="AR31" s="11"/>
      <c r="AS31" s="220"/>
      <c r="AT31" s="184"/>
      <c r="AU31" s="11"/>
      <c r="AV31" s="11"/>
      <c r="AW31" s="11"/>
      <c r="AX31" s="220"/>
      <c r="AY31" s="184"/>
      <c r="AZ31" s="11"/>
      <c r="BA31" s="11"/>
      <c r="BB31" s="11"/>
      <c r="BC31" s="220"/>
      <c r="BD31" s="184"/>
      <c r="BE31" s="11"/>
      <c r="BF31" s="11"/>
      <c r="BG31" s="11"/>
      <c r="BH31" s="220"/>
      <c r="BI31" s="184"/>
      <c r="BJ31" s="11"/>
      <c r="BK31" s="11"/>
      <c r="BL31" s="11"/>
      <c r="BM31" s="220"/>
      <c r="BN31" s="184"/>
      <c r="BO31" s="11"/>
      <c r="BP31" s="11"/>
    </row>
    <row r="32" ht="15.75" customHeight="1">
      <c r="A32" s="228" t="str">
        <f>IFERROR(__xludf.DUMMYFUNCTION("TEXTJOIN(CHAR(10),TRUE,FILTER(ARRAYFORMULA(IF(T$14:T72&lt;&gt;"""", S$14:S72 &amp;"" :  cm"","""")), S$14:S72 &lt;&gt;""""))"),"")</f>
        <v/>
      </c>
      <c r="B32" s="160"/>
      <c r="C32" s="11"/>
      <c r="D32" s="11" t="s">
        <v>108</v>
      </c>
      <c r="E32" s="230"/>
      <c r="F32" s="231" t="str">
        <f t="array" ref="F32">IF(
  E32 = 0, 
  "", 
  IFERROR(
    INDEX(
      'アイテム別限界値DB'!$K:$K, 
      MATCH(
        1, 
        ('アイテム別限界値DB'!$B:$B = D$10) * 
        ('アイテム別限界値DB'!$F:$F = D32) * 
        ('アイテム別限界値DB'!$H:$H = E32), 
        0
      )
    ), 
    "再製作"
  )
)
</f>
        <v/>
      </c>
      <c r="G32" s="218" t="str">
        <f t="array" ref="G32">IF(
  E32 = 0, 
  "", 
  IFERROR(
    INDEX(
      'アイテム別限界値DB'!$L:$L, 
      MATCH(
        1, 
        ('アイテム別限界値DB'!$B:$B = D$10) * 
        ('アイテム別限界値DB'!$C:$C = D32) * 
        ('アイテム別限界値DB'!$F:$F = E32), 
        0
      )
    ), 
    ""
  )
)
</f>
        <v/>
      </c>
      <c r="H32" s="11"/>
      <c r="I32" s="11"/>
      <c r="J32" s="220"/>
      <c r="K32" s="184"/>
      <c r="L32" s="11"/>
      <c r="M32" s="11"/>
      <c r="N32" s="11"/>
      <c r="O32" s="220"/>
      <c r="P32" s="184"/>
      <c r="Q32" s="11"/>
      <c r="R32" s="12"/>
      <c r="S32" s="11"/>
      <c r="T32" s="220"/>
      <c r="U32" s="184"/>
      <c r="V32" s="11"/>
      <c r="W32" s="11"/>
      <c r="X32" s="11"/>
      <c r="Y32" s="220"/>
      <c r="Z32" s="184"/>
      <c r="AA32" s="11"/>
      <c r="AB32" s="11"/>
      <c r="AC32" s="11"/>
      <c r="AD32" s="220"/>
      <c r="AE32" s="184"/>
      <c r="AF32" s="11"/>
      <c r="AG32" s="11"/>
      <c r="AH32" s="11"/>
      <c r="AI32" s="220"/>
      <c r="AJ32" s="184"/>
      <c r="AK32" s="11"/>
      <c r="AL32" s="11"/>
      <c r="AM32" s="11"/>
      <c r="AN32" s="220"/>
      <c r="AO32" s="184"/>
      <c r="AP32" s="11"/>
      <c r="AQ32" s="11"/>
      <c r="AR32" s="11"/>
      <c r="AS32" s="220"/>
      <c r="AT32" s="184"/>
      <c r="AU32" s="11"/>
      <c r="AV32" s="11"/>
      <c r="AW32" s="11"/>
      <c r="AX32" s="220"/>
      <c r="AY32" s="184"/>
      <c r="AZ32" s="11"/>
      <c r="BA32" s="11"/>
      <c r="BB32" s="11"/>
      <c r="BC32" s="220"/>
      <c r="BD32" s="184"/>
      <c r="BE32" s="11"/>
      <c r="BF32" s="11"/>
      <c r="BG32" s="11"/>
      <c r="BH32" s="220"/>
      <c r="BI32" s="184"/>
      <c r="BJ32" s="11"/>
      <c r="BK32" s="11"/>
      <c r="BL32" s="11"/>
      <c r="BM32" s="220"/>
      <c r="BN32" s="184"/>
      <c r="BO32" s="11"/>
      <c r="BP32" s="11"/>
    </row>
    <row r="33" ht="15.75" customHeight="1">
      <c r="A33" s="237" t="s">
        <v>109</v>
      </c>
      <c r="B33" s="229"/>
      <c r="C33" s="11"/>
      <c r="D33" s="11" t="s">
        <v>110</v>
      </c>
      <c r="E33" s="230"/>
      <c r="F33" s="231" t="str">
        <f t="array" ref="F33">IF(
  E33 = 0, 
  "", 
  IFERROR(
    INDEX(
      'アイテム別限界値DB'!$K:$K, 
      MATCH(
        1, 
        ('アイテム別限界値DB'!$B:$B = D$10) * 
        ('アイテム別限界値DB'!$F:$F = D33) * 
        ('アイテム別限界値DB'!$H:$H = E33), 
        0
      )
    ), 
    "再製作"
  )
)
</f>
        <v/>
      </c>
      <c r="G33" s="218" t="str">
        <f t="array" ref="G33">IF(
  E33 = 0, 
  "", 
  IFERROR(
    INDEX(
      'アイテム別限界値DB'!$L:$L, 
      MATCH(
        1, 
        ('アイテム別限界値DB'!$B:$B = D$10) * 
        ('アイテム別限界値DB'!$C:$C = D33) * 
        ('アイテム別限界値DB'!$F:$F = E33), 
        0
      )
    ), 
    ""
  )
)
</f>
        <v/>
      </c>
      <c r="H33" s="11"/>
      <c r="I33" s="11"/>
      <c r="J33" s="220"/>
      <c r="K33" s="184"/>
      <c r="L33" s="11"/>
      <c r="M33" s="11"/>
      <c r="N33" s="11"/>
      <c r="O33" s="220"/>
      <c r="P33" s="184"/>
      <c r="Q33" s="11"/>
      <c r="R33" s="12"/>
      <c r="S33" s="11"/>
      <c r="T33" s="220"/>
      <c r="U33" s="184"/>
      <c r="V33" s="11"/>
      <c r="W33" s="11"/>
      <c r="X33" s="11"/>
      <c r="Y33" s="220"/>
      <c r="Z33" s="184"/>
      <c r="AA33" s="11"/>
      <c r="AB33" s="11"/>
      <c r="AC33" s="11"/>
      <c r="AD33" s="220"/>
      <c r="AE33" s="184"/>
      <c r="AF33" s="11"/>
      <c r="AG33" s="11"/>
      <c r="AH33" s="11"/>
      <c r="AI33" s="220"/>
      <c r="AJ33" s="184"/>
      <c r="AK33" s="11"/>
      <c r="AL33" s="11"/>
      <c r="AM33" s="11"/>
      <c r="AN33" s="220"/>
      <c r="AO33" s="184"/>
      <c r="AP33" s="11"/>
      <c r="AQ33" s="11"/>
      <c r="AR33" s="11"/>
      <c r="AS33" s="220"/>
      <c r="AT33" s="184"/>
      <c r="AU33" s="11"/>
      <c r="AV33" s="11"/>
      <c r="AW33" s="11"/>
      <c r="AX33" s="220"/>
      <c r="AY33" s="184"/>
      <c r="AZ33" s="11"/>
      <c r="BA33" s="11"/>
      <c r="BB33" s="11"/>
      <c r="BC33" s="220"/>
      <c r="BD33" s="184"/>
      <c r="BE33" s="11"/>
      <c r="BF33" s="11"/>
      <c r="BG33" s="11"/>
      <c r="BH33" s="220"/>
      <c r="BI33" s="184"/>
      <c r="BJ33" s="11"/>
      <c r="BK33" s="11"/>
      <c r="BL33" s="11"/>
      <c r="BM33" s="220"/>
      <c r="BN33" s="184"/>
      <c r="BO33" s="11"/>
      <c r="BP33" s="11"/>
    </row>
    <row r="34" ht="15.75" customHeight="1">
      <c r="A34" s="228" t="str">
        <f>IF($X$11="再製作", "◼︎ シャツ（対応着地：再製作）" &amp; char(10) &amp; "《修正数値》" , IF($X$11&lt;&gt;"", "◼︎ シャツ（対応着地：お直し）" &amp; char(10) &amp; "《修正数値》", ""))</f>
        <v/>
      </c>
      <c r="B34" s="12"/>
      <c r="C34" s="11"/>
      <c r="D34" s="11" t="s">
        <v>111</v>
      </c>
      <c r="E34" s="232"/>
      <c r="F34" s="231" t="str">
        <f t="array" ref="F34">IF(
  E34 = 0, 
  "", 
  IFERROR(
    INDEX(
      'アイテム別限界値DB'!$K:$K, 
      MATCH(
        1, 
        ('アイテム別限界値DB'!$B:$B = D$10) * 
        ('アイテム別限界値DB'!$F:$F = D34) * 
        ('アイテム別限界値DB'!$H:$H = E34), 
        0
      )
    ), 
    "再製作"
  )
)
</f>
        <v/>
      </c>
      <c r="G34" s="218" t="str">
        <f t="array" ref="G34">IF(
  E34 = 0, 
  "", 
  IFERROR(
    INDEX(
      'アイテム別限界値DB'!$L:$L, 
      MATCH(
        1, 
        ('アイテム別限界値DB'!$B:$B = D$10) * 
        ('アイテム別限界値DB'!$C:$C = D34) * 
        ('アイテム別限界値DB'!$F:$F = E34), 
        0
      )
    ), 
    ""
  )
)
</f>
        <v/>
      </c>
      <c r="H34" s="11"/>
      <c r="I34" s="11"/>
      <c r="J34" s="220"/>
      <c r="K34" s="184"/>
      <c r="L34" s="11"/>
      <c r="M34" s="11"/>
      <c r="N34" s="11"/>
      <c r="O34" s="220"/>
      <c r="P34" s="184"/>
      <c r="Q34" s="11"/>
      <c r="R34" s="12"/>
      <c r="S34" s="11"/>
      <c r="T34" s="220"/>
      <c r="U34" s="184"/>
      <c r="V34" s="11"/>
      <c r="W34" s="11"/>
      <c r="X34" s="11"/>
      <c r="Y34" s="220"/>
      <c r="Z34" s="184"/>
      <c r="AA34" s="11"/>
      <c r="AB34" s="11"/>
      <c r="AC34" s="11"/>
      <c r="AD34" s="220"/>
      <c r="AE34" s="184"/>
      <c r="AF34" s="11"/>
      <c r="AG34" s="11"/>
      <c r="AH34" s="11"/>
      <c r="AI34" s="220"/>
      <c r="AJ34" s="184"/>
      <c r="AK34" s="11"/>
      <c r="AL34" s="11"/>
      <c r="AM34" s="11"/>
      <c r="AN34" s="220"/>
      <c r="AO34" s="184"/>
      <c r="AP34" s="11"/>
      <c r="AQ34" s="11"/>
      <c r="AR34" s="11"/>
      <c r="AS34" s="220"/>
      <c r="AT34" s="184"/>
      <c r="AU34" s="11"/>
      <c r="AV34" s="11"/>
      <c r="AW34" s="11"/>
      <c r="AX34" s="220"/>
      <c r="AY34" s="184"/>
      <c r="AZ34" s="11"/>
      <c r="BA34" s="11"/>
      <c r="BB34" s="11"/>
      <c r="BC34" s="220"/>
      <c r="BD34" s="184"/>
      <c r="BE34" s="11"/>
      <c r="BF34" s="11"/>
      <c r="BG34" s="11"/>
      <c r="BH34" s="220"/>
      <c r="BI34" s="184"/>
      <c r="BJ34" s="11"/>
      <c r="BK34" s="11"/>
      <c r="BL34" s="11"/>
      <c r="BM34" s="220"/>
      <c r="BN34" s="184"/>
      <c r="BO34" s="11"/>
      <c r="BP34" s="11"/>
    </row>
    <row r="35" ht="15.75" customHeight="1">
      <c r="A35" s="228" t="str">
        <f>IFERROR(__xludf.DUMMYFUNCTION("TEXTJOIN(CHAR(10),TRUE,FILTER(ARRAYFORMULA(IF(Y$14:Y72&lt;&gt;"""", X$14:X72 &amp;"" : ""&amp; Y$14:Y72 &amp;"" cm"","""")), X$14:X72 &lt;&gt;""""))"),"")</f>
        <v/>
      </c>
      <c r="B35" s="160"/>
      <c r="C35" s="11"/>
      <c r="D35" s="11" t="s">
        <v>112</v>
      </c>
      <c r="E35" s="232"/>
      <c r="F35" s="231" t="str">
        <f t="array" ref="F35">IF(
  E35 = 0, 
  "", 
  IFERROR(
    INDEX(
      'アイテム別限界値DB'!$K:$K, 
      MATCH(
        1, 
        ('アイテム別限界値DB'!$B:$B = D$10) * 
        ('アイテム別限界値DB'!$F:$F = D35) * 
        ('アイテム別限界値DB'!$H:$H = E35), 
        0
      )
    ), 
    "再製作"
  )
)
</f>
        <v/>
      </c>
      <c r="G35" s="218" t="str">
        <f t="array" ref="G35">IF(
  E35 = 0, 
  "", 
  IFERROR(
    INDEX(
      'アイテム別限界値DB'!$L:$L, 
      MATCH(
        1, 
        ('アイテム別限界値DB'!$B:$B = D$10) * 
        ('アイテム別限界値DB'!$C:$C = D35) * 
        ('アイテム別限界値DB'!$F:$F = E35), 
        0
      )
    ), 
    ""
  )
)
</f>
        <v/>
      </c>
      <c r="H35" s="11"/>
      <c r="I35" s="11"/>
      <c r="J35" s="220"/>
      <c r="K35" s="184"/>
      <c r="L35" s="11"/>
      <c r="M35" s="11"/>
      <c r="N35" s="11"/>
      <c r="O35" s="220"/>
      <c r="P35" s="184"/>
      <c r="Q35" s="11"/>
      <c r="R35" s="12"/>
      <c r="S35" s="11"/>
      <c r="T35" s="220"/>
      <c r="U35" s="184"/>
      <c r="V35" s="11"/>
      <c r="W35" s="11"/>
      <c r="X35" s="11"/>
      <c r="Y35" s="220"/>
      <c r="Z35" s="184"/>
      <c r="AA35" s="11"/>
      <c r="AB35" s="11"/>
      <c r="AC35" s="11"/>
      <c r="AD35" s="220"/>
      <c r="AE35" s="184"/>
      <c r="AF35" s="11"/>
      <c r="AG35" s="11"/>
      <c r="AH35" s="11"/>
      <c r="AI35" s="220"/>
      <c r="AJ35" s="184"/>
      <c r="AK35" s="11"/>
      <c r="AL35" s="11"/>
      <c r="AM35" s="11"/>
      <c r="AN35" s="220"/>
      <c r="AO35" s="184"/>
      <c r="AP35" s="11"/>
      <c r="AQ35" s="11"/>
      <c r="AR35" s="11"/>
      <c r="AS35" s="220"/>
      <c r="AT35" s="184"/>
      <c r="AU35" s="11"/>
      <c r="AV35" s="11"/>
      <c r="AW35" s="11"/>
      <c r="AX35" s="220"/>
      <c r="AY35" s="184"/>
      <c r="AZ35" s="11"/>
      <c r="BA35" s="11"/>
      <c r="BB35" s="11"/>
      <c r="BC35" s="220"/>
      <c r="BD35" s="184"/>
      <c r="BE35" s="11"/>
      <c r="BF35" s="11"/>
      <c r="BG35" s="11"/>
      <c r="BH35" s="220"/>
      <c r="BI35" s="184"/>
      <c r="BJ35" s="11"/>
      <c r="BK35" s="11"/>
      <c r="BL35" s="11"/>
      <c r="BM35" s="220"/>
      <c r="BN35" s="184"/>
      <c r="BO35" s="11"/>
      <c r="BP35" s="11"/>
    </row>
    <row r="36" ht="15.75" customHeight="1">
      <c r="A36" s="236" t="str">
        <f>if($A$34&lt;&gt;"", "《仕上がり数値》","")</f>
        <v/>
      </c>
      <c r="B36" s="229"/>
      <c r="C36" s="11"/>
      <c r="D36" s="11" t="s">
        <v>113</v>
      </c>
      <c r="E36" s="230"/>
      <c r="F36" s="231" t="str">
        <f t="array" ref="F36">IF(
  E36 = 0, 
  "", 
  IFERROR(
    INDEX(
      'アイテム別限界値DB'!$K:$K, 
      MATCH(
        1, 
        ('アイテム別限界値DB'!$B:$B = D$10) * 
        ('アイテム別限界値DB'!$F:$F = D36) * 
        ('アイテム別限界値DB'!$H:$H = E36), 
        0
      )
    ), 
    "再製作"
  )
)
</f>
        <v/>
      </c>
      <c r="G36" s="218" t="str">
        <f t="array" ref="G36">IF(
  E36 = 0, 
  "", 
  IFERROR(
    INDEX(
      'アイテム別限界値DB'!$L:$L, 
      MATCH(
        1, 
        ('アイテム別限界値DB'!$B:$B = D$10) * 
        ('アイテム別限界値DB'!$C:$C = D36) * 
        ('アイテム別限界値DB'!$F:$F = E36), 
        0
      )
    ), 
    ""
  )
)
</f>
        <v/>
      </c>
      <c r="H36" s="11"/>
      <c r="I36" s="11"/>
      <c r="J36" s="220"/>
      <c r="K36" s="184"/>
      <c r="L36" s="11"/>
      <c r="M36" s="11"/>
      <c r="N36" s="11"/>
      <c r="O36" s="220"/>
      <c r="P36" s="184"/>
      <c r="Q36" s="11"/>
      <c r="R36" s="12"/>
      <c r="S36" s="11"/>
      <c r="T36" s="220"/>
      <c r="U36" s="184"/>
      <c r="V36" s="11"/>
      <c r="W36" s="11"/>
      <c r="X36" s="11"/>
      <c r="Y36" s="220"/>
      <c r="Z36" s="184"/>
      <c r="AA36" s="11"/>
      <c r="AB36" s="11"/>
      <c r="AC36" s="11"/>
      <c r="AD36" s="220"/>
      <c r="AE36" s="184"/>
      <c r="AF36" s="11"/>
      <c r="AG36" s="11"/>
      <c r="AH36" s="11"/>
      <c r="AI36" s="220"/>
      <c r="AJ36" s="184"/>
      <c r="AK36" s="11"/>
      <c r="AL36" s="11"/>
      <c r="AM36" s="11"/>
      <c r="AN36" s="220"/>
      <c r="AO36" s="184"/>
      <c r="AP36" s="11"/>
      <c r="AQ36" s="11"/>
      <c r="AR36" s="11"/>
      <c r="AS36" s="220"/>
      <c r="AT36" s="184"/>
      <c r="AU36" s="11"/>
      <c r="AV36" s="11"/>
      <c r="AW36" s="11"/>
      <c r="AX36" s="220"/>
      <c r="AY36" s="184"/>
      <c r="AZ36" s="11"/>
      <c r="BA36" s="11"/>
      <c r="BB36" s="11"/>
      <c r="BC36" s="220"/>
      <c r="BD36" s="184"/>
      <c r="BE36" s="11"/>
      <c r="BF36" s="11"/>
      <c r="BG36" s="11"/>
      <c r="BH36" s="220"/>
      <c r="BI36" s="184"/>
      <c r="BJ36" s="11"/>
      <c r="BK36" s="11"/>
      <c r="BL36" s="11"/>
      <c r="BM36" s="220"/>
      <c r="BN36" s="184"/>
      <c r="BO36" s="11"/>
      <c r="BP36" s="11"/>
    </row>
    <row r="37">
      <c r="A37" s="228" t="str">
        <f>IFERROR(__xludf.DUMMYFUNCTION("TEXTJOIN(CHAR(10),TRUE,FILTER(ARRAYFORMULA(IF(Y$14:Y72&lt;&gt;"""", X$14:X72 &amp;"" :  cm"","""")), X$14:X72 &lt;&gt;""""))"),"")</f>
        <v/>
      </c>
      <c r="B37" s="12"/>
      <c r="C37" s="11"/>
      <c r="D37" s="11" t="s">
        <v>114</v>
      </c>
      <c r="E37" s="232"/>
      <c r="F37" s="231" t="str">
        <f t="array" ref="F37">IF(
  E37 = 0, 
  "", 
  IFERROR(
    INDEX(
      'アイテム別限界値DB'!$K:$K, 
      MATCH(
        1, 
        ('アイテム別限界値DB'!$B:$B = D$10) * 
        ('アイテム別限界値DB'!$F:$F = D37) * 
        ('アイテム別限界値DB'!$H:$H = E37), 
        0
      )
    ), 
    "再製作"
  )
)
</f>
        <v/>
      </c>
      <c r="G37" s="218" t="str">
        <f t="array" ref="G37">IF(
  E37 = 0, 
  "", 
  IFERROR(
    INDEX(
      'アイテム別限界値DB'!$L:$L, 
      MATCH(
        1, 
        ('アイテム別限界値DB'!$B:$B = D$10) * 
        ('アイテム別限界値DB'!$C:$C = D37) * 
        ('アイテム別限界値DB'!$F:$F = E37), 
        0
      )
    ), 
    ""
  )
)
</f>
        <v/>
      </c>
      <c r="H37" s="11"/>
      <c r="I37" s="11"/>
      <c r="J37" s="220"/>
      <c r="K37" s="184"/>
      <c r="L37" s="11"/>
      <c r="M37" s="11"/>
      <c r="N37" s="11"/>
      <c r="O37" s="220"/>
      <c r="P37" s="184"/>
      <c r="Q37" s="11"/>
      <c r="R37" s="12"/>
      <c r="S37" s="11"/>
      <c r="T37" s="220"/>
      <c r="U37" s="184"/>
      <c r="V37" s="11"/>
      <c r="W37" s="11"/>
      <c r="X37" s="11"/>
      <c r="Y37" s="220"/>
      <c r="Z37" s="184"/>
      <c r="AA37" s="11"/>
      <c r="AB37" s="11"/>
      <c r="AC37" s="11"/>
      <c r="AD37" s="220"/>
      <c r="AE37" s="184"/>
      <c r="AF37" s="11"/>
      <c r="AG37" s="11"/>
      <c r="AH37" s="11"/>
      <c r="AI37" s="220"/>
      <c r="AJ37" s="184"/>
      <c r="AK37" s="11"/>
      <c r="AL37" s="11"/>
      <c r="AM37" s="11"/>
      <c r="AN37" s="220"/>
      <c r="AO37" s="184"/>
      <c r="AP37" s="11"/>
      <c r="AQ37" s="11"/>
      <c r="AR37" s="11"/>
      <c r="AS37" s="220"/>
      <c r="AT37" s="184"/>
      <c r="AU37" s="11"/>
      <c r="AV37" s="11"/>
      <c r="AW37" s="11"/>
      <c r="AX37" s="220"/>
      <c r="AY37" s="184"/>
      <c r="AZ37" s="11"/>
      <c r="BA37" s="11"/>
      <c r="BB37" s="11"/>
      <c r="BC37" s="220"/>
      <c r="BD37" s="184"/>
      <c r="BE37" s="11"/>
      <c r="BF37" s="11"/>
      <c r="BG37" s="11"/>
      <c r="BH37" s="220"/>
      <c r="BI37" s="184"/>
      <c r="BJ37" s="11"/>
      <c r="BK37" s="11"/>
      <c r="BL37" s="11"/>
      <c r="BM37" s="220"/>
      <c r="BN37" s="184"/>
      <c r="BO37" s="11"/>
      <c r="BP37" s="11"/>
    </row>
    <row r="38">
      <c r="A38" s="243" t="s">
        <v>115</v>
      </c>
      <c r="B38" s="160"/>
      <c r="C38" s="11"/>
      <c r="D38" s="11" t="s">
        <v>116</v>
      </c>
      <c r="E38" s="232"/>
      <c r="F38" s="231" t="str">
        <f t="array" ref="F38">IF(
  E38 = 0, 
  "", 
  IFERROR(
    INDEX(
      'アイテム別限界値DB'!$K:$K, 
      MATCH(
        1, 
        ('アイテム別限界値DB'!$B:$B = D$10) * 
        ('アイテム別限界値DB'!$F:$F = D38) * 
        ('アイテム別限界値DB'!$H:$H = E38), 
        0
      )
    ), 
    "再製作"
  )
)
</f>
        <v/>
      </c>
      <c r="G38" s="218" t="str">
        <f t="array" ref="G38">IF(
  E38 = 0, 
  "", 
  IFERROR(
    INDEX(
      'アイテム別限界値DB'!$L:$L, 
      MATCH(
        1, 
        ('アイテム別限界値DB'!$B:$B = D$10) * 
        ('アイテム別限界値DB'!$C:$C = D38) * 
        ('アイテム別限界値DB'!$F:$F = E38), 
        0
      )
    ), 
    ""
  )
)
</f>
        <v/>
      </c>
      <c r="H38" s="11"/>
      <c r="I38" s="11"/>
      <c r="J38" s="220"/>
      <c r="K38" s="184"/>
      <c r="L38" s="11"/>
      <c r="M38" s="11"/>
      <c r="N38" s="11"/>
      <c r="O38" s="220"/>
      <c r="P38" s="184"/>
      <c r="Q38" s="11"/>
      <c r="R38" s="12"/>
      <c r="S38" s="11"/>
      <c r="T38" s="220"/>
      <c r="U38" s="184"/>
      <c r="V38" s="11"/>
      <c r="W38" s="11"/>
      <c r="X38" s="11"/>
      <c r="Y38" s="220"/>
      <c r="Z38" s="184"/>
      <c r="AA38" s="11"/>
      <c r="AB38" s="11"/>
      <c r="AC38" s="11"/>
      <c r="AD38" s="220"/>
      <c r="AE38" s="184"/>
      <c r="AF38" s="11"/>
      <c r="AG38" s="11"/>
      <c r="AH38" s="11"/>
      <c r="AI38" s="220"/>
      <c r="AJ38" s="184"/>
      <c r="AK38" s="11"/>
      <c r="AL38" s="11"/>
      <c r="AM38" s="11"/>
      <c r="AN38" s="220"/>
      <c r="AO38" s="184"/>
      <c r="AP38" s="11"/>
      <c r="AQ38" s="11"/>
      <c r="AR38" s="11"/>
      <c r="AS38" s="220"/>
      <c r="AT38" s="184"/>
      <c r="AU38" s="11"/>
      <c r="AV38" s="11"/>
      <c r="AW38" s="11"/>
      <c r="AX38" s="220"/>
      <c r="AY38" s="184"/>
      <c r="AZ38" s="11"/>
      <c r="BA38" s="11"/>
      <c r="BB38" s="11"/>
      <c r="BC38" s="220"/>
      <c r="BD38" s="184"/>
      <c r="BE38" s="11"/>
      <c r="BF38" s="11"/>
      <c r="BG38" s="11"/>
      <c r="BH38" s="220"/>
      <c r="BI38" s="184"/>
      <c r="BJ38" s="11"/>
      <c r="BK38" s="11"/>
      <c r="BL38" s="11"/>
      <c r="BM38" s="220"/>
      <c r="BN38" s="184"/>
      <c r="BO38" s="11"/>
      <c r="BP38" s="11"/>
    </row>
    <row r="39">
      <c r="A39" s="228" t="str">
        <f>IF( $AC$11 = "再製作", "◼︎ ポロシャツ（対応着地：再製作）" &amp; char(10) &amp; "《修正数値》" , IF($AC$11 &lt;&gt; "", "◼︎ ポロシャツ（対応着地：お直し）" &amp; char(10) &amp; "《修正数値》" , ""))</f>
        <v/>
      </c>
      <c r="B39" s="229"/>
      <c r="C39" s="11"/>
      <c r="D39" s="11" t="s">
        <v>117</v>
      </c>
      <c r="E39" s="232"/>
      <c r="F39" s="231" t="str">
        <f t="array" ref="F39">IF(
  E39 = 0, 
  "", 
  IFERROR(
    INDEX(
      'アイテム別限界値DB'!$I:$I, 
      MATCH(
        1, 
        ('アイテム別限界値DB'!$B:$B = D$10) * 
        ('アイテム別限界値DB'!$C:$C = D39) * 
        ('アイテム別限界値DB'!$F:$F = E39), 
        0
      )
    ), 
    "再製作"
  )
)
</f>
        <v/>
      </c>
      <c r="G39" s="218" t="str">
        <f t="array" ref="G39">IF(
  E39 = 0, 
  "", 
  IFERROR(
    INDEX(
      'アイテム別限界値DB'!$L:$L, 
      MATCH(
        1, 
        ('アイテム別限界値DB'!$B:$B = D$10) * 
        ('アイテム別限界値DB'!$C:$C = D39) * 
        ('アイテム別限界値DB'!$F:$F = E39), 
        0
      )
    ), 
    ""
  )
)
</f>
        <v/>
      </c>
      <c r="H39" s="11"/>
      <c r="I39" s="11"/>
      <c r="J39" s="220"/>
      <c r="K39" s="184"/>
      <c r="L39" s="11"/>
      <c r="M39" s="11"/>
      <c r="N39" s="11"/>
      <c r="O39" s="220"/>
      <c r="P39" s="184"/>
      <c r="Q39" s="11"/>
      <c r="R39" s="12"/>
      <c r="S39" s="11"/>
      <c r="T39" s="220"/>
      <c r="U39" s="184"/>
      <c r="V39" s="11"/>
      <c r="W39" s="11"/>
      <c r="X39" s="11"/>
      <c r="Y39" s="220"/>
      <c r="Z39" s="184"/>
      <c r="AA39" s="11"/>
      <c r="AB39" s="11"/>
      <c r="AC39" s="11"/>
      <c r="AD39" s="220"/>
      <c r="AE39" s="184"/>
      <c r="AF39" s="11"/>
      <c r="AG39" s="11"/>
      <c r="AH39" s="11"/>
      <c r="AI39" s="220"/>
      <c r="AJ39" s="184"/>
      <c r="AK39" s="11"/>
      <c r="AL39" s="11"/>
      <c r="AM39" s="11"/>
      <c r="AN39" s="220"/>
      <c r="AO39" s="184"/>
      <c r="AP39" s="11"/>
      <c r="AQ39" s="11"/>
      <c r="AR39" s="11"/>
      <c r="AS39" s="220"/>
      <c r="AT39" s="184"/>
      <c r="AU39" s="11"/>
      <c r="AV39" s="11"/>
      <c r="AW39" s="11"/>
      <c r="AX39" s="220"/>
      <c r="AY39" s="184"/>
      <c r="AZ39" s="11"/>
      <c r="BA39" s="11"/>
      <c r="BB39" s="11"/>
      <c r="BC39" s="220"/>
      <c r="BD39" s="184"/>
      <c r="BE39" s="11"/>
      <c r="BF39" s="11"/>
      <c r="BG39" s="11"/>
      <c r="BH39" s="220"/>
      <c r="BI39" s="184"/>
      <c r="BJ39" s="11"/>
      <c r="BK39" s="11"/>
      <c r="BL39" s="11"/>
      <c r="BM39" s="220"/>
      <c r="BN39" s="184"/>
      <c r="BO39" s="11"/>
      <c r="BP39" s="11"/>
    </row>
    <row r="40">
      <c r="A40" s="228" t="str">
        <f>IFERROR(__xludf.DUMMYFUNCTION("TEXTJOIN(CHAR(10),TRUE,FILTER(ARRAYFORMULA(IF(AD$14:AD72&lt;&gt;"""",AC$14:AC72&amp;"" : ""&amp; AD$14:AD72 &amp;"" cm"","""")), AC$14:AC72 &lt;&gt;""""))"),"")</f>
        <v/>
      </c>
      <c r="B40" s="12"/>
      <c r="C40" s="11"/>
      <c r="D40" s="11" t="s">
        <v>118</v>
      </c>
      <c r="E40" s="232"/>
      <c r="F40" s="231" t="str">
        <f t="array" ref="F40">IF(
  E40 = 0, 
  "", 
  IFERROR(
    INDEX(
      'アイテム別限界値DB'!$I:$I, 
      MATCH(
        1, 
        ('アイテム別限界値DB'!$B:$B = D$10) * 
        ('アイテム別限界値DB'!$C:$C = D40) * 
        ('アイテム別限界値DB'!$F:$F = E40), 
        0
      )
    ), 
    "再製作"
  )
)
</f>
        <v/>
      </c>
      <c r="G40" s="121"/>
      <c r="H40" s="11"/>
      <c r="I40" s="11"/>
      <c r="J40" s="220"/>
      <c r="K40" s="184"/>
      <c r="L40" s="11"/>
      <c r="M40" s="11"/>
      <c r="N40" s="11"/>
      <c r="O40" s="220"/>
      <c r="P40" s="184"/>
      <c r="Q40" s="11"/>
      <c r="R40" s="12"/>
      <c r="S40" s="11"/>
      <c r="T40" s="220"/>
      <c r="U40" s="184"/>
      <c r="V40" s="11"/>
      <c r="W40" s="11"/>
      <c r="X40" s="11"/>
      <c r="Y40" s="220"/>
      <c r="Z40" s="184"/>
      <c r="AA40" s="11"/>
      <c r="AB40" s="11"/>
      <c r="AC40" s="11"/>
      <c r="AD40" s="220"/>
      <c r="AE40" s="184"/>
      <c r="AF40" s="11"/>
      <c r="AG40" s="11"/>
      <c r="AH40" s="11"/>
      <c r="AI40" s="220"/>
      <c r="AJ40" s="184"/>
      <c r="AK40" s="11"/>
      <c r="AL40" s="11"/>
      <c r="AM40" s="11"/>
      <c r="AN40" s="220"/>
      <c r="AO40" s="184"/>
      <c r="AP40" s="11"/>
      <c r="AQ40" s="11"/>
      <c r="AR40" s="11"/>
      <c r="AS40" s="220"/>
      <c r="AT40" s="184"/>
      <c r="AU40" s="11"/>
      <c r="AV40" s="11"/>
      <c r="AW40" s="11"/>
      <c r="AX40" s="220"/>
      <c r="AY40" s="184"/>
      <c r="AZ40" s="11"/>
      <c r="BA40" s="11"/>
      <c r="BB40" s="11"/>
      <c r="BC40" s="220"/>
      <c r="BD40" s="184"/>
      <c r="BE40" s="11"/>
      <c r="BF40" s="11"/>
      <c r="BG40" s="11"/>
      <c r="BH40" s="220"/>
      <c r="BI40" s="184"/>
      <c r="BJ40" s="11"/>
      <c r="BK40" s="11"/>
      <c r="BL40" s="11"/>
      <c r="BM40" s="220"/>
      <c r="BN40" s="184"/>
      <c r="BO40" s="11"/>
      <c r="BP40" s="11"/>
    </row>
    <row r="41">
      <c r="A41" s="244" t="str">
        <f>if($A$39&lt;&gt;"", "《仕上がり数値》","")</f>
        <v/>
      </c>
      <c r="B41" s="160"/>
      <c r="C41" s="11"/>
      <c r="D41" s="11" t="s">
        <v>119</v>
      </c>
      <c r="E41" s="230"/>
      <c r="F41" s="231" t="str">
        <f t="array" ref="F41">IF(
  E41 = 0, 
  "", 
  IFERROR(
    INDEX(
      'アイテム別限界値DB'!$I:$I, 
      MATCH(
        1, 
        ('アイテム別限界値DB'!$B:$B = D$10) * 
        ('アイテム別限界値DB'!$C:$C = D41) * 
        ('アイテム別限界値DB'!$F:$F = E41), 
        0
      )
    ), 
    "再製作"
  )
)
</f>
        <v/>
      </c>
      <c r="G41" s="195"/>
      <c r="H41" s="11"/>
      <c r="I41" s="11"/>
      <c r="J41" s="220"/>
      <c r="K41" s="184"/>
      <c r="L41" s="11"/>
      <c r="M41" s="11"/>
      <c r="N41" s="11"/>
      <c r="O41" s="220"/>
      <c r="P41" s="184"/>
      <c r="Q41" s="11"/>
      <c r="R41" s="12"/>
      <c r="S41" s="11"/>
      <c r="T41" s="220"/>
      <c r="U41" s="184"/>
      <c r="V41" s="11"/>
      <c r="W41" s="11"/>
      <c r="X41" s="11"/>
      <c r="Y41" s="220"/>
      <c r="Z41" s="184"/>
      <c r="AA41" s="11"/>
      <c r="AB41" s="11"/>
      <c r="AC41" s="11"/>
      <c r="AD41" s="220"/>
      <c r="AE41" s="184"/>
      <c r="AF41" s="11"/>
      <c r="AG41" s="11"/>
      <c r="AH41" s="11"/>
      <c r="AI41" s="220"/>
      <c r="AJ41" s="184"/>
      <c r="AK41" s="11"/>
      <c r="AL41" s="11"/>
      <c r="AM41" s="11"/>
      <c r="AN41" s="220"/>
      <c r="AO41" s="184"/>
      <c r="AP41" s="11"/>
      <c r="AQ41" s="11"/>
      <c r="AR41" s="11"/>
      <c r="AS41" s="220"/>
      <c r="AT41" s="184"/>
      <c r="AU41" s="11"/>
      <c r="AV41" s="11"/>
      <c r="AW41" s="11"/>
      <c r="AX41" s="220"/>
      <c r="AY41" s="184"/>
      <c r="AZ41" s="11"/>
      <c r="BA41" s="11"/>
      <c r="BB41" s="11"/>
      <c r="BC41" s="220"/>
      <c r="BD41" s="184"/>
      <c r="BE41" s="11"/>
      <c r="BF41" s="11"/>
      <c r="BG41" s="11"/>
      <c r="BH41" s="220"/>
      <c r="BI41" s="184"/>
      <c r="BJ41" s="11"/>
      <c r="BK41" s="11"/>
      <c r="BL41" s="11"/>
      <c r="BM41" s="220"/>
      <c r="BN41" s="184"/>
      <c r="BO41" s="11"/>
      <c r="BP41" s="11"/>
    </row>
    <row r="42">
      <c r="A42" s="228" t="str">
        <f>IFERROR(__xludf.DUMMYFUNCTION("TEXTJOIN(CHAR(10),TRUE,FILTER(ARRAYFORMULA(IF(AD$14:AD72&lt;&gt;"""",AC$14:AC72&amp;"" :  cm"","""")), AC$14:AC72 &lt;&gt;""""))"),"")</f>
        <v/>
      </c>
      <c r="B42" s="229"/>
      <c r="C42" s="11"/>
      <c r="D42" s="11" t="s">
        <v>120</v>
      </c>
      <c r="E42" s="230"/>
      <c r="F42" s="231" t="str">
        <f t="array" ref="F42">IF(
  E42 = 0, 
  "", 
  IFERROR(
    INDEX(
      'アイテム別限界値DB'!$I:$I, 
      MATCH(
        1, 
        ('アイテム別限界値DB'!$B:$B = D$10) * 
        ('アイテム別限界値DB'!$C:$C = D42) * 
        ('アイテム別限界値DB'!$F:$F = E42), 
        0
      )
    ), 
    "再製作"
  )
)
</f>
        <v/>
      </c>
      <c r="G42" s="195"/>
      <c r="H42" s="11"/>
      <c r="I42" s="11"/>
      <c r="J42" s="220"/>
      <c r="K42" s="184"/>
      <c r="L42" s="11"/>
      <c r="M42" s="11"/>
      <c r="N42" s="11"/>
      <c r="O42" s="220"/>
      <c r="P42" s="184"/>
      <c r="Q42" s="11"/>
      <c r="R42" s="12"/>
      <c r="S42" s="11"/>
      <c r="T42" s="220"/>
      <c r="U42" s="184"/>
      <c r="V42" s="11"/>
      <c r="W42" s="11"/>
      <c r="X42" s="11"/>
      <c r="Y42" s="220"/>
      <c r="Z42" s="184"/>
      <c r="AA42" s="11"/>
      <c r="AB42" s="11"/>
      <c r="AC42" s="11"/>
      <c r="AD42" s="220"/>
      <c r="AE42" s="184"/>
      <c r="AF42" s="11"/>
      <c r="AG42" s="11"/>
      <c r="AH42" s="11"/>
      <c r="AI42" s="220"/>
      <c r="AJ42" s="184"/>
      <c r="AK42" s="11"/>
      <c r="AL42" s="11"/>
      <c r="AM42" s="11"/>
      <c r="AN42" s="220"/>
      <c r="AO42" s="184"/>
      <c r="AP42" s="11"/>
      <c r="AQ42" s="11"/>
      <c r="AR42" s="11"/>
      <c r="AS42" s="220"/>
      <c r="AT42" s="184"/>
      <c r="AU42" s="11"/>
      <c r="AV42" s="11"/>
      <c r="AW42" s="11"/>
      <c r="AX42" s="220"/>
      <c r="AY42" s="184"/>
      <c r="AZ42" s="11"/>
      <c r="BA42" s="11"/>
      <c r="BB42" s="11"/>
      <c r="BC42" s="220"/>
      <c r="BD42" s="184"/>
      <c r="BE42" s="11"/>
      <c r="BF42" s="11"/>
      <c r="BG42" s="11"/>
      <c r="BH42" s="220"/>
      <c r="BI42" s="184"/>
      <c r="BJ42" s="11"/>
      <c r="BK42" s="11"/>
      <c r="BL42" s="11"/>
      <c r="BM42" s="220"/>
      <c r="BN42" s="184"/>
      <c r="BO42" s="11"/>
      <c r="BP42" s="11"/>
    </row>
    <row r="43">
      <c r="A43" s="222" t="s">
        <v>121</v>
      </c>
      <c r="B43" s="185"/>
      <c r="C43" s="11"/>
      <c r="D43" s="11"/>
      <c r="E43" s="11"/>
      <c r="F43" s="11"/>
      <c r="G43" s="11"/>
      <c r="H43" s="11"/>
      <c r="I43" s="11"/>
      <c r="J43" s="220"/>
      <c r="K43" s="184"/>
      <c r="L43" s="184"/>
      <c r="M43" s="11"/>
      <c r="N43" s="11"/>
      <c r="O43" s="195"/>
      <c r="P43" s="11"/>
      <c r="Q43" s="11"/>
      <c r="R43" s="12"/>
      <c r="S43" s="11"/>
      <c r="T43" s="220"/>
      <c r="U43" s="184"/>
      <c r="V43" s="184"/>
      <c r="W43" s="11"/>
      <c r="X43" s="11"/>
      <c r="Y43" s="220"/>
      <c r="Z43" s="184"/>
      <c r="AA43" s="184"/>
      <c r="AB43" s="11"/>
      <c r="AC43" s="11"/>
      <c r="AD43" s="220"/>
      <c r="AE43" s="184"/>
      <c r="AF43" s="184"/>
      <c r="AG43" s="11"/>
      <c r="AH43" s="11"/>
      <c r="AI43" s="220"/>
      <c r="AJ43" s="184"/>
      <c r="AK43" s="184"/>
      <c r="AL43" s="11"/>
      <c r="AM43" s="11"/>
      <c r="AN43" s="220"/>
      <c r="AO43" s="184"/>
      <c r="AP43" s="184"/>
      <c r="AQ43" s="11"/>
      <c r="AR43" s="11"/>
      <c r="AS43" s="220"/>
      <c r="AT43" s="184"/>
      <c r="AU43" s="184"/>
      <c r="AV43" s="11"/>
      <c r="AW43" s="11"/>
      <c r="AX43" s="220"/>
      <c r="AY43" s="184"/>
      <c r="AZ43" s="184"/>
      <c r="BA43" s="11"/>
      <c r="BB43" s="11"/>
      <c r="BC43" s="220"/>
      <c r="BD43" s="184"/>
      <c r="BE43" s="184"/>
      <c r="BF43" s="11"/>
      <c r="BG43" s="11"/>
      <c r="BH43" s="220"/>
      <c r="BI43" s="184"/>
      <c r="BJ43" s="184"/>
      <c r="BK43" s="184"/>
      <c r="BL43" s="184"/>
      <c r="BM43" s="184"/>
      <c r="BN43" s="184"/>
      <c r="BO43" s="184"/>
      <c r="BP43" s="184"/>
    </row>
    <row r="44">
      <c r="A44" s="245" t="str">
        <f>IF( $AH$11 = "再製作", "◼︎ アルスターコート（対応着地：再製作）" &amp; char(10) &amp; "《修正数値》", IF($AH$11 &lt;&gt; "", "◼︎ アルスターコート（対応着地：お直し）" &amp; char(10) &amp; "《修正数値》", ""))</f>
        <v/>
      </c>
      <c r="B44" s="187"/>
      <c r="C44" s="11"/>
      <c r="D44" s="11"/>
      <c r="E44" s="220"/>
      <c r="F44" s="220"/>
      <c r="G44" s="220"/>
      <c r="H44" s="11"/>
      <c r="I44" s="11"/>
      <c r="J44" s="220"/>
      <c r="K44" s="184"/>
      <c r="L44" s="184"/>
      <c r="M44" s="11"/>
      <c r="N44" s="11"/>
      <c r="O44" s="195"/>
      <c r="P44" s="11"/>
      <c r="Q44" s="11"/>
      <c r="R44" s="12"/>
      <c r="S44" s="11"/>
      <c r="T44" s="220"/>
      <c r="U44" s="184"/>
      <c r="V44" s="184"/>
      <c r="W44" s="11"/>
      <c r="X44" s="11"/>
      <c r="Y44" s="220"/>
      <c r="Z44" s="184"/>
      <c r="AA44" s="184"/>
      <c r="AB44" s="11"/>
      <c r="AC44" s="11"/>
      <c r="AD44" s="220"/>
      <c r="AE44" s="184"/>
      <c r="AF44" s="184"/>
      <c r="AG44" s="11"/>
      <c r="AH44" s="11"/>
      <c r="AI44" s="220"/>
      <c r="AJ44" s="184"/>
      <c r="AK44" s="184"/>
      <c r="AL44" s="11"/>
      <c r="AM44" s="11"/>
      <c r="AN44" s="220"/>
      <c r="AO44" s="184"/>
      <c r="AP44" s="184"/>
      <c r="AQ44" s="11"/>
      <c r="AR44" s="11"/>
      <c r="AS44" s="220"/>
      <c r="AT44" s="184"/>
      <c r="AU44" s="184"/>
      <c r="AV44" s="11"/>
      <c r="AW44" s="11"/>
      <c r="AX44" s="220"/>
      <c r="AY44" s="184"/>
      <c r="AZ44" s="184"/>
      <c r="BA44" s="11"/>
      <c r="BB44" s="11"/>
      <c r="BC44" s="220"/>
      <c r="BD44" s="184"/>
      <c r="BE44" s="184"/>
      <c r="BF44" s="11"/>
      <c r="BG44" s="11"/>
      <c r="BH44" s="220"/>
      <c r="BI44" s="184"/>
      <c r="BJ44" s="184"/>
      <c r="BK44" s="184"/>
      <c r="BL44" s="184"/>
      <c r="BM44" s="184"/>
      <c r="BN44" s="184"/>
      <c r="BO44" s="184"/>
      <c r="BP44" s="184"/>
    </row>
    <row r="45">
      <c r="A45" s="228" t="str">
        <f>IFERROR(__xludf.DUMMYFUNCTION("TEXTJOIN(CHAR(10),TRUE,FILTER(ARRAYFORMULA(IF($AI$14:$AI72&lt;&gt;"""",AH$14:AH72&amp;"" : ""&amp; AI$14:AI72 &amp;"" cm"","""")), AH$14:AH72 &lt;&gt;""""))"),"")</f>
        <v/>
      </c>
      <c r="B45" s="246"/>
      <c r="C45" s="11"/>
      <c r="D45" s="11"/>
      <c r="E45" s="220"/>
      <c r="F45" s="220"/>
      <c r="G45" s="220"/>
      <c r="H45" s="11"/>
      <c r="I45" s="11"/>
      <c r="J45" s="220"/>
      <c r="K45" s="184"/>
      <c r="L45" s="184"/>
      <c r="M45" s="11"/>
      <c r="N45" s="11"/>
      <c r="O45" s="195"/>
      <c r="P45" s="11"/>
      <c r="Q45" s="11"/>
      <c r="R45" s="12"/>
      <c r="S45" s="11"/>
      <c r="T45" s="220"/>
      <c r="U45" s="184"/>
      <c r="V45" s="184"/>
      <c r="W45" s="11"/>
      <c r="X45" s="11"/>
      <c r="Y45" s="220"/>
      <c r="Z45" s="184"/>
      <c r="AA45" s="184"/>
      <c r="AB45" s="11"/>
      <c r="AC45" s="11"/>
      <c r="AD45" s="220"/>
      <c r="AE45" s="184"/>
      <c r="AF45" s="184"/>
      <c r="AG45" s="11"/>
      <c r="AH45" s="11"/>
      <c r="AI45" s="220"/>
      <c r="AJ45" s="184"/>
      <c r="AK45" s="184"/>
      <c r="AL45" s="11"/>
      <c r="AM45" s="11"/>
      <c r="AN45" s="220"/>
      <c r="AO45" s="184"/>
      <c r="AP45" s="184"/>
      <c r="AQ45" s="11"/>
      <c r="AR45" s="11"/>
      <c r="AS45" s="220"/>
      <c r="AT45" s="184"/>
      <c r="AU45" s="184"/>
      <c r="AV45" s="11"/>
      <c r="AW45" s="11"/>
      <c r="AX45" s="220"/>
      <c r="AY45" s="184"/>
      <c r="AZ45" s="184"/>
      <c r="BA45" s="11"/>
      <c r="BB45" s="11"/>
      <c r="BC45" s="220"/>
      <c r="BD45" s="184"/>
      <c r="BE45" s="184"/>
      <c r="BF45" s="11"/>
      <c r="BG45" s="11"/>
      <c r="BH45" s="220"/>
      <c r="BI45" s="184"/>
      <c r="BJ45" s="184"/>
      <c r="BK45" s="184"/>
      <c r="BL45" s="184"/>
      <c r="BM45" s="184"/>
      <c r="BN45" s="184"/>
      <c r="BO45" s="184"/>
      <c r="BP45" s="184"/>
    </row>
    <row r="46">
      <c r="A46" s="242" t="str">
        <f>if($A$44&lt;&gt;"", "《仕上がり数値》","")</f>
        <v/>
      </c>
      <c r="B46" s="240"/>
      <c r="C46" s="11"/>
      <c r="D46" s="11"/>
      <c r="E46" s="220"/>
      <c r="F46" s="220"/>
      <c r="G46" s="220"/>
      <c r="H46" s="11"/>
      <c r="I46" s="11"/>
      <c r="J46" s="220"/>
      <c r="K46" s="184"/>
      <c r="L46" s="184"/>
      <c r="M46" s="11"/>
      <c r="N46" s="11"/>
      <c r="O46" s="195"/>
      <c r="P46" s="11"/>
      <c r="Q46" s="11"/>
      <c r="R46" s="12"/>
      <c r="S46" s="11"/>
      <c r="T46" s="220"/>
      <c r="U46" s="184"/>
      <c r="V46" s="184"/>
      <c r="W46" s="11"/>
      <c r="X46" s="11"/>
      <c r="Y46" s="220"/>
      <c r="Z46" s="184"/>
      <c r="AA46" s="184"/>
      <c r="AB46" s="11"/>
      <c r="AC46" s="11"/>
      <c r="AD46" s="220"/>
      <c r="AE46" s="184"/>
      <c r="AF46" s="184"/>
      <c r="AG46" s="11"/>
      <c r="AH46" s="11"/>
      <c r="AI46" s="220"/>
      <c r="AJ46" s="184"/>
      <c r="AK46" s="184"/>
      <c r="AL46" s="11"/>
      <c r="AM46" s="11"/>
      <c r="AN46" s="220"/>
      <c r="AO46" s="184"/>
      <c r="AP46" s="184"/>
      <c r="AQ46" s="11"/>
      <c r="AR46" s="11"/>
      <c r="AS46" s="220"/>
      <c r="AT46" s="184"/>
      <c r="AU46" s="184"/>
      <c r="AV46" s="11"/>
      <c r="AW46" s="11"/>
      <c r="AX46" s="220"/>
      <c r="AY46" s="184"/>
      <c r="AZ46" s="184"/>
      <c r="BA46" s="11"/>
      <c r="BB46" s="11"/>
      <c r="BC46" s="220"/>
      <c r="BD46" s="184"/>
      <c r="BE46" s="184"/>
      <c r="BF46" s="11"/>
      <c r="BG46" s="11"/>
      <c r="BH46" s="220"/>
      <c r="BI46" s="184"/>
      <c r="BJ46" s="184"/>
      <c r="BK46" s="184"/>
      <c r="BL46" s="184"/>
      <c r="BM46" s="184"/>
      <c r="BN46" s="184"/>
      <c r="BO46" s="184"/>
      <c r="BP46" s="184"/>
    </row>
    <row r="47">
      <c r="A47" s="228" t="str">
        <f>IFERROR(__xludf.DUMMYFUNCTION("TEXTJOIN(CHAR(10),TRUE,FILTER(ARRAYFORMULA(IF($AI$14:$AI72&lt;&gt;"""",AH$14:AH72&amp;"" :  cm"","""")), AH$14:AH72 &lt;&gt;""""))"),"")</f>
        <v/>
      </c>
      <c r="B47" s="240"/>
      <c r="C47" s="11"/>
      <c r="D47" s="11"/>
      <c r="E47" s="220"/>
      <c r="F47" s="220"/>
      <c r="G47" s="220"/>
      <c r="H47" s="11"/>
      <c r="I47" s="11"/>
      <c r="J47" s="220"/>
      <c r="K47" s="184"/>
      <c r="L47" s="184"/>
      <c r="M47" s="11"/>
      <c r="N47" s="11"/>
      <c r="O47" s="195"/>
      <c r="P47" s="11"/>
      <c r="Q47" s="11"/>
      <c r="R47" s="12"/>
      <c r="S47" s="11"/>
      <c r="T47" s="220"/>
      <c r="U47" s="184"/>
      <c r="V47" s="184"/>
      <c r="W47" s="11"/>
      <c r="X47" s="11"/>
      <c r="Y47" s="220"/>
      <c r="Z47" s="184"/>
      <c r="AA47" s="184"/>
      <c r="AB47" s="11"/>
      <c r="AC47" s="11"/>
      <c r="AD47" s="220"/>
      <c r="AE47" s="184"/>
      <c r="AF47" s="184"/>
      <c r="AG47" s="11"/>
      <c r="AH47" s="11"/>
      <c r="AI47" s="220"/>
      <c r="AJ47" s="184"/>
      <c r="AK47" s="184"/>
      <c r="AL47" s="11"/>
      <c r="AM47" s="11"/>
      <c r="AN47" s="220"/>
      <c r="AO47" s="184"/>
      <c r="AP47" s="184"/>
      <c r="AQ47" s="11"/>
      <c r="AR47" s="11"/>
      <c r="AS47" s="220"/>
      <c r="AT47" s="184"/>
      <c r="AU47" s="184"/>
      <c r="AV47" s="11"/>
      <c r="AW47" s="11"/>
      <c r="AX47" s="220"/>
      <c r="AY47" s="184"/>
      <c r="AZ47" s="184"/>
      <c r="BA47" s="11"/>
      <c r="BB47" s="11"/>
      <c r="BC47" s="220"/>
      <c r="BD47" s="184"/>
      <c r="BE47" s="184"/>
      <c r="BF47" s="11"/>
      <c r="BG47" s="11"/>
      <c r="BH47" s="220"/>
      <c r="BI47" s="184"/>
      <c r="BJ47" s="184"/>
      <c r="BK47" s="184"/>
      <c r="BL47" s="184"/>
      <c r="BM47" s="184"/>
      <c r="BN47" s="184"/>
      <c r="BO47" s="184"/>
      <c r="BP47" s="184"/>
    </row>
    <row r="48">
      <c r="A48" s="237" t="s">
        <v>122</v>
      </c>
      <c r="B48" s="240"/>
      <c r="C48" s="11"/>
      <c r="D48" s="11"/>
      <c r="E48" s="220"/>
      <c r="F48" s="220"/>
      <c r="G48" s="220"/>
      <c r="H48" s="11"/>
      <c r="I48" s="11"/>
      <c r="J48" s="220"/>
      <c r="K48" s="184"/>
      <c r="L48" s="184"/>
      <c r="M48" s="11"/>
      <c r="N48" s="11"/>
      <c r="O48" s="195"/>
      <c r="P48" s="11"/>
      <c r="Q48" s="11"/>
      <c r="R48" s="12"/>
      <c r="S48" s="11"/>
      <c r="T48" s="220"/>
      <c r="U48" s="184"/>
      <c r="V48" s="184"/>
      <c r="W48" s="11"/>
      <c r="X48" s="11"/>
      <c r="Y48" s="220"/>
      <c r="Z48" s="184"/>
      <c r="AA48" s="184"/>
      <c r="AB48" s="11"/>
      <c r="AC48" s="11"/>
      <c r="AD48" s="220"/>
      <c r="AE48" s="184"/>
      <c r="AF48" s="184"/>
      <c r="AG48" s="11"/>
      <c r="AH48" s="11"/>
      <c r="AI48" s="220"/>
      <c r="AJ48" s="184"/>
      <c r="AK48" s="184"/>
      <c r="AL48" s="11"/>
      <c r="AM48" s="11"/>
      <c r="AN48" s="220"/>
      <c r="AO48" s="184"/>
      <c r="AP48" s="184"/>
      <c r="AQ48" s="11"/>
      <c r="AR48" s="11"/>
      <c r="AS48" s="220"/>
      <c r="AT48" s="184"/>
      <c r="AU48" s="184"/>
      <c r="AV48" s="11"/>
      <c r="AW48" s="11"/>
      <c r="AX48" s="220"/>
      <c r="AY48" s="184"/>
      <c r="AZ48" s="184"/>
      <c r="BA48" s="11"/>
      <c r="BB48" s="11"/>
      <c r="BC48" s="220"/>
      <c r="BD48" s="184"/>
      <c r="BE48" s="184"/>
      <c r="BF48" s="11"/>
      <c r="BG48" s="11"/>
      <c r="BH48" s="220"/>
      <c r="BI48" s="184"/>
      <c r="BJ48" s="184"/>
      <c r="BK48" s="184"/>
      <c r="BL48" s="184"/>
      <c r="BM48" s="184"/>
      <c r="BN48" s="184"/>
      <c r="BO48" s="184"/>
      <c r="BP48" s="184"/>
    </row>
    <row r="49">
      <c r="A49" s="245" t="str">
        <f>IF( $AM$11 = "再製作", "◼︎ ショートステンカラーコート（対応着地：再製作）" &amp; char(10) &amp; "《修正数値》", IF($AM$11 &lt;&gt; "", "◼︎ ショートステンカラーコート（対応着地：お直し）"  &amp; char(10) &amp; "《修正数値》", ""))</f>
        <v/>
      </c>
      <c r="B49" s="240"/>
      <c r="C49" s="11"/>
      <c r="D49" s="11"/>
      <c r="E49" s="220"/>
      <c r="F49" s="220"/>
      <c r="G49" s="220"/>
      <c r="H49" s="11"/>
      <c r="I49" s="11"/>
      <c r="J49" s="220"/>
      <c r="K49" s="184"/>
      <c r="L49" s="184"/>
      <c r="M49" s="11"/>
      <c r="N49" s="11"/>
      <c r="O49" s="195"/>
      <c r="P49" s="11"/>
      <c r="Q49" s="11"/>
      <c r="R49" s="12"/>
      <c r="S49" s="11"/>
      <c r="T49" s="220"/>
      <c r="U49" s="184"/>
      <c r="V49" s="184"/>
      <c r="W49" s="11"/>
      <c r="X49" s="11"/>
      <c r="Y49" s="220"/>
      <c r="Z49" s="184"/>
      <c r="AA49" s="184"/>
      <c r="AB49" s="11"/>
      <c r="AC49" s="11"/>
      <c r="AD49" s="220"/>
      <c r="AE49" s="184"/>
      <c r="AF49" s="184"/>
      <c r="AG49" s="11"/>
      <c r="AH49" s="11"/>
      <c r="AI49" s="220"/>
      <c r="AJ49" s="184"/>
      <c r="AK49" s="184"/>
      <c r="AL49" s="11"/>
      <c r="AM49" s="11"/>
      <c r="AN49" s="220"/>
      <c r="AO49" s="184"/>
      <c r="AP49" s="184"/>
      <c r="AQ49" s="11"/>
      <c r="AR49" s="11"/>
      <c r="AS49" s="220"/>
      <c r="AT49" s="184"/>
      <c r="AU49" s="184"/>
      <c r="AV49" s="11"/>
      <c r="AW49" s="11"/>
      <c r="AX49" s="220"/>
      <c r="AY49" s="184"/>
      <c r="AZ49" s="184"/>
      <c r="BA49" s="11"/>
      <c r="BB49" s="11"/>
      <c r="BC49" s="220"/>
      <c r="BD49" s="184"/>
      <c r="BE49" s="184"/>
      <c r="BF49" s="11"/>
      <c r="BG49" s="11"/>
      <c r="BH49" s="220"/>
      <c r="BI49" s="184"/>
      <c r="BJ49" s="184"/>
      <c r="BK49" s="184"/>
      <c r="BL49" s="184"/>
      <c r="BM49" s="184"/>
      <c r="BN49" s="184"/>
      <c r="BO49" s="184"/>
      <c r="BP49" s="184"/>
    </row>
    <row r="50">
      <c r="A50" s="228" t="str">
        <f>IFERROR(__xludf.DUMMYFUNCTION("TEXTJOIN(CHAR(10),TRUE,FILTER(ARRAYFORMULA(IF(AN$14:AN72&lt;&gt;"""",AM$14:AM72&amp;"" : ""&amp; AN$14:AN72 &amp;"" cm"" &amp; ""（仕上がり寸：cm）"","""")), AM$14:AM72 &lt;&gt;""""))"),"")</f>
        <v/>
      </c>
      <c r="B50" s="240"/>
      <c r="C50" s="11"/>
      <c r="D50" s="11"/>
      <c r="E50" s="220"/>
      <c r="F50" s="220"/>
      <c r="G50" s="220"/>
      <c r="H50" s="11"/>
      <c r="I50" s="11"/>
      <c r="J50" s="220"/>
      <c r="K50" s="184"/>
      <c r="L50" s="184"/>
      <c r="M50" s="11"/>
      <c r="N50" s="11"/>
      <c r="O50" s="195"/>
      <c r="P50" s="11"/>
      <c r="Q50" s="11"/>
      <c r="R50" s="12"/>
      <c r="S50" s="11"/>
      <c r="T50" s="220"/>
      <c r="U50" s="184"/>
      <c r="V50" s="184"/>
      <c r="W50" s="11"/>
      <c r="X50" s="11"/>
      <c r="Y50" s="220"/>
      <c r="Z50" s="184"/>
      <c r="AA50" s="184"/>
      <c r="AB50" s="11"/>
      <c r="AC50" s="11"/>
      <c r="AD50" s="220"/>
      <c r="AE50" s="184"/>
      <c r="AF50" s="184"/>
      <c r="AG50" s="11"/>
      <c r="AH50" s="11"/>
      <c r="AI50" s="220"/>
      <c r="AJ50" s="184"/>
      <c r="AK50" s="184"/>
      <c r="AL50" s="11"/>
      <c r="AM50" s="11"/>
      <c r="AN50" s="220"/>
      <c r="AO50" s="184"/>
      <c r="AP50" s="184"/>
      <c r="AQ50" s="11"/>
      <c r="AR50" s="11"/>
      <c r="AS50" s="220"/>
      <c r="AT50" s="184"/>
      <c r="AU50" s="184"/>
      <c r="AV50" s="11"/>
      <c r="AW50" s="11"/>
      <c r="AX50" s="220"/>
      <c r="AY50" s="184"/>
      <c r="AZ50" s="184"/>
      <c r="BA50" s="11"/>
      <c r="BB50" s="11"/>
      <c r="BC50" s="220"/>
      <c r="BD50" s="184"/>
      <c r="BE50" s="184"/>
      <c r="BF50" s="11"/>
      <c r="BG50" s="11"/>
      <c r="BH50" s="220"/>
      <c r="BI50" s="184"/>
      <c r="BJ50" s="184"/>
      <c r="BK50" s="184"/>
      <c r="BL50" s="184"/>
      <c r="BM50" s="184"/>
      <c r="BN50" s="184"/>
      <c r="BO50" s="184"/>
      <c r="BP50" s="184"/>
    </row>
    <row r="51">
      <c r="A51" s="244" t="str">
        <f>if($A$49&lt;&gt;"", "《仕上がり数値》","")</f>
        <v/>
      </c>
      <c r="B51" s="240"/>
      <c r="C51" s="11"/>
      <c r="D51" s="11"/>
      <c r="E51" s="220"/>
      <c r="F51" s="220"/>
      <c r="G51" s="220"/>
      <c r="H51" s="11"/>
      <c r="I51" s="11"/>
      <c r="J51" s="220"/>
      <c r="K51" s="184"/>
      <c r="L51" s="184"/>
      <c r="M51" s="11"/>
      <c r="N51" s="11"/>
      <c r="O51" s="195"/>
      <c r="P51" s="11"/>
      <c r="Q51" s="11"/>
      <c r="R51" s="12"/>
      <c r="S51" s="11"/>
      <c r="T51" s="220"/>
      <c r="U51" s="184"/>
      <c r="V51" s="184"/>
      <c r="W51" s="11"/>
      <c r="X51" s="11"/>
      <c r="Y51" s="220"/>
      <c r="Z51" s="184"/>
      <c r="AA51" s="184"/>
      <c r="AB51" s="11"/>
      <c r="AC51" s="11"/>
      <c r="AD51" s="220"/>
      <c r="AE51" s="184"/>
      <c r="AF51" s="184"/>
      <c r="AG51" s="11"/>
      <c r="AH51" s="11"/>
      <c r="AI51" s="220"/>
      <c r="AJ51" s="184"/>
      <c r="AK51" s="184"/>
      <c r="AL51" s="11"/>
      <c r="AM51" s="11"/>
      <c r="AN51" s="220"/>
      <c r="AO51" s="184"/>
      <c r="AP51" s="184"/>
      <c r="AQ51" s="11"/>
      <c r="AR51" s="11"/>
      <c r="AS51" s="220"/>
      <c r="AT51" s="184"/>
      <c r="AU51" s="184"/>
      <c r="AV51" s="11"/>
      <c r="AW51" s="11"/>
      <c r="AX51" s="220"/>
      <c r="AY51" s="184"/>
      <c r="AZ51" s="184"/>
      <c r="BA51" s="11"/>
      <c r="BB51" s="11"/>
      <c r="BC51" s="220"/>
      <c r="BD51" s="184"/>
      <c r="BE51" s="184"/>
      <c r="BF51" s="11"/>
      <c r="BG51" s="11"/>
      <c r="BH51" s="220"/>
      <c r="BI51" s="184"/>
      <c r="BJ51" s="184"/>
      <c r="BK51" s="184"/>
      <c r="BL51" s="184"/>
      <c r="BM51" s="184"/>
      <c r="BN51" s="184"/>
      <c r="BO51" s="184"/>
      <c r="BP51" s="184"/>
    </row>
    <row r="52">
      <c r="A52" s="228" t="str">
        <f>IFERROR(__xludf.DUMMYFUNCTION("TEXTJOIN(CHAR(10),TRUE,FILTER(ARRAYFORMULA(IF(AN$14:AN72&lt;&gt;"""",AM$14:AM72&amp;"" : ""&amp; AN$14:AN72 &amp;"" cm"" &amp; ""（仕上がり寸：cm）"","""")), AM$14:AM72 &lt;&gt;""""))"),"")</f>
        <v/>
      </c>
      <c r="B52" s="240"/>
      <c r="C52" s="11"/>
      <c r="D52" s="11"/>
      <c r="E52" s="220"/>
      <c r="F52" s="220"/>
      <c r="G52" s="220"/>
      <c r="H52" s="11"/>
      <c r="I52" s="11"/>
      <c r="J52" s="220"/>
      <c r="K52" s="184"/>
      <c r="L52" s="184"/>
      <c r="M52" s="11"/>
      <c r="N52" s="11"/>
      <c r="O52" s="195"/>
      <c r="P52" s="11"/>
      <c r="Q52" s="11"/>
      <c r="R52" s="12"/>
      <c r="S52" s="11"/>
      <c r="T52" s="220"/>
      <c r="U52" s="184"/>
      <c r="V52" s="184"/>
      <c r="W52" s="11"/>
      <c r="X52" s="11"/>
      <c r="Y52" s="220"/>
      <c r="Z52" s="184"/>
      <c r="AA52" s="184"/>
      <c r="AB52" s="11"/>
      <c r="AC52" s="11"/>
      <c r="AD52" s="220"/>
      <c r="AE52" s="184"/>
      <c r="AF52" s="184"/>
      <c r="AG52" s="11"/>
      <c r="AH52" s="11"/>
      <c r="AI52" s="220"/>
      <c r="AJ52" s="184"/>
      <c r="AK52" s="184"/>
      <c r="AL52" s="11"/>
      <c r="AM52" s="11"/>
      <c r="AN52" s="220"/>
      <c r="AO52" s="184"/>
      <c r="AP52" s="184"/>
      <c r="AQ52" s="11"/>
      <c r="AR52" s="11"/>
      <c r="AS52" s="220"/>
      <c r="AT52" s="184"/>
      <c r="AU52" s="184"/>
      <c r="AV52" s="11"/>
      <c r="AW52" s="11"/>
      <c r="AX52" s="220"/>
      <c r="AY52" s="184"/>
      <c r="AZ52" s="184"/>
      <c r="BA52" s="11"/>
      <c r="BB52" s="11"/>
      <c r="BC52" s="220"/>
      <c r="BD52" s="184"/>
      <c r="BE52" s="184"/>
      <c r="BF52" s="11"/>
      <c r="BG52" s="11"/>
      <c r="BH52" s="220"/>
      <c r="BI52" s="184"/>
      <c r="BJ52" s="184"/>
      <c r="BK52" s="184"/>
      <c r="BL52" s="184"/>
      <c r="BM52" s="184"/>
      <c r="BN52" s="184"/>
      <c r="BO52" s="184"/>
      <c r="BP52" s="184"/>
    </row>
    <row r="53">
      <c r="A53" s="243" t="s">
        <v>123</v>
      </c>
      <c r="B53" s="240"/>
      <c r="C53" s="11"/>
      <c r="D53" s="11"/>
      <c r="E53" s="220"/>
      <c r="F53" s="220"/>
      <c r="G53" s="220"/>
      <c r="H53" s="11"/>
      <c r="I53" s="11"/>
      <c r="J53" s="220"/>
      <c r="K53" s="184"/>
      <c r="L53" s="184"/>
      <c r="M53" s="11"/>
      <c r="N53" s="11"/>
      <c r="O53" s="195"/>
      <c r="P53" s="11"/>
      <c r="Q53" s="11"/>
      <c r="R53" s="12"/>
      <c r="S53" s="11"/>
      <c r="T53" s="220"/>
      <c r="U53" s="184"/>
      <c r="V53" s="184"/>
      <c r="W53" s="11"/>
      <c r="X53" s="11"/>
      <c r="Y53" s="220"/>
      <c r="Z53" s="184"/>
      <c r="AA53" s="184"/>
      <c r="AB53" s="11"/>
      <c r="AC53" s="11"/>
      <c r="AD53" s="220"/>
      <c r="AE53" s="184"/>
      <c r="AF53" s="184"/>
      <c r="AG53" s="11"/>
      <c r="AH53" s="11"/>
      <c r="AI53" s="220"/>
      <c r="AJ53" s="184"/>
      <c r="AK53" s="184"/>
      <c r="AL53" s="11"/>
      <c r="AM53" s="11"/>
      <c r="AN53" s="220"/>
      <c r="AO53" s="184"/>
      <c r="AP53" s="184"/>
      <c r="AQ53" s="11"/>
      <c r="AR53" s="11"/>
      <c r="AS53" s="220"/>
      <c r="AT53" s="184"/>
      <c r="AU53" s="184"/>
      <c r="AV53" s="11"/>
      <c r="AW53" s="11"/>
      <c r="AX53" s="220"/>
      <c r="AY53" s="184"/>
      <c r="AZ53" s="184"/>
      <c r="BA53" s="11"/>
      <c r="BB53" s="11"/>
      <c r="BC53" s="220"/>
      <c r="BD53" s="184"/>
      <c r="BE53" s="184"/>
      <c r="BF53" s="11"/>
      <c r="BG53" s="11"/>
      <c r="BH53" s="220"/>
      <c r="BI53" s="184"/>
      <c r="BJ53" s="184"/>
      <c r="BK53" s="184"/>
      <c r="BL53" s="184"/>
      <c r="BM53" s="184"/>
      <c r="BN53" s="184"/>
      <c r="BO53" s="184"/>
      <c r="BP53" s="184"/>
    </row>
    <row r="54">
      <c r="A54" s="245" t="str">
        <f>IF( $AR$11 = "再製作", "◼︎ ステンカラーコート（対応着地：再製作）" &amp;char(10)&amp; "《修正数値》", IF($AR$11 &lt;&gt; "", "◼︎ ステンカラーコート（対応着地：お直し）" &amp;char(10)&amp; "《修正数値》", ""))</f>
        <v>◼︎ ステンカラーコート（対応着地：お直し）
《修正数値》</v>
      </c>
      <c r="B54" s="240"/>
      <c r="C54" s="11"/>
      <c r="D54" s="11"/>
      <c r="E54" s="220"/>
      <c r="F54" s="220"/>
      <c r="G54" s="220"/>
      <c r="H54" s="11"/>
      <c r="I54" s="11"/>
      <c r="J54" s="220"/>
      <c r="K54" s="184"/>
      <c r="L54" s="184"/>
      <c r="M54" s="11"/>
      <c r="N54" s="11"/>
      <c r="O54" s="195"/>
      <c r="P54" s="11"/>
      <c r="Q54" s="11"/>
      <c r="R54" s="12"/>
      <c r="S54" s="11"/>
      <c r="T54" s="220"/>
      <c r="U54" s="184"/>
      <c r="V54" s="184"/>
      <c r="W54" s="11"/>
      <c r="X54" s="11"/>
      <c r="Y54" s="220"/>
      <c r="Z54" s="184"/>
      <c r="AA54" s="184"/>
      <c r="AB54" s="11"/>
      <c r="AC54" s="11"/>
      <c r="AD54" s="220"/>
      <c r="AE54" s="184"/>
      <c r="AF54" s="184"/>
      <c r="AG54" s="11"/>
      <c r="AH54" s="11"/>
      <c r="AI54" s="220"/>
      <c r="AJ54" s="184"/>
      <c r="AK54" s="184"/>
      <c r="AL54" s="11"/>
      <c r="AM54" s="11"/>
      <c r="AN54" s="220"/>
      <c r="AO54" s="184"/>
      <c r="AP54" s="184"/>
      <c r="AQ54" s="11"/>
      <c r="AR54" s="11"/>
      <c r="AS54" s="220"/>
      <c r="AT54" s="184"/>
      <c r="AU54" s="184"/>
      <c r="AV54" s="11"/>
      <c r="AW54" s="11"/>
      <c r="AX54" s="220"/>
      <c r="AY54" s="184"/>
      <c r="AZ54" s="184"/>
      <c r="BA54" s="11"/>
      <c r="BB54" s="11"/>
      <c r="BC54" s="220"/>
      <c r="BD54" s="184"/>
      <c r="BE54" s="184"/>
      <c r="BF54" s="11"/>
      <c r="BG54" s="11"/>
      <c r="BH54" s="220"/>
      <c r="BI54" s="184"/>
      <c r="BJ54" s="184"/>
      <c r="BK54" s="184"/>
      <c r="BL54" s="184"/>
      <c r="BM54" s="184"/>
      <c r="BN54" s="184"/>
      <c r="BO54" s="184"/>
      <c r="BP54" s="184"/>
    </row>
    <row r="55">
      <c r="A55" s="228" t="str">
        <f>IFERROR(__xludf.DUMMYFUNCTION("TEXTJOIN(CHAR(10),TRUE,FILTER(ARRAYFORMULA(IF(AS$14:AS72&lt;&gt;"""",AR$14:AR72&amp;"" : ""&amp; AS$14:AS72 &amp;"" cm"","""")), AR$14:AR72 &lt;&gt;""""))"),"ウエスト : -4 cm
着丈 : -5 cm
裾まわり : -4 cm")</f>
        <v>ウエスト : -4 cm
着丈 : -5 cm
裾まわり : -4 cm</v>
      </c>
      <c r="B55" s="240"/>
      <c r="C55" s="11"/>
      <c r="D55" s="11"/>
      <c r="E55" s="220"/>
      <c r="F55" s="220"/>
      <c r="G55" s="220"/>
      <c r="H55" s="11"/>
      <c r="I55" s="11"/>
      <c r="J55" s="220"/>
      <c r="K55" s="184"/>
      <c r="L55" s="184"/>
      <c r="M55" s="11"/>
      <c r="N55" s="11"/>
      <c r="O55" s="195"/>
      <c r="P55" s="11"/>
      <c r="Q55" s="11"/>
      <c r="R55" s="12"/>
      <c r="S55" s="11"/>
      <c r="T55" s="220"/>
      <c r="U55" s="184"/>
      <c r="V55" s="184"/>
      <c r="W55" s="11"/>
      <c r="X55" s="11"/>
      <c r="Y55" s="220"/>
      <c r="Z55" s="184"/>
      <c r="AA55" s="184"/>
      <c r="AB55" s="11"/>
      <c r="AC55" s="11"/>
      <c r="AD55" s="220"/>
      <c r="AE55" s="184"/>
      <c r="AF55" s="184"/>
      <c r="AG55" s="11"/>
      <c r="AH55" s="11"/>
      <c r="AI55" s="220"/>
      <c r="AJ55" s="184"/>
      <c r="AK55" s="184"/>
      <c r="AL55" s="11"/>
      <c r="AM55" s="11"/>
      <c r="AN55" s="220"/>
      <c r="AO55" s="184"/>
      <c r="AP55" s="184"/>
      <c r="AQ55" s="11"/>
      <c r="AR55" s="11"/>
      <c r="AS55" s="220"/>
      <c r="AT55" s="184"/>
      <c r="AU55" s="184"/>
      <c r="AV55" s="11"/>
      <c r="AW55" s="11"/>
      <c r="AX55" s="220"/>
      <c r="AY55" s="184"/>
      <c r="AZ55" s="184"/>
      <c r="BA55" s="11"/>
      <c r="BB55" s="11"/>
      <c r="BC55" s="220"/>
      <c r="BD55" s="184"/>
      <c r="BE55" s="184"/>
      <c r="BF55" s="11"/>
      <c r="BG55" s="11"/>
      <c r="BH55" s="220"/>
      <c r="BI55" s="184"/>
      <c r="BJ55" s="184"/>
      <c r="BK55" s="184"/>
      <c r="BL55" s="184"/>
      <c r="BM55" s="184"/>
      <c r="BN55" s="184"/>
      <c r="BO55" s="184"/>
      <c r="BP55" s="184"/>
    </row>
    <row r="56">
      <c r="A56" s="244" t="str">
        <f>if($A$54&lt;&gt;"", "《仕上がり数値》","")</f>
        <v>《仕上がり数値》</v>
      </c>
      <c r="B56" s="240"/>
      <c r="C56" s="11"/>
      <c r="D56" s="11"/>
      <c r="E56" s="220"/>
      <c r="F56" s="220"/>
      <c r="G56" s="220"/>
      <c r="H56" s="11"/>
      <c r="I56" s="11"/>
      <c r="J56" s="220"/>
      <c r="K56" s="184"/>
      <c r="L56" s="184"/>
      <c r="M56" s="11"/>
      <c r="N56" s="11"/>
      <c r="O56" s="195"/>
      <c r="P56" s="11"/>
      <c r="Q56" s="11"/>
      <c r="R56" s="12"/>
      <c r="S56" s="11"/>
      <c r="T56" s="220"/>
      <c r="U56" s="184"/>
      <c r="V56" s="184"/>
      <c r="W56" s="11"/>
      <c r="X56" s="11"/>
      <c r="Y56" s="220"/>
      <c r="Z56" s="184"/>
      <c r="AA56" s="184"/>
      <c r="AB56" s="11"/>
      <c r="AC56" s="11"/>
      <c r="AD56" s="220"/>
      <c r="AE56" s="184"/>
      <c r="AF56" s="184"/>
      <c r="AG56" s="11"/>
      <c r="AH56" s="11"/>
      <c r="AI56" s="220"/>
      <c r="AJ56" s="184"/>
      <c r="AK56" s="184"/>
      <c r="AL56" s="11"/>
      <c r="AM56" s="11"/>
      <c r="AN56" s="220"/>
      <c r="AO56" s="184"/>
      <c r="AP56" s="184"/>
      <c r="AQ56" s="11"/>
      <c r="AR56" s="11"/>
      <c r="AS56" s="220"/>
      <c r="AT56" s="184"/>
      <c r="AU56" s="184"/>
      <c r="AV56" s="11"/>
      <c r="AW56" s="11"/>
      <c r="AX56" s="220"/>
      <c r="AY56" s="184"/>
      <c r="AZ56" s="184"/>
      <c r="BA56" s="11"/>
      <c r="BB56" s="11"/>
      <c r="BC56" s="220"/>
      <c r="BD56" s="184"/>
      <c r="BE56" s="184"/>
      <c r="BF56" s="11"/>
      <c r="BG56" s="11"/>
      <c r="BH56" s="220"/>
      <c r="BI56" s="184"/>
      <c r="BJ56" s="184"/>
      <c r="BK56" s="184"/>
      <c r="BL56" s="184"/>
      <c r="BM56" s="184"/>
      <c r="BN56" s="184"/>
      <c r="BO56" s="184"/>
      <c r="BP56" s="184"/>
    </row>
    <row r="57">
      <c r="A57" s="228" t="str">
        <f>IFERROR(__xludf.DUMMYFUNCTION("TEXTJOIN(CHAR(10),TRUE,FILTER(ARRAYFORMULA(IF(AS$14:AS72&lt;&gt;"""",AR$14:AR72&amp;"" :  cm"","""")), AR$14:AR72 &lt;&gt;""""))"),"ウエスト :  cm
着丈 :  cm
裾まわり :  cm")</f>
        <v>ウエスト :  cm
着丈 :  cm
裾まわり :  cm</v>
      </c>
      <c r="B57" s="240"/>
      <c r="C57" s="11"/>
      <c r="D57" s="11"/>
      <c r="E57" s="220"/>
      <c r="F57" s="220"/>
      <c r="G57" s="220"/>
      <c r="H57" s="11"/>
      <c r="I57" s="11"/>
      <c r="J57" s="220"/>
      <c r="K57" s="184"/>
      <c r="L57" s="184"/>
      <c r="M57" s="11"/>
      <c r="N57" s="11"/>
      <c r="O57" s="195"/>
      <c r="P57" s="11"/>
      <c r="Q57" s="11"/>
      <c r="R57" s="12"/>
      <c r="S57" s="11"/>
      <c r="T57" s="220"/>
      <c r="U57" s="184"/>
      <c r="V57" s="184"/>
      <c r="W57" s="11"/>
      <c r="X57" s="11"/>
      <c r="Y57" s="220"/>
      <c r="Z57" s="184"/>
      <c r="AA57" s="184"/>
      <c r="AB57" s="11"/>
      <c r="AC57" s="11"/>
      <c r="AD57" s="220"/>
      <c r="AE57" s="184"/>
      <c r="AF57" s="184"/>
      <c r="AG57" s="11"/>
      <c r="AH57" s="11"/>
      <c r="AI57" s="220"/>
      <c r="AJ57" s="184"/>
      <c r="AK57" s="184"/>
      <c r="AL57" s="11"/>
      <c r="AM57" s="11"/>
      <c r="AN57" s="220"/>
      <c r="AO57" s="184"/>
      <c r="AP57" s="184"/>
      <c r="AQ57" s="11"/>
      <c r="AR57" s="11"/>
      <c r="AS57" s="220"/>
      <c r="AT57" s="184"/>
      <c r="AU57" s="184"/>
      <c r="AV57" s="11"/>
      <c r="AW57" s="11"/>
      <c r="AX57" s="220"/>
      <c r="AY57" s="184"/>
      <c r="AZ57" s="184"/>
      <c r="BA57" s="11"/>
      <c r="BB57" s="11"/>
      <c r="BC57" s="220"/>
      <c r="BD57" s="184"/>
      <c r="BE57" s="184"/>
      <c r="BF57" s="11"/>
      <c r="BG57" s="11"/>
      <c r="BH57" s="220"/>
      <c r="BI57" s="184"/>
      <c r="BJ57" s="184"/>
      <c r="BK57" s="184"/>
      <c r="BL57" s="184"/>
      <c r="BM57" s="184"/>
      <c r="BN57" s="184"/>
      <c r="BO57" s="184"/>
      <c r="BP57" s="184"/>
    </row>
    <row r="58">
      <c r="A58" s="243" t="s">
        <v>124</v>
      </c>
      <c r="B58" s="240"/>
      <c r="C58" s="11"/>
      <c r="D58" s="11"/>
      <c r="E58" s="220"/>
      <c r="F58" s="220"/>
      <c r="G58" s="220"/>
      <c r="H58" s="11"/>
      <c r="I58" s="11"/>
      <c r="J58" s="220"/>
      <c r="K58" s="184"/>
      <c r="L58" s="184"/>
      <c r="M58" s="11"/>
      <c r="N58" s="11"/>
      <c r="O58" s="195"/>
      <c r="P58" s="11"/>
      <c r="Q58" s="11"/>
      <c r="R58" s="12"/>
      <c r="S58" s="11"/>
      <c r="T58" s="220"/>
      <c r="U58" s="184"/>
      <c r="V58" s="184"/>
      <c r="W58" s="11"/>
      <c r="X58" s="11"/>
      <c r="Y58" s="220"/>
      <c r="Z58" s="184"/>
      <c r="AA58" s="184"/>
      <c r="AB58" s="11"/>
      <c r="AC58" s="11"/>
      <c r="AD58" s="220"/>
      <c r="AE58" s="184"/>
      <c r="AF58" s="184"/>
      <c r="AG58" s="11"/>
      <c r="AH58" s="11"/>
      <c r="AI58" s="220"/>
      <c r="AJ58" s="184"/>
      <c r="AK58" s="184"/>
      <c r="AL58" s="11"/>
      <c r="AM58" s="11"/>
      <c r="AN58" s="220"/>
      <c r="AO58" s="184"/>
      <c r="AP58" s="184"/>
      <c r="AQ58" s="11"/>
      <c r="AR58" s="11"/>
      <c r="AS58" s="220"/>
      <c r="AT58" s="184"/>
      <c r="AU58" s="184"/>
      <c r="AV58" s="11"/>
      <c r="AW58" s="11"/>
      <c r="AX58" s="220"/>
      <c r="AY58" s="184"/>
      <c r="AZ58" s="184"/>
      <c r="BA58" s="11"/>
      <c r="BB58" s="11"/>
      <c r="BC58" s="220"/>
      <c r="BD58" s="184"/>
      <c r="BE58" s="184"/>
      <c r="BF58" s="11"/>
      <c r="BG58" s="11"/>
      <c r="BH58" s="220"/>
      <c r="BI58" s="184"/>
      <c r="BJ58" s="184"/>
      <c r="BK58" s="184"/>
      <c r="BL58" s="184"/>
      <c r="BM58" s="184"/>
      <c r="BN58" s="184"/>
      <c r="BO58" s="184"/>
      <c r="BP58" s="184"/>
    </row>
    <row r="59">
      <c r="A59" s="245" t="str">
        <f>IF( $AW$11 = "再製作", "◼︎ チェスターコート（対応着地：再製作）" &amp;char(10)&amp;"《修正数値》", IF($AW$11 &lt;&gt; "", "◼︎ チェスターコート（対応着地：お直し）" &amp;char(10)&amp;"《修正数値》", ""))</f>
        <v/>
      </c>
      <c r="B59" s="240"/>
      <c r="C59" s="11"/>
      <c r="D59" s="11"/>
      <c r="E59" s="220"/>
      <c r="F59" s="220"/>
      <c r="G59" s="220"/>
      <c r="H59" s="11"/>
      <c r="I59" s="11"/>
      <c r="J59" s="220"/>
      <c r="K59" s="184"/>
      <c r="L59" s="184"/>
      <c r="M59" s="11"/>
      <c r="N59" s="11"/>
      <c r="O59" s="195"/>
      <c r="P59" s="11"/>
      <c r="Q59" s="11"/>
      <c r="R59" s="12"/>
      <c r="S59" s="11"/>
      <c r="T59" s="220"/>
      <c r="U59" s="184"/>
      <c r="V59" s="184"/>
      <c r="W59" s="11"/>
      <c r="X59" s="11"/>
      <c r="Y59" s="220"/>
      <c r="Z59" s="184"/>
      <c r="AA59" s="184"/>
      <c r="AB59" s="11"/>
      <c r="AC59" s="11"/>
      <c r="AD59" s="220"/>
      <c r="AE59" s="184"/>
      <c r="AF59" s="184"/>
      <c r="AG59" s="11"/>
      <c r="AH59" s="11"/>
      <c r="AI59" s="220"/>
      <c r="AJ59" s="184"/>
      <c r="AK59" s="184"/>
      <c r="AL59" s="11"/>
      <c r="AM59" s="11"/>
      <c r="AN59" s="220"/>
      <c r="AO59" s="184"/>
      <c r="AP59" s="184"/>
      <c r="AQ59" s="11"/>
      <c r="AR59" s="11"/>
      <c r="AS59" s="220"/>
      <c r="AT59" s="184"/>
      <c r="AU59" s="184"/>
      <c r="AV59" s="11"/>
      <c r="AW59" s="11"/>
      <c r="AX59" s="220"/>
      <c r="AY59" s="184"/>
      <c r="AZ59" s="184"/>
      <c r="BA59" s="11"/>
      <c r="BB59" s="11"/>
      <c r="BC59" s="220"/>
      <c r="BD59" s="184"/>
      <c r="BE59" s="184"/>
      <c r="BF59" s="11"/>
      <c r="BG59" s="11"/>
      <c r="BH59" s="220"/>
      <c r="BI59" s="184"/>
      <c r="BJ59" s="184"/>
      <c r="BK59" s="184"/>
      <c r="BL59" s="184"/>
      <c r="BM59" s="184"/>
      <c r="BN59" s="184"/>
      <c r="BO59" s="184"/>
      <c r="BP59" s="184"/>
    </row>
    <row r="60">
      <c r="A60" s="228" t="str">
        <f>IFERROR(__xludf.DUMMYFUNCTION("TEXTJOIN(CHAR(10),TRUE,FILTER(ARRAYFORMULA(IF(AX$14:AX72&lt;&gt;"""",AW$14:AW72&amp;"" : ""&amp; AX$14:AX72 &amp;"" cm"","""")), AC$14:AC72 &lt;&gt;""""))"),"")</f>
        <v/>
      </c>
      <c r="B60" s="240"/>
      <c r="C60" s="11"/>
      <c r="D60" s="11"/>
      <c r="E60" s="220"/>
      <c r="F60" s="220"/>
      <c r="G60" s="220"/>
      <c r="H60" s="11"/>
      <c r="I60" s="11"/>
      <c r="J60" s="220"/>
      <c r="K60" s="184"/>
      <c r="L60" s="184"/>
      <c r="M60" s="11"/>
      <c r="N60" s="11"/>
      <c r="O60" s="195"/>
      <c r="P60" s="11"/>
      <c r="Q60" s="11"/>
      <c r="R60" s="12"/>
      <c r="S60" s="11"/>
      <c r="T60" s="220"/>
      <c r="U60" s="184"/>
      <c r="V60" s="184"/>
      <c r="W60" s="11"/>
      <c r="X60" s="11"/>
      <c r="Y60" s="220"/>
      <c r="Z60" s="184"/>
      <c r="AA60" s="184"/>
      <c r="AB60" s="11"/>
      <c r="AC60" s="11"/>
      <c r="AD60" s="220"/>
      <c r="AE60" s="184"/>
      <c r="AF60" s="184"/>
      <c r="AG60" s="11"/>
      <c r="AH60" s="11"/>
      <c r="AI60" s="220"/>
      <c r="AJ60" s="184"/>
      <c r="AK60" s="184"/>
      <c r="AL60" s="11"/>
      <c r="AM60" s="11"/>
      <c r="AN60" s="220"/>
      <c r="AO60" s="184"/>
      <c r="AP60" s="184"/>
      <c r="AQ60" s="11"/>
      <c r="AR60" s="11"/>
      <c r="AS60" s="220"/>
      <c r="AT60" s="184"/>
      <c r="AU60" s="184"/>
      <c r="AV60" s="11"/>
      <c r="AW60" s="11"/>
      <c r="AX60" s="220"/>
      <c r="AY60" s="184"/>
      <c r="AZ60" s="184"/>
      <c r="BA60" s="11"/>
      <c r="BB60" s="11"/>
      <c r="BC60" s="220"/>
      <c r="BD60" s="184"/>
      <c r="BE60" s="184"/>
      <c r="BF60" s="11"/>
      <c r="BG60" s="11"/>
      <c r="BH60" s="220"/>
      <c r="BI60" s="184"/>
      <c r="BJ60" s="184"/>
      <c r="BK60" s="184"/>
      <c r="BL60" s="184"/>
      <c r="BM60" s="184"/>
      <c r="BN60" s="184"/>
      <c r="BO60" s="184"/>
      <c r="BP60" s="184"/>
    </row>
    <row r="61">
      <c r="A61" s="244" t="str">
        <f>if($A$59&lt;&gt;"", "《仕上がり数値》","")</f>
        <v/>
      </c>
      <c r="B61" s="240"/>
      <c r="C61" s="11"/>
      <c r="D61" s="11"/>
      <c r="E61" s="220"/>
      <c r="F61" s="220"/>
      <c r="G61" s="220"/>
      <c r="H61" s="11"/>
      <c r="I61" s="11"/>
      <c r="J61" s="220"/>
      <c r="K61" s="184"/>
      <c r="L61" s="184"/>
      <c r="M61" s="11"/>
      <c r="N61" s="11"/>
      <c r="O61" s="195"/>
      <c r="P61" s="11"/>
      <c r="Q61" s="11"/>
      <c r="R61" s="12"/>
      <c r="S61" s="11"/>
      <c r="T61" s="220"/>
      <c r="U61" s="184"/>
      <c r="V61" s="184"/>
      <c r="W61" s="11"/>
      <c r="X61" s="11"/>
      <c r="Y61" s="220"/>
      <c r="Z61" s="184"/>
      <c r="AA61" s="184"/>
      <c r="AB61" s="11"/>
      <c r="AC61" s="11"/>
      <c r="AD61" s="220"/>
      <c r="AE61" s="184"/>
      <c r="AF61" s="184"/>
      <c r="AG61" s="11"/>
      <c r="AH61" s="11"/>
      <c r="AI61" s="220"/>
      <c r="AJ61" s="184"/>
      <c r="AK61" s="184"/>
      <c r="AL61" s="11"/>
      <c r="AM61" s="11"/>
      <c r="AN61" s="220"/>
      <c r="AO61" s="184"/>
      <c r="AP61" s="184"/>
      <c r="AQ61" s="11"/>
      <c r="AR61" s="11"/>
      <c r="AS61" s="220"/>
      <c r="AT61" s="184"/>
      <c r="AU61" s="184"/>
      <c r="AV61" s="11"/>
      <c r="AW61" s="11"/>
      <c r="AX61" s="220"/>
      <c r="AY61" s="184"/>
      <c r="AZ61" s="184"/>
      <c r="BA61" s="11"/>
      <c r="BB61" s="11"/>
      <c r="BC61" s="220"/>
      <c r="BD61" s="184"/>
      <c r="BE61" s="184"/>
      <c r="BF61" s="11"/>
      <c r="BG61" s="11"/>
      <c r="BH61" s="220"/>
      <c r="BI61" s="184"/>
      <c r="BJ61" s="184"/>
      <c r="BK61" s="184"/>
      <c r="BL61" s="184"/>
      <c r="BM61" s="184"/>
      <c r="BN61" s="184"/>
      <c r="BO61" s="184"/>
      <c r="BP61" s="184"/>
    </row>
    <row r="62">
      <c r="A62" s="228" t="str">
        <f>IFERROR(__xludf.DUMMYFUNCTION("TEXTJOIN(CHAR(10),TRUE,FILTER(ARRAYFORMULA(IF(AX$14:AX72&lt;&gt;"""",AW$14:AW72&amp;"" :  cm"","""")), AC$14:AC72 &lt;&gt;""""))"),"")</f>
        <v/>
      </c>
      <c r="B62" s="240"/>
      <c r="C62" s="11"/>
      <c r="D62" s="11"/>
      <c r="E62" s="220"/>
      <c r="F62" s="220"/>
      <c r="G62" s="220"/>
      <c r="H62" s="11"/>
      <c r="I62" s="11"/>
      <c r="J62" s="220"/>
      <c r="K62" s="184"/>
      <c r="L62" s="184"/>
      <c r="M62" s="11"/>
      <c r="N62" s="11"/>
      <c r="O62" s="195"/>
      <c r="P62" s="11"/>
      <c r="Q62" s="11"/>
      <c r="R62" s="12"/>
      <c r="S62" s="11"/>
      <c r="T62" s="220"/>
      <c r="U62" s="184"/>
      <c r="V62" s="184"/>
      <c r="W62" s="11"/>
      <c r="X62" s="11"/>
      <c r="Y62" s="220"/>
      <c r="Z62" s="184"/>
      <c r="AA62" s="184"/>
      <c r="AB62" s="11"/>
      <c r="AC62" s="11"/>
      <c r="AD62" s="220"/>
      <c r="AE62" s="184"/>
      <c r="AF62" s="184"/>
      <c r="AG62" s="11"/>
      <c r="AH62" s="11"/>
      <c r="AI62" s="220"/>
      <c r="AJ62" s="184"/>
      <c r="AK62" s="184"/>
      <c r="AL62" s="11"/>
      <c r="AM62" s="11"/>
      <c r="AN62" s="220"/>
      <c r="AO62" s="184"/>
      <c r="AP62" s="184"/>
      <c r="AQ62" s="11"/>
      <c r="AR62" s="11"/>
      <c r="AS62" s="220"/>
      <c r="AT62" s="184"/>
      <c r="AU62" s="184"/>
      <c r="AV62" s="11"/>
      <c r="AW62" s="11"/>
      <c r="AX62" s="220"/>
      <c r="AY62" s="184"/>
      <c r="AZ62" s="184"/>
      <c r="BA62" s="11"/>
      <c r="BB62" s="11"/>
      <c r="BC62" s="220"/>
      <c r="BD62" s="184"/>
      <c r="BE62" s="184"/>
      <c r="BF62" s="11"/>
      <c r="BG62" s="11"/>
      <c r="BH62" s="220"/>
      <c r="BI62" s="184"/>
      <c r="BJ62" s="184"/>
      <c r="BK62" s="184"/>
      <c r="BL62" s="184"/>
      <c r="BM62" s="184"/>
      <c r="BN62" s="184"/>
      <c r="BO62" s="184"/>
      <c r="BP62" s="184"/>
    </row>
    <row r="63">
      <c r="A63" s="243" t="s">
        <v>125</v>
      </c>
      <c r="B63" s="240"/>
      <c r="C63" s="11"/>
      <c r="D63" s="11"/>
      <c r="E63" s="220"/>
      <c r="F63" s="220"/>
      <c r="G63" s="220"/>
      <c r="H63" s="11"/>
      <c r="I63" s="11"/>
      <c r="J63" s="220"/>
      <c r="K63" s="184"/>
      <c r="L63" s="184"/>
      <c r="M63" s="11"/>
      <c r="N63" s="11"/>
      <c r="O63" s="195"/>
      <c r="P63" s="11"/>
      <c r="Q63" s="11"/>
      <c r="R63" s="12"/>
      <c r="S63" s="11"/>
      <c r="T63" s="220"/>
      <c r="U63" s="184"/>
      <c r="V63" s="184"/>
      <c r="W63" s="11"/>
      <c r="X63" s="11"/>
      <c r="Y63" s="220"/>
      <c r="Z63" s="184"/>
      <c r="AA63" s="184"/>
      <c r="AB63" s="11"/>
      <c r="AC63" s="11"/>
      <c r="AD63" s="220"/>
      <c r="AE63" s="184"/>
      <c r="AF63" s="184"/>
      <c r="AG63" s="11"/>
      <c r="AH63" s="11"/>
      <c r="AI63" s="220"/>
      <c r="AJ63" s="184"/>
      <c r="AK63" s="184"/>
      <c r="AL63" s="11"/>
      <c r="AM63" s="11"/>
      <c r="AN63" s="220"/>
      <c r="AO63" s="184"/>
      <c r="AP63" s="184"/>
      <c r="AQ63" s="11"/>
      <c r="AR63" s="11"/>
      <c r="AS63" s="220"/>
      <c r="AT63" s="184"/>
      <c r="AU63" s="184"/>
      <c r="AV63" s="11"/>
      <c r="AW63" s="11"/>
      <c r="AX63" s="220"/>
      <c r="AY63" s="184"/>
      <c r="AZ63" s="184"/>
      <c r="BA63" s="11"/>
      <c r="BB63" s="11"/>
      <c r="BC63" s="220"/>
      <c r="BD63" s="184"/>
      <c r="BE63" s="184"/>
      <c r="BF63" s="11"/>
      <c r="BG63" s="11"/>
      <c r="BH63" s="220"/>
      <c r="BI63" s="184"/>
      <c r="BJ63" s="184"/>
      <c r="BK63" s="184"/>
      <c r="BL63" s="184"/>
      <c r="BM63" s="184"/>
      <c r="BN63" s="184"/>
      <c r="BO63" s="184"/>
      <c r="BP63" s="184"/>
    </row>
    <row r="64">
      <c r="A64" s="245" t="str">
        <f>IF( $BB$11 = "再製作", "◼︎ トレンチコート（対応着地：再製作）" &amp;char(10)&amp; "《修正数値》", IF($BB$11 &lt;&gt; "", "◼︎ トレンチコート（対応着地：お直し）" &amp;char(10)&amp; "《修正数値》", ""))</f>
        <v/>
      </c>
      <c r="B64" s="240"/>
      <c r="C64" s="11"/>
      <c r="D64" s="11"/>
      <c r="E64" s="220"/>
      <c r="F64" s="220"/>
      <c r="G64" s="220"/>
      <c r="H64" s="11"/>
      <c r="I64" s="11"/>
      <c r="J64" s="220"/>
      <c r="K64" s="184"/>
      <c r="L64" s="184"/>
      <c r="M64" s="11"/>
      <c r="N64" s="11"/>
      <c r="O64" s="195"/>
      <c r="P64" s="11"/>
      <c r="Q64" s="11"/>
      <c r="R64" s="12"/>
      <c r="S64" s="11"/>
      <c r="T64" s="220"/>
      <c r="U64" s="184"/>
      <c r="V64" s="184"/>
      <c r="W64" s="11"/>
      <c r="X64" s="11"/>
      <c r="Y64" s="220"/>
      <c r="Z64" s="184"/>
      <c r="AA64" s="184"/>
      <c r="AB64" s="11"/>
      <c r="AC64" s="11"/>
      <c r="AD64" s="220"/>
      <c r="AE64" s="184"/>
      <c r="AF64" s="184"/>
      <c r="AG64" s="11"/>
      <c r="AH64" s="11"/>
      <c r="AI64" s="220"/>
      <c r="AJ64" s="184"/>
      <c r="AK64" s="184"/>
      <c r="AL64" s="11"/>
      <c r="AM64" s="11"/>
      <c r="AN64" s="220"/>
      <c r="AO64" s="184"/>
      <c r="AP64" s="184"/>
      <c r="AQ64" s="11"/>
      <c r="AR64" s="11"/>
      <c r="AS64" s="220"/>
      <c r="AT64" s="184"/>
      <c r="AU64" s="184"/>
      <c r="AV64" s="11"/>
      <c r="AW64" s="11"/>
      <c r="AX64" s="220"/>
      <c r="AY64" s="184"/>
      <c r="AZ64" s="184"/>
      <c r="BA64" s="11"/>
      <c r="BB64" s="11"/>
      <c r="BC64" s="220"/>
      <c r="BD64" s="184"/>
      <c r="BE64" s="184"/>
      <c r="BF64" s="11"/>
      <c r="BG64" s="11"/>
      <c r="BH64" s="220"/>
      <c r="BI64" s="184"/>
      <c r="BJ64" s="184"/>
      <c r="BK64" s="184"/>
      <c r="BL64" s="184"/>
      <c r="BM64" s="184"/>
      <c r="BN64" s="184"/>
      <c r="BO64" s="184"/>
      <c r="BP64" s="184"/>
    </row>
    <row r="65">
      <c r="A65" s="228" t="str">
        <f>IFERROR(__xludf.DUMMYFUNCTION("TEXTJOIN(CHAR(10),TRUE,FILTER(ARRAYFORMULA(IF(BC$14:BC72&lt;&gt;"""",BB$14:BB72&amp;"" : ""&amp; BC$14:BC72 &amp;"" cm"","""")), BB$14:BB72 &lt;&gt;""""))"),"")</f>
        <v/>
      </c>
      <c r="B65" s="240"/>
      <c r="C65" s="11"/>
      <c r="D65" s="11"/>
      <c r="E65" s="220"/>
      <c r="F65" s="220"/>
      <c r="G65" s="220"/>
      <c r="H65" s="11"/>
      <c r="I65" s="11"/>
      <c r="J65" s="220"/>
      <c r="K65" s="184"/>
      <c r="L65" s="184"/>
      <c r="M65" s="11"/>
      <c r="N65" s="11"/>
      <c r="O65" s="195"/>
      <c r="P65" s="11"/>
      <c r="Q65" s="11"/>
      <c r="R65" s="12"/>
      <c r="S65" s="11"/>
      <c r="T65" s="220"/>
      <c r="U65" s="184"/>
      <c r="V65" s="184"/>
      <c r="W65" s="11"/>
      <c r="X65" s="11"/>
      <c r="Y65" s="220"/>
      <c r="Z65" s="184"/>
      <c r="AA65" s="184"/>
      <c r="AB65" s="11"/>
      <c r="AC65" s="11"/>
      <c r="AD65" s="220"/>
      <c r="AE65" s="184"/>
      <c r="AF65" s="184"/>
      <c r="AG65" s="11"/>
      <c r="AH65" s="11"/>
      <c r="AI65" s="220"/>
      <c r="AJ65" s="184"/>
      <c r="AK65" s="184"/>
      <c r="AL65" s="11"/>
      <c r="AM65" s="11"/>
      <c r="AN65" s="220"/>
      <c r="AO65" s="184"/>
      <c r="AP65" s="184"/>
      <c r="AQ65" s="11"/>
      <c r="AR65" s="11"/>
      <c r="AS65" s="220"/>
      <c r="AT65" s="184"/>
      <c r="AU65" s="184"/>
      <c r="AV65" s="11"/>
      <c r="AW65" s="11"/>
      <c r="AX65" s="220"/>
      <c r="AY65" s="184"/>
      <c r="AZ65" s="184"/>
      <c r="BA65" s="11"/>
      <c r="BB65" s="11"/>
      <c r="BC65" s="220"/>
      <c r="BD65" s="184"/>
      <c r="BE65" s="184"/>
      <c r="BF65" s="11"/>
      <c r="BG65" s="11"/>
      <c r="BH65" s="220"/>
      <c r="BI65" s="184"/>
      <c r="BJ65" s="184"/>
      <c r="BK65" s="184"/>
      <c r="BL65" s="184"/>
      <c r="BM65" s="184"/>
      <c r="BN65" s="184"/>
      <c r="BO65" s="184"/>
      <c r="BP65" s="184"/>
    </row>
    <row r="66">
      <c r="A66" s="244" t="str">
        <f>if($A$64&lt;&gt;"", "《仕上がり数値》","")</f>
        <v/>
      </c>
      <c r="B66" s="240"/>
      <c r="C66" s="11"/>
      <c r="D66" s="11"/>
      <c r="E66" s="220"/>
      <c r="F66" s="220"/>
      <c r="G66" s="220"/>
      <c r="H66" s="11"/>
      <c r="I66" s="11"/>
      <c r="J66" s="220"/>
      <c r="K66" s="184"/>
      <c r="L66" s="184"/>
      <c r="M66" s="11"/>
      <c r="N66" s="11"/>
      <c r="O66" s="195"/>
      <c r="P66" s="11"/>
      <c r="Q66" s="11"/>
      <c r="R66" s="12"/>
      <c r="S66" s="11"/>
      <c r="T66" s="220"/>
      <c r="U66" s="184"/>
      <c r="V66" s="184"/>
      <c r="W66" s="11"/>
      <c r="X66" s="11"/>
      <c r="Y66" s="220"/>
      <c r="Z66" s="184"/>
      <c r="AA66" s="184"/>
      <c r="AB66" s="11"/>
      <c r="AC66" s="11"/>
      <c r="AD66" s="220"/>
      <c r="AE66" s="184"/>
      <c r="AF66" s="184"/>
      <c r="AG66" s="11"/>
      <c r="AH66" s="11"/>
      <c r="AI66" s="220"/>
      <c r="AJ66" s="184"/>
      <c r="AK66" s="184"/>
      <c r="AL66" s="11"/>
      <c r="AM66" s="11"/>
      <c r="AN66" s="220"/>
      <c r="AO66" s="184"/>
      <c r="AP66" s="184"/>
      <c r="AQ66" s="11"/>
      <c r="AR66" s="11"/>
      <c r="AS66" s="220"/>
      <c r="AT66" s="184"/>
      <c r="AU66" s="184"/>
      <c r="AV66" s="11"/>
      <c r="AW66" s="11"/>
      <c r="AX66" s="220"/>
      <c r="AY66" s="184"/>
      <c r="AZ66" s="184"/>
      <c r="BA66" s="11"/>
      <c r="BB66" s="11"/>
      <c r="BC66" s="220"/>
      <c r="BD66" s="184"/>
      <c r="BE66" s="184"/>
      <c r="BF66" s="11"/>
      <c r="BG66" s="11"/>
      <c r="BH66" s="220"/>
      <c r="BI66" s="184"/>
      <c r="BJ66" s="184"/>
      <c r="BK66" s="184"/>
      <c r="BL66" s="184"/>
      <c r="BM66" s="184"/>
      <c r="BN66" s="184"/>
      <c r="BO66" s="184"/>
      <c r="BP66" s="184"/>
    </row>
    <row r="67">
      <c r="A67" s="228" t="str">
        <f>IFERROR(__xludf.DUMMYFUNCTION("TEXTJOIN(CHAR(10),TRUE,FILTER(ARRAYFORMULA(IF(BC$14:BC72&lt;&gt;"""",BB$14:BB72&amp;"" :  cm"","""")), BB$14:BB72 &lt;&gt;""""))"),"")</f>
        <v/>
      </c>
      <c r="B67" s="240"/>
      <c r="C67" s="11"/>
      <c r="D67" s="11"/>
      <c r="E67" s="220"/>
      <c r="F67" s="220"/>
      <c r="G67" s="220"/>
      <c r="H67" s="11"/>
      <c r="I67" s="11"/>
      <c r="J67" s="220"/>
      <c r="K67" s="184"/>
      <c r="L67" s="184"/>
      <c r="M67" s="11"/>
      <c r="N67" s="11"/>
      <c r="O67" s="195"/>
      <c r="P67" s="11"/>
      <c r="Q67" s="11"/>
      <c r="R67" s="12"/>
      <c r="S67" s="11"/>
      <c r="T67" s="220"/>
      <c r="U67" s="184"/>
      <c r="V67" s="184"/>
      <c r="W67" s="11"/>
      <c r="X67" s="11"/>
      <c r="Y67" s="220"/>
      <c r="Z67" s="184"/>
      <c r="AA67" s="184"/>
      <c r="AB67" s="11"/>
      <c r="AC67" s="11"/>
      <c r="AD67" s="220"/>
      <c r="AE67" s="184"/>
      <c r="AF67" s="184"/>
      <c r="AG67" s="11"/>
      <c r="AH67" s="11"/>
      <c r="AI67" s="220"/>
      <c r="AJ67" s="184"/>
      <c r="AK67" s="184"/>
      <c r="AL67" s="11"/>
      <c r="AM67" s="11"/>
      <c r="AN67" s="220"/>
      <c r="AO67" s="184"/>
      <c r="AP67" s="184"/>
      <c r="AQ67" s="11"/>
      <c r="AR67" s="11"/>
      <c r="AS67" s="220"/>
      <c r="AT67" s="184"/>
      <c r="AU67" s="184"/>
      <c r="AV67" s="11"/>
      <c r="AW67" s="11"/>
      <c r="AX67" s="220"/>
      <c r="AY67" s="184"/>
      <c r="AZ67" s="184"/>
      <c r="BA67" s="11"/>
      <c r="BB67" s="11"/>
      <c r="BC67" s="220"/>
      <c r="BD67" s="184"/>
      <c r="BE67" s="184"/>
      <c r="BF67" s="11"/>
      <c r="BG67" s="11"/>
      <c r="BH67" s="220"/>
      <c r="BI67" s="184"/>
      <c r="BJ67" s="184"/>
      <c r="BK67" s="184"/>
      <c r="BL67" s="184"/>
      <c r="BM67" s="184"/>
      <c r="BN67" s="184"/>
      <c r="BO67" s="184"/>
      <c r="BP67" s="184"/>
    </row>
    <row r="68">
      <c r="A68" s="243" t="s">
        <v>126</v>
      </c>
      <c r="B68" s="240"/>
      <c r="C68" s="11"/>
      <c r="D68" s="11"/>
      <c r="E68" s="220"/>
      <c r="F68" s="220"/>
      <c r="G68" s="220"/>
      <c r="H68" s="11"/>
      <c r="I68" s="11"/>
      <c r="J68" s="220"/>
      <c r="K68" s="184"/>
      <c r="L68" s="184"/>
      <c r="M68" s="11"/>
      <c r="N68" s="11"/>
      <c r="O68" s="195"/>
      <c r="P68" s="11"/>
      <c r="Q68" s="11"/>
      <c r="R68" s="12"/>
      <c r="S68" s="11"/>
      <c r="T68" s="220"/>
      <c r="U68" s="184"/>
      <c r="V68" s="184"/>
      <c r="W68" s="11"/>
      <c r="X68" s="11"/>
      <c r="Y68" s="220"/>
      <c r="Z68" s="184"/>
      <c r="AA68" s="184"/>
      <c r="AB68" s="11"/>
      <c r="AC68" s="11"/>
      <c r="AD68" s="220"/>
      <c r="AE68" s="184"/>
      <c r="AF68" s="184"/>
      <c r="AG68" s="11"/>
      <c r="AH68" s="11"/>
      <c r="AI68" s="220"/>
      <c r="AJ68" s="184"/>
      <c r="AK68" s="184"/>
      <c r="AL68" s="11"/>
      <c r="AM68" s="11"/>
      <c r="AN68" s="220"/>
      <c r="AO68" s="184"/>
      <c r="AP68" s="184"/>
      <c r="AQ68" s="11"/>
      <c r="AR68" s="11"/>
      <c r="AS68" s="220"/>
      <c r="AT68" s="184"/>
      <c r="AU68" s="184"/>
      <c r="AV68" s="11"/>
      <c r="AW68" s="11"/>
      <c r="AX68" s="220"/>
      <c r="AY68" s="184"/>
      <c r="AZ68" s="184"/>
      <c r="BA68" s="11"/>
      <c r="BB68" s="11"/>
      <c r="BC68" s="220"/>
      <c r="BD68" s="184"/>
      <c r="BE68" s="184"/>
      <c r="BF68" s="11"/>
      <c r="BG68" s="11"/>
      <c r="BH68" s="220"/>
      <c r="BI68" s="184"/>
      <c r="BJ68" s="184"/>
      <c r="BK68" s="184"/>
      <c r="BL68" s="184"/>
      <c r="BM68" s="184"/>
      <c r="BN68" s="184"/>
      <c r="BO68" s="184"/>
      <c r="BP68" s="184"/>
    </row>
    <row r="69">
      <c r="A69" s="245" t="str">
        <f>IF( $BG$11 = "再製作", "◼︎ フーデッドコート（対応着地：再製作）"&amp;char(10)&amp;"《修正数値》", IF($BG$11 &lt;&gt; "", "◼︎ フーデッドコート（対応着地：お直し）"&amp;char(10)&amp;"《修正数値》", ""))</f>
        <v/>
      </c>
      <c r="B69" s="240"/>
      <c r="C69" s="11"/>
      <c r="D69" s="11"/>
      <c r="E69" s="220"/>
      <c r="F69" s="220"/>
      <c r="G69" s="220"/>
      <c r="H69" s="11"/>
      <c r="I69" s="11"/>
      <c r="J69" s="220"/>
      <c r="K69" s="184"/>
      <c r="L69" s="184"/>
      <c r="M69" s="11"/>
      <c r="N69" s="11"/>
      <c r="O69" s="195"/>
      <c r="P69" s="11"/>
      <c r="Q69" s="11"/>
      <c r="R69" s="12"/>
      <c r="S69" s="11"/>
      <c r="T69" s="220"/>
      <c r="U69" s="184"/>
      <c r="V69" s="184"/>
      <c r="W69" s="11"/>
      <c r="X69" s="11"/>
      <c r="Y69" s="220"/>
      <c r="Z69" s="184"/>
      <c r="AA69" s="184"/>
      <c r="AB69" s="11"/>
      <c r="AC69" s="11"/>
      <c r="AD69" s="220"/>
      <c r="AE69" s="184"/>
      <c r="AF69" s="184"/>
      <c r="AG69" s="11"/>
      <c r="AH69" s="11"/>
      <c r="AI69" s="220"/>
      <c r="AJ69" s="184"/>
      <c r="AK69" s="184"/>
      <c r="AL69" s="11"/>
      <c r="AM69" s="11"/>
      <c r="AN69" s="220"/>
      <c r="AO69" s="184"/>
      <c r="AP69" s="184"/>
      <c r="AQ69" s="11"/>
      <c r="AR69" s="11"/>
      <c r="AS69" s="220"/>
      <c r="AT69" s="184"/>
      <c r="AU69" s="184"/>
      <c r="AV69" s="11"/>
      <c r="AW69" s="11"/>
      <c r="AX69" s="220"/>
      <c r="AY69" s="184"/>
      <c r="AZ69" s="184"/>
      <c r="BA69" s="11"/>
      <c r="BB69" s="11"/>
      <c r="BC69" s="220"/>
      <c r="BD69" s="184"/>
      <c r="BE69" s="184"/>
      <c r="BF69" s="11"/>
      <c r="BG69" s="11"/>
      <c r="BH69" s="220"/>
      <c r="BI69" s="184"/>
      <c r="BJ69" s="184"/>
      <c r="BK69" s="184"/>
      <c r="BL69" s="184"/>
      <c r="BM69" s="184"/>
      <c r="BN69" s="184"/>
      <c r="BO69" s="184"/>
      <c r="BP69" s="184"/>
    </row>
    <row r="70">
      <c r="A70" s="228" t="str">
        <f>IFERROR(__xludf.DUMMYFUNCTION("TEXTJOIN(CHAR(10),TRUE,FILTER(ARRAYFORMULA(IF(BH$14:BH72&lt;&gt;"""",BG$14:BG72&amp;"" : ""&amp; BH$14:BH72 &amp;"" cm"","""")), BG$14:BG72 &lt;&gt;""""))"),"")</f>
        <v/>
      </c>
      <c r="B70" s="240"/>
      <c r="C70" s="11"/>
      <c r="D70" s="11"/>
      <c r="E70" s="220"/>
      <c r="F70" s="220"/>
      <c r="G70" s="220"/>
      <c r="H70" s="11"/>
      <c r="I70" s="11"/>
      <c r="J70" s="220"/>
      <c r="K70" s="184"/>
      <c r="L70" s="184"/>
      <c r="M70" s="11"/>
      <c r="N70" s="11"/>
      <c r="O70" s="195"/>
      <c r="P70" s="11"/>
      <c r="Q70" s="11"/>
      <c r="R70" s="12"/>
      <c r="S70" s="11"/>
      <c r="T70" s="220"/>
      <c r="U70" s="184"/>
      <c r="V70" s="184"/>
      <c r="W70" s="11"/>
      <c r="X70" s="11"/>
      <c r="Y70" s="220"/>
      <c r="Z70" s="184"/>
      <c r="AA70" s="184"/>
      <c r="AB70" s="11"/>
      <c r="AC70" s="11"/>
      <c r="AD70" s="220"/>
      <c r="AE70" s="184"/>
      <c r="AF70" s="184"/>
      <c r="AG70" s="11"/>
      <c r="AH70" s="11"/>
      <c r="AI70" s="220"/>
      <c r="AJ70" s="184"/>
      <c r="AK70" s="184"/>
      <c r="AL70" s="11"/>
      <c r="AM70" s="11"/>
      <c r="AN70" s="220"/>
      <c r="AO70" s="184"/>
      <c r="AP70" s="184"/>
      <c r="AQ70" s="11"/>
      <c r="AR70" s="11"/>
      <c r="AS70" s="220"/>
      <c r="AT70" s="184"/>
      <c r="AU70" s="184"/>
      <c r="AV70" s="11"/>
      <c r="AW70" s="11"/>
      <c r="AX70" s="220"/>
      <c r="AY70" s="184"/>
      <c r="AZ70" s="184"/>
      <c r="BA70" s="11"/>
      <c r="BB70" s="11"/>
      <c r="BC70" s="220"/>
      <c r="BD70" s="184"/>
      <c r="BE70" s="184"/>
      <c r="BF70" s="11"/>
      <c r="BG70" s="11"/>
      <c r="BH70" s="220"/>
      <c r="BI70" s="184"/>
      <c r="BJ70" s="184"/>
      <c r="BK70" s="184"/>
      <c r="BL70" s="184"/>
      <c r="BM70" s="184"/>
      <c r="BN70" s="184"/>
      <c r="BO70" s="184"/>
      <c r="BP70" s="184"/>
    </row>
    <row r="71">
      <c r="A71" s="244" t="str">
        <f>if($A$69&lt;&gt;"", "《仕上がり数値》","")</f>
        <v/>
      </c>
      <c r="B71" s="240"/>
      <c r="C71" s="11"/>
      <c r="D71" s="11"/>
      <c r="E71" s="220"/>
      <c r="F71" s="220"/>
      <c r="G71" s="220"/>
      <c r="H71" s="11"/>
      <c r="I71" s="11"/>
      <c r="J71" s="220"/>
      <c r="K71" s="184"/>
      <c r="L71" s="184"/>
      <c r="M71" s="11"/>
      <c r="N71" s="11"/>
      <c r="O71" s="195"/>
      <c r="P71" s="11"/>
      <c r="Q71" s="11"/>
      <c r="R71" s="12"/>
      <c r="S71" s="11"/>
      <c r="T71" s="220"/>
      <c r="U71" s="184"/>
      <c r="V71" s="184"/>
      <c r="W71" s="11"/>
      <c r="X71" s="11"/>
      <c r="Y71" s="220"/>
      <c r="Z71" s="184"/>
      <c r="AA71" s="184"/>
      <c r="AB71" s="11"/>
      <c r="AC71" s="11"/>
      <c r="AD71" s="220"/>
      <c r="AE71" s="184"/>
      <c r="AF71" s="184"/>
      <c r="AG71" s="11"/>
      <c r="AH71" s="11"/>
      <c r="AI71" s="220"/>
      <c r="AJ71" s="184"/>
      <c r="AK71" s="184"/>
      <c r="AL71" s="11"/>
      <c r="AM71" s="11"/>
      <c r="AN71" s="220"/>
      <c r="AO71" s="184"/>
      <c r="AP71" s="184"/>
      <c r="AQ71" s="11"/>
      <c r="AR71" s="11"/>
      <c r="AS71" s="220"/>
      <c r="AT71" s="184"/>
      <c r="AU71" s="184"/>
      <c r="AV71" s="11"/>
      <c r="AW71" s="11"/>
      <c r="AX71" s="220"/>
      <c r="AY71" s="184"/>
      <c r="AZ71" s="184"/>
      <c r="BA71" s="11"/>
      <c r="BB71" s="11"/>
      <c r="BC71" s="220"/>
      <c r="BD71" s="184"/>
      <c r="BE71" s="184"/>
      <c r="BF71" s="11"/>
      <c r="BG71" s="11"/>
      <c r="BH71" s="220"/>
      <c r="BI71" s="184"/>
      <c r="BJ71" s="184"/>
      <c r="BK71" s="184"/>
      <c r="BL71" s="184"/>
      <c r="BM71" s="184"/>
      <c r="BN71" s="184"/>
      <c r="BO71" s="184"/>
      <c r="BP71" s="184"/>
    </row>
    <row r="72">
      <c r="A72" s="228" t="str">
        <f>IFERROR(__xludf.DUMMYFUNCTION("TEXTJOIN(CHAR(10),TRUE,FILTER(ARRAYFORMULA(IF(BH$14:BH72&lt;&gt;"""",BG$14:BG72&amp;"" :  cm"","""")), BG$14:BG72 &lt;&gt;""""))"),"")</f>
        <v/>
      </c>
      <c r="B72" s="240"/>
      <c r="C72" s="11"/>
      <c r="D72" s="11"/>
      <c r="E72" s="220"/>
      <c r="F72" s="220"/>
      <c r="G72" s="220"/>
      <c r="H72" s="11"/>
      <c r="I72" s="11"/>
      <c r="J72" s="220"/>
      <c r="K72" s="184"/>
      <c r="L72" s="184"/>
      <c r="M72" s="11"/>
      <c r="N72" s="11"/>
      <c r="O72" s="195"/>
      <c r="P72" s="11"/>
      <c r="Q72" s="11"/>
      <c r="R72" s="12"/>
      <c r="S72" s="11"/>
      <c r="T72" s="220"/>
      <c r="U72" s="184"/>
      <c r="V72" s="184"/>
      <c r="W72" s="11"/>
      <c r="X72" s="11"/>
      <c r="Y72" s="220"/>
      <c r="Z72" s="184"/>
      <c r="AA72" s="184"/>
      <c r="AB72" s="11"/>
      <c r="AC72" s="11"/>
      <c r="AD72" s="220"/>
      <c r="AE72" s="184"/>
      <c r="AF72" s="184"/>
      <c r="AG72" s="11"/>
      <c r="AH72" s="11"/>
      <c r="AI72" s="220"/>
      <c r="AJ72" s="184"/>
      <c r="AK72" s="184"/>
      <c r="AL72" s="11"/>
      <c r="AM72" s="11"/>
      <c r="AN72" s="220"/>
      <c r="AO72" s="184"/>
      <c r="AP72" s="184"/>
      <c r="AQ72" s="11"/>
      <c r="AR72" s="11"/>
      <c r="AS72" s="220"/>
      <c r="AT72" s="184"/>
      <c r="AU72" s="184"/>
      <c r="AV72" s="11"/>
      <c r="AW72" s="11"/>
      <c r="AX72" s="220"/>
      <c r="AY72" s="184"/>
      <c r="AZ72" s="184"/>
      <c r="BA72" s="11"/>
      <c r="BB72" s="11"/>
      <c r="BC72" s="220"/>
      <c r="BD72" s="184"/>
      <c r="BE72" s="184"/>
      <c r="BF72" s="11"/>
      <c r="BG72" s="11"/>
      <c r="BH72" s="220"/>
      <c r="BI72" s="184"/>
      <c r="BJ72" s="184"/>
      <c r="BK72" s="184"/>
      <c r="BL72" s="184"/>
      <c r="BM72" s="184"/>
      <c r="BN72" s="184"/>
      <c r="BO72" s="184"/>
      <c r="BP72" s="184"/>
    </row>
  </sheetData>
  <mergeCells count="1">
    <mergeCell ref="D5:G5"/>
  </mergeCells>
  <hyperlinks>
    <hyperlink r:id="rId1" location="gid=1551873484" ref="K5"/>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sheetViews>
  <sheetFormatPr customHeight="1" defaultColWidth="12.63" defaultRowHeight="15.75"/>
  <cols>
    <col customWidth="1" hidden="1" min="1" max="2" width="20.88"/>
    <col customWidth="1" min="3" max="3" width="3.88"/>
    <col customWidth="1" min="4" max="4" width="25.13"/>
    <col customWidth="1" min="5" max="6" width="12.63"/>
    <col customWidth="1" hidden="1" min="7" max="7" width="12.63"/>
    <col customWidth="1" min="8" max="8" width="6.38"/>
    <col customWidth="1" min="9" max="9" width="25.13"/>
    <col customWidth="1" min="10" max="11" width="12.63"/>
    <col customWidth="1" hidden="1" min="12" max="12" width="12.63"/>
    <col customWidth="1" min="13" max="13" width="6.38"/>
    <col customWidth="1" min="14" max="14" width="25.13"/>
    <col customWidth="1" min="15" max="16" width="12.63"/>
    <col customWidth="1" hidden="1" min="17" max="17" width="12.63"/>
    <col customWidth="1" min="18" max="18" width="6.25"/>
    <col customWidth="1" min="19" max="19" width="25.13"/>
    <col customWidth="1" min="20" max="21" width="12.63"/>
    <col customWidth="1" hidden="1" min="22" max="22" width="12.63"/>
    <col customWidth="1" min="23" max="23" width="6.38"/>
    <col customWidth="1" min="24" max="24" width="25.13"/>
    <col customWidth="1" min="25" max="26" width="12.63"/>
    <col customWidth="1" hidden="1" min="27" max="27" width="12.63"/>
    <col customWidth="1" min="28" max="28" width="6.38"/>
    <col customWidth="1" min="29" max="29" width="25.13"/>
    <col customWidth="1" min="30" max="31" width="12.63"/>
    <col customWidth="1" hidden="1" min="32" max="32" width="12.63"/>
    <col customWidth="1" min="33" max="33" width="7.13"/>
    <col customWidth="1" min="34" max="34" width="25.13"/>
    <col customWidth="1" min="35" max="36" width="12.63"/>
    <col customWidth="1" hidden="1" min="37" max="37" width="12.63"/>
    <col customWidth="1" min="38" max="38" width="7.13"/>
    <col customWidth="1" min="39" max="39" width="25.13"/>
    <col customWidth="1" min="40" max="41" width="12.63"/>
    <col customWidth="1" hidden="1" min="42" max="42" width="12.63"/>
    <col customWidth="1" min="43" max="43" width="7.13"/>
    <col customWidth="1" min="44" max="44" width="25.13"/>
    <col customWidth="1" min="45" max="46" width="12.63"/>
    <col customWidth="1" hidden="1" min="47" max="47" width="12.63"/>
    <col customWidth="1" min="48" max="48" width="12.63"/>
    <col customWidth="1" min="49" max="49" width="25.13"/>
    <col customWidth="1" min="50" max="51" width="12.63"/>
    <col customWidth="1" hidden="1" min="52" max="52" width="12.63"/>
    <col customWidth="1" min="53" max="53" width="12.63"/>
    <col customWidth="1" min="54" max="54" width="25.13"/>
    <col customWidth="1" min="55" max="56" width="12.63"/>
    <col customWidth="1" hidden="1" min="57" max="57" width="12.63"/>
    <col customWidth="1" min="58" max="58" width="12.63"/>
    <col customWidth="1" min="59" max="59" width="25.13"/>
    <col customWidth="1" min="60" max="61" width="12.63"/>
    <col customWidth="1" hidden="1" min="62" max="62" width="12.63"/>
    <col customWidth="1" min="63" max="68" width="12.63"/>
  </cols>
  <sheetData>
    <row r="1">
      <c r="A1" s="282">
        <f>today()</f>
        <v>45991</v>
      </c>
      <c r="B1" s="283"/>
      <c r="C1" s="284"/>
      <c r="D1" s="285" t="s">
        <v>17</v>
      </c>
      <c r="E1" s="286"/>
      <c r="F1" s="286"/>
      <c r="G1" s="286"/>
      <c r="H1" s="287"/>
      <c r="I1" s="287"/>
      <c r="J1" s="286"/>
      <c r="K1" s="286"/>
      <c r="L1" s="286"/>
      <c r="M1" s="287"/>
      <c r="N1" s="286"/>
      <c r="O1" s="286"/>
      <c r="P1" s="286"/>
      <c r="Q1" s="286"/>
      <c r="R1" s="287"/>
      <c r="S1" s="287"/>
      <c r="T1" s="288"/>
      <c r="U1" s="288"/>
      <c r="V1" s="288"/>
      <c r="W1" s="287"/>
      <c r="X1" s="286"/>
      <c r="Y1" s="288"/>
      <c r="Z1" s="288"/>
      <c r="AA1" s="288"/>
      <c r="AB1" s="287"/>
      <c r="AC1" s="286"/>
      <c r="AD1" s="288"/>
      <c r="AE1" s="288"/>
      <c r="AF1" s="288"/>
      <c r="AG1" s="287"/>
      <c r="AH1" s="286"/>
      <c r="AI1" s="288"/>
      <c r="AJ1" s="288"/>
      <c r="AK1" s="288"/>
      <c r="AL1" s="287"/>
      <c r="AM1" s="286"/>
      <c r="AN1" s="288"/>
      <c r="AO1" s="288"/>
      <c r="AP1" s="288"/>
      <c r="AQ1" s="287"/>
      <c r="AR1" s="286"/>
      <c r="AS1" s="288"/>
      <c r="AT1" s="288"/>
      <c r="AU1" s="288"/>
      <c r="AV1" s="287"/>
      <c r="AW1" s="286"/>
      <c r="AX1" s="288"/>
      <c r="AY1" s="288"/>
      <c r="AZ1" s="288"/>
      <c r="BA1" s="287"/>
      <c r="BB1" s="286"/>
      <c r="BC1" s="288"/>
      <c r="BD1" s="288"/>
      <c r="BE1" s="288"/>
      <c r="BF1" s="287"/>
      <c r="BG1" s="286"/>
      <c r="BH1" s="288"/>
      <c r="BI1" s="288"/>
      <c r="BJ1" s="288"/>
      <c r="BK1" s="288"/>
      <c r="BL1" s="288"/>
      <c r="BM1" s="288"/>
      <c r="BN1" s="288"/>
      <c r="BO1" s="288"/>
      <c r="BP1" s="288"/>
    </row>
    <row r="2">
      <c r="A2" s="11"/>
      <c r="B2" s="183"/>
      <c r="C2" s="12"/>
      <c r="D2" s="12"/>
      <c r="E2" s="12"/>
      <c r="F2" s="12"/>
      <c r="G2" s="12"/>
      <c r="H2" s="11"/>
      <c r="I2" s="11"/>
      <c r="J2" s="12"/>
      <c r="K2" s="12"/>
      <c r="L2" s="12"/>
      <c r="M2" s="11"/>
      <c r="N2" s="12"/>
      <c r="O2" s="12"/>
      <c r="P2" s="12"/>
      <c r="Q2" s="12"/>
      <c r="R2" s="11"/>
      <c r="S2" s="11"/>
      <c r="T2" s="184"/>
      <c r="U2" s="184"/>
      <c r="V2" s="184"/>
      <c r="W2" s="11"/>
      <c r="X2" s="12"/>
      <c r="Y2" s="184"/>
      <c r="Z2" s="184"/>
      <c r="AA2" s="184"/>
      <c r="AB2" s="11"/>
      <c r="AC2" s="12"/>
      <c r="AD2" s="184"/>
      <c r="AE2" s="184"/>
      <c r="AF2" s="184"/>
      <c r="AG2" s="11"/>
      <c r="AH2" s="12"/>
      <c r="AI2" s="184"/>
      <c r="AJ2" s="184"/>
      <c r="AK2" s="184"/>
      <c r="AL2" s="11"/>
      <c r="AM2" s="12"/>
      <c r="AN2" s="184"/>
      <c r="AO2" s="184"/>
      <c r="AP2" s="184"/>
      <c r="AQ2" s="11"/>
      <c r="AR2" s="12"/>
      <c r="AS2" s="184"/>
      <c r="AT2" s="184"/>
      <c r="AU2" s="184"/>
      <c r="AV2" s="11"/>
      <c r="AW2" s="12"/>
      <c r="AX2" s="184"/>
      <c r="AY2" s="184"/>
      <c r="AZ2" s="184"/>
      <c r="BA2" s="11"/>
      <c r="BB2" s="12"/>
      <c r="BC2" s="184"/>
      <c r="BD2" s="184"/>
      <c r="BE2" s="184"/>
      <c r="BF2" s="11"/>
      <c r="BG2" s="12"/>
      <c r="BH2" s="184"/>
      <c r="BI2" s="184"/>
      <c r="BJ2" s="184"/>
      <c r="BK2" s="184"/>
      <c r="BL2" s="184"/>
      <c r="BM2" s="184"/>
      <c r="BN2" s="184"/>
      <c r="BO2" s="184"/>
      <c r="BP2" s="184"/>
    </row>
    <row r="3">
      <c r="A3" s="12"/>
      <c r="B3" s="185"/>
      <c r="C3" s="12"/>
      <c r="D3" s="12" t="str">
        <f t="array" ref="D3:D5">index(A3:A5,0)</f>
        <v/>
      </c>
      <c r="E3" s="12"/>
      <c r="F3" s="12"/>
      <c r="G3" s="12"/>
      <c r="H3" s="11"/>
      <c r="I3" s="11"/>
      <c r="J3" s="12"/>
      <c r="K3" s="12"/>
      <c r="L3" s="12"/>
      <c r="M3" s="11"/>
      <c r="N3" s="12"/>
      <c r="O3" s="12"/>
      <c r="P3" s="12"/>
      <c r="Q3" s="12"/>
      <c r="R3" s="11"/>
      <c r="S3" s="11"/>
      <c r="T3" s="184"/>
      <c r="U3" s="184"/>
      <c r="V3" s="184"/>
      <c r="W3" s="11"/>
      <c r="X3" s="12"/>
      <c r="Y3" s="184"/>
      <c r="Z3" s="184"/>
      <c r="AA3" s="184"/>
      <c r="AB3" s="11"/>
      <c r="AC3" s="12"/>
      <c r="AD3" s="184"/>
      <c r="AE3" s="184"/>
      <c r="AF3" s="184"/>
      <c r="AG3" s="11"/>
      <c r="AH3" s="12"/>
      <c r="AI3" s="184"/>
      <c r="AJ3" s="184"/>
      <c r="AK3" s="184"/>
      <c r="AL3" s="11"/>
      <c r="AM3" s="12"/>
      <c r="AN3" s="184"/>
      <c r="AO3" s="184"/>
      <c r="AP3" s="184"/>
      <c r="AQ3" s="11"/>
      <c r="AR3" s="12"/>
      <c r="AS3" s="184"/>
      <c r="AT3" s="184"/>
      <c r="AU3" s="184"/>
      <c r="AV3" s="11"/>
      <c r="AW3" s="12"/>
      <c r="AX3" s="184"/>
      <c r="AY3" s="184"/>
      <c r="AZ3" s="184"/>
      <c r="BA3" s="11"/>
      <c r="BB3" s="12"/>
      <c r="BC3" s="184"/>
      <c r="BD3" s="184"/>
      <c r="BE3" s="184"/>
      <c r="BF3" s="11"/>
      <c r="BG3" s="12"/>
      <c r="BH3" s="184"/>
      <c r="BI3" s="184"/>
      <c r="BJ3" s="184"/>
      <c r="BK3" s="184"/>
      <c r="BL3" s="184"/>
      <c r="BM3" s="184"/>
      <c r="BN3" s="184"/>
      <c r="BO3" s="184"/>
      <c r="BP3" s="184"/>
    </row>
    <row r="4">
      <c r="A4" s="186" t="s">
        <v>28</v>
      </c>
      <c r="B4" s="185"/>
      <c r="C4" s="12"/>
      <c r="D4" s="12" t="s">
        <v>28</v>
      </c>
      <c r="E4" s="12"/>
      <c r="F4" s="12"/>
      <c r="G4" s="12"/>
      <c r="H4" s="11"/>
      <c r="I4" s="11"/>
      <c r="J4" s="12"/>
      <c r="K4" s="12"/>
      <c r="L4" s="12"/>
      <c r="M4" s="11"/>
      <c r="N4" s="12"/>
      <c r="O4" s="12"/>
      <c r="P4" s="12"/>
      <c r="Q4" s="12"/>
      <c r="R4" s="11"/>
      <c r="S4" s="11"/>
      <c r="T4" s="184"/>
      <c r="U4" s="184"/>
      <c r="V4" s="184"/>
      <c r="W4" s="11"/>
      <c r="X4" s="12"/>
      <c r="Y4" s="184"/>
      <c r="Z4" s="184"/>
      <c r="AA4" s="184"/>
      <c r="AB4" s="11"/>
      <c r="AC4" s="12"/>
      <c r="AD4" s="184"/>
      <c r="AE4" s="184"/>
      <c r="AF4" s="184"/>
      <c r="AG4" s="11"/>
      <c r="AH4" s="12"/>
      <c r="AI4" s="184"/>
      <c r="AJ4" s="184"/>
      <c r="AK4" s="184"/>
      <c r="AL4" s="11"/>
      <c r="AM4" s="12"/>
      <c r="AN4" s="184"/>
      <c r="AO4" s="184"/>
      <c r="AP4" s="184"/>
      <c r="AQ4" s="11"/>
      <c r="AR4" s="12"/>
      <c r="AS4" s="184"/>
      <c r="AT4" s="184"/>
      <c r="AU4" s="184"/>
      <c r="AV4" s="11"/>
      <c r="AW4" s="12"/>
      <c r="AX4" s="184"/>
      <c r="AY4" s="184"/>
      <c r="AZ4" s="184"/>
      <c r="BA4" s="11"/>
      <c r="BB4" s="12"/>
      <c r="BC4" s="184"/>
      <c r="BD4" s="184"/>
      <c r="BE4" s="184"/>
      <c r="BF4" s="11"/>
      <c r="BG4" s="12"/>
      <c r="BH4" s="184"/>
      <c r="BI4" s="184"/>
      <c r="BJ4" s="184"/>
      <c r="BK4" s="184"/>
      <c r="BL4" s="184"/>
      <c r="BM4" s="184"/>
      <c r="BN4" s="184"/>
      <c r="BO4" s="184"/>
      <c r="BP4" s="184"/>
    </row>
    <row r="5" ht="225.0" customHeight="1">
      <c r="A5" s="187" t="str">
        <f>$A$7 &amp; $A$8 &amp; CHAR(10) &amp; $A$10 &amp; CHAR(10) &amp; CHAR(10) &amp; $A$11</f>
        <v>FABRIC TOKYO 横浜 2025-11-30 お直し適用サイズ
FABRIC TOKYO 横浜 2025-11-30 お直し適用サイズ ＊スーツサイズ
FABRIC TOKYO 横浜 2025-11-30 お直し適用サイズ ＊ビジネスカジュアルサイズ
◼︎ ジャケット（対応着地：お直し）
《修正数値》
バスト : 2 cm
ウエスト / センターベント : 3 cm
袖丈 / 本切羽なし : 1.5 cm
着丈 / センターベント : 1 cm
《仕上がり数値》
バスト : cm
ウエスト / センターベント : cm
袖丈 / 本切羽なし : cm
着丈 / センターベント : cm
◼︎ パンツ（対応着地：お直し）
《修正数値》
パンツウエスト : -1 cm
《仕上がり数値》
パンツウエスト :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v>
      </c>
      <c r="B5" s="188" t="str">
        <f>"【お直し来店済み】" &amp; CHAR(10) &amp; 
 "来店⽇時：" &amp; text($A$1," yyyy/mm/dd")&amp; CHAR(10) &amp;
 "来店店舗：" &amp; $D$1 &amp; CHAR(10) &amp; CHAR(10) &amp;
 "お直し着地：" &amp; CHAR(10) &amp; $A$10</f>
        <v>【お直し来店済み】
来店⽇時： 2025/11/30
来店店舗：横浜
お直し着地：
◼︎ ジャケット（対応着地：お直し）
《修正数値》
バスト : 2 cm
ウエスト / センターベント : 3 cm
袖丈 / 本切羽なし : 1.5 cm
着丈 / センターベント : 1 cm
《仕上がり数値》
バスト : cm
ウエスト / センターベント : cm
袖丈 / 本切羽なし : cm
着丈 / センターベント : cm
◼︎ パンツ（対応着地：お直し）
《修正数値》
パンツウエスト : -1 cm
《仕上がり数値》
パンツウエスト : cm</v>
      </c>
      <c r="C5" s="12"/>
      <c r="D5" s="189" t="s">
        <v>154</v>
      </c>
      <c r="H5" s="11"/>
      <c r="I5" s="190" t="str">
        <f>"【お直し来店済み】" &amp; CHAR(10) &amp; 
 "来店⽇時：" &amp; text($A$1," yyyy/mm/dd")&amp; CHAR(10) &amp;
 "来店店舗：" &amp; $D$1 &amp; CHAR(10) &amp; CHAR(10) &amp;
 "お直し着地：" &amp; CHAR(10) &amp; $A$10</f>
        <v>【お直し来店済み】
来店⽇時： 2025/11/30
来店店舗：横浜
お直し着地：
◼︎ ジャケット（対応着地：お直し）
《修正数値》
バスト : 2 cm
ウエスト / センターベント : 3 cm
袖丈 / 本切羽なし : 1.5 cm
着丈 / センターベント : 1 cm
《仕上がり数値》
バスト : cm
ウエスト / センターベント : cm
袖丈 / 本切羽なし : cm
着丈 / センターベント : cm
◼︎ パンツ（対応着地：お直し）
《修正数値》
パンツウエスト : -1 cm
《仕上がり数値》
パンツウエスト : cm</v>
      </c>
      <c r="J5" s="12"/>
      <c r="K5" s="191" t="s">
        <v>30</v>
      </c>
      <c r="L5" s="12"/>
      <c r="M5" s="11"/>
      <c r="N5" s="12"/>
      <c r="O5" s="12"/>
      <c r="P5" s="12"/>
      <c r="Q5" s="12"/>
      <c r="R5" s="11"/>
      <c r="S5" s="11"/>
      <c r="T5" s="184"/>
      <c r="U5" s="184"/>
      <c r="V5" s="184"/>
      <c r="W5" s="11"/>
      <c r="X5" s="12"/>
      <c r="Y5" s="184"/>
      <c r="Z5" s="184"/>
      <c r="AA5" s="184"/>
      <c r="AB5" s="11"/>
      <c r="AC5" s="12"/>
      <c r="AD5" s="184"/>
      <c r="AE5" s="184"/>
      <c r="AF5" s="184"/>
      <c r="AG5" s="11"/>
      <c r="AH5" s="12"/>
      <c r="AI5" s="184"/>
      <c r="AJ5" s="184"/>
      <c r="AK5" s="184"/>
      <c r="AL5" s="11"/>
      <c r="AM5" s="12"/>
      <c r="AN5" s="184"/>
      <c r="AO5" s="184"/>
      <c r="AP5" s="184"/>
      <c r="AQ5" s="11"/>
      <c r="AR5" s="12"/>
      <c r="AS5" s="184"/>
      <c r="AT5" s="184"/>
      <c r="AU5" s="184"/>
      <c r="AV5" s="11"/>
      <c r="AW5" s="12"/>
      <c r="AX5" s="184"/>
      <c r="AY5" s="184"/>
      <c r="AZ5" s="184"/>
      <c r="BA5" s="11"/>
      <c r="BB5" s="12"/>
      <c r="BC5" s="184"/>
      <c r="BD5" s="184"/>
      <c r="BE5" s="184"/>
      <c r="BF5" s="11"/>
      <c r="BG5" s="12"/>
      <c r="BH5" s="184"/>
      <c r="BI5" s="184"/>
      <c r="BJ5" s="184"/>
      <c r="BK5" s="184"/>
      <c r="BL5" s="184"/>
      <c r="BM5" s="184"/>
      <c r="BN5" s="184"/>
      <c r="BO5" s="184"/>
      <c r="BP5" s="184"/>
    </row>
    <row r="6">
      <c r="A6" s="12"/>
      <c r="B6" s="186"/>
      <c r="C6" s="12"/>
      <c r="D6" s="12"/>
      <c r="E6" s="12"/>
      <c r="F6" s="12"/>
      <c r="G6" s="12"/>
      <c r="H6" s="11"/>
      <c r="I6" s="11"/>
      <c r="J6" s="12"/>
      <c r="K6" s="12"/>
      <c r="L6" s="12"/>
      <c r="M6" s="11"/>
      <c r="N6" s="12"/>
      <c r="O6" s="12"/>
      <c r="P6" s="12"/>
      <c r="Q6" s="12"/>
      <c r="R6" s="11"/>
      <c r="S6" s="11"/>
      <c r="T6" s="184"/>
      <c r="U6" s="184"/>
      <c r="V6" s="184"/>
      <c r="W6" s="11"/>
      <c r="X6" s="12"/>
      <c r="Y6" s="184"/>
      <c r="Z6" s="184"/>
      <c r="AA6" s="184"/>
      <c r="AB6" s="11"/>
      <c r="AC6" s="12"/>
      <c r="AD6" s="184"/>
      <c r="AE6" s="184"/>
      <c r="AF6" s="184"/>
      <c r="AG6" s="11"/>
      <c r="AH6" s="12"/>
      <c r="AI6" s="184"/>
      <c r="AJ6" s="184"/>
      <c r="AK6" s="184"/>
      <c r="AL6" s="11"/>
      <c r="AM6" s="12"/>
      <c r="AN6" s="184"/>
      <c r="AO6" s="184"/>
      <c r="AP6" s="184"/>
      <c r="AQ6" s="11"/>
      <c r="AR6" s="12"/>
      <c r="AS6" s="184"/>
      <c r="AT6" s="184"/>
      <c r="AU6" s="184"/>
      <c r="AV6" s="11"/>
      <c r="AW6" s="12"/>
      <c r="AX6" s="184"/>
      <c r="AY6" s="184"/>
      <c r="AZ6" s="184"/>
      <c r="BA6" s="11"/>
      <c r="BB6" s="12"/>
      <c r="BC6" s="184"/>
      <c r="BD6" s="184"/>
      <c r="BE6" s="184"/>
      <c r="BF6" s="11"/>
      <c r="BG6" s="12"/>
      <c r="BH6" s="184"/>
      <c r="BI6" s="184"/>
      <c r="BJ6" s="184"/>
      <c r="BK6" s="184"/>
      <c r="BL6" s="184"/>
      <c r="BM6" s="184"/>
      <c r="BN6" s="184"/>
      <c r="BO6" s="184"/>
      <c r="BP6" s="184"/>
    </row>
    <row r="7" ht="28.5" customHeight="1">
      <c r="A7" s="192" t="str">
        <f>IF((SUM(LEN(I11), LEN(N11), LEN(S11), LEN(X11), LEN(AC11), LEN(AH11), LEN(AM11), LEN(AR11), LEN(AW11), LEN(BB11), LEN(BG11)))&gt;0, "FABRIC TOKYO "&amp; $D$1 &amp; " " &amp; TEXT($A$1, "yyyy-m-d") &amp; " お直し適用サイズ" &amp; CHAR(10), "")</f>
        <v>FABRIC TOKYO 横浜 2025-11-30 お直し適用サイズ
</v>
      </c>
      <c r="B7" s="193"/>
      <c r="C7" s="12"/>
      <c r="D7" s="194" t="s">
        <v>31</v>
      </c>
      <c r="E7" s="12"/>
      <c r="F7" s="12"/>
      <c r="G7" s="12"/>
      <c r="H7" s="11"/>
      <c r="I7" s="11"/>
      <c r="J7" s="12"/>
      <c r="K7" s="12"/>
      <c r="L7" s="12"/>
      <c r="M7" s="11"/>
      <c r="N7" s="12"/>
      <c r="O7" s="12"/>
      <c r="P7" s="12"/>
      <c r="Q7" s="12"/>
      <c r="R7" s="11"/>
      <c r="S7" s="11"/>
      <c r="T7" s="184"/>
      <c r="U7" s="184"/>
      <c r="V7" s="184"/>
      <c r="W7" s="11"/>
      <c r="X7" s="12"/>
      <c r="Y7" s="184"/>
      <c r="Z7" s="184"/>
      <c r="AA7" s="184"/>
      <c r="AB7" s="11"/>
      <c r="AC7" s="12"/>
      <c r="AD7" s="184"/>
      <c r="AE7" s="184"/>
      <c r="AF7" s="184"/>
      <c r="AG7" s="11"/>
      <c r="AH7" s="12"/>
      <c r="AI7" s="184"/>
      <c r="AJ7" s="184"/>
      <c r="AK7" s="184"/>
      <c r="AL7" s="11"/>
      <c r="AM7" s="12"/>
      <c r="AN7" s="184"/>
      <c r="AO7" s="184"/>
      <c r="AP7" s="184"/>
      <c r="AQ7" s="11"/>
      <c r="AR7" s="12"/>
      <c r="AS7" s="184"/>
      <c r="AT7" s="184"/>
      <c r="AU7" s="184"/>
      <c r="AV7" s="11"/>
      <c r="AW7" s="12"/>
      <c r="AX7" s="184"/>
      <c r="AY7" s="184"/>
      <c r="AZ7" s="184"/>
      <c r="BA7" s="11"/>
      <c r="BB7" s="12"/>
      <c r="BC7" s="184"/>
      <c r="BD7" s="184"/>
      <c r="BE7" s="184"/>
      <c r="BF7" s="11"/>
      <c r="BG7" s="12"/>
      <c r="BH7" s="184"/>
      <c r="BI7" s="184"/>
      <c r="BJ7" s="184"/>
      <c r="BK7" s="184"/>
      <c r="BL7" s="184"/>
      <c r="BM7" s="184"/>
      <c r="BN7" s="184"/>
      <c r="BO7" s="184"/>
      <c r="BP7" s="184"/>
    </row>
    <row r="8">
      <c r="A8" s="192" t="str">
        <f>ifs($D$11&lt;&gt;"", 
"FABRIC TOKYO "&amp; $D$1&amp; "" &amp; text($A$1," yyyy-m-d"&amp;" お直し適用サイズ ＊スーツサイズ")
&amp; CHAR(10) &amp;
"FABRIC TOKYO "&amp; $D$1&amp; "" &amp; text($A$1," yyyy-m-d"&amp;" お直し適用サイズ ＊ビジネスカジュアルサイズ" &amp; CHAR(10))
,
$D$11="", "")</f>
        <v>FABRIC TOKYO 横浜 2025-11-30 お直し適用サイズ ＊スーツサイズ
FABRIC TOKYO 横浜 2025-11-30 お直し適用サイズ ＊ビジネスカジュアルサイズ
</v>
      </c>
      <c r="B8" s="193"/>
      <c r="C8" s="195"/>
      <c r="D8" s="196">
        <f>IF(OR($D$11="再製作", $I$11="再製作", $N$11="再製作"), "再製作", 
  IF(AND(COUNTIF($E$11:$O$11, "&gt;=" &amp;  TODAY()), COUNTIF($E$11:$O11, "&lt;&gt;")), MAX($D$11, $I$11, $N$11), ""))</f>
        <v>46008</v>
      </c>
      <c r="E8" s="197" t="s">
        <v>32</v>
      </c>
      <c r="F8" s="12"/>
      <c r="G8" s="12"/>
      <c r="H8" s="12"/>
      <c r="I8" s="12"/>
      <c r="J8" s="195"/>
      <c r="K8" s="195"/>
      <c r="L8" s="195"/>
      <c r="M8" s="11"/>
      <c r="N8" s="198" t="s">
        <v>33</v>
      </c>
      <c r="O8" s="12"/>
      <c r="P8" s="12"/>
      <c r="Q8" s="12"/>
      <c r="R8" s="11"/>
      <c r="S8" s="11"/>
      <c r="T8" s="184"/>
      <c r="U8" s="184"/>
      <c r="V8" s="184"/>
      <c r="W8" s="11"/>
      <c r="X8" s="12"/>
      <c r="Y8" s="184"/>
      <c r="Z8" s="184"/>
      <c r="AA8" s="184"/>
      <c r="AB8" s="11"/>
      <c r="AC8" s="12"/>
      <c r="AD8" s="184"/>
      <c r="AE8" s="184"/>
      <c r="AF8" s="184"/>
      <c r="AG8" s="11"/>
      <c r="AH8" s="12"/>
      <c r="AI8" s="184"/>
      <c r="AJ8" s="184"/>
      <c r="AK8" s="184"/>
      <c r="AL8" s="11"/>
      <c r="AM8" s="12"/>
      <c r="AN8" s="184"/>
      <c r="AO8" s="184"/>
      <c r="AP8" s="184"/>
      <c r="AQ8" s="11"/>
      <c r="AR8" s="12"/>
      <c r="AS8" s="184"/>
      <c r="AT8" s="184"/>
      <c r="AU8" s="184"/>
      <c r="AV8" s="11"/>
      <c r="AW8" s="12"/>
      <c r="AX8" s="184"/>
      <c r="AY8" s="184"/>
      <c r="AZ8" s="184"/>
      <c r="BA8" s="11"/>
      <c r="BB8" s="12"/>
      <c r="BC8" s="184"/>
      <c r="BD8" s="184"/>
      <c r="BE8" s="184"/>
      <c r="BF8" s="11"/>
      <c r="BG8" s="12"/>
      <c r="BH8" s="184"/>
      <c r="BI8" s="184"/>
      <c r="BJ8" s="184"/>
      <c r="BK8" s="184"/>
      <c r="BL8" s="184"/>
      <c r="BM8" s="184"/>
      <c r="BN8" s="184"/>
      <c r="BO8" s="184"/>
      <c r="BP8" s="184"/>
    </row>
    <row r="9">
      <c r="A9" s="12"/>
      <c r="B9" s="186"/>
      <c r="C9" s="12"/>
      <c r="D9" s="12"/>
      <c r="E9" s="11"/>
      <c r="F9" s="11"/>
      <c r="G9" s="11"/>
      <c r="H9" s="11"/>
      <c r="I9" s="11"/>
      <c r="J9" s="11"/>
      <c r="K9" s="11"/>
      <c r="L9" s="11"/>
      <c r="M9" s="11"/>
      <c r="N9" s="11"/>
      <c r="O9" s="11"/>
      <c r="P9" s="11"/>
      <c r="Q9" s="11"/>
      <c r="R9" s="11"/>
      <c r="S9" s="12"/>
      <c r="T9" s="184"/>
      <c r="U9" s="184"/>
      <c r="V9" s="184"/>
      <c r="W9" s="11"/>
      <c r="X9" s="12"/>
      <c r="Y9" s="184"/>
      <c r="Z9" s="184"/>
      <c r="AA9" s="184"/>
      <c r="AB9" s="11"/>
      <c r="AC9" s="12"/>
      <c r="AD9" s="184"/>
      <c r="AE9" s="184"/>
      <c r="AF9" s="184"/>
      <c r="AG9" s="11"/>
      <c r="AH9" s="12"/>
      <c r="AI9" s="184"/>
      <c r="AJ9" s="184"/>
      <c r="AK9" s="184"/>
      <c r="AL9" s="11"/>
      <c r="AM9" s="12"/>
      <c r="AN9" s="184"/>
      <c r="AO9" s="184"/>
      <c r="AP9" s="184"/>
      <c r="AQ9" s="11"/>
      <c r="AR9" s="12"/>
      <c r="AS9" s="184"/>
      <c r="AT9" s="184"/>
      <c r="AU9" s="184"/>
      <c r="AV9" s="11"/>
      <c r="AW9" s="12"/>
      <c r="AX9" s="184"/>
      <c r="AY9" s="184"/>
      <c r="AZ9" s="184"/>
      <c r="BA9" s="11"/>
      <c r="BB9" s="12"/>
      <c r="BC9" s="184"/>
      <c r="BD9" s="184"/>
      <c r="BE9" s="184"/>
      <c r="BF9" s="11"/>
      <c r="BG9" s="12"/>
      <c r="BH9" s="184"/>
      <c r="BI9" s="184"/>
      <c r="BJ9" s="184"/>
      <c r="BK9" s="184"/>
      <c r="BL9" s="184"/>
      <c r="BM9" s="184"/>
      <c r="BN9" s="184"/>
      <c r="BO9" s="184"/>
      <c r="BP9" s="184"/>
    </row>
    <row r="10" ht="15.75" customHeight="1">
      <c r="A10" s="199" t="str">
        <f t="array" ref="A10">TRIM(
 IF($A$14&lt;&gt;"",TEXTJOIN(CHAR(10),TRUE,IF($A$14:$A$17&lt;&gt;"",$A$14:$A$17,"")) &amp; CHAR(10) &amp; CHAR(10),"") &amp;
 IF($A$19&lt;&gt;"",TEXTJOIN(CHAR(10),TRUE,IF($A$19:$A$22&lt;&gt;"",$A$19:$A$22,"")) &amp; CHAR(10) &amp; CHAR(10),"") &amp;
 IF($A$24&lt;&gt;"",TEXTJOIN(CHAR(10),TRUE,IF($A$24:$A$27&lt;&gt;"",$A$24:$A$27,"")) &amp; CHAR(10) &amp; CHAR(10),"") &amp;
 IF($A$29&lt;&gt;"",TEXTJOIN(CHAR(10),TRUE,IF($A$29:$A$32&lt;&gt;"",$A$29:$A$32,"")) &amp; CHAR(10) &amp; CHAR(10),"") &amp;
 IF($A$34&lt;&gt;"",TEXTJOIN(CHAR(10),TRUE,IF($A$34:$A$37&lt;&gt;"",$A$34:$A$37,"")) &amp; CHAR(10) &amp; CHAR(10),"") &amp;
 IF($A$39&lt;&gt;"",TEXTJOIN(CHAR(10),TRUE,IF($A$39:$A$42&lt;&gt;"",$A$39:$A$42,"")) &amp; CHAR(10) &amp; CHAR(10),"") &amp;
 IF($A$44&lt;&gt;"",TEXTJOIN(CHAR(10),TRUE,IF($A$44:$A$47&lt;&gt;"",$A$44:$A$47,"")) &amp; CHAR(10) &amp; CHAR(10),"") &amp;
 IF($A$49&lt;&gt;"",TEXTJOIN(CHAR(10),TRUE,IF($A$49:$A$52&lt;&gt;"",$A$49:$A$52,"")) &amp; CHAR(10) &amp; CHAR(10),"") &amp;
 IF($A$54&lt;&gt;"",TEXTJOIN(CHAR(10),TRUE,IF($A$54:$A$57&lt;&gt;"",$A$54:$A$57,"")) &amp; CHAR(10) &amp; CHAR(10),"") &amp;
 IF($A$59&lt;&gt;"",TEXTJOIN(CHAR(10),TRUE,IF($A$59:$A$62&lt;&gt;"",$A$59:$A$62,"")) &amp; CHAR(10) &amp; CHAR(10),"") &amp;
 IF($A$64&lt;&gt;"",TEXTJOIN(CHAR(10),TRUE,IF($A$64:$A$67&lt;&gt;"",$A$64:$A$67,"")) &amp; CHAR(10) &amp; CHAR(10),"") &amp;
 IF($A$69&lt;&gt;"",TEXTJOIN(CHAR(10),TRUE,IF($A$69:$A$72&lt;&gt;"",$A$69:$A$72,"")) &amp; CHAR(10) &amp; CHAR(10),"") 
)
</f>
        <v>◼︎ ジャケット（対応着地：お直し）
《修正数値》
バスト : 2 cm
ウエスト / センターベント : 3 cm
袖丈 / 本切羽なし : 1.5 cm
着丈 / センターベント : 1 cm
《仕上がり数値》
バスト : cm
ウエスト / センターベント : cm
袖丈 / 本切羽なし : cm
着丈 / センターベント : cm
◼︎ パンツ（対応着地：お直し）
《修正数値》
パンツウエスト : -1 cm
《仕上がり数値》
パンツウエスト : cm</v>
      </c>
      <c r="B10" s="12"/>
      <c r="C10" s="12"/>
      <c r="D10" s="200" t="s">
        <v>34</v>
      </c>
      <c r="E10" s="201"/>
      <c r="F10" s="201"/>
      <c r="G10" s="202" t="s">
        <v>35</v>
      </c>
      <c r="H10" s="11"/>
      <c r="I10" s="200" t="s">
        <v>36</v>
      </c>
      <c r="J10" s="203"/>
      <c r="K10" s="201"/>
      <c r="L10" s="202" t="s">
        <v>35</v>
      </c>
      <c r="M10" s="11"/>
      <c r="N10" s="204" t="s">
        <v>37</v>
      </c>
      <c r="O10" s="203"/>
      <c r="P10" s="201"/>
      <c r="Q10" s="202" t="s">
        <v>35</v>
      </c>
      <c r="R10" s="11"/>
      <c r="S10" s="200" t="s">
        <v>38</v>
      </c>
      <c r="T10" s="203"/>
      <c r="U10" s="201"/>
      <c r="V10" s="202" t="s">
        <v>35</v>
      </c>
      <c r="W10" s="11"/>
      <c r="X10" s="200" t="s">
        <v>39</v>
      </c>
      <c r="Y10" s="203"/>
      <c r="Z10" s="201"/>
      <c r="AA10" s="202" t="s">
        <v>35</v>
      </c>
      <c r="AB10" s="11"/>
      <c r="AC10" s="200" t="s">
        <v>40</v>
      </c>
      <c r="AD10" s="203"/>
      <c r="AE10" s="201"/>
      <c r="AF10" s="202" t="s">
        <v>35</v>
      </c>
      <c r="AG10" s="11"/>
      <c r="AH10" s="200" t="s">
        <v>41</v>
      </c>
      <c r="AI10" s="203"/>
      <c r="AJ10" s="201"/>
      <c r="AK10" s="202" t="s">
        <v>35</v>
      </c>
      <c r="AL10" s="11"/>
      <c r="AM10" s="200" t="s">
        <v>42</v>
      </c>
      <c r="AN10" s="203"/>
      <c r="AO10" s="201"/>
      <c r="AP10" s="202" t="s">
        <v>35</v>
      </c>
      <c r="AQ10" s="11"/>
      <c r="AR10" s="200" t="s">
        <v>43</v>
      </c>
      <c r="AS10" s="203"/>
      <c r="AT10" s="201"/>
      <c r="AU10" s="202" t="s">
        <v>35</v>
      </c>
      <c r="AV10" s="12"/>
      <c r="AW10" s="200" t="s">
        <v>44</v>
      </c>
      <c r="AX10" s="203"/>
      <c r="AY10" s="201"/>
      <c r="AZ10" s="202" t="s">
        <v>35</v>
      </c>
      <c r="BA10" s="12"/>
      <c r="BB10" s="200" t="s">
        <v>45</v>
      </c>
      <c r="BC10" s="203"/>
      <c r="BD10" s="201"/>
      <c r="BE10" s="202" t="s">
        <v>35</v>
      </c>
      <c r="BF10" s="12"/>
      <c r="BG10" s="200" t="s">
        <v>46</v>
      </c>
      <c r="BH10" s="203"/>
      <c r="BI10" s="201"/>
      <c r="BJ10" s="202" t="s">
        <v>35</v>
      </c>
      <c r="BK10" s="12"/>
      <c r="BL10" s="200" t="s">
        <v>47</v>
      </c>
      <c r="BM10" s="201"/>
      <c r="BN10" s="201"/>
      <c r="BO10" s="202" t="s">
        <v>35</v>
      </c>
      <c r="BP10" s="12"/>
    </row>
    <row r="11" ht="37.5" customHeight="1">
      <c r="A11" s="205" t="s">
        <v>48</v>
      </c>
      <c r="B11" s="206"/>
      <c r="C11" s="207"/>
      <c r="D11" s="196">
        <f t="array" ref="D11">IFS( COUNTA(F$13:F27) = 0, "", COUNTIF(F$13:F27, "再製作") &gt; 0, "再製作", COUNTIF(F$13:F27, "&gt;0") = 1, INDEX(F$13:F27, MATCH(TRUE, ISNUMBER(F$13:F27), 0)), COUNTIF(F$13:F27, "&gt;0") = 2, 'アイテム別限界値DB'!$S$4, COUNTIF(F$13:F27, "&gt;0") &gt;= 3, 'アイテム別限界値DB'!$S$6, TRUE, "" ) </f>
        <v>46008</v>
      </c>
      <c r="E11" s="208" t="s">
        <v>49</v>
      </c>
      <c r="F11" s="202" t="s">
        <v>50</v>
      </c>
      <c r="G11" s="209">
        <f>sum(G12:G72)</f>
        <v>0</v>
      </c>
      <c r="H11" s="206"/>
      <c r="I11" s="196">
        <f t="array" ref="I11">IFS( COUNTA(K$13:K27) = 0, "", COUNTIF(K$13:K27, "再製作") &gt; 0, "再製作", COUNTIF(K$13:K27, "&gt;0") = 1, INDEX(K$13:K27, MATCH(TRUE, ISNUMBER(K$13:K27), 0)), COUNTIF(K$13:K27, "&gt;0") = 2, 'アイテム別限界値DB'!$S$8, COUNTIF(K$13:K27, "&gt;0") &gt;= 3, 'アイテム別限界値DB'!$S$10, TRUE, "" ) </f>
        <v>45996</v>
      </c>
      <c r="J11" s="210" t="s">
        <v>49</v>
      </c>
      <c r="K11" s="202" t="s">
        <v>50</v>
      </c>
      <c r="L11" s="209">
        <f>sum(L12:L72)</f>
        <v>0</v>
      </c>
      <c r="M11" s="206"/>
      <c r="N11" s="196" t="str">
        <f t="array" ref="N11">IFS( COUNTA(P$13:P27) = 0, "", COUNTIF(P$13:P27, "再製作") &gt; 0, "再製作", COUNTIF(P$13:P27, "&gt;0") = 1, INDEX(P$13:P27, MATCH(TRUE, ISNUMBER(P$13:P27), 0)), COUNTIF(P$13:P27, "&gt;0") = 2, 'アイテム別限界値DB'!$S$4, COUNTIF(P$13:P27, "&gt;0") &gt;= 3, 'アイテム別限界値DB'!$S$6, TRUE, "" ) </f>
        <v/>
      </c>
      <c r="O11" s="210" t="s">
        <v>49</v>
      </c>
      <c r="P11" s="202" t="s">
        <v>50</v>
      </c>
      <c r="Q11" s="209">
        <f>sum(Q12:Q72)</f>
        <v>0</v>
      </c>
      <c r="R11" s="211"/>
      <c r="S11" s="196" t="str">
        <f t="array" ref="S11">IFS( COUNTA(U$13:U27) = 0, "", COUNTIF(U$13:U27, "再製作") &gt; 0, "再製作", COUNTIF(U$13:U27, "&gt;0") = 1, INDEX(U$13:U27, MATCH(TRUE, ISNUMBER(U$13:U27), 0)), COUNTIF(U$13:U27, "&gt;0") = 2, 'アイテム別限界値DB'!$S$8, COUNTIF(U$13:U27, "&gt;0") &gt;= 3, 'アイテム別限界値DB'!$S$10, TRUE, "" ) </f>
        <v/>
      </c>
      <c r="T11" s="210" t="s">
        <v>49</v>
      </c>
      <c r="U11" s="202" t="s">
        <v>50</v>
      </c>
      <c r="V11" s="209">
        <f>sum(V12:V72)</f>
        <v>0</v>
      </c>
      <c r="W11" s="212"/>
      <c r="X11" s="196" t="str">
        <f t="array" ref="X11">IFS( COUNTA(Z$13:Z27) = 0, "", COUNTIF(Z$13:Z27, "再製作") &gt; 0, "再製作", COUNTIF(Z$13:Z27, "&gt;0") = 1, INDEX(Z$13:Z27, MATCH(TRUE, ISNUMBER(Z$13:Z27), 0)), COUNTIF(Z$13:Z27, "&gt;0") = 2, 'アイテム別限界値DB'!$S$4, COUNTIF(Z$13:Z27, "&gt;0") &gt;= 3, 'アイテム別限界値DB'!$S$6, TRUE, "" ) </f>
        <v/>
      </c>
      <c r="Y11" s="210" t="s">
        <v>49</v>
      </c>
      <c r="Z11" s="202" t="s">
        <v>50</v>
      </c>
      <c r="AA11" s="209">
        <f>sum(AA12:AA72)</f>
        <v>0</v>
      </c>
      <c r="AB11" s="211"/>
      <c r="AC11" s="196" t="str">
        <f t="array" ref="AC11">IFS( COUNTA(AE$13:AE27) = 0, "", COUNTIF(AE$13:AE27, "再製作") &gt; 0, "再製作", COUNTIF(AE$13:AE27, "&gt;0") = 1, INDEX(AE$13:AE27, MATCH(TRUE, ISNUMBER(AE$13:AE27), 0)), COUNTIF(AE$13:AE27, "&gt;0") = 2, 'アイテム別限界値DB'!$S$4, COUNTIF(AE$13:AE27, "&gt;0") &gt;= 3, 'アイテム別限界値DB'!$S$6, TRUE, "" ) </f>
        <v/>
      </c>
      <c r="AD11" s="210" t="s">
        <v>49</v>
      </c>
      <c r="AE11" s="202" t="s">
        <v>50</v>
      </c>
      <c r="AF11" s="209">
        <f>sum(AF12:AF72)</f>
        <v>0</v>
      </c>
      <c r="AG11" s="211"/>
      <c r="AH11" s="196" t="str">
        <f t="array" ref="AH11">IFS( COUNTA(AJ$13:AJ27) = 0, "", COUNTIF(AJ$13:AJ27, "再製作") &gt; 0, "再製作", COUNTIF(AJ$13:AJ27, "&gt;0") = 1, INDEX(AJ$13:AJ27, MATCH(TRUE, ISNUMBER(AJ$13:AJ27), 0)), COUNTIF(AJ$13:AJ27, "&gt;0") = 2, 'アイテム別限界値DB'!$S$4, COUNTIF(AJ$13:AJ27, "&gt;0") &gt;= 3, 'アイテム別限界値DB'!$S$6, TRUE, "" ) </f>
        <v/>
      </c>
      <c r="AI11" s="210" t="s">
        <v>49</v>
      </c>
      <c r="AJ11" s="202" t="s">
        <v>50</v>
      </c>
      <c r="AK11" s="209">
        <f>sum(AK12:AK72)</f>
        <v>0</v>
      </c>
      <c r="AL11" s="211"/>
      <c r="AM11" s="196" t="str">
        <f t="array" ref="AM11">IFS( COUNTA(AO$13:AO27) = 0, "", COUNTIF(AO$13:AO27, "再製作") &gt; 0, "再製作", COUNTIF(AO$13:AO27, "&gt;0") = 1, INDEX(AO$13:AO27, MATCH(TRUE, ISNUMBER(AO$13:AO27), 0)), COUNTIF(AO$13:AO27, "&gt;0") = 2, 'アイテム別限界値DB'!$S$4, COUNTIF(AO$13:AO27, "&gt;0") &gt;= 3, 'アイテム別限界値DB'!$S$6, TRUE, "" ) </f>
        <v/>
      </c>
      <c r="AN11" s="210" t="s">
        <v>49</v>
      </c>
      <c r="AO11" s="202" t="s">
        <v>50</v>
      </c>
      <c r="AP11" s="209">
        <f>sum(AP12:AP72)</f>
        <v>0</v>
      </c>
      <c r="AQ11" s="211"/>
      <c r="AR11" s="196" t="str">
        <f t="array" ref="AR11">IFS( COUNTA(AT$13:AT27) = 0, "", COUNTIF(AT$13:AT27, "再製作") &gt; 0, "再製作", COUNTIF(AT$13:AT27, "&gt;0") = 1, INDEX(AT$13:AT27, MATCH(TRUE, ISNUMBER(AT$13:AT27), 0)), COUNTIF(AT$13:AT27, "&gt;0") = 2, 'アイテム別限界値DB'!$S$4, COUNTIF(AT$13:AT27, "&gt;0") &gt;= 3, 'アイテム別限界値DB'!$S$6, TRUE, "" ) </f>
        <v/>
      </c>
      <c r="AS11" s="210" t="s">
        <v>49</v>
      </c>
      <c r="AT11" s="202" t="s">
        <v>50</v>
      </c>
      <c r="AU11" s="209">
        <f>sum(AU12:AU72)</f>
        <v>0</v>
      </c>
      <c r="AV11" s="213"/>
      <c r="AW11" s="196" t="str">
        <f t="array" ref="AW11">IFS( COUNTA(AY$13:AY27) = 0, "", COUNTIF(AY$13:AY27, "再製作") &gt; 0, "再製作", COUNTIF(AY$13:AY27, "&gt;0") = 1, INDEX(AY$13:AY27, MATCH(TRUE, ISNUMBER(AY$13:AY27), 0)), COUNTIF(AY$13:AY27, "&gt;0") = 2, 'アイテム別限界値DB'!$S$4, COUNTIF(AY$13:AY27, "&gt;0") &gt;= 3, 'アイテム別限界値DB'!$S$6, TRUE, "" ) </f>
        <v/>
      </c>
      <c r="AX11" s="210" t="s">
        <v>49</v>
      </c>
      <c r="AY11" s="202" t="s">
        <v>50</v>
      </c>
      <c r="AZ11" s="209">
        <f>sum(AZ12:AZ72)</f>
        <v>0</v>
      </c>
      <c r="BA11" s="213"/>
      <c r="BB11" s="196" t="str">
        <f t="array" ref="BB11">IFS( COUNTA(BD$13:BD27) = 0, "", COUNTIF(BD$13:BD27, "再製作") &gt; 0, "再製作", COUNTIF(BD$13:BD27, "&gt;0") = 1, INDEX(BD$13:BD27, MATCH(TRUE, ISNUMBER(BD$13:BD27), 0)), COUNTIF(BD$13:BD27, "&gt;0") = 2, 'アイテム別限界値DB'!$S$4, COUNTIF(BD$13:BD27, "&gt;0") &gt;= 3, 'アイテム別限界値DB'!$S$6, TRUE, "" ) </f>
        <v/>
      </c>
      <c r="BC11" s="210" t="s">
        <v>49</v>
      </c>
      <c r="BD11" s="202" t="s">
        <v>50</v>
      </c>
      <c r="BE11" s="209">
        <f>sum(BE12:BE72)</f>
        <v>0</v>
      </c>
      <c r="BF11" s="213"/>
      <c r="BG11" s="196" t="str">
        <f t="array" ref="BG11">IFS( COUNTA(BI$13:BI27) = 0, "", COUNTIF(BI$13:BI27, "再製作") &gt; 0, "再製作", COUNTIF(BI$13:BI27, "&gt;0") = 1, INDEX(BI$13:BI27, MATCH(TRUE, ISNUMBER(BI$13:BI27), 0)), COUNTIF(BI$13:BI27, "&gt;0") = 2, 'アイテム別限界値DB'!$S$4, COUNTIF(BI$13:BI27, "&gt;0") &gt;= 3, 'アイテム別限界値DB'!$S$6, TRUE, "" ) </f>
        <v/>
      </c>
      <c r="BH11" s="210" t="s">
        <v>49</v>
      </c>
      <c r="BI11" s="202" t="s">
        <v>50</v>
      </c>
      <c r="BJ11" s="209">
        <f>sum(BJ12:BJ72)</f>
        <v>0</v>
      </c>
      <c r="BK11" s="213"/>
      <c r="BL11" s="196">
        <f t="array" ref="BL11">IFS( COUNTA(BN$13:BN27) = 0, "", COUNTIF(BN$13:BN27, "再製作") &gt; 0, "再製作", COUNTIF(BN$13:BN27, "&gt;0") = 1, INDEX(BN$13:BN27, MATCH(TRUE, ISNUMBER(BN$13:BN27), 0)), COUNTIF(BN$13:BN27, "&gt;0") = 2, 'アイテム別限界値DB'!$S$4, COUNTIF(BN$13:BN27, "&gt;0") &gt;= 3, 'アイテム別限界値DB'!$S$6, TRUE, "" ) </f>
        <v>46003</v>
      </c>
      <c r="BM11" s="214" t="s">
        <v>49</v>
      </c>
      <c r="BN11" s="215" t="s">
        <v>50</v>
      </c>
      <c r="BO11" s="209">
        <f>sum(BO12:BO72)</f>
        <v>0</v>
      </c>
      <c r="BP11" s="213"/>
    </row>
    <row r="12" ht="15.75" hidden="1" customHeight="1">
      <c r="A12" s="11"/>
      <c r="B12" s="11"/>
      <c r="C12" s="11"/>
      <c r="D12" s="216" t="s">
        <v>51</v>
      </c>
      <c r="E12" s="217" t="str">
        <f>IF(D11="再製作", "再製作", IF(D11&lt;&gt;"", "お直し", ""))
</f>
        <v>お直し</v>
      </c>
      <c r="F12" s="195"/>
      <c r="G12" s="218" t="str">
        <f t="array" ref="G12">IF(
  E12 = "再製作", 
  "", 
 if(E12="", "",
  IFERROR(
    INDEX(
      'アイテム別限界値DB'!$L:$L, 
      MATCH(
        1, 
        ('アイテム別限界値DB'!$B:$B = D$10) * 
        ('アイテム別限界値DB'!$C:$C = D12), 
        0
      )
    ), 
    "再製作"
  )
))
</f>
        <v/>
      </c>
      <c r="H12" s="12"/>
      <c r="I12" s="216" t="s">
        <v>51</v>
      </c>
      <c r="J12" s="217" t="str">
        <f>IF(I11="再製作", "再製作", IF(I11&lt;&gt;"", "お直し", ""))
</f>
        <v>お直し</v>
      </c>
      <c r="K12" s="195"/>
      <c r="L12" s="218" t="str">
        <f t="array" ref="L12">IF(
  J12 = "再製作", 
  "", 
 if(J12="", "",
  IFERROR(
    INDEX(
      'アイテム別限界値DB'!$L:$L, 
      MATCH(
        1, 
        ('アイテム別限界値DB'!$B:$B = I$10) * 
        ('アイテム別限界値DB'!$C:$C = I12), 
        0
      )
    ), 
    "再製作"
  )
))
</f>
        <v/>
      </c>
      <c r="M12" s="121"/>
      <c r="N12" s="216" t="s">
        <v>51</v>
      </c>
      <c r="O12" s="217" t="str">
        <f>IF(N11="再製作", "再製作", IF(N11&lt;&gt;"", "お直し", ""))
</f>
        <v/>
      </c>
      <c r="P12" s="195"/>
      <c r="Q12" s="218" t="str">
        <f t="array" ref="Q12">IF(
  O12 = "再製作", 
  "", 
 if(O12="", "",
  IFERROR(
    INDEX(
      'アイテム別限界値DB'!$L:$L, 
      MATCH(
        1, 
        ('アイテム別限界値DB'!$B:$B = N$10) * 
        ('アイテム別限界値DB'!$C:$C = N12), 
        0
      )
    ), 
    "再製作"
  )
))
</f>
        <v/>
      </c>
      <c r="R12" s="11"/>
      <c r="S12" s="216" t="s">
        <v>51</v>
      </c>
      <c r="T12" s="219" t="str">
        <f>IF(S11="再製作", "再製作", IF(S11&lt;&gt;"", "お直し", ""))
</f>
        <v/>
      </c>
      <c r="U12" s="220"/>
      <c r="V12" s="218" t="str">
        <f t="array" ref="V12">IF(
  T12 = "再製作", 
  "", 
 if(T12="", "",
  IFERROR(
    INDEX(
      'アイテム別限界値DB'!$L:$L, 
      MATCH(
        1, 
        ('アイテム別限界値DB'!$B:$B = S$10) * 
        ('アイテム別限界値DB'!$C:$C = S12), 
        0
      )
    ), 
    "再製作"
  )
))
</f>
        <v/>
      </c>
      <c r="W12" s="12"/>
      <c r="X12" s="216" t="s">
        <v>51</v>
      </c>
      <c r="Y12" s="219" t="str">
        <f>IF(X11="再製作", "再製作", IF(X11&lt;&gt;"", "お直し", ""))
</f>
        <v/>
      </c>
      <c r="Z12" s="220"/>
      <c r="AA12" s="218" t="str">
        <f t="array" ref="AA12">IF(
  Y12 = "再製作", 
  "", 
 if(Y12="", "",
  IFERROR(
    INDEX(
      'アイテム別限界値DB'!$L:$L, 
      MATCH(
        1, 
        ('アイテム別限界値DB'!$B:$B = X$10) * 
        ('アイテム別限界値DB'!$C:$C = X12), 
        0
      )
    ), 
    "再製作"
  )
))
</f>
        <v/>
      </c>
      <c r="AB12" s="11"/>
      <c r="AC12" s="216" t="s">
        <v>51</v>
      </c>
      <c r="AD12" s="219" t="str">
        <f>IF(AC11="再製作", "再製作", IF(AC11&lt;&gt;"", "お直し", ""))
</f>
        <v/>
      </c>
      <c r="AE12" s="220"/>
      <c r="AF12" s="218" t="str">
        <f t="array" ref="AF12">IF(
  AD12 = "再製作", 
  "", 
 if(AD12="", "",
  IFERROR(
    INDEX(
      'アイテム別限界値DB'!$L:$L, 
      MATCH(
        1, 
        ('アイテム別限界値DB'!$B:$B = AC$10) * 
        ('アイテム別限界値DB'!$C:$C = AC12), 
        0
      )
    ), 
    "再製作"
  )
))
</f>
        <v/>
      </c>
      <c r="AG12" s="11"/>
      <c r="AH12" s="216" t="s">
        <v>51</v>
      </c>
      <c r="AI12" s="219" t="str">
        <f>IF(AH11="再製作", "再製作", IF(AH11&lt;&gt;"", "お直し", ""))
</f>
        <v/>
      </c>
      <c r="AJ12" s="220"/>
      <c r="AK12" s="218" t="str">
        <f t="array" ref="AK12">IF(
  AI12 = "再製作", 
  "", 
 if(AI12="", "",
  IFERROR(
    INDEX(
      'アイテム別限界値DB'!$L:$L, 
      MATCH(
        1, 
        ('アイテム別限界値DB'!$B:$B = AH$10) * 
        ('アイテム別限界値DB'!$C:$C = AH12), 
        0
      )
    ), 
    "再製作"
  )
))
</f>
        <v/>
      </c>
      <c r="AL12" s="11"/>
      <c r="AM12" s="216" t="s">
        <v>51</v>
      </c>
      <c r="AN12" s="219" t="str">
        <f>IF(AM11="再製作", "再製作", IF(AM11&lt;&gt;"", "お直し", ""))
</f>
        <v/>
      </c>
      <c r="AO12" s="220"/>
      <c r="AP12" s="218" t="str">
        <f t="array" ref="AP12">IF(
  AN12 = "再製作", 
  "", 
 if(AN12="", "",
  IFERROR(
    INDEX(
      'アイテム別限界値DB'!$L:$L, 
      MATCH(
        1, 
        ('アイテム別限界値DB'!$B:$B = AM$10) * 
        ('アイテム別限界値DB'!$C:$C = AM12), 
        0
      )
    ), 
    "再製作"
  )
))
</f>
        <v/>
      </c>
      <c r="AQ12" s="11"/>
      <c r="AR12" s="216" t="s">
        <v>51</v>
      </c>
      <c r="AS12" s="219" t="str">
        <f>IF(AR11="再製作", "再製作", IF(AR11&lt;&gt;"", "お直し", ""))
</f>
        <v/>
      </c>
      <c r="AT12" s="220"/>
      <c r="AU12" s="218" t="str">
        <f t="array" ref="AU12">IF(
  AS12 = "再製作", 
  "", 
 if(AS12="", "",
  IFERROR(
    INDEX(
      'アイテム別限界値DB'!$L:$L, 
      MATCH(
        1, 
        ('アイテム別限界値DB'!$B:$B = AR$10) * 
        ('アイテム別限界値DB'!$C:$C = AR12), 
        0
      )
    ), 
    "再製作"
  )
))
</f>
        <v/>
      </c>
      <c r="AV12" s="121"/>
      <c r="AW12" s="216" t="s">
        <v>51</v>
      </c>
      <c r="AX12" s="219" t="str">
        <f>IF(AW11="再製作", "再製作", IF(AW11&lt;&gt;"", "お直し", ""))
</f>
        <v/>
      </c>
      <c r="AY12" s="220"/>
      <c r="AZ12" s="218" t="str">
        <f t="array" ref="AZ12">IF(
  AX12 = "再製作", 
  "", 
 if(AX12="", "",
  IFERROR(
    INDEX(
      'アイテム別限界値DB'!$L:$L, 
      MATCH(
        1, 
        ('アイテム別限界値DB'!$B:$B = AW$10) * 
        ('アイテム別限界値DB'!$C:$C = AW12), 
        0
      )
    ), 
    "再製作"
  )
))
</f>
        <v/>
      </c>
      <c r="BA12" s="121"/>
      <c r="BB12" s="216" t="s">
        <v>51</v>
      </c>
      <c r="BC12" s="217" t="str">
        <f>IF(BB11="再製作", "再製作", IF(BB11&lt;&gt;"", "お直し", ""))
</f>
        <v/>
      </c>
      <c r="BD12" s="195"/>
      <c r="BE12" s="218" t="str">
        <f t="array" ref="BE12">IF(
  BC12 = "再製作", 
  "", 
 if(BC12="", "",
  IFERROR(
    INDEX(
      'アイテム別限界値DB'!$L:$L, 
      MATCH(
        1, 
        ('アイテム別限界値DB'!$B:$B = BB$10) * 
        ('アイテム別限界値DB'!$C:$C = BB12), 
        0
      )
    ), 
    "再製作"
  )
))
</f>
        <v/>
      </c>
      <c r="BF12" s="121"/>
      <c r="BG12" s="216" t="s">
        <v>51</v>
      </c>
      <c r="BH12" s="217" t="str">
        <f>IF(BG11="再製作", "再製作", IF(BG11&lt;&gt;"", "お直し", ""))
</f>
        <v/>
      </c>
      <c r="BI12" s="195"/>
      <c r="BJ12" s="218" t="str">
        <f t="array" ref="BJ12">IF(
  BH12 = "再製作", 
  "", 
 if(BH12="", "",
  IFERROR(
    INDEX(
      'アイテム別限界値DB'!$L:$L, 
      MATCH(
        1, 
        ('アイテム別限界値DB'!$B:$B = BG$10) * 
        ('アイテム別限界値DB'!$C:$C = BG12), 
        0
      )
    ), 
    "再製作"
  )
))
</f>
        <v/>
      </c>
      <c r="BK12" s="121"/>
      <c r="BL12" s="221" t="s">
        <v>51</v>
      </c>
      <c r="BM12" s="219" t="str">
        <f>IF(BL11="再製作", "再製作", IF(BL11&lt;&gt;"", "お直し", ""))
</f>
        <v>お直し</v>
      </c>
      <c r="BN12" s="195"/>
      <c r="BO12" s="218" t="str">
        <f t="array" ref="BO12">IF(
  BM12 = "再製作", 
  "", 
 if(BM12="", "",
  IFERROR(
    INDEX(
      'アイテム別限界値DB'!$L:$L, 
      MATCH(
        1, 
        ('アイテム別限界値DB'!$B:$B = BL$10) * 
        ('アイテム別限界値DB'!$C:$C = BL12), 
        0
      )
    ), 
    "再製作"
  )
))
</f>
        <v/>
      </c>
      <c r="BP12" s="195"/>
    </row>
    <row r="13" ht="18.75" hidden="1" customHeight="1">
      <c r="A13" s="222" t="s">
        <v>52</v>
      </c>
      <c r="B13" s="12"/>
      <c r="C13" s="12"/>
      <c r="D13" s="223" t="b">
        <f t="array" ref="D13:D42">UNIQUE(IF( ('アイテム別限界値DB'!$B:$B = D$10) * ('アイテム別限界値DB'!$A:$A = "サイズ"),  IF('アイテム別限界値DB'!$B:$B = D$10, 'アイテム別限界値DB'!$F:$F, "") ))</f>
        <v>0</v>
      </c>
      <c r="E13" s="224"/>
      <c r="F13" s="12"/>
      <c r="G13" s="121"/>
      <c r="H13" s="12"/>
      <c r="I13" s="223" t="b">
        <f t="array" ref="I13:I27">UNIQUE(IF( ('アイテム別限界値DB'!$B:$B = I$10) * ('アイテム別限界値DB'!$A:$A = "サイズ"),  IF('アイテム別限界値DB'!$B:$B = I$10, 'アイテム別限界値DB'!$F:$F, "") ))</f>
        <v>0</v>
      </c>
      <c r="J13" s="224"/>
      <c r="K13" s="12"/>
      <c r="L13" s="121"/>
      <c r="M13" s="12"/>
      <c r="N13" s="223" t="b">
        <f t="array" ref="N13:N21">UNIQUE(IF( ('アイテム別限界値DB'!$B:$B = N$10) * ('アイテム別限界値DB'!$A:$A = "サイズ"),  IF('アイテム別限界値DB'!$B:$B = N$10, 'アイテム別限界値DB'!$C:$C, "") ))</f>
        <v>0</v>
      </c>
      <c r="O13" s="224"/>
      <c r="P13" s="12"/>
      <c r="Q13" s="121"/>
      <c r="R13" s="11"/>
      <c r="S13" s="223" t="b">
        <f t="array" ref="S13:S28">UNIQUE(IF( ('アイテム別限界値DB'!$B:$B = S$10) * ('アイテム別限界値DB'!$A:$A = "サイズ"),  IF('アイテム別限界値DB'!$B:$B = S$10, 'アイテム別限界値DB'!$F:$F, "") ))</f>
        <v>0</v>
      </c>
      <c r="T13" s="225"/>
      <c r="U13" s="226"/>
      <c r="V13" s="121"/>
      <c r="W13" s="12"/>
      <c r="X13" s="223" t="b">
        <f t="array" ref="X13:X31">UNIQUE(IF( ('アイテム別限界値DB'!$B:$B = X$10) * ('アイテム別限界値DB'!$A:$A = "サイズ"),  IF('アイテム別限界値DB'!$B:$B = X$10, 'アイテム別限界値DB'!$C:$C, "") ))</f>
        <v>0</v>
      </c>
      <c r="Y13" s="225"/>
      <c r="Z13" s="226"/>
      <c r="AA13" s="121"/>
      <c r="AB13" s="11"/>
      <c r="AC13" s="223" t="b">
        <f t="array" ref="AC13:AC29">UNIQUE(IF( ('アイテム別限界値DB'!$B:$B = AC$10) * ('アイテム別限界値DB'!$A:$A = "サイズ"),  IF('アイテム別限界値DB'!$B:$B = AC$10, 'アイテム別限界値DB'!$F:$F, "") ))</f>
        <v>0</v>
      </c>
      <c r="AD13" s="225"/>
      <c r="AE13" s="226"/>
      <c r="AF13" s="121"/>
      <c r="AG13" s="11"/>
      <c r="AH13" s="223" t="b">
        <f t="array" ref="AH13:AH20">UNIQUE(IF( ('アイテム別限界値DB'!$B:$B = AH$10) * ('アイテム別限界値DB'!$A:$A = "サイズ"),  IF('アイテム別限界値DB'!$B:$B = AH$10, 'アイテム別限界値DB'!$F:$F, "") ))</f>
        <v>0</v>
      </c>
      <c r="AI13" s="225"/>
      <c r="AJ13" s="226"/>
      <c r="AK13" s="121"/>
      <c r="AL13" s="11"/>
      <c r="AM13" s="223" t="b">
        <f t="array" ref="AM13:AM20">UNIQUE(IF( ('アイテム別限界値DB'!$B:$B = AM$10) * ('アイテム別限界値DB'!$A:$A = "サイズ"),  IF('アイテム別限界値DB'!$B:$B = AM$10, 'アイテム別限界値DB'!$F:$F, "") ))</f>
        <v>0</v>
      </c>
      <c r="AN13" s="225"/>
      <c r="AO13" s="226"/>
      <c r="AP13" s="121"/>
      <c r="AQ13" s="11"/>
      <c r="AR13" s="223" t="b">
        <f t="array" ref="AR13:AR20">UNIQUE(IF( ('アイテム別限界値DB'!$B:$B = AR$10) * ('アイテム別限界値DB'!$A:$A = "サイズ"),  IF('アイテム別限界値DB'!$B:$B = AR$10, 'アイテム別限界値DB'!$F:$F, "") ))</f>
        <v>0</v>
      </c>
      <c r="AS13" s="225"/>
      <c r="AT13" s="226"/>
      <c r="AU13" s="121"/>
      <c r="AV13" s="121"/>
      <c r="AW13" s="223" t="b">
        <f t="array" ref="AW13:AW20">UNIQUE(IF( ('アイテム別限界値DB'!$B:$B = AW$10) * ('アイテム別限界値DB'!$A:$A = "サイズ"),  IF('アイテム別限界値DB'!$B:$B = AW$10, 'アイテム別限界値DB'!$F:$F, "") ))</f>
        <v>0</v>
      </c>
      <c r="AX13" s="225"/>
      <c r="AY13" s="226"/>
      <c r="AZ13" s="121"/>
      <c r="BA13" s="121"/>
      <c r="BB13" s="223" t="b">
        <f t="array" ref="BB13:BB20">UNIQUE(IF( ('アイテム別限界値DB'!$B:$B = BB$10) * ('アイテム別限界値DB'!$A:$A = "サイズ"),  IF('アイテム別限界値DB'!$B:$B = BB$10, 'アイテム別限界値DB'!$F:$F, "") ))</f>
        <v>0</v>
      </c>
      <c r="BC13" s="224"/>
      <c r="BD13" s="12"/>
      <c r="BE13" s="121"/>
      <c r="BF13" s="121"/>
      <c r="BG13" s="223" t="b">
        <f t="array" ref="BG13:BG20">UNIQUE(IF( ('アイテム別限界値DB'!$B:$B = BG$10) * ('アイテム別限界値DB'!$A:$A = "サイズ"),  IF('アイテム別限界値DB'!$B:$B = BG$10, 'アイテム別限界値DB'!$F:$F, "") ))</f>
        <v>0</v>
      </c>
      <c r="BH13" s="224"/>
      <c r="BI13" s="12"/>
      <c r="BJ13" s="121"/>
      <c r="BK13" s="121"/>
      <c r="BL13" s="227" t="b">
        <f t="array" ref="BL13:BL23">UNIQUE(IF( ('アイテム別限界値DB'!$B:$B = BL$10) * ('アイテム別限界値DB'!$A:$A = "サイズ"),  IF('アイテム別限界値DB'!$B:$B = BL$10, 'アイテム別限界値DB'!$F:$F, "") ))</f>
        <v>0</v>
      </c>
      <c r="BM13" s="224"/>
      <c r="BN13" s="121"/>
      <c r="BO13" s="121"/>
      <c r="BP13" s="121"/>
    </row>
    <row r="14" ht="18.75" customHeight="1">
      <c r="A14" s="228" t="str">
        <f>IF($D$11 = "再製作", "◼︎ ジャケット（対応着地：再製作）" &amp; char(10) &amp; "《修正数値》", IF( $D$11 &lt;&gt;"", "◼︎ ジャケット（対応着地：お直し）" &amp; char(10) &amp; "《修正数値》", ""))</f>
        <v>◼︎ ジャケット（対応着地：お直し）
《修正数値》</v>
      </c>
      <c r="B14" s="229"/>
      <c r="C14" s="224"/>
      <c r="D14" s="224" t="s">
        <v>51</v>
      </c>
      <c r="E14" s="230"/>
      <c r="F14" s="231" t="str">
        <f t="array" ref="F14">IF(
  E14 = 0, 
  "", 
  IFERROR(
    INDEX(
      'アイテム別限界値DB'!$K:$K, 
      MATCH(
        1, 
        ('アイテム別限界値DB'!$B:$B = D$10) * 
        ('アイテム別限界値DB'!$F:$F = D14) * 
        ('アイテム別限界値DB'!$H:$H = E14), 
        0
      )
    ), 
    "再製作"
  )
)
</f>
        <v/>
      </c>
      <c r="G14" s="218" t="str">
        <f t="array" ref="G14">IF(
  E14 = 0, 
  "", 
  IFERROR(
    INDEX(
      'アイテム別限界値DB'!$L:$L, 
      MATCH(
        1, 
        ('アイテム別限界値DB'!$B:$B = D$10) * 
        ('アイテム別限界値DB'!$C:$C = D14) * 
        ('アイテム別限界値DB'!$F:$F = E14), 
        0
      )
    ), 
    ""
  )
)
</f>
        <v/>
      </c>
      <c r="H14" s="195"/>
      <c r="I14" s="224" t="s">
        <v>51</v>
      </c>
      <c r="J14" s="232"/>
      <c r="K14" s="231" t="str">
        <f t="array" ref="K14">IF(
  J14 = 0, 
  "", 
  IFERROR(
    INDEX(
      'アイテム別限界値DB'!$K:$K, 
      MATCH(
        1, 
        ('アイテム別限界値DB'!$B:$B = I$10) * 
        ('アイテム別限界値DB'!$F:$F = I14) * 
        ('アイテム別限界値DB'!$H:$H = J14), 
        0
      )
    ), 
    "再製作"
  )
)
</f>
        <v/>
      </c>
      <c r="L14" s="218" t="str">
        <f t="array" ref="L14">IF(
  J14 = 0, 
  "", 
  IFERROR(
    INDEX(
      'アイテム別限界値DB'!$L:$L, 
      MATCH(
        1, 
        ('アイテム別限界値DB'!$B:$B = I$10) * 
        ('アイテム別限界値DB'!$C:$C = I14) * 
        ('アイテム別限界値DB'!$F:$F = J14), 
        0
      )
    ), 
    ""
  )
)
</f>
        <v/>
      </c>
      <c r="M14" s="12"/>
      <c r="N14" s="224" t="s">
        <v>51</v>
      </c>
      <c r="O14" s="232"/>
      <c r="P14" s="231" t="str">
        <f t="array" ref="P14">IF(
  O14 = 0, 
  "", 
  IFERROR(
    INDEX(
      'アイテム別限界値DB'!$K:$K, 
      MATCH(
        1, 
        ('アイテム別限界値DB'!$B:$B = N$10) * 
        ('アイテム別限界値DB'!$F:$F = N14) * 
        ('アイテム別限界値DB'!$H:$H = O14), 
        0
      )
    ), 
    "再製作"
  )
)
</f>
        <v/>
      </c>
      <c r="Q14" s="218" t="str">
        <f t="array" ref="Q14">IF(
  O14 = 0, 
  "", 
  IFERROR(
    INDEX(
      'アイテム別限界値DB'!$L:$L, 
      MATCH(
        1, 
        ('アイテム別限界値DB'!$B:$B = N$10) * 
        ('アイテム別限界値DB'!$C:$C = N14) * 
        ('アイテム別限界値DB'!$F:$F = O14), 
        0
      )
    ), 
    ""
  )
)
</f>
        <v/>
      </c>
      <c r="R14" s="12"/>
      <c r="S14" s="224" t="s">
        <v>51</v>
      </c>
      <c r="T14" s="232"/>
      <c r="U14" s="231" t="str">
        <f t="array" ref="U14">IF(
  T14 = 0, 
  "", 
  IFERROR(
    INDEX(
      'アイテム別限界値DB'!$K:$K, 
      MATCH(
        1, 
        ('アイテム別限界値DB'!$B:$B = S$10) * 
        ('アイテム別限界値DB'!$F:$F = S14) * 
        ('アイテム別限界値DB'!$H:$H = T14), 
        0
      )
    ), 
    "再製作"
  )
)
</f>
        <v/>
      </c>
      <c r="V14" s="218" t="str">
        <f t="array" ref="V14">IF(
  T14 = 0, 
  "", 
  IFERROR(
    INDEX(
      'アイテム別限界値DB'!$L:$L, 
      MATCH(
        1, 
        ('アイテム別限界値DB'!$B:$B = S$10) * 
        ('アイテム別限界値DB'!$C:$C = S14) * 
        ('アイテム別限界値DB'!$F:$F = T14), 
        0
      )
    ), 
    ""
  )
)
</f>
        <v/>
      </c>
      <c r="W14" s="12"/>
      <c r="X14" s="224" t="s">
        <v>51</v>
      </c>
      <c r="Y14" s="232"/>
      <c r="Z14" s="231" t="str">
        <f t="array" ref="Z14">IF(
  Y14 = 0, 
  "", 
  IFERROR(
    INDEX(
      'アイテム別限界値DB'!$K:$K, 
      MATCH(
        1, 
        ('アイテム別限界値DB'!$B:$B = X$10) * 
        ('アイテム別限界値DB'!$F:$F = X14) * 
        ('アイテム別限界値DB'!$H:$H = Y14), 
        0
      )
    ), 
    "再製作"
  )
)
</f>
        <v/>
      </c>
      <c r="AA14" s="218" t="str">
        <f t="array" ref="AA14">IF(
  Y14 = 0, 
  "", 
  IFERROR(
    INDEX(
      'アイテム別限界値DB'!$L:$L, 
      MATCH(
        1, 
        ('アイテム別限界値DB'!$B:$B = X$10) * 
        ('アイテム別限界値DB'!$C:$C = X14) * 
        ('アイテム別限界値DB'!$F:$F = Y14), 
        0
      )
    ), 
    ""
  )
)
</f>
        <v/>
      </c>
      <c r="AB14" s="11"/>
      <c r="AC14" s="224" t="s">
        <v>51</v>
      </c>
      <c r="AD14" s="232"/>
      <c r="AE14" s="231" t="str">
        <f t="array" ref="AE14">IF(
  AD14 = 0, 
  "", 
  IFERROR(
    INDEX(
      'アイテム別限界値DB'!$K:$K, 
      MATCH(
        1, 
        ('アイテム別限界値DB'!$B:$B = AC$10) * 
        ('アイテム別限界値DB'!$F:$F = AC14) * 
        ('アイテム別限界値DB'!$H:$H = AD14), 
        0
      )
    ), 
    "再製作"
  )
)
</f>
        <v/>
      </c>
      <c r="AF14" s="218" t="str">
        <f t="array" ref="AF14">IF(
  AD14 = 0, 
  "", 
  IFERROR(
    INDEX(
      'アイテム別限界値DB'!$L:$L, 
      MATCH(
        1, 
        ('アイテム別限界値DB'!$B:$B = AC$10) * 
        ('アイテム別限界値DB'!$C:$C = AC14) * 
        ('アイテム別限界値DB'!$F:$F = AD14), 
        0
      )
    ), 
    ""
  )
)
</f>
        <v/>
      </c>
      <c r="AG14" s="11"/>
      <c r="AH14" s="224" t="s">
        <v>51</v>
      </c>
      <c r="AI14" s="232"/>
      <c r="AJ14" s="231" t="str">
        <f t="array" ref="AJ14">IF(
  AI14 = 0, 
  "", 
  IFERROR(
    INDEX(
      'アイテム別限界値DB'!$K:$K, 
      MATCH(
        1, 
        ('アイテム別限界値DB'!$B:$B = AH$10) * 
        ('アイテム別限界値DB'!$F:$F = AH14) * 
        ('アイテム別限界値DB'!$H:$H = AI14), 
        0
      )
    ), 
    "再製作"
  )
)
</f>
        <v/>
      </c>
      <c r="AK14" s="218" t="str">
        <f t="array" ref="AK14">IF(
  AI14 = 0, 
  "", 
  IFERROR(
    INDEX(
      'アイテム別限界値DB'!$L:$L, 
      MATCH(
        1, 
        ('アイテム別限界値DB'!$B:$B = AH$10) * 
        ('アイテム別限界値DB'!$C:$C = AH14) * 
        ('アイテム別限界値DB'!$F:$F = AI14), 
        0
      )
    ), 
    ""
  )
)
</f>
        <v/>
      </c>
      <c r="AL14" s="11"/>
      <c r="AM14" s="224" t="s">
        <v>51</v>
      </c>
      <c r="AN14" s="232"/>
      <c r="AO14" s="231" t="str">
        <f t="array" ref="AO14">IF(
  AN14 = 0, 
  "", 
  IFERROR(
    INDEX(
      'アイテム別限界値DB'!$K:$K, 
      MATCH(
        1, 
        ('アイテム別限界値DB'!$B:$B = AM$10) * 
        ('アイテム別限界値DB'!$F:$F = AM14) * 
        ('アイテム別限界値DB'!$H:$H = AN14), 
        0
      )
    ), 
    "再製作"
  )
)
</f>
        <v/>
      </c>
      <c r="AP14" s="218" t="str">
        <f t="array" ref="AP14">IF(
  AN14 = 0, 
  "", 
  IFERROR(
    INDEX(
      'アイテム別限界値DB'!$L:$L, 
      MATCH(
        1, 
        ('アイテム別限界値DB'!$B:$B = AM$10) * 
        ('アイテム別限界値DB'!$C:$C = AM14) * 
        ('アイテム別限界値DB'!$F:$F = AN14), 
        0
      )
    ), 
    ""
  )
)
</f>
        <v/>
      </c>
      <c r="AQ14" s="11"/>
      <c r="AR14" s="224" t="s">
        <v>51</v>
      </c>
      <c r="AS14" s="232"/>
      <c r="AT14" s="231" t="str">
        <f t="array" ref="AT14">IF(
  AS14 = 0, 
  "", 
  IFERROR(
    INDEX(
      'アイテム別限界値DB'!$K:$K, 
      MATCH(
        1, 
        ('アイテム別限界値DB'!$B:$B = AR$10) * 
        ('アイテム別限界値DB'!$F:$F = AR14) * 
        ('アイテム別限界値DB'!$H:$H = AS14), 
        0
      )
    ), 
    "再製作"
  )
)
</f>
        <v/>
      </c>
      <c r="AU14" s="218" t="str">
        <f t="array" ref="AU14">IF(
  AS14 = 0, 
  "", 
  IFERROR(
    INDEX(
      'アイテム別限界値DB'!$L:$L, 
      MATCH(
        1, 
        ('アイテム別限界値DB'!$B:$B = AR$10) * 
        ('アイテム別限界値DB'!$C:$C = AR14) * 
        ('アイテム別限界値DB'!$F:$F = AS14), 
        0
      )
    ), 
    ""
  )
)
</f>
        <v/>
      </c>
      <c r="AV14" s="121"/>
      <c r="AW14" s="224" t="s">
        <v>51</v>
      </c>
      <c r="AX14" s="232"/>
      <c r="AY14" s="231" t="str">
        <f t="array" ref="AY14">IF(
  AX14 = 0, 
  "", 
  IFERROR(
    INDEX(
      'アイテム別限界値DB'!$K:$K, 
      MATCH(
        1, 
        ('アイテム別限界値DB'!$B:$B = AW$10) * 
        ('アイテム別限界値DB'!$F:$F = AW14) * 
        ('アイテム別限界値DB'!$H:$H = AX14), 
        0
      )
    ), 
    "再製作"
  )
)
</f>
        <v/>
      </c>
      <c r="AZ14" s="218" t="str">
        <f t="array" ref="AZ14">IF(
  AX14 = 0, 
  "", 
  IFERROR(
    INDEX(
      'アイテム別限界値DB'!$L:$L, 
      MATCH(
        1, 
        ('アイテム別限界値DB'!$B:$B = AW$10) * 
        ('アイテム別限界値DB'!$C:$C = AW14) * 
        ('アイテム別限界値DB'!$F:$F = AX14), 
        0
      )
    ), 
    ""
  )
)
</f>
        <v/>
      </c>
      <c r="BA14" s="121"/>
      <c r="BB14" s="224" t="s">
        <v>51</v>
      </c>
      <c r="BC14" s="232"/>
      <c r="BD14" s="231" t="str">
        <f t="array" ref="BD14">IF(
  BC14 = 0, 
  "", 
  IFERROR(
    INDEX(
      'アイテム別限界値DB'!$K:$K, 
      MATCH(
        1, 
        ('アイテム別限界値DB'!$B:$B = BB$10) * 
        ('アイテム別限界値DB'!$F:$F = BB14) * 
        ('アイテム別限界値DB'!$H:$H = BC14), 
        0
      )
    ), 
    "再製作"
  )
)
</f>
        <v/>
      </c>
      <c r="BE14" s="218" t="str">
        <f t="array" ref="BE14">IF(
  BC14 = 0, 
  "", 
  IFERROR(
    INDEX(
      'アイテム別限界値DB'!$L:$L, 
      MATCH(
        1, 
        ('アイテム別限界値DB'!$B:$B = BB$10) * 
        ('アイテム別限界値DB'!$C:$C = BB14) * 
        ('アイテム別限界値DB'!$F:$F = BC14), 
        0
      )
    ), 
    ""
  )
)
</f>
        <v/>
      </c>
      <c r="BF14" s="121"/>
      <c r="BG14" s="224" t="s">
        <v>51</v>
      </c>
      <c r="BH14" s="233"/>
      <c r="BI14" s="234" t="str">
        <f t="array" ref="BI14">IF(
  BH14 = 0, 
  "", 
  IFERROR(
    INDEX(
      'アイテム別限界値DB'!$K:$K, 
      MATCH(
        1, 
        ('アイテム別限界値DB'!$B:$B = BG$10) * 
        ('アイテム別限界値DB'!$F:$F = BG14) * 
        ('アイテム別限界値DB'!$H:$H = BH14), 
        0
      )
    ), 
    "再製作"
  )
)
</f>
        <v/>
      </c>
      <c r="BJ14" s="218" t="str">
        <f t="array" ref="BJ14">IF(
  BH14 = 0, 
  "", 
  IFERROR(
    INDEX(
      'アイテム別限界値DB'!$L:$L, 
      MATCH(
        1, 
        ('アイテム別限界値DB'!$B:$B = BG$10) * 
        ('アイテム別限界値DB'!$C:$C = BG14) * 
        ('アイテム別限界値DB'!$F:$F = BH14), 
        0
      )
    ), 
    ""
  )
)
</f>
        <v/>
      </c>
      <c r="BK14" s="121"/>
      <c r="BL14" s="224" t="s">
        <v>51</v>
      </c>
      <c r="BM14" s="232"/>
      <c r="BN14" s="231" t="str">
        <f t="array" ref="BN14">IF(
  BM14 = 0, 
  "", 
  IFERROR(
    INDEX(
      'アイテム別限界値DB'!$K:$K, 
      MATCH(
        1, 
        ('アイテム別限界値DB'!$B:$B = BL$10) * 
        ('アイテム別限界値DB'!$F:$F = BL14) * 
        ('アイテム別限界値DB'!$H:$H = BM14), 
        0
      )
    ), 
    "再製作"
  )
)
</f>
        <v/>
      </c>
      <c r="BO14" s="218" t="str">
        <f t="array" ref="BO14">IF(
  BM14 = 0, 
  "", 
  IFERROR(
    INDEX(
      'アイテム別限界値DB'!$L:$L, 
      MATCH(
        1, 
        ('アイテム別限界値DB'!$B:$B = BL$10) * 
        ('アイテム別限界値DB'!$C:$C = BL14) * 
        ('アイテム別限界値DB'!$F:$F = BM14), 
        0
      )
    ), 
    ""
  )
)
</f>
        <v/>
      </c>
      <c r="BP14" s="195"/>
    </row>
    <row r="15" ht="18.75" customHeight="1">
      <c r="A15" s="228" t="str">
        <f>IFERROR(__xludf.DUMMYFUNCTION("TEXTJOIN(CHAR(10),TRUE,FILTER(ARRAYFORMULA(IF(E$14:E72&lt;&gt;"""",D$14:D72&amp;"" : ""&amp; E$14:E72 &amp;"" cm"","""")), D$14:D72 &lt;&gt;""""))"),"バスト : 2 cm
ウエスト / センターベント : 3 cm
袖丈 / 本切羽なし : 1.5 cm
着丈 / センターベント : 1 cm")</f>
        <v>バスト : 2 cm
ウエスト / センターベント : 3 cm
袖丈 / 本切羽なし : 1.5 cm
着丈 / センターベント : 1 cm</v>
      </c>
      <c r="B15" s="235"/>
      <c r="C15" s="224"/>
      <c r="D15" s="224" t="s">
        <v>53</v>
      </c>
      <c r="E15" s="230"/>
      <c r="F15" s="231" t="str">
        <f t="array" ref="F15">IF(
  E15 = 0, 
  "", 
  IFERROR(
    INDEX(
      'アイテム別限界値DB'!$K:$K, 
      MATCH(
        1, 
        ('アイテム別限界値DB'!$B:$B = D$10) * 
        ('アイテム別限界値DB'!$F:$F = D15) * 
        ('アイテム別限界値DB'!$H:$H = E15), 
        0
      )
    ), 
    "再製作"
  )
)
</f>
        <v/>
      </c>
      <c r="G15" s="218" t="str">
        <f t="array" ref="G15">IF(
  E15 = 0, 
  "", 
  IFERROR(
    INDEX(
      'アイテム別限界値DB'!$L:$L, 
      MATCH(
        1, 
        ('アイテム別限界値DB'!$B:$B = D$10) * 
        ('アイテム別限界値DB'!$C:$C = D15) * 
        ('アイテム別限界値DB'!$F:$F = E15), 
        0
      )
    ), 
    ""
  )
)
</f>
        <v/>
      </c>
      <c r="H15" s="12"/>
      <c r="I15" s="224" t="s">
        <v>54</v>
      </c>
      <c r="J15" s="230" t="s">
        <v>59</v>
      </c>
      <c r="K15" s="231">
        <f t="array" ref="K15">IF(
  J15 = 0, 
  "", 
  IFERROR(
    INDEX(
      'アイテム別限界値DB'!$K:$K, 
      MATCH(
        1, 
        ('アイテム別限界値DB'!$B:$B = I$10) * 
        ('アイテム別限界値DB'!$F:$F = I15) * 
        ('アイテム別限界値DB'!$H:$H = J15), 
        0
      )
    ), 
    "再製作"
  )
)
</f>
        <v>45996</v>
      </c>
      <c r="L15" s="218" t="str">
        <f t="array" ref="L15">IF(
  J15 = 0, 
  "", 
  IFERROR(
    INDEX(
      'アイテム別限界値DB'!$L:$L, 
      MATCH(
        1, 
        ('アイテム別限界値DB'!$B:$B = I$10) * 
        ('アイテム別限界値DB'!$C:$C = I15) * 
        ('アイテム別限界値DB'!$F:$F = J15), 
        0
      )
    ), 
    ""
  )
)
</f>
        <v/>
      </c>
      <c r="M15" s="12"/>
      <c r="N15" s="224" t="s">
        <v>55</v>
      </c>
      <c r="O15" s="230"/>
      <c r="P15" s="231" t="str">
        <f t="array" ref="P15">IF(
  O15 = 0, 
  "", 
  IFERROR(
    INDEX(
      'アイテム別限界値DB'!$K:$K, 
      MATCH(
        1, 
        ('アイテム別限界値DB'!$B:$B = N$10) * 
        ('アイテム別限界値DB'!$F:$F = N15) * 
        ('アイテム別限界値DB'!$H:$H = O15), 
        0
      )
    ), 
    "再製作"
  )
)
</f>
        <v/>
      </c>
      <c r="Q15" s="218" t="str">
        <f t="array" ref="Q15">IF(
  O15 = 0, 
  "", 
  IFERROR(
    INDEX(
      'アイテム別限界値DB'!$L:$L, 
      MATCH(
        1, 
        ('アイテム別限界値DB'!$B:$B = N$10) * 
        ('アイテム別限界値DB'!$C:$C = N15) * 
        ('アイテム別限界値DB'!$F:$F = O15), 
        0
      )
    ), 
    ""
  )
)
</f>
        <v/>
      </c>
      <c r="R15" s="12"/>
      <c r="S15" s="224" t="s">
        <v>54</v>
      </c>
      <c r="T15" s="232"/>
      <c r="U15" s="231" t="str">
        <f t="array" ref="U15">IF(
  T15 = 0, 
  "", 
  IFERROR(
    INDEX(
      'アイテム別限界値DB'!$K:$K, 
      MATCH(
        1, 
        ('アイテム別限界値DB'!$B:$B = S$10) * 
        ('アイテム別限界値DB'!$F:$F = S15) * 
        ('アイテム別限界値DB'!$H:$H = T15), 
        0
      )
    ), 
    "再製作"
  )
)
</f>
        <v/>
      </c>
      <c r="V15" s="218" t="str">
        <f t="array" ref="V15">IF(
  T15 = 0, 
  "", 
  IFERROR(
    INDEX(
      'アイテム別限界値DB'!$L:$L, 
      MATCH(
        1, 
        ('アイテム別限界値DB'!$B:$B = S$10) * 
        ('アイテム別限界値DB'!$C:$C = S15) * 
        ('アイテム別限界値DB'!$F:$F = T15), 
        0
      )
    ), 
    ""
  )
)
</f>
        <v/>
      </c>
      <c r="W15" s="12"/>
      <c r="X15" s="224" t="s">
        <v>53</v>
      </c>
      <c r="Y15" s="230"/>
      <c r="Z15" s="231" t="str">
        <f t="array" ref="Z15">IF(
  Y15 = 0, 
  "", 
  IFERROR(
    INDEX(
      'アイテム別限界値DB'!$K:$K, 
      MATCH(
        1, 
        ('アイテム別限界値DB'!$B:$B = X$10) * 
        ('アイテム別限界値DB'!$F:$F = X15) * 
        ('アイテム別限界値DB'!$H:$H = Y15), 
        0
      )
    ), 
    "再製作"
  )
)
</f>
        <v/>
      </c>
      <c r="AA15" s="218" t="str">
        <f t="array" ref="AA15">IF(
  Y15 = 0, 
  "", 
  IFERROR(
    INDEX(
      'アイテム別限界値DB'!$L:$L, 
      MATCH(
        1, 
        ('アイテム別限界値DB'!$B:$B = X$10) * 
        ('アイテム別限界値DB'!$C:$C = X15) * 
        ('アイテム別限界値DB'!$F:$F = Y15), 
        0
      )
    ), 
    ""
  )
)
</f>
        <v/>
      </c>
      <c r="AB15" s="11"/>
      <c r="AC15" s="224" t="s">
        <v>53</v>
      </c>
      <c r="AD15" s="230"/>
      <c r="AE15" s="231" t="str">
        <f t="array" ref="AE15">IF(
  AD15 = 0, 
  "", 
  IFERROR(
    INDEX(
      'アイテム別限界値DB'!$K:$K, 
      MATCH(
        1, 
        ('アイテム別限界値DB'!$B:$B = AC$10) * 
        ('アイテム別限界値DB'!$F:$F = AC15) * 
        ('アイテム別限界値DB'!$H:$H = AD15), 
        0
      )
    ), 
    "再製作"
  )
)
</f>
        <v/>
      </c>
      <c r="AF15" s="218" t="str">
        <f t="array" ref="AF15">IF(
  AD15 = 0, 
  "", 
  IFERROR(
    INDEX(
      'アイテム別限界値DB'!$L:$L, 
      MATCH(
        1, 
        ('アイテム別限界値DB'!$B:$B = AC$10) * 
        ('アイテム別限界値DB'!$C:$C = AC15) * 
        ('アイテム別限界値DB'!$F:$F = AD15), 
        0
      )
    ), 
    ""
  )
)
</f>
        <v/>
      </c>
      <c r="AG15" s="11"/>
      <c r="AH15" s="224" t="s">
        <v>53</v>
      </c>
      <c r="AI15" s="232"/>
      <c r="AJ15" s="231" t="str">
        <f t="array" ref="AJ15">IF(
  AI15 = 0, 
  "", 
  IFERROR(
    INDEX(
      'アイテム別限界値DB'!$K:$K, 
      MATCH(
        1, 
        ('アイテム別限界値DB'!$B:$B = AH$10) * 
        ('アイテム別限界値DB'!$F:$F = AH15) * 
        ('アイテム別限界値DB'!$H:$H = AI15), 
        0
      )
    ), 
    "再製作"
  )
)
</f>
        <v/>
      </c>
      <c r="AK15" s="218" t="str">
        <f t="array" ref="AK15">IF(
  AI15 = 0, 
  "", 
  IFERROR(
    INDEX(
      'アイテム別限界値DB'!$L:$L, 
      MATCH(
        1, 
        ('アイテム別限界値DB'!$B:$B = AH$10) * 
        ('アイテム別限界値DB'!$C:$C = AH15) * 
        ('アイテム別限界値DB'!$F:$F = AI15), 
        0
      )
    ), 
    ""
  )
)
</f>
        <v/>
      </c>
      <c r="AL15" s="11"/>
      <c r="AM15" s="224" t="s">
        <v>53</v>
      </c>
      <c r="AN15" s="232"/>
      <c r="AO15" s="231" t="str">
        <f t="array" ref="AO15">IF(
  AN15 = 0, 
  "", 
  IFERROR(
    INDEX(
      'アイテム別限界値DB'!$K:$K, 
      MATCH(
        1, 
        ('アイテム別限界値DB'!$B:$B = AM$10) * 
        ('アイテム別限界値DB'!$F:$F = AM15) * 
        ('アイテム別限界値DB'!$H:$H = AN15), 
        0
      )
    ), 
    "再製作"
  )
)
</f>
        <v/>
      </c>
      <c r="AP15" s="218" t="str">
        <f t="array" ref="AP15">IF(
  AN15 = 0, 
  "", 
  IFERROR(
    INDEX(
      'アイテム別限界値DB'!$L:$L, 
      MATCH(
        1, 
        ('アイテム別限界値DB'!$B:$B = AM$10) * 
        ('アイテム別限界値DB'!$C:$C = AM15) * 
        ('アイテム別限界値DB'!$F:$F = AN15), 
        0
      )
    ), 
    ""
  )
)
</f>
        <v/>
      </c>
      <c r="AQ15" s="11"/>
      <c r="AR15" s="224" t="s">
        <v>53</v>
      </c>
      <c r="AS15" s="232"/>
      <c r="AT15" s="231" t="str">
        <f t="array" ref="AT15">IF(
  AS15 = 0, 
  "", 
  IFERROR(
    INDEX(
      'アイテム別限界値DB'!$K:$K, 
      MATCH(
        1, 
        ('アイテム別限界値DB'!$B:$B = AR$10) * 
        ('アイテム別限界値DB'!$F:$F = AR15) * 
        ('アイテム別限界値DB'!$H:$H = AS15), 
        0
      )
    ), 
    "再製作"
  )
)
</f>
        <v/>
      </c>
      <c r="AU15" s="218" t="str">
        <f t="array" ref="AU15">IF(
  AS15 = 0, 
  "", 
  IFERROR(
    INDEX(
      'アイテム別限界値DB'!$L:$L, 
      MATCH(
        1, 
        ('アイテム別限界値DB'!$B:$B = AR$10) * 
        ('アイテム別限界値DB'!$C:$C = AR15) * 
        ('アイテム別限界値DB'!$F:$F = AS15), 
        0
      )
    ), 
    ""
  )
)
</f>
        <v/>
      </c>
      <c r="AV15" s="121"/>
      <c r="AW15" s="224" t="s">
        <v>53</v>
      </c>
      <c r="AX15" s="232"/>
      <c r="AY15" s="231" t="str">
        <f t="array" ref="AY15">IF(
  AX15 = 0, 
  "", 
  IFERROR(
    INDEX(
      'アイテム別限界値DB'!$K:$K, 
      MATCH(
        1, 
        ('アイテム別限界値DB'!$B:$B = AW$10) * 
        ('アイテム別限界値DB'!$F:$F = AW15) * 
        ('アイテム別限界値DB'!$H:$H = AX15), 
        0
      )
    ), 
    "再製作"
  )
)
</f>
        <v/>
      </c>
      <c r="AZ15" s="218" t="str">
        <f t="array" ref="AZ15">IF(
  AX15 = 0, 
  "", 
  IFERROR(
    INDEX(
      'アイテム別限界値DB'!$L:$L, 
      MATCH(
        1, 
        ('アイテム別限界値DB'!$B:$B = AW$10) * 
        ('アイテム別限界値DB'!$C:$C = AW15) * 
        ('アイテム別限界値DB'!$F:$F = AX15), 
        0
      )
    ), 
    ""
  )
)
</f>
        <v/>
      </c>
      <c r="BA15" s="121"/>
      <c r="BB15" s="224" t="s">
        <v>53</v>
      </c>
      <c r="BC15" s="232"/>
      <c r="BD15" s="231" t="str">
        <f t="array" ref="BD15">IF(
  BC15 = 0, 
  "", 
  IFERROR(
    INDEX(
      'アイテム別限界値DB'!$K:$K, 
      MATCH(
        1, 
        ('アイテム別限界値DB'!$B:$B = BB$10) * 
        ('アイテム別限界値DB'!$F:$F = BB15) * 
        ('アイテム別限界値DB'!$H:$H = BC15), 
        0
      )
    ), 
    "再製作"
  )
)
</f>
        <v/>
      </c>
      <c r="BE15" s="218" t="str">
        <f t="array" ref="BE15">IF(
  BC15 = 0, 
  "", 
  IFERROR(
    INDEX(
      'アイテム別限界値DB'!$L:$L, 
      MATCH(
        1, 
        ('アイテム別限界値DB'!$B:$B = BB$10) * 
        ('アイテム別限界値DB'!$C:$C = BB15) * 
        ('アイテム別限界値DB'!$F:$F = BC15), 
        0
      )
    ), 
    ""
  )
)
</f>
        <v/>
      </c>
      <c r="BF15" s="121"/>
      <c r="BG15" s="224" t="s">
        <v>53</v>
      </c>
      <c r="BH15" s="232"/>
      <c r="BI15" s="231" t="str">
        <f t="array" ref="BI15">IF(
  BH15 = 0, 
  "", 
  IFERROR(
    INDEX(
      'アイテム別限界値DB'!$K:$K, 
      MATCH(
        1, 
        ('アイテム別限界値DB'!$B:$B = BG$10) * 
        ('アイテム別限界値DB'!$F:$F = BG15) * 
        ('アイテム別限界値DB'!$H:$H = BH15), 
        0
      )
    ), 
    "再製作"
  )
)
</f>
        <v/>
      </c>
      <c r="BJ15" s="218" t="str">
        <f t="array" ref="BJ15">IF(
  BH15 = 0, 
  "", 
  IFERROR(
    INDEX(
      'アイテム別限界値DB'!$L:$L, 
      MATCH(
        1, 
        ('アイテム別限界値DB'!$B:$B = BG$10) * 
        ('アイテム別限界値DB'!$C:$C = BG15) * 
        ('アイテム別限界値DB'!$F:$F = BH15), 
        0
      )
    ), 
    ""
  )
)
</f>
        <v/>
      </c>
      <c r="BK15" s="121"/>
      <c r="BL15" s="224" t="s">
        <v>53</v>
      </c>
      <c r="BM15" s="232"/>
      <c r="BN15" s="231" t="str">
        <f t="array" ref="BN15">IF(
  BM15 = 0, 
  "", 
  IFERROR(
    INDEX(
      'アイテム別限界値DB'!$K:$K, 
      MATCH(
        1, 
        ('アイテム別限界値DB'!$B:$B = BL$10) * 
        ('アイテム別限界値DB'!$F:$F = BL15) * 
        ('アイテム別限界値DB'!$H:$H = BM15), 
        0
      )
    ), 
    "再製作"
  )
)
</f>
        <v/>
      </c>
      <c r="BO15" s="218" t="str">
        <f t="array" ref="BO15">IF(
  BM15 = 0, 
  "", 
  IFERROR(
    INDEX(
      'アイテム別限界値DB'!$L:$L, 
      MATCH(
        1, 
        ('アイテム別限界値DB'!$B:$B = BL$10) * 
        ('アイテム別限界値DB'!$C:$C = BL15) * 
        ('アイテム別限界値DB'!$F:$F = BM15), 
        0
      )
    ), 
    ""
  )
)
</f>
        <v/>
      </c>
      <c r="BP15" s="195"/>
    </row>
    <row r="16" ht="18.75" customHeight="1">
      <c r="A16" s="236" t="str">
        <f>if($A$14&lt;&gt;"", "《仕上がり数値》","")</f>
        <v>《仕上がり数値》</v>
      </c>
      <c r="B16" s="224"/>
      <c r="C16" s="224"/>
      <c r="D16" s="224" t="s">
        <v>55</v>
      </c>
      <c r="E16" s="230" t="s">
        <v>132</v>
      </c>
      <c r="F16" s="231">
        <f t="array" ref="F16">IF(
  E16 = 0, 
  "", 
  IFERROR(
    INDEX(
      'アイテム別限界値DB'!$K:$K, 
      MATCH(
        1, 
        ('アイテム別限界値DB'!$B:$B = D$10) * 
        ('アイテム別限界値DB'!$F:$F = D16) * 
        ('アイテム別限界値DB'!$H:$H = E16), 
        0
      )
    ), 
    "再製作"
  )
)
</f>
        <v>46000</v>
      </c>
      <c r="G16" s="218" t="str">
        <f t="array" ref="G16">IF(
  E16 = 0, 
  "", 
  IFERROR(
    INDEX(
      'アイテム別限界値DB'!$L:$L, 
      MATCH(
        1, 
        ('アイテム別限界値DB'!$B:$B = D$10) * 
        ('アイテム別限界値DB'!$C:$C = D16) * 
        ('アイテム別限界値DB'!$F:$F = E16), 
        0
      )
    ), 
    ""
  )
)
</f>
        <v/>
      </c>
      <c r="H16" s="12"/>
      <c r="I16" s="224" t="s">
        <v>56</v>
      </c>
      <c r="J16" s="230"/>
      <c r="K16" s="231" t="str">
        <f t="array" ref="K16">IF(
  J16 = 0, 
  "", 
  IFERROR(
    INDEX(
      'アイテム別限界値DB'!$K:$K, 
      MATCH(
        1, 
        ('アイテム別限界値DB'!$B:$B = I$10) * 
        ('アイテム別限界値DB'!$F:$F = I16) * 
        ('アイテム別限界値DB'!$H:$H = J16), 
        0
      )
    ), 
    "再製作"
  )
)
</f>
        <v/>
      </c>
      <c r="L16" s="218" t="str">
        <f t="array" ref="L16">IF(
  J16 = 0, 
  "", 
  IFERROR(
    INDEX(
      'アイテム別限界値DB'!$L:$L, 
      MATCH(
        1, 
        ('アイテム別限界値DB'!$B:$B = I$10) * 
        ('アイテム別限界値DB'!$C:$C = I16) * 
        ('アイテム別限界値DB'!$F:$F = J16), 
        0
      )
    ), 
    ""
  )
)
</f>
        <v/>
      </c>
      <c r="M16" s="12"/>
      <c r="N16" s="224" t="s">
        <v>57</v>
      </c>
      <c r="O16" s="230"/>
      <c r="P16" s="231" t="str">
        <f t="array" ref="P16">IF(
  O16 = 0, 
  "", 
  IFERROR(
    INDEX(
      'アイテム別限界値DB'!$K:$K, 
      MATCH(
        1, 
        ('アイテム別限界値DB'!$B:$B = N$10) * 
        ('アイテム別限界値DB'!$F:$F = N16) * 
        ('アイテム別限界値DB'!$H:$H = O16), 
        0
      )
    ), 
    "再製作"
  )
)
</f>
        <v/>
      </c>
      <c r="Q16" s="218" t="str">
        <f t="array" ref="Q16">IF(
  O16 = 0, 
  "", 
  IFERROR(
    INDEX(
      'アイテム別限界値DB'!$L:$L, 
      MATCH(
        1, 
        ('アイテム別限界値DB'!$B:$B = N$10) * 
        ('アイテム別限界値DB'!$C:$C = N16) * 
        ('アイテム別限界値DB'!$F:$F = O16), 
        0
      )
    ), 
    ""
  )
)
</f>
        <v/>
      </c>
      <c r="R16" s="12"/>
      <c r="S16" s="224" t="s">
        <v>56</v>
      </c>
      <c r="T16" s="232"/>
      <c r="U16" s="231" t="str">
        <f t="array" ref="U16">IF(
  T16 = 0, 
  "", 
  IFERROR(
    INDEX(
      'アイテム別限界値DB'!$K:$K, 
      MATCH(
        1, 
        ('アイテム別限界値DB'!$B:$B = S$10) * 
        ('アイテム別限界値DB'!$F:$F = S16) * 
        ('アイテム別限界値DB'!$H:$H = T16), 
        0
      )
    ), 
    "再製作"
  )
)
</f>
        <v/>
      </c>
      <c r="V16" s="218" t="str">
        <f t="array" ref="V16">IF(
  T16 = 0, 
  "", 
  IFERROR(
    INDEX(
      'アイテム別限界値DB'!$L:$L, 
      MATCH(
        1, 
        ('アイテム別限界値DB'!$B:$B = S$10) * 
        ('アイテム別限界値DB'!$C:$C = S16) * 
        ('アイテム別限界値DB'!$F:$F = T16), 
        0
      )
    ), 
    ""
  )
)
</f>
        <v/>
      </c>
      <c r="W16" s="12"/>
      <c r="X16" s="224" t="s">
        <v>58</v>
      </c>
      <c r="Y16" s="230"/>
      <c r="Z16" s="231" t="str">
        <f t="array" ref="Z16">IF(
  Y16 = 0, 
  "", 
  IFERROR(
    INDEX(
      'アイテム別限界値DB'!$K:$K, 
      MATCH(
        1, 
        ('アイテム別限界値DB'!$B:$B = X$10) * 
        ('アイテム別限界値DB'!$F:$F = X16) * 
        ('アイテム別限界値DB'!$H:$H = Y16), 
        0
      )
    ), 
    "再製作"
  )
)
</f>
        <v/>
      </c>
      <c r="AA16" s="218" t="str">
        <f t="array" ref="AA16">IF(
  Y16 = 0, 
  "", 
  IFERROR(
    INDEX(
      'アイテム別限界値DB'!$L:$L, 
      MATCH(
        1, 
        ('アイテム別限界値DB'!$B:$B = X$10) * 
        ('アイテム別限界値DB'!$C:$C = X16) * 
        ('アイテム別限界値DB'!$F:$F = Y16), 
        0
      )
    ), 
    ""
  )
)
</f>
        <v/>
      </c>
      <c r="AB16" s="11"/>
      <c r="AC16" s="224" t="s">
        <v>55</v>
      </c>
      <c r="AD16" s="230"/>
      <c r="AE16" s="231" t="str">
        <f t="array" ref="AE16">IF(
  AD16 = 0, 
  "", 
  IFERROR(
    INDEX(
      'アイテム別限界値DB'!$K:$K, 
      MATCH(
        1, 
        ('アイテム別限界値DB'!$B:$B = AC$10) * 
        ('アイテム別限界値DB'!$F:$F = AC16) * 
        ('アイテム別限界値DB'!$H:$H = AD16), 
        0
      )
    ), 
    "再製作"
  )
)
</f>
        <v/>
      </c>
      <c r="AF16" s="218" t="str">
        <f t="array" ref="AF16">IF(
  AD16 = 0, 
  "", 
  IFERROR(
    INDEX(
      'アイテム別限界値DB'!$L:$L, 
      MATCH(
        1, 
        ('アイテム別限界値DB'!$B:$B = AC$10) * 
        ('アイテム別限界値DB'!$C:$C = AC16) * 
        ('アイテム別限界値DB'!$F:$F = AD16), 
        0
      )
    ), 
    ""
  )
)
</f>
        <v/>
      </c>
      <c r="AG16" s="11"/>
      <c r="AH16" s="224" t="s">
        <v>55</v>
      </c>
      <c r="AI16" s="232"/>
      <c r="AJ16" s="231" t="str">
        <f t="array" ref="AJ16">IF(
  AI16 = 0, 
  "", 
  IFERROR(
    INDEX(
      'アイテム別限界値DB'!$K:$K, 
      MATCH(
        1, 
        ('アイテム別限界値DB'!$B:$B = AH$10) * 
        ('アイテム別限界値DB'!$F:$F = AH16) * 
        ('アイテム別限界値DB'!$H:$H = AI16), 
        0
      )
    ), 
    "再製作"
  )
)
</f>
        <v/>
      </c>
      <c r="AK16" s="218" t="str">
        <f t="array" ref="AK16">IF(
  AI16 = 0, 
  "", 
  IFERROR(
    INDEX(
      'アイテム別限界値DB'!$L:$L, 
      MATCH(
        1, 
        ('アイテム別限界値DB'!$B:$B = AH$10) * 
        ('アイテム別限界値DB'!$C:$C = AH16) * 
        ('アイテム別限界値DB'!$F:$F = AI16), 
        0
      )
    ), 
    ""
  )
)
</f>
        <v/>
      </c>
      <c r="AL16" s="11"/>
      <c r="AM16" s="224" t="s">
        <v>55</v>
      </c>
      <c r="AN16" s="232"/>
      <c r="AO16" s="231" t="str">
        <f t="array" ref="AO16">IF(
  AN16 = 0, 
  "", 
  IFERROR(
    INDEX(
      'アイテム別限界値DB'!$K:$K, 
      MATCH(
        1, 
        ('アイテム別限界値DB'!$B:$B = AM$10) * 
        ('アイテム別限界値DB'!$F:$F = AM16) * 
        ('アイテム別限界値DB'!$H:$H = AN16), 
        0
      )
    ), 
    "再製作"
  )
)
</f>
        <v/>
      </c>
      <c r="AP16" s="218" t="str">
        <f t="array" ref="AP16">IF(
  AN16 = 0, 
  "", 
  IFERROR(
    INDEX(
      'アイテム別限界値DB'!$L:$L, 
      MATCH(
        1, 
        ('アイテム別限界値DB'!$B:$B = AM$10) * 
        ('アイテム別限界値DB'!$C:$C = AM16) * 
        ('アイテム別限界値DB'!$F:$F = AN16), 
        0
      )
    ), 
    ""
  )
)
</f>
        <v/>
      </c>
      <c r="AQ16" s="11"/>
      <c r="AR16" s="224" t="s">
        <v>55</v>
      </c>
      <c r="AS16" s="232"/>
      <c r="AT16" s="231" t="str">
        <f t="array" ref="AT16">IF(
  AS16 = 0, 
  "", 
  IFERROR(
    INDEX(
      'アイテム別限界値DB'!$K:$K, 
      MATCH(
        1, 
        ('アイテム別限界値DB'!$B:$B = AR$10) * 
        ('アイテム別限界値DB'!$F:$F = AR16) * 
        ('アイテム別限界値DB'!$H:$H = AS16), 
        0
      )
    ), 
    "再製作"
  )
)
</f>
        <v/>
      </c>
      <c r="AU16" s="218" t="str">
        <f t="array" ref="AU16">IF(
  AS16 = 0, 
  "", 
  IFERROR(
    INDEX(
      'アイテム別限界値DB'!$L:$L, 
      MATCH(
        1, 
        ('アイテム別限界値DB'!$B:$B = AR$10) * 
        ('アイテム別限界値DB'!$C:$C = AR16) * 
        ('アイテム別限界値DB'!$F:$F = AS16), 
        0
      )
    ), 
    ""
  )
)
</f>
        <v/>
      </c>
      <c r="AV16" s="121"/>
      <c r="AW16" s="224" t="s">
        <v>55</v>
      </c>
      <c r="AX16" s="232"/>
      <c r="AY16" s="231" t="str">
        <f t="array" ref="AY16">IF(
  AX16 = 0, 
  "", 
  IFERROR(
    INDEX(
      'アイテム別限界値DB'!$K:$K, 
      MATCH(
        1, 
        ('アイテム別限界値DB'!$B:$B = AW$10) * 
        ('アイテム別限界値DB'!$F:$F = AW16) * 
        ('アイテム別限界値DB'!$H:$H = AX16), 
        0
      )
    ), 
    "再製作"
  )
)
</f>
        <v/>
      </c>
      <c r="AZ16" s="218" t="str">
        <f t="array" ref="AZ16">IF(
  AX16 = 0, 
  "", 
  IFERROR(
    INDEX(
      'アイテム別限界値DB'!$L:$L, 
      MATCH(
        1, 
        ('アイテム別限界値DB'!$B:$B = AW$10) * 
        ('アイテム別限界値DB'!$C:$C = AW16) * 
        ('アイテム別限界値DB'!$F:$F = AX16), 
        0
      )
    ), 
    ""
  )
)
</f>
        <v/>
      </c>
      <c r="BA16" s="121"/>
      <c r="BB16" s="224" t="s">
        <v>55</v>
      </c>
      <c r="BC16" s="232"/>
      <c r="BD16" s="231" t="str">
        <f t="array" ref="BD16">IF(
  BC16 = 0, 
  "", 
  IFERROR(
    INDEX(
      'アイテム別限界値DB'!$K:$K, 
      MATCH(
        1, 
        ('アイテム別限界値DB'!$B:$B = BB$10) * 
        ('アイテム別限界値DB'!$F:$F = BB16) * 
        ('アイテム別限界値DB'!$H:$H = BC16), 
        0
      )
    ), 
    "再製作"
  )
)
</f>
        <v/>
      </c>
      <c r="BE16" s="218" t="str">
        <f t="array" ref="BE16">IF(
  BC16 = 0, 
  "", 
  IFERROR(
    INDEX(
      'アイテム別限界値DB'!$L:$L, 
      MATCH(
        1, 
        ('アイテム別限界値DB'!$B:$B = BB$10) * 
        ('アイテム別限界値DB'!$C:$C = BB16) * 
        ('アイテム別限界値DB'!$F:$F = BC16), 
        0
      )
    ), 
    ""
  )
)
</f>
        <v/>
      </c>
      <c r="BF16" s="121"/>
      <c r="BG16" s="224" t="s">
        <v>55</v>
      </c>
      <c r="BH16" s="232"/>
      <c r="BI16" s="231" t="str">
        <f t="array" ref="BI16">IF(
  BH16 = 0, 
  "", 
  IFERROR(
    INDEX(
      'アイテム別限界値DB'!$K:$K, 
      MATCH(
        1, 
        ('アイテム別限界値DB'!$B:$B = BG$10) * 
        ('アイテム別限界値DB'!$F:$F = BG16) * 
        ('アイテム別限界値DB'!$H:$H = BH16), 
        0
      )
    ), 
    "再製作"
  )
)
</f>
        <v/>
      </c>
      <c r="BJ16" s="218" t="str">
        <f t="array" ref="BJ16">IF(
  BH16 = 0, 
  "", 
  IFERROR(
    INDEX(
      'アイテム別限界値DB'!$L:$L, 
      MATCH(
        1, 
        ('アイテム別限界値DB'!$B:$B = BG$10) * 
        ('アイテム別限界値DB'!$C:$C = BG16) * 
        ('アイテム別限界値DB'!$F:$F = BH16), 
        0
      )
    ), 
    ""
  )
)
</f>
        <v/>
      </c>
      <c r="BK16" s="121"/>
      <c r="BL16" s="224" t="s">
        <v>55</v>
      </c>
      <c r="BM16" s="232" t="s">
        <v>59</v>
      </c>
      <c r="BN16" s="231">
        <f t="array" ref="BN16">IF(
  BM16 = 0, 
  "", 
  IFERROR(
    INDEX(
      'アイテム別限界値DB'!$K:$K, 
      MATCH(
        1, 
        ('アイテム別限界値DB'!$B:$B = BL$10) * 
        ('アイテム別限界値DB'!$F:$F = BL16) * 
        ('アイテム別限界値DB'!$H:$H = BM16), 
        0
      )
    ), 
    "再製作"
  )
)
</f>
        <v>46000</v>
      </c>
      <c r="BO16" s="218" t="str">
        <f t="array" ref="BO16">IF(
  BM16 = 0, 
  "", 
  IFERROR(
    INDEX(
      'アイテム別限界値DB'!$L:$L, 
      MATCH(
        1, 
        ('アイテム別限界値DB'!$B:$B = BL$10) * 
        ('アイテム別限界値DB'!$C:$C = BL16) * 
        ('アイテム別限界値DB'!$F:$F = BM16), 
        0
      )
    ), 
    ""
  )
)
</f>
        <v/>
      </c>
      <c r="BP16" s="195"/>
    </row>
    <row r="17" ht="18.75" customHeight="1">
      <c r="A17" s="228" t="str">
        <f>IFERROR(__xludf.DUMMYFUNCTION("TEXTJOIN(CHAR(10),TRUE,FILTER(ARRAYFORMULA(IF(E$14:E72&lt;&gt;"""",D$14:D72&amp;"" :  cm"","""")), D$14:D72 &lt;&gt;""""))"),"バスト :  cm
ウエスト / センターベント :  cm
袖丈 / 本切羽なし :  cm
着丈 / センターベント :  cm")</f>
        <v>バスト :  cm
ウエスト / センターベント :  cm
袖丈 / 本切羽なし :  cm
着丈 / センターベント :  cm</v>
      </c>
      <c r="B17" s="229"/>
      <c r="C17" s="224"/>
      <c r="D17" s="224" t="s">
        <v>60</v>
      </c>
      <c r="E17" s="230" t="s">
        <v>155</v>
      </c>
      <c r="F17" s="231">
        <f t="array" ref="F17">IF(
  E17 = 0, 
  "", 
  IFERROR(
    INDEX(
      'アイテム別限界値DB'!$K:$K, 
      MATCH(
        1, 
        ('アイテム別限界値DB'!$B:$B = D$10) * 
        ('アイテム別限界値DB'!$F:$F = D17) * 
        ('アイテム別限界値DB'!$H:$H = E17), 
        0
      )
    ), 
    "再製作"
  )
)
</f>
        <v>46000</v>
      </c>
      <c r="G17" s="218" t="str">
        <f t="array" ref="G17">IF(
  E17 = 0, 
  "", 
  IFERROR(
    INDEX(
      'アイテム別限界値DB'!$L:$L, 
      MATCH(
        1, 
        ('アイテム別限界値DB'!$B:$B = D$10) * 
        ('アイテム別限界値DB'!$C:$C = D17) * 
        ('アイテム別限界値DB'!$F:$F = E17), 
        0
      )
    ), 
    ""
  )
)
</f>
        <v/>
      </c>
      <c r="H17" s="12"/>
      <c r="I17" s="224" t="s">
        <v>61</v>
      </c>
      <c r="J17" s="230"/>
      <c r="K17" s="231" t="str">
        <f t="array" ref="K17">IF(
  J17 = 0, 
  "", 
  IFERROR(
    INDEX(
      'アイテム別限界値DB'!$K:$K, 
      MATCH(
        1, 
        ('アイテム別限界値DB'!$B:$B = I$10) * 
        ('アイテム別限界値DB'!$F:$F = I17) * 
        ('アイテム別限界値DB'!$H:$H = J17), 
        0
      )
    ), 
    "再製作"
  )
)
</f>
        <v/>
      </c>
      <c r="L17" s="218" t="str">
        <f t="array" ref="L17">IF(
  J17 = 0, 
  "", 
  IFERROR(
    INDEX(
      'アイテム別限界値DB'!$L:$L, 
      MATCH(
        1, 
        ('アイテム別限界値DB'!$B:$B = I$10) * 
        ('アイテム別限界値DB'!$C:$C = I17) * 
        ('アイテム別限界値DB'!$F:$F = J17), 
        0
      )
    ), 
    ""
  )
)
</f>
        <v/>
      </c>
      <c r="M17" s="12"/>
      <c r="N17" s="224" t="s">
        <v>62</v>
      </c>
      <c r="O17" s="232"/>
      <c r="P17" s="231" t="str">
        <f t="array" ref="P17">IF(
  O17 = 0, 
  "", 
  IFERROR(
    INDEX(
      'アイテム別限界値DB'!$K:$K, 
      MATCH(
        1, 
        ('アイテム別限界値DB'!$B:$B = N$10) * 
        ('アイテム別限界値DB'!$F:$F = N17) * 
        ('アイテム別限界値DB'!$H:$H = O17), 
        0
      )
    ), 
    "再製作"
  )
)
</f>
        <v/>
      </c>
      <c r="Q17" s="218" t="str">
        <f t="array" ref="Q17">IF(
  O17 = 0, 
  "", 
  IFERROR(
    INDEX(
      'アイテム別限界値DB'!$L:$L, 
      MATCH(
        1, 
        ('アイテム別限界値DB'!$B:$B = N$10) * 
        ('アイテム別限界値DB'!$C:$C = N17) * 
        ('アイテム別限界値DB'!$F:$F = O17), 
        0
      )
    ), 
    ""
  )
)
</f>
        <v/>
      </c>
      <c r="R17" s="11"/>
      <c r="S17" s="224" t="s">
        <v>61</v>
      </c>
      <c r="T17" s="232"/>
      <c r="U17" s="231" t="str">
        <f t="array" ref="U17">IF(
  T17 = 0, 
  "", 
  IFERROR(
    INDEX(
      'アイテム別限界値DB'!$K:$K, 
      MATCH(
        1, 
        ('アイテム別限界値DB'!$B:$B = S$10) * 
        ('アイテム別限界値DB'!$F:$F = S17) * 
        ('アイテム別限界値DB'!$H:$H = T17), 
        0
      )
    ), 
    "再製作"
  )
)
</f>
        <v/>
      </c>
      <c r="V17" s="218" t="str">
        <f t="array" ref="V17">IF(
  T17 = 0, 
  "", 
  IFERROR(
    INDEX(
      'アイテム別限界値DB'!$L:$L, 
      MATCH(
        1, 
        ('アイテム別限界値DB'!$B:$B = S$10) * 
        ('アイテム別限界値DB'!$C:$C = S17) * 
        ('アイテム別限界値DB'!$F:$F = T17), 
        0
      )
    ), 
    ""
  )
)
</f>
        <v/>
      </c>
      <c r="W17" s="12"/>
      <c r="X17" s="224" t="s">
        <v>63</v>
      </c>
      <c r="Y17" s="232"/>
      <c r="Z17" s="231" t="str">
        <f t="array" ref="Z17">IF(
  Y17 = 0, 
  "", 
  IFERROR(
    INDEX(
      'アイテム別限界値DB'!$K:$K, 
      MATCH(
        1, 
        ('アイテム別限界値DB'!$B:$B = X$10) * 
        ('アイテム別限界値DB'!$F:$F = X17) * 
        ('アイテム別限界値DB'!$H:$H = Y17), 
        0
      )
    ), 
    "再製作"
  )
)
</f>
        <v/>
      </c>
      <c r="AA17" s="218" t="str">
        <f t="array" ref="AA17">IF(
  Y17 = 0, 
  "", 
  IFERROR(
    INDEX(
      'アイテム別限界値DB'!$L:$L, 
      MATCH(
        1, 
        ('アイテム別限界値DB'!$B:$B = X$10) * 
        ('アイテム別限界値DB'!$C:$C = X17) * 
        ('アイテム別限界値DB'!$F:$F = Y17), 
        0
      )
    ), 
    ""
  )
)
</f>
        <v/>
      </c>
      <c r="AB17" s="11"/>
      <c r="AC17" s="224" t="s">
        <v>57</v>
      </c>
      <c r="AD17" s="232"/>
      <c r="AE17" s="231" t="str">
        <f t="array" ref="AE17">IF(
  AD17 = 0, 
  "", 
  IFERROR(
    INDEX(
      'アイテム別限界値DB'!$K:$K, 
      MATCH(
        1, 
        ('アイテム別限界値DB'!$B:$B = AC$10) * 
        ('アイテム別限界値DB'!$F:$F = AC17) * 
        ('アイテム別限界値DB'!$H:$H = AD17), 
        0
      )
    ), 
    "再製作"
  )
)
</f>
        <v/>
      </c>
      <c r="AF17" s="218" t="str">
        <f t="array" ref="AF17">IF(
  AD17 = 0, 
  "", 
  IFERROR(
    INDEX(
      'アイテム別限界値DB'!$L:$L, 
      MATCH(
        1, 
        ('アイテム別限界値DB'!$B:$B = AC$10) * 
        ('アイテム別限界値DB'!$C:$C = AC17) * 
        ('アイテム別限界値DB'!$F:$F = AD17), 
        0
      )
    ), 
    ""
  )
)
</f>
        <v/>
      </c>
      <c r="AG17" s="11"/>
      <c r="AH17" s="224" t="s">
        <v>57</v>
      </c>
      <c r="AI17" s="232"/>
      <c r="AJ17" s="231" t="str">
        <f t="array" ref="AJ17">IF(
  AI17 = 0, 
  "", 
  IFERROR(
    INDEX(
      'アイテム別限界値DB'!$K:$K, 
      MATCH(
        1, 
        ('アイテム別限界値DB'!$B:$B = AH$10) * 
        ('アイテム別限界値DB'!$F:$F = AH17) * 
        ('アイテム別限界値DB'!$H:$H = AI17), 
        0
      )
    ), 
    "再製作"
  )
)
</f>
        <v/>
      </c>
      <c r="AK17" s="218" t="str">
        <f t="array" ref="AK17">IF(
  AI17 = 0, 
  "", 
  IFERROR(
    INDEX(
      'アイテム別限界値DB'!$L:$L, 
      MATCH(
        1, 
        ('アイテム別限界値DB'!$B:$B = AH$10) * 
        ('アイテム別限界値DB'!$C:$C = AH17) * 
        ('アイテム別限界値DB'!$F:$F = AI17), 
        0
      )
    ), 
    ""
  )
)
</f>
        <v/>
      </c>
      <c r="AL17" s="11"/>
      <c r="AM17" s="224" t="s">
        <v>57</v>
      </c>
      <c r="AN17" s="232"/>
      <c r="AO17" s="231" t="str">
        <f t="array" ref="AO17">IF(
  AN17 = 0, 
  "", 
  IFERROR(
    INDEX(
      'アイテム別限界値DB'!$K:$K, 
      MATCH(
        1, 
        ('アイテム別限界値DB'!$B:$B = AM$10) * 
        ('アイテム別限界値DB'!$F:$F = AM17) * 
        ('アイテム別限界値DB'!$H:$H = AN17), 
        0
      )
    ), 
    "再製作"
  )
)
</f>
        <v/>
      </c>
      <c r="AP17" s="218" t="str">
        <f t="array" ref="AP17">IF(
  AN17 = 0, 
  "", 
  IFERROR(
    INDEX(
      'アイテム別限界値DB'!$L:$L, 
      MATCH(
        1, 
        ('アイテム別限界値DB'!$B:$B = AM$10) * 
        ('アイテム別限界値DB'!$C:$C = AM17) * 
        ('アイテム別限界値DB'!$F:$F = AN17), 
        0
      )
    ), 
    ""
  )
)
</f>
        <v/>
      </c>
      <c r="AQ17" s="11"/>
      <c r="AR17" s="224" t="s">
        <v>57</v>
      </c>
      <c r="AS17" s="232"/>
      <c r="AT17" s="231" t="str">
        <f t="array" ref="AT17">IF(
  AS17 = 0, 
  "", 
  IFERROR(
    INDEX(
      'アイテム別限界値DB'!$K:$K, 
      MATCH(
        1, 
        ('アイテム別限界値DB'!$B:$B = AR$10) * 
        ('アイテム別限界値DB'!$F:$F = AR17) * 
        ('アイテム別限界値DB'!$H:$H = AS17), 
        0
      )
    ), 
    "再製作"
  )
)
</f>
        <v/>
      </c>
      <c r="AU17" s="218" t="str">
        <f t="array" ref="AU17">IF(
  AS17 = 0, 
  "", 
  IFERROR(
    INDEX(
      'アイテム別限界値DB'!$L:$L, 
      MATCH(
        1, 
        ('アイテム別限界値DB'!$B:$B = AR$10) * 
        ('アイテム別限界値DB'!$C:$C = AR17) * 
        ('アイテム別限界値DB'!$F:$F = AS17), 
        0
      )
    ), 
    ""
  )
)
</f>
        <v/>
      </c>
      <c r="AV17" s="121"/>
      <c r="AW17" s="224" t="s">
        <v>57</v>
      </c>
      <c r="AX17" s="232"/>
      <c r="AY17" s="231" t="str">
        <f t="array" ref="AY17">IF(
  AX17 = 0, 
  "", 
  IFERROR(
    INDEX(
      'アイテム別限界値DB'!$K:$K, 
      MATCH(
        1, 
        ('アイテム別限界値DB'!$B:$B = AW$10) * 
        ('アイテム別限界値DB'!$F:$F = AW17) * 
        ('アイテム別限界値DB'!$H:$H = AX17), 
        0
      )
    ), 
    "再製作"
  )
)
</f>
        <v/>
      </c>
      <c r="AZ17" s="218" t="str">
        <f t="array" ref="AZ17">IF(
  AX17 = 0, 
  "", 
  IFERROR(
    INDEX(
      'アイテム別限界値DB'!$L:$L, 
      MATCH(
        1, 
        ('アイテム別限界値DB'!$B:$B = AW$10) * 
        ('アイテム別限界値DB'!$C:$C = AW17) * 
        ('アイテム別限界値DB'!$F:$F = AX17), 
        0
      )
    ), 
    ""
  )
)
</f>
        <v/>
      </c>
      <c r="BA17" s="121"/>
      <c r="BB17" s="224" t="s">
        <v>57</v>
      </c>
      <c r="BC17" s="232"/>
      <c r="BD17" s="231" t="str">
        <f t="array" ref="BD17">IF(
  BC17 = 0, 
  "", 
  IFERROR(
    INDEX(
      'アイテム別限界値DB'!$K:$K, 
      MATCH(
        1, 
        ('アイテム別限界値DB'!$B:$B = BB$10) * 
        ('アイテム別限界値DB'!$F:$F = BB17) * 
        ('アイテム別限界値DB'!$H:$H = BC17), 
        0
      )
    ), 
    "再製作"
  )
)
</f>
        <v/>
      </c>
      <c r="BE17" s="218" t="str">
        <f t="array" ref="BE17">IF(
  BC17 = 0, 
  "", 
  IFERROR(
    INDEX(
      'アイテム別限界値DB'!$L:$L, 
      MATCH(
        1, 
        ('アイテム別限界値DB'!$B:$B = BB$10) * 
        ('アイテム別限界値DB'!$C:$C = BB17) * 
        ('アイテム別限界値DB'!$F:$F = BC17), 
        0
      )
    ), 
    ""
  )
)
</f>
        <v/>
      </c>
      <c r="BF17" s="121"/>
      <c r="BG17" s="224" t="s">
        <v>57</v>
      </c>
      <c r="BH17" s="232"/>
      <c r="BI17" s="231" t="str">
        <f t="array" ref="BI17">IF(
  BH17 = 0, 
  "", 
  IFERROR(
    INDEX(
      'アイテム別限界値DB'!$K:$K, 
      MATCH(
        1, 
        ('アイテム別限界値DB'!$B:$B = BG$10) * 
        ('アイテム別限界値DB'!$F:$F = BG17) * 
        ('アイテム別限界値DB'!$H:$H = BH17), 
        0
      )
    ), 
    "再製作"
  )
)
</f>
        <v/>
      </c>
      <c r="BJ17" s="218" t="str">
        <f t="array" ref="BJ17">IF(
  BH17 = 0, 
  "", 
  IFERROR(
    INDEX(
      'アイテム別限界値DB'!$L:$L, 
      MATCH(
        1, 
        ('アイテム別限界値DB'!$B:$B = BG$10) * 
        ('アイテム別限界値DB'!$C:$C = BG17) * 
        ('アイテム別限界値DB'!$F:$F = BH17), 
        0
      )
    ), 
    ""
  )
)
</f>
        <v/>
      </c>
      <c r="BK17" s="121"/>
      <c r="BL17" s="224" t="s">
        <v>57</v>
      </c>
      <c r="BM17" s="232" t="s">
        <v>59</v>
      </c>
      <c r="BN17" s="231">
        <f t="array" ref="BN17">IF(
  BM17 = 0, 
  "", 
  IFERROR(
    INDEX(
      'アイテム別限界値DB'!$K:$K, 
      MATCH(
        1, 
        ('アイテム別限界値DB'!$B:$B = BL$10) * 
        ('アイテム別限界値DB'!$F:$F = BL17) * 
        ('アイテム別限界値DB'!$H:$H = BM17), 
        0
      )
    ), 
    "再製作"
  )
)
</f>
        <v>46000</v>
      </c>
      <c r="BO17" s="218" t="str">
        <f t="array" ref="BO17">IF(
  BM17 = 0, 
  "", 
  IFERROR(
    INDEX(
      'アイテム別限界値DB'!$L:$L, 
      MATCH(
        1, 
        ('アイテム別限界値DB'!$B:$B = BL$10) * 
        ('アイテム別限界値DB'!$C:$C = BL17) * 
        ('アイテム別限界値DB'!$F:$F = BM17), 
        0
      )
    ), 
    ""
  )
)
</f>
        <v/>
      </c>
      <c r="BP17" s="195"/>
    </row>
    <row r="18" ht="18.75" customHeight="1">
      <c r="A18" s="237" t="s">
        <v>64</v>
      </c>
      <c r="B18" s="235"/>
      <c r="C18" s="224"/>
      <c r="D18" s="224" t="s">
        <v>65</v>
      </c>
      <c r="E18" s="230"/>
      <c r="F18" s="231" t="str">
        <f t="array" ref="F18">IF(
  E18 = 0, 
  "", 
  IFERROR(
    INDEX(
      'アイテム別限界値DB'!$K:$K, 
      MATCH(
        1, 
        ('アイテム別限界値DB'!$B:$B = D$10) * 
        ('アイテム別限界値DB'!$F:$F = D18) * 
        ('アイテム別限界値DB'!$H:$H = E18), 
        0
      )
    ), 
    "再製作"
  )
)
</f>
        <v/>
      </c>
      <c r="G18" s="218" t="str">
        <f t="array" ref="G18">IF(
  E18 = 0, 
  "", 
  IFERROR(
    INDEX(
      'アイテム別限界値DB'!$L:$L, 
      MATCH(
        1, 
        ('アイテム別限界値DB'!$B:$B = D$10) * 
        ('アイテム別限界値DB'!$C:$C = D18) * 
        ('アイテム別限界値DB'!$F:$F = E18), 
        0
      )
    ), 
    ""
  )
)
</f>
        <v/>
      </c>
      <c r="H18" s="12"/>
      <c r="I18" s="224" t="s">
        <v>66</v>
      </c>
      <c r="J18" s="230"/>
      <c r="K18" s="231" t="str">
        <f t="array" ref="K18">IF(
  J18 = 0, 
  "", 
  IFERROR(
    INDEX(
      'アイテム別限界値DB'!$K:$K, 
      MATCH(
        1, 
        ('アイテム別限界値DB'!$B:$B = I$10) * 
        ('アイテム別限界値DB'!$F:$F = I18) * 
        ('アイテム別限界値DB'!$H:$H = J18), 
        0
      )
    ), 
    "再製作"
  )
)
</f>
        <v/>
      </c>
      <c r="L18" s="218" t="str">
        <f t="array" ref="L18">IF(
  J18 = 0, 
  "", 
  IFERROR(
    INDEX(
      'アイテム別限界値DB'!$L:$L, 
      MATCH(
        1, 
        ('アイテム別限界値DB'!$B:$B = I$10) * 
        ('アイテム別限界値DB'!$C:$C = I18) * 
        ('アイテム別限界値DB'!$F:$F = J18), 
        0
      )
    ), 
    ""
  )
)
</f>
        <v/>
      </c>
      <c r="M18" s="12"/>
      <c r="N18" s="224" t="s">
        <v>67</v>
      </c>
      <c r="O18" s="232"/>
      <c r="P18" s="231" t="str">
        <f t="array" ref="P18">IF(
  O18 = 0, 
  "", 
  IFERROR(
    INDEX(
      'アイテム別限界値DB'!$K:$K, 
      MATCH(
        1, 
        ('アイテム別限界値DB'!$B:$B = N$10) * 
        ('アイテム別限界値DB'!$F:$F = N18) * 
        ('アイテム別限界値DB'!$H:$H = O18), 
        0
      )
    ), 
    "再製作"
  )
)
</f>
        <v/>
      </c>
      <c r="Q18" s="218" t="str">
        <f t="array" ref="Q18">IF(
  O18 = 0, 
  "", 
  IFERROR(
    INDEX(
      'アイテム別限界値DB'!$L:$L, 
      MATCH(
        1, 
        ('アイテム別限界値DB'!$B:$B = N$10) * 
        ('アイテム別限界値DB'!$C:$C = N18) * 
        ('アイテム別限界値DB'!$F:$F = O18), 
        0
      )
    ), 
    ""
  )
)
</f>
        <v/>
      </c>
      <c r="R18" s="11"/>
      <c r="S18" s="224" t="s">
        <v>68</v>
      </c>
      <c r="T18" s="232"/>
      <c r="U18" s="231" t="str">
        <f t="array" ref="U18">IF(
  T18 = 0, 
  "", 
  IFERROR(
    INDEX(
      'アイテム別限界値DB'!$K:$K, 
      MATCH(
        1, 
        ('アイテム別限界値DB'!$B:$B = S$10) * 
        ('アイテム別限界値DB'!$F:$F = S18) * 
        ('アイテム別限界値DB'!$H:$H = T18), 
        0
      )
    ), 
    "再製作"
  )
)
</f>
        <v/>
      </c>
      <c r="V18" s="218" t="str">
        <f t="array" ref="V18">IF(
  T18 = 0, 
  "", 
  IFERROR(
    INDEX(
      'アイテム別限界値DB'!$L:$L, 
      MATCH(
        1, 
        ('アイテム別限界値DB'!$B:$B = S$10) * 
        ('アイテム別限界値DB'!$C:$C = S18) * 
        ('アイテム別限界値DB'!$F:$F = T18), 
        0
      )
    ), 
    ""
  )
)
</f>
        <v/>
      </c>
      <c r="W18" s="11"/>
      <c r="X18" s="224" t="s">
        <v>57</v>
      </c>
      <c r="Y18" s="230"/>
      <c r="Z18" s="231" t="str">
        <f t="array" ref="Z18">IF(
  Y18 = 0, 
  "", 
  IFERROR(
    INDEX(
      'アイテム別限界値DB'!$K:$K, 
      MATCH(
        1, 
        ('アイテム別限界値DB'!$B:$B = X$10) * 
        ('アイテム別限界値DB'!$F:$F = X18) * 
        ('アイテム別限界値DB'!$H:$H = Y18), 
        0
      )
    ), 
    "再製作"
  )
)
</f>
        <v/>
      </c>
      <c r="AA18" s="218" t="str">
        <f t="array" ref="AA18">IF(
  Y18 = 0, 
  "", 
  IFERROR(
    INDEX(
      'アイテム別限界値DB'!$L:$L, 
      MATCH(
        1, 
        ('アイテム別限界値DB'!$B:$B = X$10) * 
        ('アイテム別限界値DB'!$C:$C = X18) * 
        ('アイテム別限界値DB'!$F:$F = Y18), 
        0
      )
    ), 
    ""
  )
)
</f>
        <v/>
      </c>
      <c r="AB18" s="11"/>
      <c r="AC18" s="224" t="s">
        <v>69</v>
      </c>
      <c r="AD18" s="232"/>
      <c r="AE18" s="231" t="str">
        <f t="array" ref="AE18">IF(
  AD18 = 0, 
  "", 
  IFERROR(
    INDEX(
      'アイテム別限界値DB'!$K:$K, 
      MATCH(
        1, 
        ('アイテム別限界値DB'!$B:$B = AC$10) * 
        ('アイテム別限界値DB'!$F:$F = AC18) * 
        ('アイテム別限界値DB'!$H:$H = AD18), 
        0
      )
    ), 
    "再製作"
  )
)
</f>
        <v/>
      </c>
      <c r="AF18" s="218" t="str">
        <f t="array" ref="AF18">IF(
  AD18 = 0, 
  "", 
  IFERROR(
    INDEX(
      'アイテム別限界値DB'!$L:$L, 
      MATCH(
        1, 
        ('アイテム別限界値DB'!$B:$B = AC$10) * 
        ('アイテム別限界値DB'!$C:$C = AC18) * 
        ('アイテム別限界値DB'!$F:$F = AD18), 
        0
      )
    ), 
    ""
  )
)
</f>
        <v/>
      </c>
      <c r="AG18" s="11"/>
      <c r="AH18" s="224" t="s">
        <v>70</v>
      </c>
      <c r="AI18" s="232"/>
      <c r="AJ18" s="231" t="str">
        <f t="array" ref="AJ18">IF(
  AI18 = 0, 
  "", 
  IFERROR(
    INDEX(
      'アイテム別限界値DB'!$K:$K, 
      MATCH(
        1, 
        ('アイテム別限界値DB'!$B:$B = AH$10) * 
        ('アイテム別限界値DB'!$F:$F = AH18) * 
        ('アイテム別限界値DB'!$H:$H = AI18), 
        0
      )
    ), 
    "再製作"
  )
)
</f>
        <v/>
      </c>
      <c r="AK18" s="218" t="str">
        <f t="array" ref="AK18">IF(
  AI18 = 0, 
  "", 
  IFERROR(
    INDEX(
      'アイテム別限界値DB'!$L:$L, 
      MATCH(
        1, 
        ('アイテム別限界値DB'!$B:$B = AH$10) * 
        ('アイテム別限界値DB'!$C:$C = AH18) * 
        ('アイテム別限界値DB'!$F:$F = AI18), 
        0
      )
    ), 
    ""
  )
)
</f>
        <v/>
      </c>
      <c r="AL18" s="11"/>
      <c r="AM18" s="224" t="s">
        <v>71</v>
      </c>
      <c r="AN18" s="232"/>
      <c r="AO18" s="231" t="str">
        <f t="array" ref="AO18">IF(
  AN18 = 0, 
  "", 
  IFERROR(
    INDEX(
      'アイテム別限界値DB'!$K:$K, 
      MATCH(
        1, 
        ('アイテム別限界値DB'!$B:$B = AM$10) * 
        ('アイテム別限界値DB'!$F:$F = AM18) * 
        ('アイテム別限界値DB'!$H:$H = AN18), 
        0
      )
    ), 
    "再製作"
  )
)
</f>
        <v/>
      </c>
      <c r="AP18" s="218" t="str">
        <f t="array" ref="AP18">IF(
  AN18 = 0, 
  "", 
  IFERROR(
    INDEX(
      'アイテム別限界値DB'!$L:$L, 
      MATCH(
        1, 
        ('アイテム別限界値DB'!$B:$B = AM$10) * 
        ('アイテム別限界値DB'!$C:$C = AM18) * 
        ('アイテム別限界値DB'!$F:$F = AN18), 
        0
      )
    ), 
    ""
  )
)
</f>
        <v/>
      </c>
      <c r="AQ18" s="11"/>
      <c r="AR18" s="224" t="s">
        <v>71</v>
      </c>
      <c r="AS18" s="232"/>
      <c r="AT18" s="231" t="str">
        <f t="array" ref="AT18">IF(
  AS18 = 0, 
  "", 
  IFERROR(
    INDEX(
      'アイテム別限界値DB'!$K:$K, 
      MATCH(
        1, 
        ('アイテム別限界値DB'!$B:$B = AR$10) * 
        ('アイテム別限界値DB'!$F:$F = AR18) * 
        ('アイテム別限界値DB'!$H:$H = AS18), 
        0
      )
    ), 
    "再製作"
  )
)
</f>
        <v/>
      </c>
      <c r="AU18" s="218" t="str">
        <f t="array" ref="AU18">IF(
  AS18 = 0, 
  "", 
  IFERROR(
    INDEX(
      'アイテム別限界値DB'!$L:$L, 
      MATCH(
        1, 
        ('アイテム別限界値DB'!$B:$B = AR$10) * 
        ('アイテム別限界値DB'!$C:$C = AR18) * 
        ('アイテム別限界値DB'!$F:$F = AS18), 
        0
      )
    ), 
    ""
  )
)
</f>
        <v/>
      </c>
      <c r="AV18" s="121"/>
      <c r="AW18" s="224" t="s">
        <v>71</v>
      </c>
      <c r="AX18" s="232"/>
      <c r="AY18" s="231" t="str">
        <f t="array" ref="AY18">IF(
  AX18 = 0, 
  "", 
  IFERROR(
    INDEX(
      'アイテム別限界値DB'!$K:$K, 
      MATCH(
        1, 
        ('アイテム別限界値DB'!$B:$B = AW$10) * 
        ('アイテム別限界値DB'!$F:$F = AW18) * 
        ('アイテム別限界値DB'!$H:$H = AX18), 
        0
      )
    ), 
    "再製作"
  )
)
</f>
        <v/>
      </c>
      <c r="AZ18" s="218" t="str">
        <f t="array" ref="AZ18">IF(
  AX18 = 0, 
  "", 
  IFERROR(
    INDEX(
      'アイテム別限界値DB'!$L:$L, 
      MATCH(
        1, 
        ('アイテム別限界値DB'!$B:$B = AW$10) * 
        ('アイテム別限界値DB'!$C:$C = AW18) * 
        ('アイテム別限界値DB'!$F:$F = AX18), 
        0
      )
    ), 
    ""
  )
)
</f>
        <v/>
      </c>
      <c r="BA18" s="121"/>
      <c r="BB18" s="224" t="s">
        <v>71</v>
      </c>
      <c r="BC18" s="232"/>
      <c r="BD18" s="231" t="str">
        <f t="array" ref="BD18">IF(
  BC18 = 0, 
  "", 
  IFERROR(
    INDEX(
      'アイテム別限界値DB'!$K:$K, 
      MATCH(
        1, 
        ('アイテム別限界値DB'!$B:$B = BB$10) * 
        ('アイテム別限界値DB'!$F:$F = BB18) * 
        ('アイテム別限界値DB'!$H:$H = BC18), 
        0
      )
    ), 
    "再製作"
  )
)
</f>
        <v/>
      </c>
      <c r="BE18" s="218" t="str">
        <f t="array" ref="BE18">IF(
  BC18 = 0, 
  "", 
  IFERROR(
    INDEX(
      'アイテム別限界値DB'!$L:$L, 
      MATCH(
        1, 
        ('アイテム別限界値DB'!$B:$B = BB$10) * 
        ('アイテム別限界値DB'!$C:$C = BB18) * 
        ('アイテム別限界値DB'!$F:$F = BC18), 
        0
      )
    ), 
    ""
  )
)
</f>
        <v/>
      </c>
      <c r="BF18" s="121"/>
      <c r="BG18" s="224" t="s">
        <v>71</v>
      </c>
      <c r="BH18" s="232"/>
      <c r="BI18" s="231" t="str">
        <f t="array" ref="BI18">IF(
  BH18 = 0, 
  "", 
  IFERROR(
    INDEX(
      'アイテム別限界値DB'!$K:$K, 
      MATCH(
        1, 
        ('アイテム別限界値DB'!$B:$B = BG$10) * 
        ('アイテム別限界値DB'!$F:$F = BG18) * 
        ('アイテム別限界値DB'!$H:$H = BH18), 
        0
      )
    ), 
    "再製作"
  )
)
</f>
        <v/>
      </c>
      <c r="BJ18" s="218" t="str">
        <f t="array" ref="BJ18">IF(
  BH18 = 0, 
  "", 
  IFERROR(
    INDEX(
      'アイテム別限界値DB'!$L:$L, 
      MATCH(
        1, 
        ('アイテム別限界値DB'!$B:$B = BG$10) * 
        ('アイテム別限界値DB'!$C:$C = BG18) * 
        ('アイテム別限界値DB'!$F:$F = BH18), 
        0
      )
    ), 
    ""
  )
)
</f>
        <v/>
      </c>
      <c r="BK18" s="121"/>
      <c r="BL18" s="224" t="s">
        <v>69</v>
      </c>
      <c r="BM18" s="232"/>
      <c r="BN18" s="231" t="str">
        <f t="array" ref="BN18">IF(
  BM18 = 0, 
  "", 
  IFERROR(
    INDEX(
      'アイテム別限界値DB'!$K:$K, 
      MATCH(
        1, 
        ('アイテム別限界値DB'!$B:$B = BL$10) * 
        ('アイテム別限界値DB'!$F:$F = BL18) * 
        ('アイテム別限界値DB'!$H:$H = BM18), 
        0
      )
    ), 
    "再製作"
  )
)
</f>
        <v/>
      </c>
      <c r="BO18" s="218" t="str">
        <f t="array" ref="BO18">IF(
  BM18 = 0, 
  "", 
  IFERROR(
    INDEX(
      'アイテム別限界値DB'!$L:$L, 
      MATCH(
        1, 
        ('アイテム別限界値DB'!$B:$B = BL$10) * 
        ('アイテム別限界値DB'!$C:$C = BL18) * 
        ('アイテム別限界値DB'!$F:$F = BM18), 
        0
      )
    ), 
    ""
  )
)
</f>
        <v/>
      </c>
      <c r="BP18" s="195"/>
    </row>
    <row r="19" ht="18.75" customHeight="1">
      <c r="A19" s="228" t="str">
        <f>IF($I$11 ="再製作", "◼︎ パンツ（対応着地：再製作）"　&amp; char(10) &amp; "《修正数値》", IF($I$11 &lt;&gt; "", "◼︎ パンツ（対応着地：お直し）"　&amp; char(10) &amp; "《修正数値》", ""))</f>
        <v>◼︎ パンツ（対応着地：お直し）
《修正数値》</v>
      </c>
      <c r="B19" s="224"/>
      <c r="C19" s="224"/>
      <c r="D19" s="238" t="s">
        <v>72</v>
      </c>
      <c r="E19" s="232"/>
      <c r="F19" s="231" t="str">
        <f t="array" ref="F19">IF(
  E19 = 0, 
  "", 
  IFERROR(
    INDEX(
      'アイテム別限界値DB'!$K:$K, 
      MATCH(
        1, 
        ('アイテム別限界値DB'!$B:$B = D$10) * 
        ('アイテム別限界値DB'!$F:$F = D19) * 
        ('アイテム別限界値DB'!$H:$H = E19), 
        0
      )
    ), 
    "再製作"
  )
)
</f>
        <v/>
      </c>
      <c r="G19" s="218" t="str">
        <f t="array" ref="G19">IF(
  E19 = 0, 
  "", 
  IFERROR(
    INDEX(
      'アイテム別限界値DB'!$L:$L, 
      MATCH(
        1, 
        ('アイテム別限界値DB'!$B:$B = D$10) * 
        ('アイテム別限界値DB'!$C:$C = D19) * 
        ('アイテム別限界値DB'!$F:$F = E19), 
        0
      )
    ), 
    ""
  )
)
</f>
        <v/>
      </c>
      <c r="H19" s="12"/>
      <c r="I19" s="238" t="s">
        <v>73</v>
      </c>
      <c r="J19" s="232"/>
      <c r="K19" s="231" t="str">
        <f t="array" ref="K19">IF(
  J19 = 0, 
  "", 
  IFERROR(
    INDEX(
      'アイテム別限界値DB'!$K:$K, 
      MATCH(
        1, 
        ('アイテム別限界値DB'!$B:$B = I$10) * 
        ('アイテム別限界値DB'!$F:$F = I19) * 
        ('アイテム別限界値DB'!$H:$H = J19), 
        0
      )
    ), 
    "再製作"
  )
)
</f>
        <v/>
      </c>
      <c r="L19" s="218" t="str">
        <f t="array" ref="L19">IF(
  J19 = 0, 
  "", 
  IFERROR(
    INDEX(
      'アイテム別限界値DB'!$L:$L, 
      MATCH(
        1, 
        ('アイテム別限界値DB'!$B:$B = I$10) * 
        ('アイテム別限界値DB'!$C:$C = I19) * 
        ('アイテム別限界値DB'!$F:$F = J19), 
        0
      )
    ), 
    ""
  )
)
</f>
        <v/>
      </c>
      <c r="M19" s="12"/>
      <c r="N19" s="238" t="s">
        <v>74</v>
      </c>
      <c r="O19" s="232"/>
      <c r="P19" s="231" t="str">
        <f t="array" ref="P19">IF(
  O19 = 0, 
  "", 
  IFERROR(
    INDEX(
      'アイテム別限界値DB'!$K:$K, 
      MATCH(
        1, 
        ('アイテム別限界値DB'!$B:$B = N$10) * 
        ('アイテム別限界値DB'!$F:$F = N19) * 
        ('アイテム別限界値DB'!$H:$H = O19), 
        0
      )
    ), 
    "再製作"
  )
)
</f>
        <v/>
      </c>
      <c r="Q19" s="218" t="str">
        <f t="array" ref="Q19">IF(
  O19 = 0, 
  "", 
  IFERROR(
    INDEX(
      'アイテム別限界値DB'!$L:$L, 
      MATCH(
        1, 
        ('アイテム別限界値DB'!$B:$B = N$10) * 
        ('アイテム別限界値DB'!$C:$C = N19) * 
        ('アイテム別限界値DB'!$F:$F = O19), 
        0
      )
    ), 
    ""
  )
)
</f>
        <v/>
      </c>
      <c r="R19" s="11"/>
      <c r="S19" s="238" t="s">
        <v>75</v>
      </c>
      <c r="T19" s="232"/>
      <c r="U19" s="231" t="str">
        <f t="array" ref="U19">IF(
  T19 = 0, 
  "", 
  IFERROR(
    INDEX(
      'アイテム別限界値DB'!$K:$K, 
      MATCH(
        1, 
        ('アイテム別限界値DB'!$B:$B = S$10) * 
        ('アイテム別限界値DB'!$F:$F = S19) * 
        ('アイテム別限界値DB'!$H:$H = T19), 
        0
      )
    ), 
    "再製作"
  )
)
</f>
        <v/>
      </c>
      <c r="V19" s="218" t="str">
        <f t="array" ref="V19">IF(
  T19 = 0, 
  "", 
  IFERROR(
    INDEX(
      'アイテム別限界値DB'!$L:$L, 
      MATCH(
        1, 
        ('アイテム別限界値DB'!$B:$B = S$10) * 
        ('アイテム別限界値DB'!$C:$C = S19) * 
        ('アイテム別限界値DB'!$F:$F = T19), 
        0
      )
    ), 
    ""
  )
)
</f>
        <v/>
      </c>
      <c r="W19" s="11"/>
      <c r="X19" s="238" t="s">
        <v>69</v>
      </c>
      <c r="Y19" s="230"/>
      <c r="Z19" s="231" t="str">
        <f t="array" ref="Z19">IF(
  Y19 = 0, 
  "", 
  IFERROR(
    INDEX(
      'アイテム別限界値DB'!$K:$K, 
      MATCH(
        1, 
        ('アイテム別限界値DB'!$B:$B = X$10) * 
        ('アイテム別限界値DB'!$F:$F = X19) * 
        ('アイテム別限界値DB'!$H:$H = Y19), 
        0
      )
    ), 
    "再製作"
  )
)
</f>
        <v/>
      </c>
      <c r="AA19" s="218" t="str">
        <f t="array" ref="AA19">IF(
  Y19 = 0, 
  "", 
  IFERROR(
    INDEX(
      'アイテム別限界値DB'!$L:$L, 
      MATCH(
        1, 
        ('アイテム別限界値DB'!$B:$B = X$10) * 
        ('アイテム別限界値DB'!$C:$C = X19) * 
        ('アイテム別限界値DB'!$F:$F = Y19), 
        0
      )
    ), 
    ""
  )
)
</f>
        <v/>
      </c>
      <c r="AB19" s="11"/>
      <c r="AC19" s="238" t="s">
        <v>76</v>
      </c>
      <c r="AD19" s="232"/>
      <c r="AE19" s="231" t="str">
        <f t="array" ref="AE19">IF(
  AD19 = 0, 
  "", 
  IFERROR(
    INDEX(
      'アイテム別限界値DB'!$K:$K, 
      MATCH(
        1, 
        ('アイテム別限界値DB'!$B:$B = AC$10) * 
        ('アイテム別限界値DB'!$F:$F = AC19) * 
        ('アイテム別限界値DB'!$H:$H = AD19), 
        0
      )
    ), 
    "再製作"
  )
)
</f>
        <v/>
      </c>
      <c r="AF19" s="218" t="str">
        <f t="array" ref="AF19">IF(
  AD19 = 0, 
  "", 
  IFERROR(
    INDEX(
      'アイテム別限界値DB'!$L:$L, 
      MATCH(
        1, 
        ('アイテム別限界値DB'!$B:$B = AC$10) * 
        ('アイテム別限界値DB'!$C:$C = AC19) * 
        ('アイテム別限界値DB'!$F:$F = AD19), 
        0
      )
    ), 
    ""
  )
)
</f>
        <v/>
      </c>
      <c r="AG19" s="11"/>
      <c r="AH19" s="238" t="s">
        <v>71</v>
      </c>
      <c r="AI19" s="232"/>
      <c r="AJ19" s="231" t="str">
        <f t="array" ref="AJ19">IF(
  AI19 = 0, 
  "", 
  IFERROR(
    INDEX(
      'アイテム別限界値DB'!$K:$K, 
      MATCH(
        1, 
        ('アイテム別限界値DB'!$B:$B = AH$10) * 
        ('アイテム別限界値DB'!$F:$F = AH19) * 
        ('アイテム別限界値DB'!$H:$H = AI19), 
        0
      )
    ), 
    "再製作"
  )
)
</f>
        <v/>
      </c>
      <c r="AK19" s="218" t="str">
        <f t="array" ref="AK19">IF(
  AI19 = 0, 
  "", 
  IFERROR(
    INDEX(
      'アイテム別限界値DB'!$L:$L, 
      MATCH(
        1, 
        ('アイテム別限界値DB'!$B:$B = AH$10) * 
        ('アイテム別限界値DB'!$C:$C = AH19) * 
        ('アイテム別限界値DB'!$F:$F = AI19), 
        0
      )
    ), 
    ""
  )
)
</f>
        <v/>
      </c>
      <c r="AL19" s="11"/>
      <c r="AM19" s="238" t="s">
        <v>62</v>
      </c>
      <c r="AN19" s="232"/>
      <c r="AO19" s="231" t="str">
        <f t="array" ref="AO19">IF(
  AN19 = 0, 
  "", 
  IFERROR(
    INDEX(
      'アイテム別限界値DB'!$K:$K, 
      MATCH(
        1, 
        ('アイテム別限界値DB'!$B:$B = AM$10) * 
        ('アイテム別限界値DB'!$F:$F = AM19) * 
        ('アイテム別限界値DB'!$H:$H = AN19), 
        0
      )
    ), 
    "再製作"
  )
)
</f>
        <v/>
      </c>
      <c r="AP19" s="218" t="str">
        <f t="array" ref="AP19">IF(
  AN19 = 0, 
  "", 
  IFERROR(
    INDEX(
      'アイテム別限界値DB'!$L:$L, 
      MATCH(
        1, 
        ('アイテム別限界値DB'!$B:$B = AM$10) * 
        ('アイテム別限界値DB'!$C:$C = AM19) * 
        ('アイテム別限界値DB'!$F:$F = AN19), 
        0
      )
    ), 
    ""
  )
)
</f>
        <v/>
      </c>
      <c r="AQ19" s="11"/>
      <c r="AR19" s="238" t="s">
        <v>62</v>
      </c>
      <c r="AS19" s="232"/>
      <c r="AT19" s="231" t="str">
        <f t="array" ref="AT19">IF(
  AS19 = 0, 
  "", 
  IFERROR(
    INDEX(
      'アイテム別限界値DB'!$K:$K, 
      MATCH(
        1, 
        ('アイテム別限界値DB'!$B:$B = AR$10) * 
        ('アイテム別限界値DB'!$F:$F = AR19) * 
        ('アイテム別限界値DB'!$H:$H = AS19), 
        0
      )
    ), 
    "再製作"
  )
)
</f>
        <v/>
      </c>
      <c r="AU19" s="218" t="str">
        <f t="array" ref="AU19">IF(
  AS19 = 0, 
  "", 
  IFERROR(
    INDEX(
      'アイテム別限界値DB'!$L:$L, 
      MATCH(
        1, 
        ('アイテム別限界値DB'!$B:$B = AR$10) * 
        ('アイテム別限界値DB'!$C:$C = AR19) * 
        ('アイテム別限界値DB'!$F:$F = AS19), 
        0
      )
    ), 
    ""
  )
)
</f>
        <v/>
      </c>
      <c r="AV19" s="121"/>
      <c r="AW19" s="224" t="s">
        <v>62</v>
      </c>
      <c r="AX19" s="232"/>
      <c r="AY19" s="231" t="str">
        <f t="array" ref="AY19">IF(
  AX19 = 0, 
  "", 
  IFERROR(
    INDEX(
      'アイテム別限界値DB'!$K:$K, 
      MATCH(
        1, 
        ('アイテム別限界値DB'!$B:$B = AW$10) * 
        ('アイテム別限界値DB'!$F:$F = AW19) * 
        ('アイテム別限界値DB'!$H:$H = AX19), 
        0
      )
    ), 
    "再製作"
  )
)
</f>
        <v/>
      </c>
      <c r="AZ19" s="218" t="str">
        <f t="array" ref="AZ19">IF(
  AX19 = 0, 
  "", 
  IFERROR(
    INDEX(
      'アイテム別限界値DB'!$L:$L, 
      MATCH(
        1, 
        ('アイテム別限界値DB'!$B:$B = AW$10) * 
        ('アイテム別限界値DB'!$C:$C = AW19) * 
        ('アイテム別限界値DB'!$F:$F = AX19), 
        0
      )
    ), 
    ""
  )
)
</f>
        <v/>
      </c>
      <c r="BA19" s="121"/>
      <c r="BB19" s="224" t="s">
        <v>62</v>
      </c>
      <c r="BC19" s="232"/>
      <c r="BD19" s="231" t="str">
        <f t="array" ref="BD19">IF(
  BC19 = 0, 
  "", 
  IFERROR(
    INDEX(
      'アイテム別限界値DB'!$K:$K, 
      MATCH(
        1, 
        ('アイテム別限界値DB'!$B:$B = BB$10) * 
        ('アイテム別限界値DB'!$F:$F = BB19) * 
        ('アイテム別限界値DB'!$H:$H = BC19), 
        0
      )
    ), 
    "再製作"
  )
)
</f>
        <v/>
      </c>
      <c r="BE19" s="218" t="str">
        <f t="array" ref="BE19">IF(
  BC19 = 0, 
  "", 
  IFERROR(
    INDEX(
      'アイテム別限界値DB'!$L:$L, 
      MATCH(
        1, 
        ('アイテム別限界値DB'!$B:$B = BB$10) * 
        ('アイテム別限界値DB'!$C:$C = BB19) * 
        ('アイテム別限界値DB'!$F:$F = BC19), 
        0
      )
    ), 
    ""
  )
)
</f>
        <v/>
      </c>
      <c r="BF19" s="121"/>
      <c r="BG19" s="224" t="s">
        <v>62</v>
      </c>
      <c r="BH19" s="232"/>
      <c r="BI19" s="231" t="str">
        <f t="array" ref="BI19">IF(
  BH19 = 0, 
  "", 
  IFERROR(
    INDEX(
      'アイテム別限界値DB'!$K:$K, 
      MATCH(
        1, 
        ('アイテム別限界値DB'!$B:$B = BG$10) * 
        ('アイテム別限界値DB'!$F:$F = BG19) * 
        ('アイテム別限界値DB'!$H:$H = BH19), 
        0
      )
    ), 
    "再製作"
  )
)
</f>
        <v/>
      </c>
      <c r="BJ19" s="218" t="str">
        <f t="array" ref="BJ19">IF(
  BH19 = 0, 
  "", 
  IFERROR(
    INDEX(
      'アイテム別限界値DB'!$L:$L, 
      MATCH(
        1, 
        ('アイテム別限界値DB'!$B:$B = BG$10) * 
        ('アイテム別限界値DB'!$C:$C = BG19) * 
        ('アイテム別限界値DB'!$F:$F = BH19), 
        0
      )
    ), 
    ""
  )
)
</f>
        <v/>
      </c>
      <c r="BK19" s="121"/>
      <c r="BL19" s="224" t="s">
        <v>76</v>
      </c>
      <c r="BM19" s="232"/>
      <c r="BN19" s="231" t="str">
        <f t="array" ref="BN19">IF(
  BM19 = 0, 
  "", 
  IFERROR(
    INDEX(
      'アイテム別限界値DB'!$K:$K, 
      MATCH(
        1, 
        ('アイテム別限界値DB'!$B:$B = BL$10) * 
        ('アイテム別限界値DB'!$F:$F = BL19) * 
        ('アイテム別限界値DB'!$H:$H = BM19), 
        0
      )
    ), 
    "再製作"
  )
)
</f>
        <v/>
      </c>
      <c r="BO19" s="218" t="str">
        <f t="array" ref="BO19">IF(
  BM19 = 0, 
  "", 
  IFERROR(
    INDEX(
      'アイテム別限界値DB'!$L:$L, 
      MATCH(
        1, 
        ('アイテム別限界値DB'!$B:$B = BL$10) * 
        ('アイテム別限界値DB'!$C:$C = BL19) * 
        ('アイテム別限界値DB'!$F:$F = BM19), 
        0
      )
    ), 
    ""
  )
)
</f>
        <v/>
      </c>
      <c r="BP19" s="195"/>
    </row>
    <row r="20" ht="18.75" customHeight="1">
      <c r="A20" s="228" t="str">
        <f>IFERROR(__xludf.DUMMYFUNCTION("TEXTJOIN(CHAR(10),TRUE,FILTER(ARRAYFORMULA(IF(J$14:J72&lt;&gt;"""", I$14:I72 &amp;"" : ""&amp; J$14:J72 &amp;"" cm"","""")), I$14:I72 &lt;&gt;""""))"),"パンツウエスト : -1 cm")</f>
        <v>パンツウエスト : -1 cm</v>
      </c>
      <c r="B20" s="229"/>
      <c r="C20" s="224"/>
      <c r="D20" s="238" t="s">
        <v>77</v>
      </c>
      <c r="E20" s="230" t="s">
        <v>156</v>
      </c>
      <c r="F20" s="231">
        <f t="array" ref="F20">IF(
  E20 = 0, 
  "", 
  IFERROR(
    INDEX(
      'アイテム別限界値DB'!$K:$K, 
      MATCH(
        1, 
        ('アイテム別限界値DB'!$B:$B = D$10) * 
        ('アイテム別限界値DB'!$F:$F = D20) * 
        ('アイテム別限界値DB'!$H:$H = E20), 
        0
      )
    ), 
    "再製作"
  )
)
</f>
        <v>46000</v>
      </c>
      <c r="G20" s="218" t="str">
        <f t="array" ref="G20">IF(
  E20 = 0, 
  "", 
  IFERROR(
    INDEX(
      'アイテム別限界値DB'!$L:$L, 
      MATCH(
        1, 
        ('アイテム別限界値DB'!$B:$B = D$10) * 
        ('アイテム別限界値DB'!$C:$C = D20) * 
        ('アイテム別限界値DB'!$F:$F = E20), 
        0
      )
    ), 
    ""
  )
)
</f>
        <v/>
      </c>
      <c r="H20" s="12"/>
      <c r="I20" s="238" t="s">
        <v>78</v>
      </c>
      <c r="J20" s="230"/>
      <c r="K20" s="231" t="str">
        <f t="array" ref="K20">IF(
  J20 = 0, 
  "", 
  IFERROR(
    INDEX(
      'アイテム別限界値DB'!$K:$K, 
      MATCH(
        1, 
        ('アイテム別限界値DB'!$B:$B = I$10) * 
        ('アイテム別限界値DB'!$F:$F = I20) * 
        ('アイテム別限界値DB'!$H:$H = J20), 
        0
      )
    ), 
    "再製作"
  )
)
</f>
        <v/>
      </c>
      <c r="L20" s="218" t="str">
        <f t="array" ref="L20">IF(
  J20 = 0, 
  "", 
  IFERROR(
    INDEX(
      'アイテム別限界値DB'!$L:$L, 
      MATCH(
        1, 
        ('アイテム別限界値DB'!$B:$B = I$10) * 
        ('アイテム別限界値DB'!$C:$C = I20) * 
        ('アイテム別限界値DB'!$F:$F = J20), 
        0
      )
    ), 
    ""
  )
)
</f>
        <v/>
      </c>
      <c r="M20" s="12"/>
      <c r="N20" s="238" t="s">
        <v>79</v>
      </c>
      <c r="O20" s="232"/>
      <c r="P20" s="231" t="str">
        <f t="array" ref="P20">IF(
  O20 = 0, 
  "", 
  IFERROR(
    INDEX(
      'アイテム別限界値DB'!$K:$K, 
      MATCH(
        1, 
        ('アイテム別限界値DB'!$B:$B = N$10) * 
        ('アイテム別限界値DB'!$F:$F = N20) * 
        ('アイテム別限界値DB'!$H:$H = O20), 
        0
      )
    ), 
    "再製作"
  )
)
</f>
        <v/>
      </c>
      <c r="Q20" s="218" t="str">
        <f t="array" ref="Q20">IF(
  O20 = 0, 
  "", 
  IFERROR(
    INDEX(
      'アイテム別限界値DB'!$L:$L, 
      MATCH(
        1, 
        ('アイテム別限界値DB'!$B:$B = N$10) * 
        ('アイテム別限界値DB'!$C:$C = N20) * 
        ('アイテム別限界値DB'!$F:$F = O20), 
        0
      )
    ), 
    ""
  )
)
</f>
        <v/>
      </c>
      <c r="R20" s="11"/>
      <c r="S20" s="238" t="s">
        <v>78</v>
      </c>
      <c r="T20" s="232"/>
      <c r="U20" s="231" t="str">
        <f t="array" ref="U20">IF(
  T20 = 0, 
  "", 
  IFERROR(
    INDEX(
      'アイテム別限界値DB'!$K:$K, 
      MATCH(
        1, 
        ('アイテム別限界値DB'!$B:$B = S$10) * 
        ('アイテム別限界値DB'!$F:$F = S20) * 
        ('アイテム別限界値DB'!$H:$H = T20), 
        0
      )
    ), 
    "再製作"
  )
)
</f>
        <v/>
      </c>
      <c r="V20" s="218" t="str">
        <f t="array" ref="V20">IF(
  T20 = 0, 
  "", 
  IFERROR(
    INDEX(
      'アイテム別限界値DB'!$L:$L, 
      MATCH(
        1, 
        ('アイテム別限界値DB'!$B:$B = S$10) * 
        ('アイテム別限界値DB'!$C:$C = S20) * 
        ('アイテム別限界値DB'!$F:$F = T20), 
        0
      )
    ), 
    ""
  )
)
</f>
        <v/>
      </c>
      <c r="W20" s="11"/>
      <c r="X20" s="238" t="s">
        <v>76</v>
      </c>
      <c r="Y20" s="232"/>
      <c r="Z20" s="231" t="str">
        <f t="array" ref="Z20">IF(
  Y20 = 0, 
  "", 
  IFERROR(
    INDEX(
      'アイテム別限界値DB'!$K:$K, 
      MATCH(
        1, 
        ('アイテム別限界値DB'!$B:$B = X$10) * 
        ('アイテム別限界値DB'!$F:$F = X20) * 
        ('アイテム別限界値DB'!$H:$H = Y20), 
        0
      )
    ), 
    "再製作"
  )
)
</f>
        <v/>
      </c>
      <c r="AA20" s="218" t="str">
        <f t="array" ref="AA20">IF(
  Y20 = 0, 
  "", 
  IFERROR(
    INDEX(
      'アイテム別限界値DB'!$L:$L, 
      MATCH(
        1, 
        ('アイテム別限界値DB'!$B:$B = X$10) * 
        ('アイテム別限界値DB'!$C:$C = X20) * 
        ('アイテム別限界値DB'!$F:$F = Y20), 
        0
      )
    ), 
    ""
  )
)
</f>
        <v/>
      </c>
      <c r="AB20" s="11"/>
      <c r="AC20" s="238" t="s">
        <v>80</v>
      </c>
      <c r="AD20" s="232"/>
      <c r="AE20" s="231" t="str">
        <f t="array" ref="AE20">IF(
  AD20 = 0, 
  "", 
  IFERROR(
    INDEX(
      'アイテム別限界値DB'!$K:$K, 
      MATCH(
        1, 
        ('アイテム別限界値DB'!$B:$B = AC$10) * 
        ('アイテム別限界値DB'!$F:$F = AC20) * 
        ('アイテム別限界値DB'!$H:$H = AD20), 
        0
      )
    ), 
    "再製作"
  )
)
</f>
        <v/>
      </c>
      <c r="AF20" s="218" t="str">
        <f t="array" ref="AF20">IF(
  AD20 = 0, 
  "", 
  IFERROR(
    INDEX(
      'アイテム別限界値DB'!$L:$L, 
      MATCH(
        1, 
        ('アイテム別限界値DB'!$B:$B = AC$10) * 
        ('アイテム別限界値DB'!$C:$C = AC20) * 
        ('アイテム別限界値DB'!$F:$F = AD20), 
        0
      )
    ), 
    ""
  )
)
</f>
        <v/>
      </c>
      <c r="AG20" s="11"/>
      <c r="AH20" s="224" t="s">
        <v>62</v>
      </c>
      <c r="AI20" s="232"/>
      <c r="AJ20" s="231" t="str">
        <f t="array" ref="AJ20">IF(
  AI20 = 0, 
  "", 
  IFERROR(
    INDEX(
      'アイテム別限界値DB'!$K:$K, 
      MATCH(
        1, 
        ('アイテム別限界値DB'!$B:$B = AH$10) * 
        ('アイテム別限界値DB'!$F:$F = AH20) * 
        ('アイテム別限界値DB'!$H:$H = AI20), 
        0
      )
    ), 
    "再製作"
  )
)
</f>
        <v/>
      </c>
      <c r="AK20" s="218" t="str">
        <f t="array" ref="AK20">IF(
  AI20 = 0, 
  "", 
  IFERROR(
    INDEX(
      'アイテム別限界値DB'!$L:$L, 
      MATCH(
        1, 
        ('アイテム別限界値DB'!$B:$B = AH$10) * 
        ('アイテム別限界値DB'!$C:$C = AH20) * 
        ('アイテム別限界値DB'!$F:$F = AI20), 
        0
      )
    ), 
    ""
  )
)
</f>
        <v/>
      </c>
      <c r="AL20" s="11"/>
      <c r="AM20" s="224" t="s">
        <v>70</v>
      </c>
      <c r="AN20" s="232"/>
      <c r="AO20" s="231" t="str">
        <f t="array" ref="AO20">IF(
  AN20 = 0, 
  "", 
  IFERROR(
    INDEX(
      'アイテム別限界値DB'!$K:$K, 
      MATCH(
        1, 
        ('アイテム別限界値DB'!$B:$B = AM$10) * 
        ('アイテム別限界値DB'!$F:$F = AM20) * 
        ('アイテム別限界値DB'!$H:$H = AN20), 
        0
      )
    ), 
    "再製作"
  )
)
</f>
        <v/>
      </c>
      <c r="AP20" s="218" t="str">
        <f t="array" ref="AP20">IF(
  AN20 = 0, 
  "", 
  IFERROR(
    INDEX(
      'アイテム別限界値DB'!$L:$L, 
      MATCH(
        1, 
        ('アイテム別限界値DB'!$B:$B = AM$10) * 
        ('アイテム別限界値DB'!$C:$C = AM20) * 
        ('アイテム別限界値DB'!$F:$F = AN20), 
        0
      )
    ), 
    ""
  )
)
</f>
        <v/>
      </c>
      <c r="AQ20" s="11"/>
      <c r="AR20" s="224" t="s">
        <v>70</v>
      </c>
      <c r="AS20" s="232"/>
      <c r="AT20" s="231" t="str">
        <f t="array" ref="AT20">IF(
  AS20 = 0, 
  "", 
  IFERROR(
    INDEX(
      'アイテム別限界値DB'!$K:$K, 
      MATCH(
        1, 
        ('アイテム別限界値DB'!$B:$B = AR$10) * 
        ('アイテム別限界値DB'!$F:$F = AR20) * 
        ('アイテム別限界値DB'!$H:$H = AS20), 
        0
      )
    ), 
    "再製作"
  )
)
</f>
        <v/>
      </c>
      <c r="AU20" s="218" t="str">
        <f t="array" ref="AU20">IF(
  AS20 = 0, 
  "", 
  IFERROR(
    INDEX(
      'アイテム別限界値DB'!$L:$L, 
      MATCH(
        1, 
        ('アイテム別限界値DB'!$B:$B = AR$10) * 
        ('アイテム別限界値DB'!$C:$C = AR20) * 
        ('アイテム別限界値DB'!$F:$F = AS20), 
        0
      )
    ), 
    ""
  )
)
</f>
        <v/>
      </c>
      <c r="AV20" s="121"/>
      <c r="AW20" s="224" t="s">
        <v>70</v>
      </c>
      <c r="AX20" s="232"/>
      <c r="AY20" s="231" t="str">
        <f t="array" ref="AY20">IF(
  AX20 = 0, 
  "", 
  IFERROR(
    INDEX(
      'アイテム別限界値DB'!$K:$K, 
      MATCH(
        1, 
        ('アイテム別限界値DB'!$B:$B = AW$10) * 
        ('アイテム別限界値DB'!$F:$F = AW20) * 
        ('アイテム別限界値DB'!$H:$H = AX20), 
        0
      )
    ), 
    "再製作"
  )
)
</f>
        <v/>
      </c>
      <c r="AZ20" s="218" t="str">
        <f t="array" ref="AZ20">IF(
  AX20 = 0, 
  "", 
  IFERROR(
    INDEX(
      'アイテム別限界値DB'!$L:$L, 
      MATCH(
        1, 
        ('アイテム別限界値DB'!$B:$B = AW$10) * 
        ('アイテム別限界値DB'!$C:$C = AW20) * 
        ('アイテム別限界値DB'!$F:$F = AX20), 
        0
      )
    ), 
    ""
  )
)
</f>
        <v/>
      </c>
      <c r="BA20" s="121"/>
      <c r="BB20" s="224" t="s">
        <v>70</v>
      </c>
      <c r="BC20" s="232"/>
      <c r="BD20" s="231" t="str">
        <f t="array" ref="BD20">IF(
  BC20 = 0, 
  "", 
  IFERROR(
    INDEX(
      'アイテム別限界値DB'!$K:$K, 
      MATCH(
        1, 
        ('アイテム別限界値DB'!$B:$B = BB$10) * 
        ('アイテム別限界値DB'!$F:$F = BB20) * 
        ('アイテム別限界値DB'!$H:$H = BC20), 
        0
      )
    ), 
    "再製作"
  )
)
</f>
        <v/>
      </c>
      <c r="BE20" s="218" t="str">
        <f t="array" ref="BE20">IF(
  BC20 = 0, 
  "", 
  IFERROR(
    INDEX(
      'アイテム別限界値DB'!$L:$L, 
      MATCH(
        1, 
        ('アイテム別限界値DB'!$B:$B = BB$10) * 
        ('アイテム別限界値DB'!$C:$C = BB20) * 
        ('アイテム別限界値DB'!$F:$F = BC20), 
        0
      )
    ), 
    ""
  )
)
</f>
        <v/>
      </c>
      <c r="BF20" s="121"/>
      <c r="BG20" s="224" t="s">
        <v>70</v>
      </c>
      <c r="BH20" s="232"/>
      <c r="BI20" s="231" t="str">
        <f t="array" ref="BI20">IF(
  BH20 = 0, 
  "", 
  IFERROR(
    INDEX(
      'アイテム別限界値DB'!$K:$K, 
      MATCH(
        1, 
        ('アイテム別限界値DB'!$B:$B = BG$10) * 
        ('アイテム別限界値DB'!$F:$F = BG20) * 
        ('アイテム別限界値DB'!$H:$H = BH20), 
        0
      )
    ), 
    "再製作"
  )
)
</f>
        <v/>
      </c>
      <c r="BJ20" s="218" t="str">
        <f t="array" ref="BJ20">IF(
  BH20 = 0, 
  "", 
  IFERROR(
    INDEX(
      'アイテム別限界値DB'!$L:$L, 
      MATCH(
        1, 
        ('アイテム別限界値DB'!$B:$B = BG$10) * 
        ('アイテム別限界値DB'!$C:$C = BG20) * 
        ('アイテム別限界値DB'!$F:$F = BH20), 
        0
      )
    ), 
    ""
  )
)
</f>
        <v/>
      </c>
      <c r="BK20" s="121"/>
      <c r="BL20" s="224" t="s">
        <v>80</v>
      </c>
      <c r="BM20" s="232"/>
      <c r="BN20" s="231" t="str">
        <f t="array" ref="BN20">IF(
  BM20 = 0, 
  "", 
  IFERROR(
    INDEX(
      'アイテム別限界値DB'!$K:$K, 
      MATCH(
        1, 
        ('アイテム別限界値DB'!$B:$B = BL$10) * 
        ('アイテム別限界値DB'!$F:$F = BL20) * 
        ('アイテム別限界値DB'!$H:$H = BM20), 
        0
      )
    ), 
    "再製作"
  )
)
</f>
        <v/>
      </c>
      <c r="BO20" s="218" t="str">
        <f t="array" ref="BO20">IF(
  BM20 = 0, 
  "", 
  IFERROR(
    INDEX(
      'アイテム別限界値DB'!$L:$L, 
      MATCH(
        1, 
        ('アイテム別限界値DB'!$B:$B = BL$10) * 
        ('アイテム別限界値DB'!$C:$C = BL20) * 
        ('アイテム別限界値DB'!$F:$F = BM20), 
        0
      )
    ), 
    ""
  )
)
</f>
        <v/>
      </c>
      <c r="BP20" s="195"/>
    </row>
    <row r="21" ht="18.75" customHeight="1">
      <c r="A21" s="236" t="str">
        <f>if($A$19&lt;&gt;"", "《仕上がり数値》","")</f>
        <v>《仕上がり数値》</v>
      </c>
      <c r="B21" s="229"/>
      <c r="C21" s="224"/>
      <c r="D21" s="238" t="s">
        <v>81</v>
      </c>
      <c r="E21" s="232"/>
      <c r="F21" s="231" t="str">
        <f t="array" ref="F21">IF(
  E21 = 0, 
  "", 
  IFERROR(
    INDEX(
      'アイテム別限界値DB'!$K:$K, 
      MATCH(
        1, 
        ('アイテム別限界値DB'!$B:$B = D$10) * 
        ('アイテム別限界値DB'!$F:$F = D21) * 
        ('アイテム別限界値DB'!$H:$H = E21), 
        0
      )
    ), 
    "再製作"
  )
)
</f>
        <v/>
      </c>
      <c r="G21" s="218" t="str">
        <f t="array" ref="G21">IF(
  E21 = 0, 
  "", 
  IFERROR(
    INDEX(
      'アイテム別限界値DB'!$L:$L, 
      MATCH(
        1, 
        ('アイテム別限界値DB'!$B:$B = D$10) * 
        ('アイテム別限界値DB'!$C:$C = D21) * 
        ('アイテム別限界値DB'!$F:$F = E21), 
        0
      )
    ), 
    ""
  )
)
</f>
        <v/>
      </c>
      <c r="H21" s="12"/>
      <c r="I21" s="238" t="s">
        <v>82</v>
      </c>
      <c r="J21" s="230"/>
      <c r="K21" s="231" t="str">
        <f t="array" ref="K21">IF(
  J21 = 0, 
  "", 
  IFERROR(
    INDEX(
      'アイテム別限界値DB'!$K:$K, 
      MATCH(
        1, 
        ('アイテム別限界値DB'!$B:$B = I$10) * 
        ('アイテム別限界値DB'!$F:$F = I21) * 
        ('アイテム別限界値DB'!$H:$H = J21), 
        0
      )
    ), 
    "再製作"
  )
)
</f>
        <v/>
      </c>
      <c r="L21" s="218" t="str">
        <f t="array" ref="L21">IF(
  J21 = 0, 
  "", 
  IFERROR(
    INDEX(
      'アイテム別限界値DB'!$L:$L, 
      MATCH(
        1, 
        ('アイテム別限界値DB'!$B:$B = I$10) * 
        ('アイテム別限界値DB'!$C:$C = I21) * 
        ('アイテム別限界値DB'!$F:$F = J21), 
        0
      )
    ), 
    ""
  )
)
</f>
        <v/>
      </c>
      <c r="M21" s="12"/>
      <c r="N21" s="224" t="s">
        <v>83</v>
      </c>
      <c r="O21" s="232"/>
      <c r="P21" s="231" t="str">
        <f t="array" ref="P21">IF(
  O21 = 0, 
  "", 
  IFERROR(
    INDEX(
      'アイテム別限界値DB'!$K:$K, 
      MATCH(
        1, 
        ('アイテム別限界値DB'!$B:$B = N$10) * 
        ('アイテム別限界値DB'!$F:$F = N21) * 
        ('アイテム別限界値DB'!$H:$H = O21), 
        0
      )
    ), 
    "再製作"
  )
)
</f>
        <v/>
      </c>
      <c r="Q21" s="121" t="str">
        <f t="array" ref="Q21">IF(
  O21 = 0, 
  "", 
  IFERROR(
    INDEX(
      'アイテム別限界値DB'!$L:$L, 
      MATCH(
        1, 
        ('アイテム別限界値DB'!$B:$B = N$10) * 
        ('アイテム別限界値DB'!$C:$C = N21) * 
        ('アイテム別限界値DB'!$F:$F = O21), 
        0
      )
    ), 
    ""
  )
)
</f>
        <v/>
      </c>
      <c r="R21" s="11"/>
      <c r="S21" s="238" t="s">
        <v>82</v>
      </c>
      <c r="T21" s="232"/>
      <c r="U21" s="231" t="str">
        <f t="array" ref="U21">IF(
  T21 = 0, 
  "", 
  IFERROR(
    INDEX(
      'アイテム別限界値DB'!$K:$K, 
      MATCH(
        1, 
        ('アイテム別限界値DB'!$B:$B = S$10) * 
        ('アイテム別限界値DB'!$F:$F = S21) * 
        ('アイテム別限界値DB'!$H:$H = T21), 
        0
      )
    ), 
    "再製作"
  )
)
</f>
        <v/>
      </c>
      <c r="V21" s="218" t="str">
        <f t="array" ref="V21">IF(
  T21 = 0, 
  "", 
  IFERROR(
    INDEX(
      'アイテム別限界値DB'!$L:$L, 
      MATCH(
        1, 
        ('アイテム別限界値DB'!$B:$B = S$10) * 
        ('アイテム別限界値DB'!$C:$C = S21) * 
        ('アイテム別限界値DB'!$F:$F = T21), 
        0
      )
    ), 
    ""
  )
)
</f>
        <v/>
      </c>
      <c r="W21" s="11"/>
      <c r="X21" s="238" t="s">
        <v>84</v>
      </c>
      <c r="Y21" s="230"/>
      <c r="Z21" s="231" t="str">
        <f t="array" ref="Z21">IF(
  Y21 = 0, 
  "", 
  IFERROR(
    INDEX(
      'アイテム別限界値DB'!$K:$K, 
      MATCH(
        1, 
        ('アイテム別限界値DB'!$B:$B = X$10) * 
        ('アイテム別限界値DB'!$F:$F = X21) * 
        ('アイテム別限界値DB'!$H:$H = Y21), 
        0
      )
    ), 
    "再製作"
  )
)
</f>
        <v/>
      </c>
      <c r="AA21" s="218" t="str">
        <f t="array" ref="AA21">IF(
  Y21 = 0, 
  "", 
  IFERROR(
    INDEX(
      'アイテム別限界値DB'!$L:$L, 
      MATCH(
        1, 
        ('アイテム別限界値DB'!$B:$B = X$10) * 
        ('アイテム別限界値DB'!$C:$C = X21) * 
        ('アイテム別限界値DB'!$F:$F = Y21), 
        0
      )
    ), 
    ""
  )
)
</f>
        <v/>
      </c>
      <c r="AB21" s="11"/>
      <c r="AC21" s="238" t="s">
        <v>85</v>
      </c>
      <c r="AD21" s="232"/>
      <c r="AE21" s="231" t="str">
        <f t="array" ref="AE21">IF(
  AD21 = 0, 
  "", 
  IFERROR(
    INDEX(
      'アイテム別限界値DB'!$K:$K, 
      MATCH(
        1, 
        ('アイテム別限界値DB'!$B:$B = AC$10) * 
        ('アイテム別限界値DB'!$F:$F = AC21) * 
        ('アイテム別限界値DB'!$H:$H = AD21), 
        0
      )
    ), 
    "再製作"
  )
)
</f>
        <v/>
      </c>
      <c r="AF21" s="218" t="str">
        <f t="array" ref="AF21">IF(
  AD21 = 0, 
  "", 
  IFERROR(
    INDEX(
      'アイテム別限界値DB'!$L:$L, 
      MATCH(
        1, 
        ('アイテム別限界値DB'!$B:$B = AC$10) * 
        ('アイテム別限界値DB'!$C:$C = AC21) * 
        ('アイテム別限界値DB'!$F:$F = AD21), 
        0
      )
    ), 
    ""
  )
)
</f>
        <v/>
      </c>
      <c r="AG21" s="11"/>
      <c r="AH21" s="224"/>
      <c r="AI21" s="225"/>
      <c r="AJ21" s="220" t="str">
        <f t="array" ref="AJ21">IF(
  AI21 = 0, 
  "", 
  IFERROR(
    INDEX(
      'アイテム別限界値DB'!$I:$I, 
      MATCH(
        1, 
        ('アイテム別限界値DB'!$B:$B = AH$10) * 
        ('アイテム別限界値DB'!$C:$C = AH21) * 
        ('アイテム別限界値DB'!$F:$F = AI21), 
        0
      )
    ), 
    "再製作"
  )
)
</f>
        <v/>
      </c>
      <c r="AK21" s="121" t="str">
        <f t="array" ref="AK21">IF(
  AI21 = 0, 
  "", 
  IFERROR(
    INDEX(
      'アイテム別限界値DB'!$L:$L, 
      MATCH(
        1, 
        ('アイテム別限界値DB'!$B:$B = AH$10) * 
        ('アイテム別限界値DB'!$C:$C = AH21) * 
        ('アイテム別限界値DB'!$F:$F = AI21), 
        0
      )
    ), 
    ""
  )
)
</f>
        <v/>
      </c>
      <c r="AL21" s="11"/>
      <c r="AM21" s="224"/>
      <c r="AN21" s="225"/>
      <c r="AO21" s="220" t="str">
        <f t="array" ref="AO21">IF(
  AN21 = 0, 
  "", 
  IFERROR(
    INDEX(
      'アイテム別限界値DB'!$I:$I, 
      MATCH(
        1, 
        ('アイテム別限界値DB'!$B:$B = AM$10) * 
        ('アイテム別限界値DB'!$C:$C = AM21) * 
        ('アイテム別限界値DB'!$F:$F = AN21), 
        0
      )
    ), 
    "再製作"
  )
)
</f>
        <v/>
      </c>
      <c r="AP21" s="121" t="str">
        <f t="array" ref="AP21">IF(
  AN21 = 0, 
  "", 
  IFERROR(
    INDEX(
      'アイテム別限界値DB'!$L:$L, 
      MATCH(
        1, 
        ('アイテム別限界値DB'!$B:$B = AM$10) * 
        ('アイテム別限界値DB'!$C:$C = AM21) * 
        ('アイテム別限界値DB'!$F:$F = AN21), 
        0
      )
    ), 
    ""
  )
)
</f>
        <v/>
      </c>
      <c r="AQ21" s="11"/>
      <c r="AR21" s="224"/>
      <c r="AS21" s="225"/>
      <c r="AT21" s="220" t="str">
        <f t="array" ref="AT21">IF(
  AS21 = 0, 
  "", 
  IFERROR(
    INDEX(
      'アイテム別限界値DB'!$I:$I, 
      MATCH(
        1, 
        ('アイテム別限界値DB'!$B:$B = AR$10) * 
        ('アイテム別限界値DB'!$C:$C = AR21) * 
        ('アイテム別限界値DB'!$F:$F = AS21), 
        0
      )
    ), 
    "再製作"
  )
)
</f>
        <v/>
      </c>
      <c r="AU21" s="121" t="str">
        <f t="array" ref="AU21">IF(
  AS21 = 0, 
  "", 
  IFERROR(
    INDEX(
      'アイテム別限界値DB'!$L:$L, 
      MATCH(
        1, 
        ('アイテム別限界値DB'!$B:$B = AR$10) * 
        ('アイテム別限界値DB'!$C:$C = AR21) * 
        ('アイテム別限界値DB'!$F:$F = AS21), 
        0
      )
    ), 
    ""
  )
)
</f>
        <v/>
      </c>
      <c r="AV21" s="121"/>
      <c r="AW21" s="224"/>
      <c r="AX21" s="225"/>
      <c r="AY21" s="220" t="str">
        <f t="array" ref="AY21">IF(
  AX21 = 0, 
  "", 
  IFERROR(
    INDEX(
      'アイテム別限界値DB'!$I:$I, 
      MATCH(
        1, 
        ('アイテム別限界値DB'!$B:$B = AW$10) * 
        ('アイテム別限界値DB'!$C:$C = AW21) * 
        ('アイテム別限界値DB'!$F:$F = AX21), 
        0
      )
    ), 
    "再製作"
  )
)
</f>
        <v/>
      </c>
      <c r="AZ21" s="121" t="str">
        <f t="array" ref="AZ21">IF(
  AX21 = 0, 
  "", 
  IFERROR(
    INDEX(
      'アイテム別限界値DB'!$L:$L, 
      MATCH(
        1, 
        ('アイテム別限界値DB'!$B:$B = AW$10) * 
        ('アイテム別限界値DB'!$C:$C = AW21) * 
        ('アイテム別限界値DB'!$F:$F = AX21), 
        0
      )
    ), 
    ""
  )
)
</f>
        <v/>
      </c>
      <c r="BA21" s="121"/>
      <c r="BB21" s="224"/>
      <c r="BC21" s="225"/>
      <c r="BD21" s="220" t="str">
        <f t="array" ref="BD21">IF(
  BC21 = 0, 
  "", 
  IFERROR(
    INDEX(
      'アイテム別限界値DB'!$I:$I, 
      MATCH(
        1, 
        ('アイテム別限界値DB'!$B:$B = BB$10) * 
        ('アイテム別限界値DB'!$C:$C = BB21) * 
        ('アイテム別限界値DB'!$F:$F = BC21), 
        0
      )
    ), 
    "再製作"
  )
)
</f>
        <v/>
      </c>
      <c r="BE21" s="121" t="str">
        <f t="array" ref="BE21">IF(
  BC21 = 0, 
  "", 
  IFERROR(
    INDEX(
      'アイテム別限界値DB'!$L:$L, 
      MATCH(
        1, 
        ('アイテム別限界値DB'!$B:$B = BB$10) * 
        ('アイテム別限界値DB'!$C:$C = BB21) * 
        ('アイテム別限界値DB'!$F:$F = BC21), 
        0
      )
    ), 
    ""
  )
)
</f>
        <v/>
      </c>
      <c r="BF21" s="121"/>
      <c r="BG21" s="224"/>
      <c r="BH21" s="225"/>
      <c r="BI21" s="220" t="str">
        <f t="array" ref="BI21">IF(
  BH21 = 0, 
  "", 
  IFERROR(
    INDEX(
      'アイテム別限界値DB'!$I:$I, 
      MATCH(
        1, 
        ('アイテム別限界値DB'!$B:$B = BG$10) * 
        ('アイテム別限界値DB'!$C:$C = BG21) * 
        ('アイテム別限界値DB'!$F:$F = BH21), 
        0
      )
    ), 
    "再製作"
  )
)
</f>
        <v/>
      </c>
      <c r="BJ21" s="121" t="str">
        <f t="array" ref="BJ21">IF(
  BH21 = 0, 
  "", 
  IFERROR(
    INDEX(
      'アイテム別限界値DB'!$L:$L, 
      MATCH(
        1, 
        ('アイテム別限界値DB'!$B:$B = BG$10) * 
        ('アイテム別限界値DB'!$C:$C = BG21) * 
        ('アイテム別限界値DB'!$F:$F = BH21), 
        0
      )
    ), 
    ""
  )
)
</f>
        <v/>
      </c>
      <c r="BK21" s="121"/>
      <c r="BL21" s="224" t="s">
        <v>85</v>
      </c>
      <c r="BM21" s="232"/>
      <c r="BN21" s="231" t="str">
        <f t="array" ref="BN21">IF(
  BM21 = 0, 
  "", 
  IFERROR(
    INDEX(
      'アイテム別限界値DB'!$K:$K, 
      MATCH(
        1, 
        ('アイテム別限界値DB'!$B:$B = BL$10) * 
        ('アイテム別限界値DB'!$F:$F = BL21) * 
        ('アイテム別限界値DB'!$H:$H = BM21), 
        0
      )
    ), 
    "再製作"
  )
)
</f>
        <v/>
      </c>
      <c r="BO21" s="218" t="str">
        <f t="array" ref="BO21">IF(
  BM21 = 0, 
  "", 
  IFERROR(
    INDEX(
      'アイテム別限界値DB'!$L:$L, 
      MATCH(
        1, 
        ('アイテム別限界値DB'!$B:$B = BL$10) * 
        ('アイテム別限界値DB'!$C:$C = BL21) * 
        ('アイテム別限界値DB'!$F:$F = BM21), 
        0
      )
    ), 
    ""
  )
)
</f>
        <v/>
      </c>
      <c r="BP21" s="195"/>
    </row>
    <row r="22" ht="18.75" customHeight="1">
      <c r="A22" s="228" t="str">
        <f>IFERROR(__xludf.DUMMYFUNCTION("TEXTJOIN(CHAR(10),TRUE,FILTER(ARRAYFORMULA(IF(J$14:J72&lt;&gt;"""", I$14:I72 &amp;"" :  cm"","""")), I$14:I72 &lt;&gt;""""))"),"パンツウエスト :  cm")</f>
        <v>パンツウエスト :  cm</v>
      </c>
      <c r="B22" s="224"/>
      <c r="C22" s="224"/>
      <c r="D22" s="238" t="s">
        <v>86</v>
      </c>
      <c r="E22" s="230" t="s">
        <v>157</v>
      </c>
      <c r="F22" s="231">
        <f t="array" ref="F22">IF(
  E22 = 0, 
  "", 
  IFERROR(
    INDEX(
      'アイテム別限界値DB'!$K:$K, 
      MATCH(
        1, 
        ('アイテム別限界値DB'!$B:$B = D$10) * 
        ('アイテム別限界値DB'!$F:$F = D22) * 
        ('アイテム別限界値DB'!$H:$H = E22), 
        0
      )
    ), 
    "再製作"
  )
)
</f>
        <v>46000</v>
      </c>
      <c r="G22" s="218" t="str">
        <f t="array" ref="G22">IF(
  E22 = 0, 
  "", 
  IFERROR(
    INDEX(
      'アイテム別限界値DB'!$L:$L, 
      MATCH(
        1, 
        ('アイテム別限界値DB'!$B:$B = D$10) * 
        ('アイテム別限界値DB'!$C:$C = D22) * 
        ('アイテム別限界値DB'!$F:$F = E22), 
        0
      )
    ), 
    ""
  )
)
</f>
        <v/>
      </c>
      <c r="H22" s="12"/>
      <c r="I22" s="238" t="s">
        <v>87</v>
      </c>
      <c r="J22" s="230"/>
      <c r="K22" s="231" t="str">
        <f t="array" ref="K22">IF(
  J22 = 0, 
  "", 
  IFERROR(
    INDEX(
      'アイテム別限界値DB'!$K:$K, 
      MATCH(
        1, 
        ('アイテム別限界値DB'!$B:$B = I$10) * 
        ('アイテム別限界値DB'!$F:$F = I22) * 
        ('アイテム別限界値DB'!$H:$H = J22), 
        0
      )
    ), 
    "再製作"
  )
)
</f>
        <v/>
      </c>
      <c r="L22" s="218" t="str">
        <f t="array" ref="L22">IF(
  J22 = 0, 
  "", 
  IFERROR(
    INDEX(
      'アイテム別限界値DB'!$L:$L, 
      MATCH(
        1, 
        ('アイテム別限界値DB'!$B:$B = I$10) * 
        ('アイテム別限界値DB'!$C:$C = I22) * 
        ('アイテム別限界値DB'!$F:$F = J22), 
        0
      )
    ), 
    ""
  )
)
</f>
        <v/>
      </c>
      <c r="M22" s="11"/>
      <c r="N22" s="224"/>
      <c r="O22" s="220"/>
      <c r="P22" s="220" t="str">
        <f t="array" ref="P22">IF(
  O22 = 0, 
  "", 
  IFERROR(
    INDEX(
      'アイテム別限界値DB'!$I:$I, 
      MATCH(
        1, 
        ('アイテム別限界値DB'!$B:$B = N$10) * 
        ('アイテム別限界値DB'!$C:$C = N22) * 
        ('アイテム別限界値DB'!$F:$F = O22), 
        0
      )
    ), 
    "再製作"
  )
)
</f>
        <v/>
      </c>
      <c r="Q22" s="121" t="str">
        <f t="array" ref="Q22">IF(
  O22 = 0, 
  "", 
  IFERROR(
    INDEX(
      'アイテム別限界値DB'!$L:$L, 
      MATCH(
        1, 
        ('アイテム別限界値DB'!$B:$B = N$10) * 
        ('アイテム別限界値DB'!$C:$C = N22) * 
        ('アイテム別限界値DB'!$F:$F = O22), 
        0
      )
    ), 
    ""
  )
)
</f>
        <v/>
      </c>
      <c r="R22" s="11"/>
      <c r="S22" s="238" t="s">
        <v>87</v>
      </c>
      <c r="T22" s="232"/>
      <c r="U22" s="231" t="str">
        <f t="array" ref="U22">IF(
  T22 = 0, 
  "", 
  IFERROR(
    INDEX(
      'アイテム別限界値DB'!$K:$K, 
      MATCH(
        1, 
        ('アイテム別限界値DB'!$B:$B = S$10) * 
        ('アイテム別限界値DB'!$F:$F = S22) * 
        ('アイテム別限界値DB'!$H:$H = T22), 
        0
      )
    ), 
    "再製作"
  )
)
</f>
        <v/>
      </c>
      <c r="V22" s="218" t="str">
        <f t="array" ref="V22">IF(
  T22 = 0, 
  "", 
  IFERROR(
    INDEX(
      'アイテム別限界値DB'!$L:$L, 
      MATCH(
        1, 
        ('アイテム別限界値DB'!$B:$B = S$10) * 
        ('アイテム別限界値DB'!$C:$C = S22) * 
        ('アイテム別限界値DB'!$F:$F = T22), 
        0
      )
    ), 
    ""
  )
)
</f>
        <v/>
      </c>
      <c r="W22" s="11"/>
      <c r="X22" s="238" t="s">
        <v>88</v>
      </c>
      <c r="Y22" s="230"/>
      <c r="Z22" s="231" t="str">
        <f t="array" ref="Z22">IF(
  Y22 = 0, 
  "", 
  IFERROR(
    INDEX(
      'アイテム別限界値DB'!$K:$K, 
      MATCH(
        1, 
        ('アイテム別限界値DB'!$B:$B = X$10) * 
        ('アイテム別限界値DB'!$F:$F = X22) * 
        ('アイテム別限界値DB'!$H:$H = Y22), 
        0
      )
    ), 
    "再製作"
  )
)
</f>
        <v/>
      </c>
      <c r="AA22" s="218" t="str">
        <f t="array" ref="AA22">IF(
  Y22 = 0, 
  "", 
  IFERROR(
    INDEX(
      'アイテム別限界値DB'!$L:$L, 
      MATCH(
        1, 
        ('アイテム別限界値DB'!$B:$B = X$10) * 
        ('アイテム別限界値DB'!$C:$C = X22) * 
        ('アイテム別限界値DB'!$F:$F = Y22), 
        0
      )
    ), 
    ""
  )
)
</f>
        <v/>
      </c>
      <c r="AB22" s="11"/>
      <c r="AC22" s="238" t="s">
        <v>89</v>
      </c>
      <c r="AD22" s="230"/>
      <c r="AE22" s="231" t="str">
        <f t="array" ref="AE22">IF(
  AD22 = 0, 
  "", 
  IFERROR(
    INDEX(
      'アイテム別限界値DB'!$K:$K, 
      MATCH(
        1, 
        ('アイテム別限界値DB'!$B:$B = AC$10) * 
        ('アイテム別限界値DB'!$F:$F = AC22) * 
        ('アイテム別限界値DB'!$H:$H = AD22), 
        0
      )
    ), 
    "再製作"
  )
)
</f>
        <v/>
      </c>
      <c r="AF22" s="218" t="str">
        <f t="array" ref="AF22">IF(
  AD22 = 0, 
  "", 
  IFERROR(
    INDEX(
      'アイテム別限界値DB'!$L:$L, 
      MATCH(
        1, 
        ('アイテム別限界値DB'!$B:$B = AC$10) * 
        ('アイテム別限界値DB'!$C:$C = AC22) * 
        ('アイテム別限界値DB'!$F:$F = AD22), 
        0
      )
    ), 
    ""
  )
)
</f>
        <v/>
      </c>
      <c r="AG22" s="11"/>
      <c r="AH22" s="224"/>
      <c r="AI22" s="225"/>
      <c r="AJ22" s="220" t="str">
        <f t="array" ref="AJ22">IF(
  AI22 = 0, 
  "", 
  IFERROR(
    INDEX(
      'アイテム別限界値DB'!$I:$I, 
      MATCH(
        1, 
        ('アイテム別限界値DB'!$B:$B = AH$10) * 
        ('アイテム別限界値DB'!$C:$C = AH22) * 
        ('アイテム別限界値DB'!$F:$F = AI22), 
        0
      )
    ), 
    "再製作"
  )
)
</f>
        <v/>
      </c>
      <c r="AK22" s="121" t="str">
        <f t="array" ref="AK22">IF(
  AI22 = 0, 
  "", 
  IFERROR(
    INDEX(
      'アイテム別限界値DB'!$L:$L, 
      MATCH(
        1, 
        ('アイテム別限界値DB'!$B:$B = AH$10) * 
        ('アイテム別限界値DB'!$C:$C = AH22) * 
        ('アイテム別限界値DB'!$F:$F = AI22), 
        0
      )
    ), 
    ""
  )
)
</f>
        <v/>
      </c>
      <c r="AL22" s="11"/>
      <c r="AM22" s="224"/>
      <c r="AN22" s="225"/>
      <c r="AO22" s="220" t="str">
        <f t="array" ref="AO22">IF(
  AN22 = 0, 
  "", 
  IFERROR(
    INDEX(
      'アイテム別限界値DB'!$I:$I, 
      MATCH(
        1, 
        ('アイテム別限界値DB'!$B:$B = AM$10) * 
        ('アイテム別限界値DB'!$C:$C = AM22) * 
        ('アイテム別限界値DB'!$F:$F = AN22), 
        0
      )
    ), 
    "再製作"
  )
)
</f>
        <v/>
      </c>
      <c r="AP22" s="121" t="str">
        <f t="array" ref="AP22">IF(
  AN22 = 0, 
  "", 
  IFERROR(
    INDEX(
      'アイテム別限界値DB'!$L:$L, 
      MATCH(
        1, 
        ('アイテム別限界値DB'!$B:$B = AM$10) * 
        ('アイテム別限界値DB'!$C:$C = AM22) * 
        ('アイテム別限界値DB'!$F:$F = AN22), 
        0
      )
    ), 
    ""
  )
)
</f>
        <v/>
      </c>
      <c r="AQ22" s="11"/>
      <c r="AR22" s="224"/>
      <c r="AS22" s="225"/>
      <c r="AT22" s="220" t="str">
        <f t="array" ref="AT22">IF(
  AS22 = 0, 
  "", 
  IFERROR(
    INDEX(
      'アイテム別限界値DB'!$I:$I, 
      MATCH(
        1, 
        ('アイテム別限界値DB'!$B:$B = AR$10) * 
        ('アイテム別限界値DB'!$C:$C = AR22) * 
        ('アイテム別限界値DB'!$F:$F = AS22), 
        0
      )
    ), 
    "再製作"
  )
)
</f>
        <v/>
      </c>
      <c r="AU22" s="121" t="str">
        <f t="array" ref="AU22">IF(
  AS22 = 0, 
  "", 
  IFERROR(
    INDEX(
      'アイテム別限界値DB'!$L:$L, 
      MATCH(
        1, 
        ('アイテム別限界値DB'!$B:$B = AR$10) * 
        ('アイテム別限界値DB'!$C:$C = AR22) * 
        ('アイテム別限界値DB'!$F:$F = AS22), 
        0
      )
    ), 
    ""
  )
)
</f>
        <v/>
      </c>
      <c r="AV22" s="121"/>
      <c r="AW22" s="224"/>
      <c r="AX22" s="225"/>
      <c r="AY22" s="220" t="str">
        <f t="array" ref="AY22">IF(
  AX22 = 0, 
  "", 
  IFERROR(
    INDEX(
      'アイテム別限界値DB'!$I:$I, 
      MATCH(
        1, 
        ('アイテム別限界値DB'!$B:$B = AW$10) * 
        ('アイテム別限界値DB'!$C:$C = AW22) * 
        ('アイテム別限界値DB'!$F:$F = AX22), 
        0
      )
    ), 
    "再製作"
  )
)
</f>
        <v/>
      </c>
      <c r="AZ22" s="121" t="str">
        <f t="array" ref="AZ22">IF(
  AX22 = 0, 
  "", 
  IFERROR(
    INDEX(
      'アイテム別限界値DB'!$L:$L, 
      MATCH(
        1, 
        ('アイテム別限界値DB'!$B:$B = AW$10) * 
        ('アイテム別限界値DB'!$C:$C = AW22) * 
        ('アイテム別限界値DB'!$F:$F = AX22), 
        0
      )
    ), 
    ""
  )
)
</f>
        <v/>
      </c>
      <c r="BA22" s="121"/>
      <c r="BB22" s="224"/>
      <c r="BC22" s="225"/>
      <c r="BD22" s="220" t="str">
        <f t="array" ref="BD22">IF(
  BC22 = 0, 
  "", 
  IFERROR(
    INDEX(
      'アイテム別限界値DB'!$I:$I, 
      MATCH(
        1, 
        ('アイテム別限界値DB'!$B:$B = BB$10) * 
        ('アイテム別限界値DB'!$C:$C = BB22) * 
        ('アイテム別限界値DB'!$F:$F = BC22), 
        0
      )
    ), 
    "再製作"
  )
)
</f>
        <v/>
      </c>
      <c r="BE22" s="121" t="str">
        <f t="array" ref="BE22">IF(
  BC22 = 0, 
  "", 
  IFERROR(
    INDEX(
      'アイテム別限界値DB'!$L:$L, 
      MATCH(
        1, 
        ('アイテム別限界値DB'!$B:$B = BB$10) * 
        ('アイテム別限界値DB'!$C:$C = BB22) * 
        ('アイテム別限界値DB'!$F:$F = BC22), 
        0
      )
    ), 
    ""
  )
)
</f>
        <v/>
      </c>
      <c r="BF22" s="121"/>
      <c r="BG22" s="224"/>
      <c r="BH22" s="225"/>
      <c r="BI22" s="220" t="str">
        <f t="array" ref="BI22">IF(
  BH22 = 0, 
  "", 
  IFERROR(
    INDEX(
      'アイテム別限界値DB'!$I:$I, 
      MATCH(
        1, 
        ('アイテム別限界値DB'!$B:$B = BG$10) * 
        ('アイテム別限界値DB'!$C:$C = BG22) * 
        ('アイテム別限界値DB'!$F:$F = BH22), 
        0
      )
    ), 
    "再製作"
  )
)
</f>
        <v/>
      </c>
      <c r="BJ22" s="121" t="str">
        <f t="array" ref="BJ22">IF(
  BH22 = 0, 
  "", 
  IFERROR(
    INDEX(
      'アイテム別限界値DB'!$L:$L, 
      MATCH(
        1, 
        ('アイテム別限界値DB'!$B:$B = BG$10) * 
        ('アイテム別限界値DB'!$C:$C = BG22) * 
        ('アイテム別限界値DB'!$F:$F = BH22), 
        0
      )
    ), 
    ""
  )
)
</f>
        <v/>
      </c>
      <c r="BK22" s="121"/>
      <c r="BL22" s="224" t="s">
        <v>90</v>
      </c>
      <c r="BM22" s="232"/>
      <c r="BN22" s="231" t="str">
        <f t="array" ref="BN22">IF(
  BM22 = 0, 
  "", 
  IFERROR(
    INDEX(
      'アイテム別限界値DB'!$K:$K, 
      MATCH(
        1, 
        ('アイテム別限界値DB'!$B:$B = BL$10) * 
        ('アイテム別限界値DB'!$F:$F = BL22) * 
        ('アイテム別限界値DB'!$H:$H = BM22), 
        0
      )
    ), 
    "再製作"
  )
)
</f>
        <v/>
      </c>
      <c r="BO22" s="218" t="str">
        <f t="array" ref="BO22">IF(
  BM22 = 0, 
  "", 
  IFERROR(
    INDEX(
      'アイテム別限界値DB'!$L:$L, 
      MATCH(
        1, 
        ('アイテム別限界値DB'!$B:$B = BL$10) * 
        ('アイテム別限界値DB'!$C:$C = BL22) * 
        ('アイテム別限界値DB'!$F:$F = BM22), 
        0
      )
    ), 
    ""
  )
)
</f>
        <v/>
      </c>
      <c r="BP22" s="195"/>
    </row>
    <row r="23" ht="18.75" customHeight="1">
      <c r="A23" s="237" t="s">
        <v>91</v>
      </c>
      <c r="B23" s="229"/>
      <c r="C23" s="224"/>
      <c r="D23" s="238" t="s">
        <v>92</v>
      </c>
      <c r="E23" s="230"/>
      <c r="F23" s="231" t="str">
        <f t="array" ref="F23">IF(
  E23 = 0, 
  "", 
  IFERROR(
    INDEX(
      'アイテム別限界値DB'!$K:$K, 
      MATCH(
        1, 
        ('アイテム別限界値DB'!$B:$B = D$10) * 
        ('アイテム別限界値DB'!$F:$F = D23) * 
        ('アイテム別限界値DB'!$H:$H = E23), 
        0
      )
    ), 
    "再製作"
  )
)
</f>
        <v/>
      </c>
      <c r="G23" s="218" t="str">
        <f t="array" ref="G23">IF(
  E23 = 0, 
  "", 
  IFERROR(
    INDEX(
      'アイテム別限界値DB'!$L:$L, 
      MATCH(
        1, 
        ('アイテム別限界値DB'!$B:$B = D$10) * 
        ('アイテム別限界値DB'!$C:$C = D23) * 
        ('アイテム別限界値DB'!$F:$F = E23), 
        0
      )
    ), 
    ""
  )
)
</f>
        <v/>
      </c>
      <c r="H23" s="12"/>
      <c r="I23" s="238" t="s">
        <v>93</v>
      </c>
      <c r="J23" s="230"/>
      <c r="K23" s="231" t="str">
        <f t="array" ref="K23">IF(
  J23 = 0, 
  "", 
  IFERROR(
    INDEX(
      'アイテム別限界値DB'!$K:$K, 
      MATCH(
        1, 
        ('アイテム別限界値DB'!$B:$B = I$10) * 
        ('アイテム別限界値DB'!$F:$F = I23) * 
        ('アイテム別限界値DB'!$H:$H = J23), 
        0
      )
    ), 
    "再製作"
  )
)
</f>
        <v/>
      </c>
      <c r="L23" s="218" t="str">
        <f t="array" ref="L23">IF(
  J23 = 0, 
  "", 
  IFERROR(
    INDEX(
      'アイテム別限界値DB'!$L:$L, 
      MATCH(
        1, 
        ('アイテム別限界値DB'!$B:$B = I$10) * 
        ('アイテム別限界値DB'!$C:$C = I23) * 
        ('アイテム別限界値DB'!$F:$F = J23), 
        0
      )
    ), 
    ""
  )
)
</f>
        <v/>
      </c>
      <c r="M23" s="11"/>
      <c r="N23" s="224"/>
      <c r="O23" s="220"/>
      <c r="P23" s="220" t="str">
        <f t="array" ref="P23">IF(
  O23 = 0, 
  "", 
  IFERROR(
    INDEX(
      'アイテム別限界値DB'!$I:$I, 
      MATCH(
        1, 
        ('アイテム別限界値DB'!$B:$B = N$10) * 
        ('アイテム別限界値DB'!$C:$C = N23) * 
        ('アイテム別限界値DB'!$F:$F = O23), 
        0
      )
    ), 
    "再製作"
  )
)
</f>
        <v/>
      </c>
      <c r="Q23" s="121" t="str">
        <f t="array" ref="Q23">IF(
  O23 = 0, 
  "", 
  IFERROR(
    INDEX(
      'アイテム別限界値DB'!$L:$L, 
      MATCH(
        1, 
        ('アイテム別限界値DB'!$B:$B = N$10) * 
        ('アイテム別限界値DB'!$C:$C = N23) * 
        ('アイテム別限界値DB'!$F:$F = O23), 
        0
      )
    ), 
    ""
  )
)
</f>
        <v/>
      </c>
      <c r="R23" s="11"/>
      <c r="S23" s="238" t="s">
        <v>93</v>
      </c>
      <c r="T23" s="232"/>
      <c r="U23" s="231" t="str">
        <f t="array" ref="U23">IF(
  T23 = 0, 
  "", 
  IFERROR(
    INDEX(
      'アイテム別限界値DB'!$K:$K, 
      MATCH(
        1, 
        ('アイテム別限界値DB'!$B:$B = S$10) * 
        ('アイテム別限界値DB'!$F:$F = S23) * 
        ('アイテム別限界値DB'!$H:$H = T23), 
        0
      )
    ), 
    "再製作"
  )
)
</f>
        <v/>
      </c>
      <c r="V23" s="218" t="str">
        <f t="array" ref="V23">IF(
  T23 = 0, 
  "", 
  IFERROR(
    INDEX(
      'アイテム別限界値DB'!$L:$L, 
      MATCH(
        1, 
        ('アイテム別限界値DB'!$B:$B = S$10) * 
        ('アイテム別限界値DB'!$C:$C = S23) * 
        ('アイテム別限界値DB'!$F:$F = T23), 
        0
      )
    ), 
    ""
  )
)
</f>
        <v/>
      </c>
      <c r="W23" s="11"/>
      <c r="X23" s="238" t="s">
        <v>89</v>
      </c>
      <c r="Y23" s="232"/>
      <c r="Z23" s="231" t="str">
        <f t="array" ref="Z23">IF(
  Y23 = 0, 
  "", 
  IFERROR(
    INDEX(
      'アイテム別限界値DB'!$K:$K, 
      MATCH(
        1, 
        ('アイテム別限界値DB'!$B:$B = X$10) * 
        ('アイテム別限界値DB'!$F:$F = X23) * 
        ('アイテム別限界値DB'!$H:$H = Y23), 
        0
      )
    ), 
    "再製作"
  )
)
</f>
        <v/>
      </c>
      <c r="AA23" s="218" t="str">
        <f t="array" ref="AA23">IF(
  Y23 = 0, 
  "", 
  IFERROR(
    INDEX(
      'アイテム別限界値DB'!$L:$L, 
      MATCH(
        1, 
        ('アイテム別限界値DB'!$B:$B = X$10) * 
        ('アイテム別限界値DB'!$C:$C = X23) * 
        ('アイテム別限界値DB'!$F:$F = Y23), 
        0
      )
    ), 
    ""
  )
)
</f>
        <v/>
      </c>
      <c r="AB23" s="11"/>
      <c r="AC23" s="238" t="s">
        <v>90</v>
      </c>
      <c r="AD23" s="230"/>
      <c r="AE23" s="231" t="str">
        <f t="array" ref="AE23">IF(
  AD23 = 0, 
  "", 
  IFERROR(
    INDEX(
      'アイテム別限界値DB'!$K:$K, 
      MATCH(
        1, 
        ('アイテム別限界値DB'!$B:$B = AC$10) * 
        ('アイテム別限界値DB'!$F:$F = AC23) * 
        ('アイテム別限界値DB'!$H:$H = AD23), 
        0
      )
    ), 
    "再製作"
  )
)
</f>
        <v/>
      </c>
      <c r="AF23" s="218" t="str">
        <f t="array" ref="AF23">IF(
  AD23 = 0, 
  "", 
  IFERROR(
    INDEX(
      'アイテム別限界値DB'!$L:$L, 
      MATCH(
        1, 
        ('アイテム別限界値DB'!$B:$B = AC$10) * 
        ('アイテム別限界値DB'!$C:$C = AC23) * 
        ('アイテム別限界値DB'!$F:$F = AD23), 
        0
      )
    ), 
    ""
  )
)
</f>
        <v/>
      </c>
      <c r="AG23" s="11"/>
      <c r="AH23" s="224"/>
      <c r="AI23" s="225"/>
      <c r="AJ23" s="220" t="str">
        <f t="array" ref="AJ23">IF(
  AI23 = 0, 
  "", 
  IFERROR(
    INDEX(
      'アイテム別限界値DB'!$I:$I, 
      MATCH(
        1, 
        ('アイテム別限界値DB'!$B:$B = AH$10) * 
        ('アイテム別限界値DB'!$C:$C = AH23) * 
        ('アイテム別限界値DB'!$F:$F = AI23), 
        0
      )
    ), 
    "再製作"
  )
)
</f>
        <v/>
      </c>
      <c r="AK23" s="121" t="str">
        <f t="array" ref="AK23">IF(
  AI23 = 0, 
  "", 
  IFERROR(
    INDEX(
      'アイテム別限界値DB'!$L:$L, 
      MATCH(
        1, 
        ('アイテム別限界値DB'!$B:$B = AH$10) * 
        ('アイテム別限界値DB'!$C:$C = AH23) * 
        ('アイテム別限界値DB'!$F:$F = AI23), 
        0
      )
    ), 
    ""
  )
)
</f>
        <v/>
      </c>
      <c r="AL23" s="11"/>
      <c r="AM23" s="224"/>
      <c r="AN23" s="225"/>
      <c r="AO23" s="220" t="str">
        <f t="array" ref="AO23">IF(
  AN23 = 0, 
  "", 
  IFERROR(
    INDEX(
      'アイテム別限界値DB'!$I:$I, 
      MATCH(
        1, 
        ('アイテム別限界値DB'!$B:$B = AM$10) * 
        ('アイテム別限界値DB'!$C:$C = AM23) * 
        ('アイテム別限界値DB'!$F:$F = AN23), 
        0
      )
    ), 
    "再製作"
  )
)
</f>
        <v/>
      </c>
      <c r="AP23" s="121" t="str">
        <f t="array" ref="AP23">IF(
  AN23 = 0, 
  "", 
  IFERROR(
    INDEX(
      'アイテム別限界値DB'!$L:$L, 
      MATCH(
        1, 
        ('アイテム別限界値DB'!$B:$B = AM$10) * 
        ('アイテム別限界値DB'!$C:$C = AM23) * 
        ('アイテム別限界値DB'!$F:$F = AN23), 
        0
      )
    ), 
    ""
  )
)
</f>
        <v/>
      </c>
      <c r="AQ23" s="11"/>
      <c r="AR23" s="224"/>
      <c r="AS23" s="225"/>
      <c r="AT23" s="220" t="str">
        <f t="array" ref="AT23">IF(
  AS23 = 0, 
  "", 
  IFERROR(
    INDEX(
      'アイテム別限界値DB'!$I:$I, 
      MATCH(
        1, 
        ('アイテム別限界値DB'!$B:$B = AR$10) * 
        ('アイテム別限界値DB'!$C:$C = AR23) * 
        ('アイテム別限界値DB'!$F:$F = AS23), 
        0
      )
    ), 
    "再製作"
  )
)
</f>
        <v/>
      </c>
      <c r="AU23" s="121" t="str">
        <f t="array" ref="AU23">IF(
  AS23 = 0, 
  "", 
  IFERROR(
    INDEX(
      'アイテム別限界値DB'!$L:$L, 
      MATCH(
        1, 
        ('アイテム別限界値DB'!$B:$B = AR$10) * 
        ('アイテム別限界値DB'!$C:$C = AR23) * 
        ('アイテム別限界値DB'!$F:$F = AS23), 
        0
      )
    ), 
    ""
  )
)
</f>
        <v/>
      </c>
      <c r="AV23" s="121"/>
      <c r="AW23" s="224"/>
      <c r="AX23" s="225"/>
      <c r="AY23" s="220" t="str">
        <f t="array" ref="AY23">IF(
  AX23 = 0, 
  "", 
  IFERROR(
    INDEX(
      'アイテム別限界値DB'!$I:$I, 
      MATCH(
        1, 
        ('アイテム別限界値DB'!$B:$B = AW$10) * 
        ('アイテム別限界値DB'!$C:$C = AW23) * 
        ('アイテム別限界値DB'!$F:$F = AX23), 
        0
      )
    ), 
    "再製作"
  )
)
</f>
        <v/>
      </c>
      <c r="AZ23" s="121" t="str">
        <f t="array" ref="AZ23">IF(
  AX23 = 0, 
  "", 
  IFERROR(
    INDEX(
      'アイテム別限界値DB'!$L:$L, 
      MATCH(
        1, 
        ('アイテム別限界値DB'!$B:$B = AW$10) * 
        ('アイテム別限界値DB'!$C:$C = AW23) * 
        ('アイテム別限界値DB'!$F:$F = AX23), 
        0
      )
    ), 
    ""
  )
)
</f>
        <v/>
      </c>
      <c r="BA23" s="121"/>
      <c r="BB23" s="224"/>
      <c r="BC23" s="225"/>
      <c r="BD23" s="220" t="str">
        <f t="array" ref="BD23">IF(
  BC23 = 0, 
  "", 
  IFERROR(
    INDEX(
      'アイテム別限界値DB'!$I:$I, 
      MATCH(
        1, 
        ('アイテム別限界値DB'!$B:$B = BB$10) * 
        ('アイテム別限界値DB'!$C:$C = BB23) * 
        ('アイテム別限界値DB'!$F:$F = BC23), 
        0
      )
    ), 
    "再製作"
  )
)
</f>
        <v/>
      </c>
      <c r="BE23" s="121" t="str">
        <f t="array" ref="BE23">IF(
  BC23 = 0, 
  "", 
  IFERROR(
    INDEX(
      'アイテム別限界値DB'!$L:$L, 
      MATCH(
        1, 
        ('アイテム別限界値DB'!$B:$B = BB$10) * 
        ('アイテム別限界値DB'!$C:$C = BB23) * 
        ('アイテム別限界値DB'!$F:$F = BC23), 
        0
      )
    ), 
    ""
  )
)
</f>
        <v/>
      </c>
      <c r="BF23" s="121"/>
      <c r="BG23" s="224"/>
      <c r="BH23" s="225"/>
      <c r="BI23" s="220" t="str">
        <f t="array" ref="BI23">IF(
  BH23 = 0, 
  "", 
  IFERROR(
    INDEX(
      'アイテム別限界値DB'!$I:$I, 
      MATCH(
        1, 
        ('アイテム別限界値DB'!$B:$B = BG$10) * 
        ('アイテム別限界値DB'!$C:$C = BG23) * 
        ('アイテム別限界値DB'!$F:$F = BH23), 
        0
      )
    ), 
    "再製作"
  )
)
</f>
        <v/>
      </c>
      <c r="BJ23" s="121" t="str">
        <f t="array" ref="BJ23">IF(
  BH23 = 0, 
  "", 
  IFERROR(
    INDEX(
      'アイテム別限界値DB'!$L:$L, 
      MATCH(
        1, 
        ('アイテム別限界値DB'!$B:$B = BG$10) * 
        ('アイテム別限界値DB'!$C:$C = BG23) * 
        ('アイテム別限界値DB'!$F:$F = BH23), 
        0
      )
    ), 
    ""
  )
)
</f>
        <v/>
      </c>
      <c r="BK23" s="121"/>
      <c r="BL23" s="224" t="s">
        <v>62</v>
      </c>
      <c r="BM23" s="232"/>
      <c r="BN23" s="231" t="str">
        <f t="array" ref="BN23">IF(
  BM23 = 0, 
  "", 
  IFERROR(
    INDEX(
      'アイテム別限界値DB'!$K:$K, 
      MATCH(
        1, 
        ('アイテム別限界値DB'!$B:$B = BL$10) * 
        ('アイテム別限界値DB'!$F:$F = BL23) * 
        ('アイテム別限界値DB'!$H:$H = BM23), 
        0
      )
    ), 
    "再製作"
  )
)
</f>
        <v/>
      </c>
      <c r="BO23" s="218" t="str">
        <f t="array" ref="BO23">IF(
  BM23 = 0, 
  "", 
  IFERROR(
    INDEX(
      'アイテム別限界値DB'!$L:$L, 
      MATCH(
        1, 
        ('アイテム別限界値DB'!$B:$B = BL$10) * 
        ('アイテム別限界値DB'!$C:$C = BL23) * 
        ('アイテム別限界値DB'!$F:$F = BM23), 
        0
      )
    ), 
    ""
  )
)
</f>
        <v/>
      </c>
      <c r="BP23" s="195"/>
    </row>
    <row r="24" ht="18.75" customHeight="1">
      <c r="A24" s="228" t="str">
        <f>IF($N$11="再製作", "◼︎ ベスト（対応着地：再製作）" &amp; char(10) &amp; "《修正数値》", IF($N$11&lt;&gt;"", "◼︎ ベスト（対応着地：お直し）" &amp; char(10) &amp; "《修正数値》", ""))</f>
        <v/>
      </c>
      <c r="B24" s="229"/>
      <c r="C24" s="224"/>
      <c r="D24" s="239" t="s">
        <v>94</v>
      </c>
      <c r="E24" s="232"/>
      <c r="F24" s="231" t="str">
        <f t="array" ref="F24">IF(
  E24 = 0, 
  "", 
  IFERROR(
    INDEX(
      'アイテム別限界値DB'!$K:$K, 
      MATCH(
        1, 
        ('アイテム別限界値DB'!$B:$B = D$10) * 
        ('アイテム別限界値DB'!$F:$F = D24) * 
        ('アイテム別限界値DB'!$H:$H = E24), 
        0
      )
    ), 
    "再製作"
  )
)
</f>
        <v/>
      </c>
      <c r="G24" s="218" t="str">
        <f t="array" ref="G24">IF(
  E24 = 0, 
  "", 
  IFERROR(
    INDEX(
      'アイテム別限界値DB'!$L:$L, 
      MATCH(
        1, 
        ('アイテム別限界値DB'!$B:$B = D$10) * 
        ('アイテム別限界値DB'!$C:$C = D24) * 
        ('アイテム別限界値DB'!$F:$F = E24), 
        0
      )
    ), 
    ""
  )
)
</f>
        <v/>
      </c>
      <c r="H24" s="12"/>
      <c r="I24" s="239" t="s">
        <v>95</v>
      </c>
      <c r="J24" s="232"/>
      <c r="K24" s="231" t="str">
        <f t="array" ref="K24">IF(
  J24 = 0, 
  "", 
  IFERROR(
    INDEX(
      'アイテム別限界値DB'!$K:$K, 
      MATCH(
        1, 
        ('アイテム別限界値DB'!$B:$B = I$10) * 
        ('アイテム別限界値DB'!$F:$F = I24) * 
        ('アイテム別限界値DB'!$H:$H = J24), 
        0
      )
    ), 
    "再製作"
  )
)
</f>
        <v/>
      </c>
      <c r="L24" s="218" t="str">
        <f t="array" ref="L24">IF(
  J24 = 0, 
  "", 
  IFERROR(
    INDEX(
      'アイテム別限界値DB'!$L:$L, 
      MATCH(
        1, 
        ('アイテム別限界値DB'!$B:$B = I$10) * 
        ('アイテム別限界値DB'!$C:$C = I24) * 
        ('アイテム別限界値DB'!$F:$F = J24), 
        0
      )
    ), 
    ""
  )
)
</f>
        <v/>
      </c>
      <c r="M24" s="11"/>
      <c r="N24" s="224"/>
      <c r="O24" s="220"/>
      <c r="P24" s="220" t="str">
        <f t="array" ref="P24">IF(
  O24 = 0, 
  "", 
  IFERROR(
    INDEX(
      'アイテム別限界値DB'!$I:$I, 
      MATCH(
        1, 
        ('アイテム別限界値DB'!$B:$B = N$10) * 
        ('アイテム別限界値DB'!$C:$C = N24) * 
        ('アイテム別限界値DB'!$F:$F = O24), 
        0
      )
    ), 
    "再製作"
  )
)
</f>
        <v/>
      </c>
      <c r="Q24" s="121" t="str">
        <f t="array" ref="Q24">IF(
  O24 = 0, 
  "", 
  IFERROR(
    INDEX(
      'アイテム別限界値DB'!$L:$L, 
      MATCH(
        1, 
        ('アイテム別限界値DB'!$B:$B = N$10) * 
        ('アイテム別限界値DB'!$C:$C = N24) * 
        ('アイテム別限界値DB'!$F:$F = O24), 
        0
      )
    ), 
    ""
  )
)
</f>
        <v/>
      </c>
      <c r="R24" s="11"/>
      <c r="S24" s="239" t="s">
        <v>96</v>
      </c>
      <c r="T24" s="232"/>
      <c r="U24" s="231" t="str">
        <f t="array" ref="U24">IF(
  T24 = 0, 
  "", 
  IFERROR(
    INDEX(
      'アイテム別限界値DB'!$K:$K, 
      MATCH(
        1, 
        ('アイテム別限界値DB'!$B:$B = S$10) * 
        ('アイテム別限界値DB'!$F:$F = S24) * 
        ('アイテム別限界値DB'!$H:$H = T24), 
        0
      )
    ), 
    "再製作"
  )
)
</f>
        <v/>
      </c>
      <c r="V24" s="218" t="str">
        <f t="array" ref="V24">IF(
  T24 = 0, 
  "", 
  IFERROR(
    INDEX(
      'アイテム別限界値DB'!$L:$L, 
      MATCH(
        1, 
        ('アイテム別限界値DB'!$B:$B = S$10) * 
        ('アイテム別限界値DB'!$C:$C = S24) * 
        ('アイテム別限界値DB'!$F:$F = T24), 
        0
      )
    ), 
    ""
  )
)
</f>
        <v/>
      </c>
      <c r="W24" s="11"/>
      <c r="X24" s="239" t="s">
        <v>97</v>
      </c>
      <c r="Y24" s="232"/>
      <c r="Z24" s="231" t="str">
        <f t="array" ref="Z24">IF(
  Y24 = 0, 
  "", 
  IFERROR(
    INDEX(
      'アイテム別限界値DB'!$K:$K, 
      MATCH(
        1, 
        ('アイテム別限界値DB'!$B:$B = X$10) * 
        ('アイテム別限界値DB'!$F:$F = X24) * 
        ('アイテム別限界値DB'!$H:$H = Y24), 
        0
      )
    ), 
    "再製作"
  )
)
</f>
        <v/>
      </c>
      <c r="AA24" s="218" t="str">
        <f t="array" ref="AA24">IF(
  Y24 = 0, 
  "", 
  IFERROR(
    INDEX(
      'アイテム別限界値DB'!$L:$L, 
      MATCH(
        1, 
        ('アイテム別限界値DB'!$B:$B = X$10) * 
        ('アイテム別限界値DB'!$C:$C = X24) * 
        ('アイテム別限界値DB'!$F:$F = Y24), 
        0
      )
    ), 
    ""
  )
)
</f>
        <v/>
      </c>
      <c r="AB24" s="11"/>
      <c r="AC24" s="239" t="s">
        <v>62</v>
      </c>
      <c r="AD24" s="232"/>
      <c r="AE24" s="231" t="str">
        <f t="array" ref="AE24">IF(
  AD24 = 0, 
  "", 
  IFERROR(
    INDEX(
      'アイテム別限界値DB'!$K:$K, 
      MATCH(
        1, 
        ('アイテム別限界値DB'!$B:$B = AC$10) * 
        ('アイテム別限界値DB'!$F:$F = AC24) * 
        ('アイテム別限界値DB'!$H:$H = AD24), 
        0
      )
    ), 
    "再製作"
  )
)
</f>
        <v/>
      </c>
      <c r="AF24" s="218" t="str">
        <f t="array" ref="AF24">IF(
  AD24 = 0, 
  "", 
  IFERROR(
    INDEX(
      'アイテム別限界値DB'!$L:$L, 
      MATCH(
        1, 
        ('アイテム別限界値DB'!$B:$B = AC$10) * 
        ('アイテム別限界値DB'!$C:$C = AC24) * 
        ('アイテム別限界値DB'!$F:$F = AD24), 
        0
      )
    ), 
    ""
  )
)
</f>
        <v/>
      </c>
      <c r="AG24" s="11"/>
      <c r="AH24" s="224"/>
      <c r="AI24" s="225"/>
      <c r="AJ24" s="220" t="str">
        <f t="array" ref="AJ24">IF(
  AI24 = 0, 
  "", 
  IFERROR(
    INDEX(
      'アイテム別限界値DB'!$I:$I, 
      MATCH(
        1, 
        ('アイテム別限界値DB'!$B:$B = AH$10) * 
        ('アイテム別限界値DB'!$C:$C = AH24) * 
        ('アイテム別限界値DB'!$F:$F = AI24), 
        0
      )
    ), 
    "再製作"
  )
)
</f>
        <v/>
      </c>
      <c r="AK24" s="121" t="str">
        <f t="array" ref="AK24">IF(
  AI24 = 0, 
  "", 
  IFERROR(
    INDEX(
      'アイテム別限界値DB'!$L:$L, 
      MATCH(
        1, 
        ('アイテム別限界値DB'!$B:$B = AH$10) * 
        ('アイテム別限界値DB'!$C:$C = AH24) * 
        ('アイテム別限界値DB'!$F:$F = AI24), 
        0
      )
    ), 
    ""
  )
)
</f>
        <v/>
      </c>
      <c r="AL24" s="11"/>
      <c r="AM24" s="224"/>
      <c r="AN24" s="225"/>
      <c r="AO24" s="220" t="str">
        <f t="array" ref="AO24">IF(
  AN24 = 0, 
  "", 
  IFERROR(
    INDEX(
      'アイテム別限界値DB'!$I:$I, 
      MATCH(
        1, 
        ('アイテム別限界値DB'!$B:$B = AM$10) * 
        ('アイテム別限界値DB'!$C:$C = AM24) * 
        ('アイテム別限界値DB'!$F:$F = AN24), 
        0
      )
    ), 
    "再製作"
  )
)
</f>
        <v/>
      </c>
      <c r="AP24" s="121" t="str">
        <f t="array" ref="AP24">IF(
  AN24 = 0, 
  "", 
  IFERROR(
    INDEX(
      'アイテム別限界値DB'!$L:$L, 
      MATCH(
        1, 
        ('アイテム別限界値DB'!$B:$B = AM$10) * 
        ('アイテム別限界値DB'!$C:$C = AM24) * 
        ('アイテム別限界値DB'!$F:$F = AN24), 
        0
      )
    ), 
    ""
  )
)
</f>
        <v/>
      </c>
      <c r="AQ24" s="11"/>
      <c r="AR24" s="224"/>
      <c r="AS24" s="225"/>
      <c r="AT24" s="220" t="str">
        <f t="array" ref="AT24">IF(
  AS24 = 0, 
  "", 
  IFERROR(
    INDEX(
      'アイテム別限界値DB'!$I:$I, 
      MATCH(
        1, 
        ('アイテム別限界値DB'!$B:$B = AR$10) * 
        ('アイテム別限界値DB'!$C:$C = AR24) * 
        ('アイテム別限界値DB'!$F:$F = AS24), 
        0
      )
    ), 
    "再製作"
  )
)
</f>
        <v/>
      </c>
      <c r="AU24" s="121" t="str">
        <f t="array" ref="AU24">IF(
  AS24 = 0, 
  "", 
  IFERROR(
    INDEX(
      'アイテム別限界値DB'!$L:$L, 
      MATCH(
        1, 
        ('アイテム別限界値DB'!$B:$B = AR$10) * 
        ('アイテム別限界値DB'!$C:$C = AR24) * 
        ('アイテム別限界値DB'!$F:$F = AS24), 
        0
      )
    ), 
    ""
  )
)
</f>
        <v/>
      </c>
      <c r="AV24" s="121"/>
      <c r="AW24" s="224"/>
      <c r="AX24" s="225"/>
      <c r="AY24" s="220" t="str">
        <f t="array" ref="AY24">IF(
  AX24 = 0, 
  "", 
  IFERROR(
    INDEX(
      'アイテム別限界値DB'!$I:$I, 
      MATCH(
        1, 
        ('アイテム別限界値DB'!$B:$B = AW$10) * 
        ('アイテム別限界値DB'!$C:$C = AW24) * 
        ('アイテム別限界値DB'!$F:$F = AX24), 
        0
      )
    ), 
    "再製作"
  )
)
</f>
        <v/>
      </c>
      <c r="AZ24" s="121" t="str">
        <f t="array" ref="AZ24">IF(
  AX24 = 0, 
  "", 
  IFERROR(
    INDEX(
      'アイテム別限界値DB'!$L:$L, 
      MATCH(
        1, 
        ('アイテム別限界値DB'!$B:$B = AW$10) * 
        ('アイテム別限界値DB'!$C:$C = AW24) * 
        ('アイテム別限界値DB'!$F:$F = AX24), 
        0
      )
    ), 
    ""
  )
)
</f>
        <v/>
      </c>
      <c r="BA24" s="121"/>
      <c r="BB24" s="224"/>
      <c r="BC24" s="225"/>
      <c r="BD24" s="220" t="str">
        <f t="array" ref="BD24">IF(
  BC24 = 0, 
  "", 
  IFERROR(
    INDEX(
      'アイテム別限界値DB'!$I:$I, 
      MATCH(
        1, 
        ('アイテム別限界値DB'!$B:$B = BB$10) * 
        ('アイテム別限界値DB'!$C:$C = BB24) * 
        ('アイテム別限界値DB'!$F:$F = BC24), 
        0
      )
    ), 
    "再製作"
  )
)
</f>
        <v/>
      </c>
      <c r="BE24" s="121" t="str">
        <f t="array" ref="BE24">IF(
  BC24 = 0, 
  "", 
  IFERROR(
    INDEX(
      'アイテム別限界値DB'!$L:$L, 
      MATCH(
        1, 
        ('アイテム別限界値DB'!$B:$B = BB$10) * 
        ('アイテム別限界値DB'!$C:$C = BB24) * 
        ('アイテム別限界値DB'!$F:$F = BC24), 
        0
      )
    ), 
    ""
  )
)
</f>
        <v/>
      </c>
      <c r="BF24" s="121"/>
      <c r="BG24" s="224"/>
      <c r="BH24" s="225"/>
      <c r="BI24" s="220" t="str">
        <f t="array" ref="BI24">IF(
  BH24 = 0, 
  "", 
  IFERROR(
    INDEX(
      'アイテム別限界値DB'!$I:$I, 
      MATCH(
        1, 
        ('アイテム別限界値DB'!$B:$B = BG$10) * 
        ('アイテム別限界値DB'!$C:$C = BG24) * 
        ('アイテム別限界値DB'!$F:$F = BH24), 
        0
      )
    ), 
    "再製作"
  )
)
</f>
        <v/>
      </c>
      <c r="BJ24" s="121" t="str">
        <f t="array" ref="BJ24">IF(
  BH24 = 0, 
  "", 
  IFERROR(
    INDEX(
      'アイテム別限界値DB'!$L:$L, 
      MATCH(
        1, 
        ('アイテム別限界値DB'!$B:$B = BG$10) * 
        ('アイテム別限界値DB'!$C:$C = BG24) * 
        ('アイテム別限界値DB'!$F:$F = BH24), 
        0
      )
    ), 
    ""
  )
)
</f>
        <v/>
      </c>
      <c r="BK24" s="121"/>
      <c r="BL24" s="224"/>
      <c r="BM24" s="225"/>
      <c r="BN24" s="220" t="str">
        <f t="array" ref="BN24">IF(
  BM24 = 0, 
  "", 
  IFERROR(
    INDEX(
      'アイテム別限界値DB'!$I:$I, 
      MATCH(
        1, 
        ('アイテム別限界値DB'!$B:$B = BL$10) * 
        ('アイテム別限界値DB'!$C:$C = BL24) * 
        ('アイテム別限界値DB'!$F:$F = BM24), 
        0
      )
    ), 
    "再製作"
  )
)
</f>
        <v/>
      </c>
      <c r="BO24" s="121" t="str">
        <f t="array" ref="BO24">IF(
  BM24 = 0, 
  "", 
  IFERROR(
    INDEX(
      'アイテム別限界値DB'!$L:$L, 
      MATCH(
        1, 
        ('アイテム別限界値DB'!$B:$B = BL$10) * 
        ('アイテム別限界値DB'!$C:$C = BL24) * 
        ('アイテム別限界値DB'!$F:$F = BM24), 
        0
      )
    ), 
    ""
  )
)
</f>
        <v/>
      </c>
      <c r="BP24" s="195"/>
    </row>
    <row r="25" ht="18.75" customHeight="1">
      <c r="A25" s="228" t="str">
        <f>IFERROR(__xludf.DUMMYFUNCTION("TEXTJOIN(CHAR(10),TRUE,FILTER(ARRAYFORMULA(IF(O$14:O72&lt;&gt;"""",N$14:N72 &amp;"" : ""&amp; O$14:O72 &amp;"" cm"","""")), N$14:N72 &lt;&gt;""""))"),"")</f>
        <v/>
      </c>
      <c r="B25" s="224"/>
      <c r="C25" s="224"/>
      <c r="D25" s="239" t="s">
        <v>98</v>
      </c>
      <c r="E25" s="232"/>
      <c r="F25" s="231" t="str">
        <f t="array" ref="F25">IF(
  E25 = 0, 
  "", 
  IFERROR(
    INDEX(
      'アイテム別限界値DB'!$K:$K, 
      MATCH(
        1, 
        ('アイテム別限界値DB'!$B:$B = D$10) * 
        ('アイテム別限界値DB'!$F:$F = D25) * 
        ('アイテム別限界値DB'!$H:$H = E25), 
        0
      )
    ), 
    "再製作"
  )
)
</f>
        <v/>
      </c>
      <c r="G25" s="218" t="str">
        <f t="array" ref="G25">IF(
  E25 = 0, 
  "", 
  IFERROR(
    INDEX(
      'アイテム別限界値DB'!$L:$L, 
      MATCH(
        1, 
        ('アイテム別限界値DB'!$B:$B = D$10) * 
        ('アイテム別限界値DB'!$C:$C = D25) * 
        ('アイテム別限界値DB'!$F:$F = E25), 
        0
      )
    ), 
    ""
  )
)
</f>
        <v/>
      </c>
      <c r="H25" s="12"/>
      <c r="I25" s="224" t="s">
        <v>99</v>
      </c>
      <c r="J25" s="232"/>
      <c r="K25" s="231" t="str">
        <f t="array" ref="K25">IF(
  J25 = 0, 
  "", 
  IFERROR(
    INDEX(
      'アイテム別限界値DB'!$K:$K, 
      MATCH(
        1, 
        ('アイテム別限界値DB'!$B:$B = I$10) * 
        ('アイテム別限界値DB'!$F:$F = I25) * 
        ('アイテム別限界値DB'!$H:$H = J25), 
        0
      )
    ), 
    "再製作"
  )
)
</f>
        <v/>
      </c>
      <c r="L25" s="195"/>
      <c r="M25" s="11"/>
      <c r="N25" s="11"/>
      <c r="O25" s="220"/>
      <c r="P25" s="184"/>
      <c r="Q25" s="11"/>
      <c r="R25" s="11"/>
      <c r="S25" s="186" t="s">
        <v>100</v>
      </c>
      <c r="T25" s="232"/>
      <c r="U25" s="231" t="str">
        <f t="array" ref="U25">IF(
  T25 = 0, 
  "", 
  IFERROR(
    INDEX(
      'アイテム別限界値DB'!$K:$K, 
      MATCH(
        1, 
        ('アイテム別限界値DB'!$B:$B = S$10) * 
        ('アイテム別限界値DB'!$F:$F = S25) * 
        ('アイテム別限界値DB'!$H:$H = T25), 
        0
      )
    ), 
    "再製作"
  )
)
</f>
        <v/>
      </c>
      <c r="V25" s="234"/>
      <c r="W25" s="11"/>
      <c r="X25" s="186" t="s">
        <v>101</v>
      </c>
      <c r="Y25" s="232"/>
      <c r="Z25" s="231" t="str">
        <f t="array" ref="Z25">IF(
  Y25 = 0, 
  "", 
  IFERROR(
    INDEX(
      'アイテム別限界値DB'!$K:$K, 
      MATCH(
        1, 
        ('アイテム別限界値DB'!$B:$B = X$10) * 
        ('アイテム別限界値DB'!$F:$F = X25) * 
        ('アイテム別限界値DB'!$H:$H = Y25), 
        0
      )
    ), 
    "再製作"
  )
)
</f>
        <v/>
      </c>
      <c r="AA25" s="218" t="str">
        <f t="array" ref="AA25">IF(
  Y25 = 0, 
  "", 
  IFERROR(
    INDEX(
      'アイテム別限界値DB'!$L:$L, 
      MATCH(
        1, 
        ('アイテム別限界値DB'!$B:$B = X$10) * 
        ('アイテム別限界値DB'!$C:$C = X25) * 
        ('アイテム別限界値DB'!$F:$F = Y25), 
        0
      )
    ), 
    ""
  )
)
</f>
        <v/>
      </c>
      <c r="AB25" s="11"/>
      <c r="AC25" s="186" t="s">
        <v>74</v>
      </c>
      <c r="AD25" s="230"/>
      <c r="AE25" s="231" t="str">
        <f t="array" ref="AE25">IF(
  AD25 = 0, 
  "", 
  IFERROR(
    INDEX(
      'アイテム別限界値DB'!$K:$K, 
      MATCH(
        1, 
        ('アイテム別限界値DB'!$B:$B = AC$10) * 
        ('アイテム別限界値DB'!$F:$F = AC25) * 
        ('アイテム別限界値DB'!$H:$H = AD25), 
        0
      )
    ), 
    "再製作"
  )
)
</f>
        <v/>
      </c>
      <c r="AF25" s="218" t="str">
        <f t="array" ref="AF25">IF(
  AD25 = 0, 
  "", 
  IFERROR(
    INDEX(
      'アイテム別限界値DB'!$L:$L, 
      MATCH(
        1, 
        ('アイテム別限界値DB'!$B:$B = AC$10) * 
        ('アイテム別限界値DB'!$C:$C = AC25) * 
        ('アイテム別限界値DB'!$F:$F = AD25), 
        0
      )
    ), 
    ""
  )
)
</f>
        <v/>
      </c>
      <c r="AG25" s="11"/>
      <c r="AH25" s="12"/>
      <c r="AI25" s="220"/>
      <c r="AJ25" s="220" t="str">
        <f t="array" ref="AJ25">IF(
  AI25 = 0, 
  "", 
  IFERROR(
    INDEX(
      'アイテム別限界値DB'!$I:$I, 
      MATCH(
        1, 
        ('アイテム別限界値DB'!$B:$B = AH$10) * 
        ('アイテム別限界値DB'!$C:$C = AH25) * 
        ('アイテム別限界値DB'!$F:$F = AI25), 
        0
      )
    ), 
    "再製作"
  )
)
</f>
        <v/>
      </c>
      <c r="AK25" s="195"/>
      <c r="AL25" s="11"/>
      <c r="AM25" s="12"/>
      <c r="AN25" s="220"/>
      <c r="AO25" s="220" t="str">
        <f t="array" ref="AO25">IF(
  AN25 = 0, 
  "", 
  IFERROR(
    INDEX(
      'アイテム別限界値DB'!$I:$I, 
      MATCH(
        1, 
        ('アイテム別限界値DB'!$B:$B = AM$10) * 
        ('アイテム別限界値DB'!$C:$C = AM25) * 
        ('アイテム別限界値DB'!$F:$F = AN25), 
        0
      )
    ), 
    "再製作"
  )
)
</f>
        <v/>
      </c>
      <c r="AP25" s="195"/>
      <c r="AQ25" s="11"/>
      <c r="AR25" s="12"/>
      <c r="AS25" s="220"/>
      <c r="AT25" s="220" t="str">
        <f t="array" ref="AT25">IF(
  AS25 = 0, 
  "", 
  IFERROR(
    INDEX(
      'アイテム別限界値DB'!$I:$I, 
      MATCH(
        1, 
        ('アイテム別限界値DB'!$B:$B = AR$10) * 
        ('アイテム別限界値DB'!$C:$C = AR25) * 
        ('アイテム別限界値DB'!$F:$F = AS25), 
        0
      )
    ), 
    "再製作"
  )
)
</f>
        <v/>
      </c>
      <c r="AU25" s="195"/>
      <c r="AV25" s="195"/>
      <c r="AW25" s="12"/>
      <c r="AX25" s="220"/>
      <c r="AY25" s="220" t="str">
        <f t="array" ref="AY25">IF(
  AX25 = 0, 
  "", 
  IFERROR(
    INDEX(
      'アイテム別限界値DB'!$I:$I, 
      MATCH(
        1, 
        ('アイテム別限界値DB'!$B:$B = AW$10) * 
        ('アイテム別限界値DB'!$C:$C = AW25) * 
        ('アイテム別限界値DB'!$F:$F = AX25), 
        0
      )
    ), 
    "再製作"
  )
)
</f>
        <v/>
      </c>
      <c r="AZ25" s="195"/>
      <c r="BA25" s="195"/>
      <c r="BB25" s="12"/>
      <c r="BC25" s="220"/>
      <c r="BD25" s="220" t="str">
        <f t="array" ref="BD25">IF(
  BC25 = 0, 
  "", 
  IFERROR(
    INDEX(
      'アイテム別限界値DB'!$I:$I, 
      MATCH(
        1, 
        ('アイテム別限界値DB'!$B:$B = BB$10) * 
        ('アイテム別限界値DB'!$C:$C = BB25) * 
        ('アイテム別限界値DB'!$F:$F = BC25), 
        0
      )
    ), 
    "再製作"
  )
)
</f>
        <v/>
      </c>
      <c r="BE25" s="195"/>
      <c r="BF25" s="195"/>
      <c r="BG25" s="12"/>
      <c r="BH25" s="220"/>
      <c r="BI25" s="220" t="str">
        <f t="array" ref="BI25">IF(
  BH25 = 0, 
  "", 
  IFERROR(
    INDEX(
      'アイテム別限界値DB'!$I:$I, 
      MATCH(
        1, 
        ('アイテム別限界値DB'!$B:$B = BG$10) * 
        ('アイテム別限界値DB'!$C:$C = BG25) * 
        ('アイテム別限界値DB'!$F:$F = BH25), 
        0
      )
    ), 
    "再製作"
  )
)
</f>
        <v/>
      </c>
      <c r="BJ25" s="195"/>
      <c r="BK25" s="195"/>
      <c r="BL25" s="195"/>
      <c r="BM25" s="220"/>
      <c r="BN25" s="220" t="str">
        <f t="array" ref="BN25">IF(
  BM25 = 0, 
  "", 
  IFERROR(
    INDEX(
      'アイテム別限界値DB'!$I:$I, 
      MATCH(
        1, 
        ('アイテム別限界値DB'!$B:$B = BL$10) * 
        ('アイテム別限界値DB'!$C:$C = BL25) * 
        ('アイテム別限界値DB'!$F:$F = BM25), 
        0
      )
    ), 
    "再製作"
  )
)
</f>
        <v/>
      </c>
      <c r="BO25" s="195"/>
      <c r="BP25" s="195"/>
    </row>
    <row r="26" ht="18.75" customHeight="1">
      <c r="A26" s="236" t="str">
        <f>if($A$24&lt;&gt;"", "《仕上がり数値》","")</f>
        <v/>
      </c>
      <c r="B26" s="229"/>
      <c r="C26" s="224"/>
      <c r="D26" s="239" t="s">
        <v>74</v>
      </c>
      <c r="E26" s="232"/>
      <c r="F26" s="231" t="str">
        <f t="array" ref="F26">IF(
  E26 = 0, 
  "", 
  IFERROR(
    INDEX(
      'アイテム別限界値DB'!$K:$K, 
      MATCH(
        1, 
        ('アイテム別限界値DB'!$B:$B = D$10) * 
        ('アイテム別限界値DB'!$F:$F = D26) * 
        ('アイテム別限界値DB'!$H:$H = E26), 
        0
      )
    ), 
    "再製作"
  )
)
</f>
        <v/>
      </c>
      <c r="G26" s="218" t="str">
        <f t="array" ref="G26">IF(
  E26 = 0, 
  "", 
  IFERROR(
    INDEX(
      'アイテム別限界値DB'!$L:$L, 
      MATCH(
        1, 
        ('アイテム別限界値DB'!$B:$B = D$10) * 
        ('アイテム別限界値DB'!$C:$C = D26) * 
        ('アイテム別限界値DB'!$F:$F = E26), 
        0
      )
    ), 
    ""
  )
)
</f>
        <v/>
      </c>
      <c r="H26" s="12"/>
      <c r="I26" s="11" t="s">
        <v>100</v>
      </c>
      <c r="J26" s="232"/>
      <c r="K26" s="231" t="str">
        <f t="array" ref="K26">IF(
  J26 = 0, 
  "", 
  IFERROR(
    INDEX(
      'アイテム別限界値DB'!$K:$K, 
      MATCH(
        1, 
        ('アイテム別限界値DB'!$B:$B = I$10) * 
        ('アイテム別限界値DB'!$F:$F = I26) * 
        ('アイテム別限界値DB'!$H:$H = J26), 
        0
      )
    ), 
    "再製作"
  )
)
</f>
        <v/>
      </c>
      <c r="L26" s="195"/>
      <c r="M26" s="11"/>
      <c r="N26" s="11"/>
      <c r="O26" s="220"/>
      <c r="P26" s="184"/>
      <c r="Q26" s="11"/>
      <c r="R26" s="11"/>
      <c r="S26" s="12" t="s">
        <v>95</v>
      </c>
      <c r="T26" s="232"/>
      <c r="U26" s="231" t="str">
        <f t="array" ref="U26">IF(
  T26 = 0, 
  "", 
  IFERROR(
    INDEX(
      'アイテム別限界値DB'!$K:$K, 
      MATCH(
        1, 
        ('アイテム別限界値DB'!$B:$B = S$10) * 
        ('アイテム別限界値DB'!$F:$F = S26) * 
        ('アイテム別限界値DB'!$H:$H = T26), 
        0
      )
    ), 
    "再製作"
  )
)
</f>
        <v/>
      </c>
      <c r="V26" s="195"/>
      <c r="W26" s="11"/>
      <c r="X26" s="186" t="s">
        <v>62</v>
      </c>
      <c r="Y26" s="232"/>
      <c r="Z26" s="231" t="str">
        <f t="array" ref="Z26">IF(
  Y26 = 0, 
  "", 
  IFERROR(
    INDEX(
      'アイテム別限界値DB'!$K:$K, 
      MATCH(
        1, 
        ('アイテム別限界値DB'!$B:$B = X$10) * 
        ('アイテム別限界値DB'!$F:$F = X26) * 
        ('アイテム別限界値DB'!$H:$H = Y26), 
        0
      )
    ), 
    "再製作"
  )
)
</f>
        <v/>
      </c>
      <c r="AA26" s="218" t="str">
        <f t="array" ref="AA26">IF(
  Y26 = 0, 
  "", 
  IFERROR(
    INDEX(
      'アイテム別限界値DB'!$L:$L, 
      MATCH(
        1, 
        ('アイテム別限界値DB'!$B:$B = X$10) * 
        ('アイテム別限界値DB'!$C:$C = X26) * 
        ('アイテム別限界値DB'!$F:$F = Y26), 
        0
      )
    ), 
    ""
  )
)
</f>
        <v/>
      </c>
      <c r="AB26" s="11"/>
      <c r="AC26" s="186" t="s">
        <v>67</v>
      </c>
      <c r="AD26" s="232"/>
      <c r="AE26" s="231" t="str">
        <f t="array" ref="AE26">IF(
  AD26 = 0, 
  "", 
  IFERROR(
    INDEX(
      'アイテム別限界値DB'!$K:$K, 
      MATCH(
        1, 
        ('アイテム別限界値DB'!$B:$B = AC$10) * 
        ('アイテム別限界値DB'!$F:$F = AC26) * 
        ('アイテム別限界値DB'!$H:$H = AD26), 
        0
      )
    ), 
    "再製作"
  )
)
</f>
        <v/>
      </c>
      <c r="AF26" s="218" t="str">
        <f t="array" ref="AF26">IF(
  AD26 = 0, 
  "", 
  IFERROR(
    INDEX(
      'アイテム別限界値DB'!$L:$L, 
      MATCH(
        1, 
        ('アイテム別限界値DB'!$B:$B = AC$10) * 
        ('アイテム別限界値DB'!$C:$C = AC26) * 
        ('アイテム別限界値DB'!$F:$F = AD26), 
        0
      )
    ), 
    ""
  )
)
</f>
        <v/>
      </c>
      <c r="AG26" s="11"/>
      <c r="AH26" s="12"/>
      <c r="AI26" s="220"/>
      <c r="AJ26" s="220" t="str">
        <f t="array" ref="AJ26">IF(
  AI26 = 0, 
  "", 
  IFERROR(
    INDEX(
      'アイテム別限界値DB'!$I:$I, 
      MATCH(
        1, 
        ('アイテム別限界値DB'!$B:$B = AH$10) * 
        ('アイテム別限界値DB'!$C:$C = AH26) * 
        ('アイテム別限界値DB'!$F:$F = AI26), 
        0
      )
    ), 
    "再製作"
  )
)
</f>
        <v/>
      </c>
      <c r="AK26" s="195"/>
      <c r="AL26" s="11"/>
      <c r="AM26" s="12"/>
      <c r="AN26" s="220"/>
      <c r="AO26" s="220" t="str">
        <f t="array" ref="AO26">IF(
  AN26 = 0, 
  "", 
  IFERROR(
    INDEX(
      'アイテム別限界値DB'!$I:$I, 
      MATCH(
        1, 
        ('アイテム別限界値DB'!$B:$B = AM$10) * 
        ('アイテム別限界値DB'!$C:$C = AM26) * 
        ('アイテム別限界値DB'!$F:$F = AN26), 
        0
      )
    ), 
    "再製作"
  )
)
</f>
        <v/>
      </c>
      <c r="AP26" s="195"/>
      <c r="AQ26" s="11"/>
      <c r="AR26" s="12"/>
      <c r="AS26" s="220"/>
      <c r="AT26" s="220" t="str">
        <f t="array" ref="AT26">IF(
  AS26 = 0, 
  "", 
  IFERROR(
    INDEX(
      'アイテム別限界値DB'!$I:$I, 
      MATCH(
        1, 
        ('アイテム別限界値DB'!$B:$B = AR$10) * 
        ('アイテム別限界値DB'!$C:$C = AR26) * 
        ('アイテム別限界値DB'!$F:$F = AS26), 
        0
      )
    ), 
    "再製作"
  )
)
</f>
        <v/>
      </c>
      <c r="AU26" s="195"/>
      <c r="AV26" s="195"/>
      <c r="AW26" s="12"/>
      <c r="AX26" s="220"/>
      <c r="AY26" s="220" t="str">
        <f t="array" ref="AY26">IF(
  AX26 = 0, 
  "", 
  IFERROR(
    INDEX(
      'アイテム別限界値DB'!$I:$I, 
      MATCH(
        1, 
        ('アイテム別限界値DB'!$B:$B = AW$10) * 
        ('アイテム別限界値DB'!$C:$C = AW26) * 
        ('アイテム別限界値DB'!$F:$F = AX26), 
        0
      )
    ), 
    "再製作"
  )
)
</f>
        <v/>
      </c>
      <c r="AZ26" s="195"/>
      <c r="BA26" s="195"/>
      <c r="BB26" s="12"/>
      <c r="BC26" s="220"/>
      <c r="BD26" s="220" t="str">
        <f t="array" ref="BD26">IF(
  BC26 = 0, 
  "", 
  IFERROR(
    INDEX(
      'アイテム別限界値DB'!$I:$I, 
      MATCH(
        1, 
        ('アイテム別限界値DB'!$B:$B = BB$10) * 
        ('アイテム別限界値DB'!$C:$C = BB26) * 
        ('アイテム別限界値DB'!$F:$F = BC26), 
        0
      )
    ), 
    "再製作"
  )
)
</f>
        <v/>
      </c>
      <c r="BE26" s="195"/>
      <c r="BF26" s="195"/>
      <c r="BG26" s="12"/>
      <c r="BH26" s="220"/>
      <c r="BI26" s="220" t="str">
        <f t="array" ref="BI26">IF(
  BH26 = 0, 
  "", 
  IFERROR(
    INDEX(
      'アイテム別限界値DB'!$I:$I, 
      MATCH(
        1, 
        ('アイテム別限界値DB'!$B:$B = BG$10) * 
        ('アイテム別限界値DB'!$C:$C = BG26) * 
        ('アイテム別限界値DB'!$F:$F = BH26), 
        0
      )
    ), 
    "再製作"
  )
)
</f>
        <v/>
      </c>
      <c r="BJ26" s="195"/>
      <c r="BK26" s="195"/>
      <c r="BL26" s="195"/>
      <c r="BM26" s="220"/>
      <c r="BN26" s="220" t="str">
        <f t="array" ref="BN26">IF(
  BM26 = 0, 
  "", 
  IFERROR(
    INDEX(
      'アイテム別限界値DB'!$I:$I, 
      MATCH(
        1, 
        ('アイテム別限界値DB'!$B:$B = BL$10) * 
        ('アイテム別限界値DB'!$C:$C = BL26) * 
        ('アイテム別限界値DB'!$F:$F = BM26), 
        0
      )
    ), 
    "再製作"
  )
)
</f>
        <v/>
      </c>
      <c r="BO26" s="195"/>
      <c r="BP26" s="195"/>
    </row>
    <row r="27" ht="18.75" customHeight="1">
      <c r="A27" s="228" t="str">
        <f>IFERROR(__xludf.DUMMYFUNCTION("TEXTJOIN(CHAR(10),TRUE,FILTER(ARRAYFORMULA(IF(O$14:O72&lt;&gt;"""",N$14:N72 &amp;"" :  cm"","""")), N$14:N72 &lt;&gt;""""))"),"")</f>
        <v/>
      </c>
      <c r="B27" s="229"/>
      <c r="C27" s="224"/>
      <c r="D27" s="239" t="s">
        <v>67</v>
      </c>
      <c r="E27" s="232"/>
      <c r="F27" s="231" t="str">
        <f t="array" ref="F27">IF(
  E27 = 0, 
  "", 
  IFERROR(
    INDEX(
      'アイテム別限界値DB'!$K:$K, 
      MATCH(
        1, 
        ('アイテム別限界値DB'!$B:$B = D$10) * 
        ('アイテム別限界値DB'!$F:$F = D27) * 
        ('アイテム別限界値DB'!$H:$H = E27), 
        0
      )
    ), 
    "再製作"
  )
)
</f>
        <v/>
      </c>
      <c r="G27" s="218" t="str">
        <f t="array" ref="G27">IF(
  E27 = 0, 
  "", 
  IFERROR(
    INDEX(
      'アイテム別限界値DB'!$L:$L, 
      MATCH(
        1, 
        ('アイテム別限界値DB'!$B:$B = D$10) * 
        ('アイテム別限界値DB'!$C:$C = D27) * 
        ('アイテム別限界値DB'!$F:$F = E27), 
        0
      )
    ), 
    ""
  )
)
</f>
        <v/>
      </c>
      <c r="H27" s="12"/>
      <c r="I27" s="11" t="s">
        <v>103</v>
      </c>
      <c r="J27" s="232"/>
      <c r="K27" s="231" t="str">
        <f t="array" ref="K27">IF(
  J27 = 0, 
  "", 
  IFERROR(
    INDEX(
      'アイテム別限界値DB'!$K:$K, 
      MATCH(
        1, 
        ('アイテム別限界値DB'!$B:$B = I$10) * 
        ('アイテム別限界値DB'!$F:$F = I27) * 
        ('アイテム別限界値DB'!$H:$H = J27), 
        0
      )
    ), 
    "再製作"
  )
)
</f>
        <v/>
      </c>
      <c r="L27" s="11"/>
      <c r="M27" s="11"/>
      <c r="N27" s="11"/>
      <c r="O27" s="220"/>
      <c r="P27" s="184"/>
      <c r="Q27" s="11"/>
      <c r="R27" s="11"/>
      <c r="S27" s="12" t="s">
        <v>99</v>
      </c>
      <c r="T27" s="232"/>
      <c r="U27" s="231" t="str">
        <f t="array" ref="U27">IF(
  T27 = 0, 
  "", 
  IFERROR(
    INDEX(
      'アイテム別限界値DB'!$K:$K, 
      MATCH(
        1, 
        ('アイテム別限界値DB'!$B:$B = S$10) * 
        ('アイテム別限界値DB'!$F:$F = S27) * 
        ('アイテム別限界値DB'!$H:$H = T27), 
        0
      )
    ), 
    "再製作"
  )
)
</f>
        <v/>
      </c>
      <c r="V27" s="12"/>
      <c r="W27" s="11"/>
      <c r="X27" s="240" t="s">
        <v>74</v>
      </c>
      <c r="Y27" s="232"/>
      <c r="Z27" s="231" t="str">
        <f t="array" ref="Z27">IF(
  Y27 = 0, 
  "", 
  IFERROR(
    INDEX(
      'アイテム別限界値DB'!$K:$K, 
      MATCH(
        1, 
        ('アイテム別限界値DB'!$B:$B = X$10) * 
        ('アイテム別限界値DB'!$F:$F = X27) * 
        ('アイテム別限界値DB'!$H:$H = Y27), 
        0
      )
    ), 
    "再製作"
  )
)
</f>
        <v/>
      </c>
      <c r="AA27" s="218" t="str">
        <f t="array" ref="AA27">IF(
  Y27 = 0, 
  "", 
  IFERROR(
    INDEX(
      'アイテム別限界値DB'!$L:$L, 
      MATCH(
        1, 
        ('アイテム別限界値DB'!$B:$B = X$10) * 
        ('アイテム別限界値DB'!$C:$C = X27) * 
        ('アイテム別限界値DB'!$F:$F = Y27), 
        0
      )
    ), 
    ""
  )
)
</f>
        <v/>
      </c>
      <c r="AB27" s="11"/>
      <c r="AC27" s="240" t="s">
        <v>79</v>
      </c>
      <c r="AD27" s="232"/>
      <c r="AE27" s="231" t="str">
        <f t="array" ref="AE27">IF(
  AD27 = 0, 
  "", 
  IFERROR(
    INDEX(
      'アイテム別限界値DB'!$K:$K, 
      MATCH(
        1, 
        ('アイテム別限界値DB'!$B:$B = AC$10) * 
        ('アイテム別限界値DB'!$F:$F = AC27) * 
        ('アイテム別限界値DB'!$H:$H = AD27), 
        0
      )
    ), 
    "再製作"
  )
)
</f>
        <v/>
      </c>
      <c r="AF27" s="218" t="str">
        <f t="array" ref="AF27">IF(
  AD27 = 0, 
  "", 
  IFERROR(
    INDEX(
      'アイテム別限界値DB'!$L:$L, 
      MATCH(
        1, 
        ('アイテム別限界値DB'!$B:$B = AC$10) * 
        ('アイテム別限界値DB'!$C:$C = AC27) * 
        ('アイテム別限界値DB'!$F:$F = AD27), 
        0
      )
    ), 
    ""
  )
)
</f>
        <v/>
      </c>
      <c r="AG27" s="11"/>
      <c r="AH27" s="11"/>
      <c r="AI27" s="220"/>
      <c r="AJ27" s="184"/>
      <c r="AK27" s="11"/>
      <c r="AL27" s="11"/>
      <c r="AM27" s="11"/>
      <c r="AN27" s="220"/>
      <c r="AO27" s="184"/>
      <c r="AP27" s="11"/>
      <c r="AQ27" s="11"/>
      <c r="AR27" s="11"/>
      <c r="AS27" s="220"/>
      <c r="AT27" s="184"/>
      <c r="AU27" s="11"/>
      <c r="AV27" s="11"/>
      <c r="AW27" s="11"/>
      <c r="AX27" s="220"/>
      <c r="AY27" s="184"/>
      <c r="AZ27" s="11"/>
      <c r="BA27" s="11"/>
      <c r="BB27" s="11"/>
      <c r="BC27" s="220"/>
      <c r="BD27" s="184"/>
      <c r="BE27" s="11"/>
      <c r="BF27" s="11"/>
      <c r="BG27" s="11"/>
      <c r="BH27" s="220"/>
      <c r="BI27" s="184"/>
      <c r="BJ27" s="11"/>
      <c r="BK27" s="11"/>
      <c r="BL27" s="11"/>
      <c r="BM27" s="220"/>
      <c r="BN27" s="184"/>
      <c r="BO27" s="11"/>
      <c r="BP27" s="11"/>
    </row>
    <row r="28" ht="15.75" customHeight="1">
      <c r="A28" s="237" t="s">
        <v>104</v>
      </c>
      <c r="B28" s="11"/>
      <c r="C28" s="11"/>
      <c r="D28" s="11" t="s">
        <v>79</v>
      </c>
      <c r="E28" s="232"/>
      <c r="F28" s="231" t="str">
        <f t="array" ref="F28">IF(
  E28 = 0, 
  "", 
  IFERROR(
    INDEX(
      'アイテム別限界値DB'!$K:$K, 
      MATCH(
        1, 
        ('アイテム別限界値DB'!$B:$B = D$10) * 
        ('アイテム別限界値DB'!$F:$F = D28) * 
        ('アイテム別限界値DB'!$H:$H = E28), 
        0
      )
    ), 
    "再製作"
  )
)
</f>
        <v/>
      </c>
      <c r="G28" s="218" t="str">
        <f t="array" ref="G28">IF(
  E28 = 0, 
  "", 
  IFERROR(
    INDEX(
      'アイテム別限界値DB'!$L:$L, 
      MATCH(
        1, 
        ('アイテム別限界値DB'!$B:$B = D$10) * 
        ('アイテム別限界値DB'!$C:$C = D28) * 
        ('アイテム別限界値DB'!$F:$F = E28), 
        0
      )
    ), 
    ""
  )
)
</f>
        <v/>
      </c>
      <c r="H28" s="11"/>
      <c r="I28" s="11"/>
      <c r="J28" s="220"/>
      <c r="K28" s="184"/>
      <c r="L28" s="11"/>
      <c r="M28" s="11"/>
      <c r="N28" s="11"/>
      <c r="O28" s="220"/>
      <c r="P28" s="184"/>
      <c r="Q28" s="11"/>
      <c r="R28" s="12"/>
      <c r="S28" s="11" t="s">
        <v>103</v>
      </c>
      <c r="T28" s="232"/>
      <c r="U28" s="231" t="str">
        <f t="array" ref="U28">IF(
  T28 = 0, 
  "", 
  IFERROR(
    INDEX(
      'アイテム別限界値DB'!$K:$K, 
      MATCH(
        1, 
        ('アイテム別限界値DB'!$B:$B = S$10) * 
        ('アイテム別限界値DB'!$F:$F = S28) * 
        ('アイテム別限界値DB'!$H:$H = T28), 
        0
      )
    ), 
    "再製作"
  )
)
</f>
        <v/>
      </c>
      <c r="V28" s="11"/>
      <c r="W28" s="11"/>
      <c r="X28" s="11" t="s">
        <v>67</v>
      </c>
      <c r="Y28" s="241"/>
      <c r="Z28" s="231" t="str">
        <f t="array" ref="Z28">IF(
  Y28 = 0, 
  "", 
  IFERROR(
    INDEX(
      'アイテム別限界値DB'!$K:$K, 
      MATCH(
        1, 
        ('アイテム別限界値DB'!$B:$B = X$10) * 
        ('アイテム別限界値DB'!$F:$F = X28) * 
        ('アイテム別限界値DB'!$H:$H = Y28), 
        0
      )
    ), 
    "再製作"
  )
)
</f>
        <v/>
      </c>
      <c r="AA28" s="218" t="str">
        <f t="array" ref="AA28">IF(
  Y28 = 0, 
  "", 
  IFERROR(
    INDEX(
      'アイテム別限界値DB'!$L:$L, 
      MATCH(
        1, 
        ('アイテム別限界値DB'!$B:$B = X$10) * 
        ('アイテム別限界値DB'!$C:$C = X28) * 
        ('アイテム別限界値DB'!$F:$F = Y28), 
        0
      )
    ), 
    ""
  )
)
</f>
        <v/>
      </c>
      <c r="AB28" s="11"/>
      <c r="AC28" s="11" t="s">
        <v>83</v>
      </c>
      <c r="AD28" s="232"/>
      <c r="AE28" s="231" t="str">
        <f t="array" ref="AE28">IF(
  AD28 = 0, 
  "", 
  IFERROR(
    INDEX(
      'アイテム別限界値DB'!$K:$K, 
      MATCH(
        1, 
        ('アイテム別限界値DB'!$B:$B = AC$10) * 
        ('アイテム別限界値DB'!$F:$F = AC28) * 
        ('アイテム別限界値DB'!$H:$H = AD28), 
        0
      )
    ), 
    "再製作"
  )
)
</f>
        <v/>
      </c>
      <c r="AF28" s="218" t="str">
        <f t="array" ref="AF28">IF(
  AD28 = 0, 
  "", 
  IFERROR(
    INDEX(
      'アイテム別限界値DB'!$L:$L, 
      MATCH(
        1, 
        ('アイテム別限界値DB'!$B:$B = AC$10) * 
        ('アイテム別限界値DB'!$C:$C = AC28) * 
        ('アイテム別限界値DB'!$F:$F = AD28), 
        0
      )
    ), 
    ""
  )
)
</f>
        <v/>
      </c>
      <c r="AG28" s="11"/>
      <c r="AH28" s="11"/>
      <c r="AI28" s="220"/>
      <c r="AJ28" s="184"/>
      <c r="AK28" s="11"/>
      <c r="AL28" s="11"/>
      <c r="AM28" s="11"/>
      <c r="AN28" s="220"/>
      <c r="AO28" s="184"/>
      <c r="AP28" s="11"/>
      <c r="AQ28" s="11"/>
      <c r="AR28" s="11"/>
      <c r="AS28" s="220"/>
      <c r="AT28" s="184"/>
      <c r="AU28" s="11"/>
      <c r="AV28" s="11"/>
      <c r="AW28" s="11"/>
      <c r="AX28" s="220"/>
      <c r="AY28" s="184"/>
      <c r="AZ28" s="11"/>
      <c r="BA28" s="11"/>
      <c r="BB28" s="11"/>
      <c r="BC28" s="220"/>
      <c r="BD28" s="184"/>
      <c r="BE28" s="11"/>
      <c r="BF28" s="11"/>
      <c r="BG28" s="11"/>
      <c r="BH28" s="220"/>
      <c r="BI28" s="184"/>
      <c r="BJ28" s="11"/>
      <c r="BK28" s="11"/>
      <c r="BL28" s="11"/>
      <c r="BM28" s="220"/>
      <c r="BN28" s="184"/>
      <c r="BO28" s="11"/>
      <c r="BP28" s="11"/>
    </row>
    <row r="29" ht="15.75" customHeight="1">
      <c r="A29" s="228" t="str">
        <f>IF($S$11="再製作", "◼︎ チノ（対応着地：再製作）" &amp; char(10) &amp; "《修正数値》", IF($S$11&lt;&gt;"", "◼︎ チノ（対応着地：お直し）" &amp; char(10) &amp; "《修正数値》", ""))</f>
        <v/>
      </c>
      <c r="B29" s="160"/>
      <c r="C29" s="11"/>
      <c r="D29" s="11" t="s">
        <v>83</v>
      </c>
      <c r="E29" s="232"/>
      <c r="F29" s="231" t="str">
        <f t="array" ref="F29">IF(
  E29 = 0, 
  "", 
  IFERROR(
    INDEX(
      'アイテム別限界値DB'!$K:$K, 
      MATCH(
        1, 
        ('アイテム別限界値DB'!$B:$B = D$10) * 
        ('アイテム別限界値DB'!$F:$F = D29) * 
        ('アイテム別限界値DB'!$H:$H = E29), 
        0
      )
    ), 
    "再製作"
  )
)
</f>
        <v/>
      </c>
      <c r="G29" s="218" t="str">
        <f t="array" ref="G29">IF(
  E29 = 0, 
  "", 
  IFERROR(
    INDEX(
      'アイテム別限界値DB'!$L:$L, 
      MATCH(
        1, 
        ('アイテム別限界値DB'!$B:$B = D$10) * 
        ('アイテム別限界値DB'!$C:$C = D29) * 
        ('アイテム別限界値DB'!$F:$F = E29), 
        0
      )
    ), 
    ""
  )
)
</f>
        <v/>
      </c>
      <c r="H29" s="11"/>
      <c r="I29" s="11"/>
      <c r="J29" s="220"/>
      <c r="K29" s="184"/>
      <c r="L29" s="11"/>
      <c r="M29" s="11"/>
      <c r="N29" s="11"/>
      <c r="O29" s="220"/>
      <c r="P29" s="184"/>
      <c r="Q29" s="11"/>
      <c r="R29" s="12"/>
      <c r="S29" s="11"/>
      <c r="T29" s="220"/>
      <c r="U29" s="184"/>
      <c r="V29" s="11"/>
      <c r="W29" s="11"/>
      <c r="X29" s="11" t="s">
        <v>79</v>
      </c>
      <c r="Y29" s="232"/>
      <c r="Z29" s="231" t="str">
        <f t="array" ref="Z29">IF(
  Y29 = 0, 
  "", 
  IFERROR(
    INDEX(
      'アイテム別限界値DB'!$K:$K, 
      MATCH(
        1, 
        ('アイテム別限界値DB'!$B:$B = X$10) * 
        ('アイテム別限界値DB'!$F:$F = X29) * 
        ('アイテム別限界値DB'!$H:$H = Y29), 
        0
      )
    ), 
    "再製作"
  )
)
</f>
        <v/>
      </c>
      <c r="AA29" s="11"/>
      <c r="AB29" s="11"/>
      <c r="AC29" s="11" t="s">
        <v>105</v>
      </c>
      <c r="AD29" s="232"/>
      <c r="AE29" s="231" t="str">
        <f t="array" ref="AE29">IF(
  AD29 = 0, 
  "", 
  IFERROR(
    INDEX(
      'アイテム別限界値DB'!$K:$K, 
      MATCH(
        1, 
        ('アイテム別限界値DB'!$B:$B = AC$10) * 
        ('アイテム別限界値DB'!$F:$F = AC29) * 
        ('アイテム別限界値DB'!$H:$H = AD29), 
        0
      )
    ), 
    "再製作"
  )
)
</f>
        <v/>
      </c>
      <c r="AF29" s="11"/>
      <c r="AG29" s="11"/>
      <c r="AH29" s="11"/>
      <c r="AI29" s="220"/>
      <c r="AJ29" s="184"/>
      <c r="AK29" s="11"/>
      <c r="AL29" s="11"/>
      <c r="AM29" s="11"/>
      <c r="AN29" s="220"/>
      <c r="AO29" s="184"/>
      <c r="AP29" s="11"/>
      <c r="AQ29" s="11"/>
      <c r="AR29" s="11"/>
      <c r="AS29" s="220"/>
      <c r="AT29" s="184"/>
      <c r="AU29" s="11"/>
      <c r="AV29" s="11"/>
      <c r="AW29" s="11"/>
      <c r="AX29" s="220"/>
      <c r="AY29" s="184"/>
      <c r="AZ29" s="11"/>
      <c r="BA29" s="11"/>
      <c r="BB29" s="11"/>
      <c r="BC29" s="220"/>
      <c r="BD29" s="184"/>
      <c r="BE29" s="11"/>
      <c r="BF29" s="11"/>
      <c r="BG29" s="11"/>
      <c r="BH29" s="220"/>
      <c r="BI29" s="184"/>
      <c r="BJ29" s="11"/>
      <c r="BK29" s="11"/>
      <c r="BL29" s="11"/>
      <c r="BM29" s="220"/>
      <c r="BN29" s="184"/>
      <c r="BO29" s="11"/>
      <c r="BP29" s="11"/>
    </row>
    <row r="30" ht="15.75" customHeight="1">
      <c r="A30" s="228" t="str">
        <f>IFERROR(__xludf.DUMMYFUNCTION("TEXTJOIN(CHAR(10),TRUE,FILTER(ARRAYFORMULA(IF(T$14:T72&lt;&gt;"""", S$14:S72 &amp;"" : ""&amp; T$14:T72 &amp;"" cm"","""")), S$14:S72 &lt;&gt;""""))"),"")</f>
        <v/>
      </c>
      <c r="B30" s="229"/>
      <c r="C30" s="11"/>
      <c r="D30" s="11" t="s">
        <v>106</v>
      </c>
      <c r="E30" s="232"/>
      <c r="F30" s="231" t="str">
        <f t="array" ref="F30">IF(
  E30 = 0, 
  "", 
  IFERROR(
    INDEX(
      'アイテム別限界値DB'!$K:$K, 
      MATCH(
        1, 
        ('アイテム別限界値DB'!$B:$B = D$10) * 
        ('アイテム別限界値DB'!$F:$F = D30) * 
        ('アイテム別限界値DB'!$H:$H = E30), 
        0
      )
    ), 
    "再製作"
  )
)
</f>
        <v/>
      </c>
      <c r="G30" s="218" t="str">
        <f t="array" ref="G30">IF(
  E30 = 0, 
  "", 
  IFERROR(
    INDEX(
      'アイテム別限界値DB'!$L:$L, 
      MATCH(
        1, 
        ('アイテム別限界値DB'!$B:$B = D$10) * 
        ('アイテム別限界値DB'!$C:$C = D30) * 
        ('アイテム別限界値DB'!$F:$F = E30), 
        0
      )
    ), 
    ""
  )
)
</f>
        <v/>
      </c>
      <c r="H30" s="11"/>
      <c r="I30" s="11"/>
      <c r="J30" s="220"/>
      <c r="K30" s="184"/>
      <c r="L30" s="11"/>
      <c r="M30" s="11"/>
      <c r="N30" s="11"/>
      <c r="O30" s="220"/>
      <c r="P30" s="184"/>
      <c r="Q30" s="11"/>
      <c r="R30" s="12"/>
      <c r="S30" s="11"/>
      <c r="T30" s="220"/>
      <c r="U30" s="184"/>
      <c r="V30" s="11"/>
      <c r="W30" s="11"/>
      <c r="X30" s="11" t="s">
        <v>83</v>
      </c>
      <c r="Y30" s="232"/>
      <c r="Z30" s="231" t="str">
        <f t="array" ref="Z30">IF(
  Y30 = 0, 
  "", 
  IFERROR(
    INDEX(
      'アイテム別限界値DB'!$K:$K, 
      MATCH(
        1, 
        ('アイテム別限界値DB'!$B:$B = X$10) * 
        ('アイテム別限界値DB'!$F:$F = X30) * 
        ('アイテム別限界値DB'!$H:$H = Y30), 
        0
      )
    ), 
    "再製作"
  )
)
</f>
        <v/>
      </c>
      <c r="AA30" s="11"/>
      <c r="AB30" s="11"/>
      <c r="AC30" s="11"/>
      <c r="AD30" s="220"/>
      <c r="AE30" s="184"/>
      <c r="AF30" s="11"/>
      <c r="AG30" s="11"/>
      <c r="AH30" s="11"/>
      <c r="AI30" s="220"/>
      <c r="AJ30" s="184"/>
      <c r="AK30" s="11"/>
      <c r="AL30" s="11"/>
      <c r="AM30" s="11"/>
      <c r="AN30" s="220"/>
      <c r="AO30" s="184"/>
      <c r="AP30" s="11"/>
      <c r="AQ30" s="11"/>
      <c r="AR30" s="11"/>
      <c r="AS30" s="220"/>
      <c r="AT30" s="184"/>
      <c r="AU30" s="11"/>
      <c r="AV30" s="11"/>
      <c r="AW30" s="11"/>
      <c r="AX30" s="220"/>
      <c r="AY30" s="184"/>
      <c r="AZ30" s="11"/>
      <c r="BA30" s="11"/>
      <c r="BB30" s="11"/>
      <c r="BC30" s="220"/>
      <c r="BD30" s="184"/>
      <c r="BE30" s="11"/>
      <c r="BF30" s="11"/>
      <c r="BG30" s="11"/>
      <c r="BH30" s="220"/>
      <c r="BI30" s="184"/>
      <c r="BJ30" s="11"/>
      <c r="BK30" s="11"/>
      <c r="BL30" s="11"/>
      <c r="BM30" s="220"/>
      <c r="BN30" s="184"/>
      <c r="BO30" s="11"/>
      <c r="BP30" s="11"/>
    </row>
    <row r="31" ht="15.75" customHeight="1">
      <c r="A31" s="242" t="str">
        <f>if($A$29&lt;&gt;"", "《仕上がり数値》","")</f>
        <v/>
      </c>
      <c r="B31" s="12"/>
      <c r="C31" s="11"/>
      <c r="D31" s="11" t="s">
        <v>107</v>
      </c>
      <c r="E31" s="232"/>
      <c r="F31" s="231" t="str">
        <f t="array" ref="F31">IF(
  E31 = 0, 
  "", 
  IFERROR(
    INDEX(
      'アイテム別限界値DB'!$K:$K, 
      MATCH(
        1, 
        ('アイテム別限界値DB'!$B:$B = D$10) * 
        ('アイテム別限界値DB'!$F:$F = D31) * 
        ('アイテム別限界値DB'!$H:$H = E31), 
        0
      )
    ), 
    "再製作"
  )
)
</f>
        <v/>
      </c>
      <c r="G31" s="218" t="str">
        <f t="array" ref="G31">IF(
  E31 = 0, 
  "", 
  IFERROR(
    INDEX(
      'アイテム別限界値DB'!$L:$L, 
      MATCH(
        1, 
        ('アイテム別限界値DB'!$B:$B = D$10) * 
        ('アイテム別限界値DB'!$C:$C = D31) * 
        ('アイテム別限界値DB'!$F:$F = E31), 
        0
      )
    ), 
    ""
  )
)
</f>
        <v/>
      </c>
      <c r="H31" s="11"/>
      <c r="I31" s="11"/>
      <c r="J31" s="220"/>
      <c r="K31" s="184"/>
      <c r="L31" s="11"/>
      <c r="M31" s="11"/>
      <c r="N31" s="11"/>
      <c r="O31" s="220"/>
      <c r="P31" s="184"/>
      <c r="Q31" s="11"/>
      <c r="R31" s="12"/>
      <c r="S31" s="11"/>
      <c r="T31" s="220"/>
      <c r="U31" s="184"/>
      <c r="V31" s="11"/>
      <c r="W31" s="11"/>
      <c r="X31" s="11" t="s">
        <v>105</v>
      </c>
      <c r="Y31" s="232"/>
      <c r="Z31" s="231" t="str">
        <f t="array" ref="Z31">IF(
  Y31 = 0, 
  "", 
  IFERROR(
    INDEX(
      'アイテム別限界値DB'!$K:$K, 
      MATCH(
        1, 
        ('アイテム別限界値DB'!$B:$B = X$10) * 
        ('アイテム別限界値DB'!$F:$F = X31) * 
        ('アイテム別限界値DB'!$H:$H = Y31), 
        0
      )
    ), 
    "再製作"
  )
)
</f>
        <v/>
      </c>
      <c r="AA31" s="11"/>
      <c r="AB31" s="11"/>
      <c r="AC31" s="11"/>
      <c r="AD31" s="220"/>
      <c r="AE31" s="184"/>
      <c r="AF31" s="11"/>
      <c r="AG31" s="11"/>
      <c r="AH31" s="11"/>
      <c r="AI31" s="220"/>
      <c r="AJ31" s="184"/>
      <c r="AK31" s="11"/>
      <c r="AL31" s="11"/>
      <c r="AM31" s="11"/>
      <c r="AN31" s="220"/>
      <c r="AO31" s="184"/>
      <c r="AP31" s="11"/>
      <c r="AQ31" s="11"/>
      <c r="AR31" s="11"/>
      <c r="AS31" s="220"/>
      <c r="AT31" s="184"/>
      <c r="AU31" s="11"/>
      <c r="AV31" s="11"/>
      <c r="AW31" s="11"/>
      <c r="AX31" s="220"/>
      <c r="AY31" s="184"/>
      <c r="AZ31" s="11"/>
      <c r="BA31" s="11"/>
      <c r="BB31" s="11"/>
      <c r="BC31" s="220"/>
      <c r="BD31" s="184"/>
      <c r="BE31" s="11"/>
      <c r="BF31" s="11"/>
      <c r="BG31" s="11"/>
      <c r="BH31" s="220"/>
      <c r="BI31" s="184"/>
      <c r="BJ31" s="11"/>
      <c r="BK31" s="11"/>
      <c r="BL31" s="11"/>
      <c r="BM31" s="220"/>
      <c r="BN31" s="184"/>
      <c r="BO31" s="11"/>
      <c r="BP31" s="11"/>
    </row>
    <row r="32" ht="15.75" customHeight="1">
      <c r="A32" s="228" t="str">
        <f>IFERROR(__xludf.DUMMYFUNCTION("TEXTJOIN(CHAR(10),TRUE,FILTER(ARRAYFORMULA(IF(T$14:T72&lt;&gt;"""", S$14:S72 &amp;"" :  cm"","""")), S$14:S72 &lt;&gt;""""))"),"")</f>
        <v/>
      </c>
      <c r="B32" s="160"/>
      <c r="C32" s="11"/>
      <c r="D32" s="11" t="s">
        <v>108</v>
      </c>
      <c r="E32" s="232"/>
      <c r="F32" s="231" t="str">
        <f t="array" ref="F32">IF(
  E32 = 0, 
  "", 
  IFERROR(
    INDEX(
      'アイテム別限界値DB'!$K:$K, 
      MATCH(
        1, 
        ('アイテム別限界値DB'!$B:$B = D$10) * 
        ('アイテム別限界値DB'!$F:$F = D32) * 
        ('アイテム別限界値DB'!$H:$H = E32), 
        0
      )
    ), 
    "再製作"
  )
)
</f>
        <v/>
      </c>
      <c r="G32" s="218" t="str">
        <f t="array" ref="G32">IF(
  E32 = 0, 
  "", 
  IFERROR(
    INDEX(
      'アイテム別限界値DB'!$L:$L, 
      MATCH(
        1, 
        ('アイテム別限界値DB'!$B:$B = D$10) * 
        ('アイテム別限界値DB'!$C:$C = D32) * 
        ('アイテム別限界値DB'!$F:$F = E32), 
        0
      )
    ), 
    ""
  )
)
</f>
        <v/>
      </c>
      <c r="H32" s="11"/>
      <c r="I32" s="11"/>
      <c r="J32" s="220"/>
      <c r="K32" s="184"/>
      <c r="L32" s="11"/>
      <c r="M32" s="11"/>
      <c r="N32" s="11"/>
      <c r="O32" s="220"/>
      <c r="P32" s="184"/>
      <c r="Q32" s="11"/>
      <c r="R32" s="12"/>
      <c r="S32" s="11"/>
      <c r="T32" s="220"/>
      <c r="U32" s="184"/>
      <c r="V32" s="11"/>
      <c r="W32" s="11"/>
      <c r="X32" s="11"/>
      <c r="Y32" s="220"/>
      <c r="Z32" s="184"/>
      <c r="AA32" s="11"/>
      <c r="AB32" s="11"/>
      <c r="AC32" s="11"/>
      <c r="AD32" s="220"/>
      <c r="AE32" s="184"/>
      <c r="AF32" s="11"/>
      <c r="AG32" s="11"/>
      <c r="AH32" s="11"/>
      <c r="AI32" s="220"/>
      <c r="AJ32" s="184"/>
      <c r="AK32" s="11"/>
      <c r="AL32" s="11"/>
      <c r="AM32" s="11"/>
      <c r="AN32" s="220"/>
      <c r="AO32" s="184"/>
      <c r="AP32" s="11"/>
      <c r="AQ32" s="11"/>
      <c r="AR32" s="11"/>
      <c r="AS32" s="220"/>
      <c r="AT32" s="184"/>
      <c r="AU32" s="11"/>
      <c r="AV32" s="11"/>
      <c r="AW32" s="11"/>
      <c r="AX32" s="220"/>
      <c r="AY32" s="184"/>
      <c r="AZ32" s="11"/>
      <c r="BA32" s="11"/>
      <c r="BB32" s="11"/>
      <c r="BC32" s="220"/>
      <c r="BD32" s="184"/>
      <c r="BE32" s="11"/>
      <c r="BF32" s="11"/>
      <c r="BG32" s="11"/>
      <c r="BH32" s="220"/>
      <c r="BI32" s="184"/>
      <c r="BJ32" s="11"/>
      <c r="BK32" s="11"/>
      <c r="BL32" s="11"/>
      <c r="BM32" s="220"/>
      <c r="BN32" s="184"/>
      <c r="BO32" s="11"/>
      <c r="BP32" s="11"/>
    </row>
    <row r="33" ht="15.75" customHeight="1">
      <c r="A33" s="237" t="s">
        <v>109</v>
      </c>
      <c r="B33" s="229"/>
      <c r="C33" s="11"/>
      <c r="D33" s="11" t="s">
        <v>110</v>
      </c>
      <c r="E33" s="232"/>
      <c r="F33" s="231" t="str">
        <f t="array" ref="F33">IF(
  E33 = 0, 
  "", 
  IFERROR(
    INDEX(
      'アイテム別限界値DB'!$K:$K, 
      MATCH(
        1, 
        ('アイテム別限界値DB'!$B:$B = D$10) * 
        ('アイテム別限界値DB'!$F:$F = D33) * 
        ('アイテム別限界値DB'!$H:$H = E33), 
        0
      )
    ), 
    "再製作"
  )
)
</f>
        <v/>
      </c>
      <c r="G33" s="218" t="str">
        <f t="array" ref="G33">IF(
  E33 = 0, 
  "", 
  IFERROR(
    INDEX(
      'アイテム別限界値DB'!$L:$L, 
      MATCH(
        1, 
        ('アイテム別限界値DB'!$B:$B = D$10) * 
        ('アイテム別限界値DB'!$C:$C = D33) * 
        ('アイテム別限界値DB'!$F:$F = E33), 
        0
      )
    ), 
    ""
  )
)
</f>
        <v/>
      </c>
      <c r="H33" s="11"/>
      <c r="I33" s="11"/>
      <c r="J33" s="220"/>
      <c r="K33" s="184"/>
      <c r="L33" s="11"/>
      <c r="M33" s="11"/>
      <c r="N33" s="11"/>
      <c r="O33" s="220"/>
      <c r="P33" s="184"/>
      <c r="Q33" s="11"/>
      <c r="R33" s="12"/>
      <c r="S33" s="11"/>
      <c r="T33" s="220"/>
      <c r="U33" s="184"/>
      <c r="V33" s="11"/>
      <c r="W33" s="11"/>
      <c r="X33" s="11"/>
      <c r="Y33" s="220"/>
      <c r="Z33" s="184"/>
      <c r="AA33" s="11"/>
      <c r="AB33" s="11"/>
      <c r="AC33" s="11"/>
      <c r="AD33" s="220"/>
      <c r="AE33" s="184"/>
      <c r="AF33" s="11"/>
      <c r="AG33" s="11"/>
      <c r="AH33" s="11"/>
      <c r="AI33" s="220"/>
      <c r="AJ33" s="184"/>
      <c r="AK33" s="11"/>
      <c r="AL33" s="11"/>
      <c r="AM33" s="11"/>
      <c r="AN33" s="220"/>
      <c r="AO33" s="184"/>
      <c r="AP33" s="11"/>
      <c r="AQ33" s="11"/>
      <c r="AR33" s="11"/>
      <c r="AS33" s="220"/>
      <c r="AT33" s="184"/>
      <c r="AU33" s="11"/>
      <c r="AV33" s="11"/>
      <c r="AW33" s="11"/>
      <c r="AX33" s="220"/>
      <c r="AY33" s="184"/>
      <c r="AZ33" s="11"/>
      <c r="BA33" s="11"/>
      <c r="BB33" s="11"/>
      <c r="BC33" s="220"/>
      <c r="BD33" s="184"/>
      <c r="BE33" s="11"/>
      <c r="BF33" s="11"/>
      <c r="BG33" s="11"/>
      <c r="BH33" s="220"/>
      <c r="BI33" s="184"/>
      <c r="BJ33" s="11"/>
      <c r="BK33" s="11"/>
      <c r="BL33" s="11"/>
      <c r="BM33" s="220"/>
      <c r="BN33" s="184"/>
      <c r="BO33" s="11"/>
      <c r="BP33" s="11"/>
    </row>
    <row r="34" ht="15.75" customHeight="1">
      <c r="A34" s="228" t="str">
        <f>IF($X$11="再製作", "◼︎ シャツ（対応着地：再製作）" &amp; char(10) &amp; "《修正数値》" , IF($X$11&lt;&gt;"", "◼︎ シャツ（対応着地：お直し）" &amp; char(10) &amp; "《修正数値》", ""))</f>
        <v/>
      </c>
      <c r="B34" s="12"/>
      <c r="C34" s="11"/>
      <c r="D34" s="11" t="s">
        <v>111</v>
      </c>
      <c r="E34" s="232"/>
      <c r="F34" s="231" t="str">
        <f t="array" ref="F34">IF(
  E34 = 0, 
  "", 
  IFERROR(
    INDEX(
      'アイテム別限界値DB'!$K:$K, 
      MATCH(
        1, 
        ('アイテム別限界値DB'!$B:$B = D$10) * 
        ('アイテム別限界値DB'!$F:$F = D34) * 
        ('アイテム別限界値DB'!$H:$H = E34), 
        0
      )
    ), 
    "再製作"
  )
)
</f>
        <v/>
      </c>
      <c r="G34" s="218" t="str">
        <f t="array" ref="G34">IF(
  E34 = 0, 
  "", 
  IFERROR(
    INDEX(
      'アイテム別限界値DB'!$L:$L, 
      MATCH(
        1, 
        ('アイテム別限界値DB'!$B:$B = D$10) * 
        ('アイテム別限界値DB'!$C:$C = D34) * 
        ('アイテム別限界値DB'!$F:$F = E34), 
        0
      )
    ), 
    ""
  )
)
</f>
        <v/>
      </c>
      <c r="H34" s="11"/>
      <c r="I34" s="11"/>
      <c r="J34" s="220"/>
      <c r="K34" s="184"/>
      <c r="L34" s="11"/>
      <c r="M34" s="11"/>
      <c r="N34" s="11"/>
      <c r="O34" s="220"/>
      <c r="P34" s="184"/>
      <c r="Q34" s="11"/>
      <c r="R34" s="12"/>
      <c r="S34" s="11"/>
      <c r="T34" s="220"/>
      <c r="U34" s="184"/>
      <c r="V34" s="11"/>
      <c r="W34" s="11"/>
      <c r="X34" s="11"/>
      <c r="Y34" s="220"/>
      <c r="Z34" s="184"/>
      <c r="AA34" s="11"/>
      <c r="AB34" s="11"/>
      <c r="AC34" s="11"/>
      <c r="AD34" s="220"/>
      <c r="AE34" s="184"/>
      <c r="AF34" s="11"/>
      <c r="AG34" s="11"/>
      <c r="AH34" s="11"/>
      <c r="AI34" s="220"/>
      <c r="AJ34" s="184"/>
      <c r="AK34" s="11"/>
      <c r="AL34" s="11"/>
      <c r="AM34" s="11"/>
      <c r="AN34" s="220"/>
      <c r="AO34" s="184"/>
      <c r="AP34" s="11"/>
      <c r="AQ34" s="11"/>
      <c r="AR34" s="11"/>
      <c r="AS34" s="220"/>
      <c r="AT34" s="184"/>
      <c r="AU34" s="11"/>
      <c r="AV34" s="11"/>
      <c r="AW34" s="11"/>
      <c r="AX34" s="220"/>
      <c r="AY34" s="184"/>
      <c r="AZ34" s="11"/>
      <c r="BA34" s="11"/>
      <c r="BB34" s="11"/>
      <c r="BC34" s="220"/>
      <c r="BD34" s="184"/>
      <c r="BE34" s="11"/>
      <c r="BF34" s="11"/>
      <c r="BG34" s="11"/>
      <c r="BH34" s="220"/>
      <c r="BI34" s="184"/>
      <c r="BJ34" s="11"/>
      <c r="BK34" s="11"/>
      <c r="BL34" s="11"/>
      <c r="BM34" s="220"/>
      <c r="BN34" s="184"/>
      <c r="BO34" s="11"/>
      <c r="BP34" s="11"/>
    </row>
    <row r="35" ht="15.75" customHeight="1">
      <c r="A35" s="228" t="str">
        <f>IFERROR(__xludf.DUMMYFUNCTION("TEXTJOIN(CHAR(10),TRUE,FILTER(ARRAYFORMULA(IF(Y$14:Y72&lt;&gt;"""", X$14:X72 &amp;"" : ""&amp; Y$14:Y72 &amp;"" cm"","""")), X$14:X72 &lt;&gt;""""))"),"")</f>
        <v/>
      </c>
      <c r="B35" s="160"/>
      <c r="C35" s="11"/>
      <c r="D35" s="11" t="s">
        <v>112</v>
      </c>
      <c r="E35" s="232"/>
      <c r="F35" s="231" t="str">
        <f t="array" ref="F35">IF(
  E35 = 0, 
  "", 
  IFERROR(
    INDEX(
      'アイテム別限界値DB'!$K:$K, 
      MATCH(
        1, 
        ('アイテム別限界値DB'!$B:$B = D$10) * 
        ('アイテム別限界値DB'!$F:$F = D35) * 
        ('アイテム別限界値DB'!$H:$H = E35), 
        0
      )
    ), 
    "再製作"
  )
)
</f>
        <v/>
      </c>
      <c r="G35" s="218" t="str">
        <f t="array" ref="G35">IF(
  E35 = 0, 
  "", 
  IFERROR(
    INDEX(
      'アイテム別限界値DB'!$L:$L, 
      MATCH(
        1, 
        ('アイテム別限界値DB'!$B:$B = D$10) * 
        ('アイテム別限界値DB'!$C:$C = D35) * 
        ('アイテム別限界値DB'!$F:$F = E35), 
        0
      )
    ), 
    ""
  )
)
</f>
        <v/>
      </c>
      <c r="H35" s="11"/>
      <c r="I35" s="11"/>
      <c r="J35" s="220"/>
      <c r="K35" s="184"/>
      <c r="L35" s="11"/>
      <c r="M35" s="11"/>
      <c r="N35" s="11"/>
      <c r="O35" s="220"/>
      <c r="P35" s="184"/>
      <c r="Q35" s="11"/>
      <c r="R35" s="12"/>
      <c r="S35" s="11"/>
      <c r="T35" s="220"/>
      <c r="U35" s="184"/>
      <c r="V35" s="11"/>
      <c r="W35" s="11"/>
      <c r="X35" s="11"/>
      <c r="Y35" s="220"/>
      <c r="Z35" s="184"/>
      <c r="AA35" s="11"/>
      <c r="AB35" s="11"/>
      <c r="AC35" s="11"/>
      <c r="AD35" s="220"/>
      <c r="AE35" s="184"/>
      <c r="AF35" s="11"/>
      <c r="AG35" s="11"/>
      <c r="AH35" s="11"/>
      <c r="AI35" s="220"/>
      <c r="AJ35" s="184"/>
      <c r="AK35" s="11"/>
      <c r="AL35" s="11"/>
      <c r="AM35" s="11"/>
      <c r="AN35" s="220"/>
      <c r="AO35" s="184"/>
      <c r="AP35" s="11"/>
      <c r="AQ35" s="11"/>
      <c r="AR35" s="11"/>
      <c r="AS35" s="220"/>
      <c r="AT35" s="184"/>
      <c r="AU35" s="11"/>
      <c r="AV35" s="11"/>
      <c r="AW35" s="11"/>
      <c r="AX35" s="220"/>
      <c r="AY35" s="184"/>
      <c r="AZ35" s="11"/>
      <c r="BA35" s="11"/>
      <c r="BB35" s="11"/>
      <c r="BC35" s="220"/>
      <c r="BD35" s="184"/>
      <c r="BE35" s="11"/>
      <c r="BF35" s="11"/>
      <c r="BG35" s="11"/>
      <c r="BH35" s="220"/>
      <c r="BI35" s="184"/>
      <c r="BJ35" s="11"/>
      <c r="BK35" s="11"/>
      <c r="BL35" s="11"/>
      <c r="BM35" s="220"/>
      <c r="BN35" s="184"/>
      <c r="BO35" s="11"/>
      <c r="BP35" s="11"/>
    </row>
    <row r="36" ht="15.75" customHeight="1">
      <c r="A36" s="236" t="str">
        <f>if($A$34&lt;&gt;"", "《仕上がり数値》","")</f>
        <v/>
      </c>
      <c r="B36" s="229"/>
      <c r="C36" s="11"/>
      <c r="D36" s="11" t="s">
        <v>113</v>
      </c>
      <c r="E36" s="232"/>
      <c r="F36" s="231" t="str">
        <f t="array" ref="F36">IF(
  E36 = 0, 
  "", 
  IFERROR(
    INDEX(
      'アイテム別限界値DB'!$K:$K, 
      MATCH(
        1, 
        ('アイテム別限界値DB'!$B:$B = D$10) * 
        ('アイテム別限界値DB'!$F:$F = D36) * 
        ('アイテム別限界値DB'!$H:$H = E36), 
        0
      )
    ), 
    "再製作"
  )
)
</f>
        <v/>
      </c>
      <c r="G36" s="218" t="str">
        <f t="array" ref="G36">IF(
  E36 = 0, 
  "", 
  IFERROR(
    INDEX(
      'アイテム別限界値DB'!$L:$L, 
      MATCH(
        1, 
        ('アイテム別限界値DB'!$B:$B = D$10) * 
        ('アイテム別限界値DB'!$C:$C = D36) * 
        ('アイテム別限界値DB'!$F:$F = E36), 
        0
      )
    ), 
    ""
  )
)
</f>
        <v/>
      </c>
      <c r="H36" s="11"/>
      <c r="I36" s="11"/>
      <c r="J36" s="220"/>
      <c r="K36" s="184"/>
      <c r="L36" s="11"/>
      <c r="M36" s="11"/>
      <c r="N36" s="11"/>
      <c r="O36" s="220"/>
      <c r="P36" s="184"/>
      <c r="Q36" s="11"/>
      <c r="R36" s="12"/>
      <c r="S36" s="11"/>
      <c r="T36" s="220"/>
      <c r="U36" s="184"/>
      <c r="V36" s="11"/>
      <c r="W36" s="11"/>
      <c r="X36" s="11"/>
      <c r="Y36" s="220"/>
      <c r="Z36" s="184"/>
      <c r="AA36" s="11"/>
      <c r="AB36" s="11"/>
      <c r="AC36" s="11"/>
      <c r="AD36" s="220"/>
      <c r="AE36" s="184"/>
      <c r="AF36" s="11"/>
      <c r="AG36" s="11"/>
      <c r="AH36" s="11"/>
      <c r="AI36" s="220"/>
      <c r="AJ36" s="184"/>
      <c r="AK36" s="11"/>
      <c r="AL36" s="11"/>
      <c r="AM36" s="11"/>
      <c r="AN36" s="220"/>
      <c r="AO36" s="184"/>
      <c r="AP36" s="11"/>
      <c r="AQ36" s="11"/>
      <c r="AR36" s="11"/>
      <c r="AS36" s="220"/>
      <c r="AT36" s="184"/>
      <c r="AU36" s="11"/>
      <c r="AV36" s="11"/>
      <c r="AW36" s="11"/>
      <c r="AX36" s="220"/>
      <c r="AY36" s="184"/>
      <c r="AZ36" s="11"/>
      <c r="BA36" s="11"/>
      <c r="BB36" s="11"/>
      <c r="BC36" s="220"/>
      <c r="BD36" s="184"/>
      <c r="BE36" s="11"/>
      <c r="BF36" s="11"/>
      <c r="BG36" s="11"/>
      <c r="BH36" s="220"/>
      <c r="BI36" s="184"/>
      <c r="BJ36" s="11"/>
      <c r="BK36" s="11"/>
      <c r="BL36" s="11"/>
      <c r="BM36" s="220"/>
      <c r="BN36" s="184"/>
      <c r="BO36" s="11"/>
      <c r="BP36" s="11"/>
    </row>
    <row r="37">
      <c r="A37" s="228" t="str">
        <f>IFERROR(__xludf.DUMMYFUNCTION("TEXTJOIN(CHAR(10),TRUE,FILTER(ARRAYFORMULA(IF(Y$14:Y72&lt;&gt;"""", X$14:X72 &amp;"" :  cm"","""")), X$14:X72 &lt;&gt;""""))"),"")</f>
        <v/>
      </c>
      <c r="B37" s="12"/>
      <c r="C37" s="11"/>
      <c r="D37" s="11" t="s">
        <v>114</v>
      </c>
      <c r="E37" s="232"/>
      <c r="F37" s="231" t="str">
        <f t="array" ref="F37">IF(
  E37 = 0, 
  "", 
  IFERROR(
    INDEX(
      'アイテム別限界値DB'!$K:$K, 
      MATCH(
        1, 
        ('アイテム別限界値DB'!$B:$B = D$10) * 
        ('アイテム別限界値DB'!$F:$F = D37) * 
        ('アイテム別限界値DB'!$H:$H = E37), 
        0
      )
    ), 
    "再製作"
  )
)
</f>
        <v/>
      </c>
      <c r="G37" s="218" t="str">
        <f t="array" ref="G37">IF(
  E37 = 0, 
  "", 
  IFERROR(
    INDEX(
      'アイテム別限界値DB'!$L:$L, 
      MATCH(
        1, 
        ('アイテム別限界値DB'!$B:$B = D$10) * 
        ('アイテム別限界値DB'!$C:$C = D37) * 
        ('アイテム別限界値DB'!$F:$F = E37), 
        0
      )
    ), 
    ""
  )
)
</f>
        <v/>
      </c>
      <c r="H37" s="11"/>
      <c r="I37" s="11"/>
      <c r="J37" s="220"/>
      <c r="K37" s="184"/>
      <c r="L37" s="11"/>
      <c r="M37" s="11"/>
      <c r="N37" s="11"/>
      <c r="O37" s="220"/>
      <c r="P37" s="184"/>
      <c r="Q37" s="11"/>
      <c r="R37" s="12"/>
      <c r="S37" s="11"/>
      <c r="T37" s="220"/>
      <c r="U37" s="184"/>
      <c r="V37" s="11"/>
      <c r="W37" s="11"/>
      <c r="X37" s="11"/>
      <c r="Y37" s="220"/>
      <c r="Z37" s="184"/>
      <c r="AA37" s="11"/>
      <c r="AB37" s="11"/>
      <c r="AC37" s="11"/>
      <c r="AD37" s="220"/>
      <c r="AE37" s="184"/>
      <c r="AF37" s="11"/>
      <c r="AG37" s="11"/>
      <c r="AH37" s="11"/>
      <c r="AI37" s="220"/>
      <c r="AJ37" s="184"/>
      <c r="AK37" s="11"/>
      <c r="AL37" s="11"/>
      <c r="AM37" s="11"/>
      <c r="AN37" s="220"/>
      <c r="AO37" s="184"/>
      <c r="AP37" s="11"/>
      <c r="AQ37" s="11"/>
      <c r="AR37" s="11"/>
      <c r="AS37" s="220"/>
      <c r="AT37" s="184"/>
      <c r="AU37" s="11"/>
      <c r="AV37" s="11"/>
      <c r="AW37" s="11"/>
      <c r="AX37" s="220"/>
      <c r="AY37" s="184"/>
      <c r="AZ37" s="11"/>
      <c r="BA37" s="11"/>
      <c r="BB37" s="11"/>
      <c r="BC37" s="220"/>
      <c r="BD37" s="184"/>
      <c r="BE37" s="11"/>
      <c r="BF37" s="11"/>
      <c r="BG37" s="11"/>
      <c r="BH37" s="220"/>
      <c r="BI37" s="184"/>
      <c r="BJ37" s="11"/>
      <c r="BK37" s="11"/>
      <c r="BL37" s="11"/>
      <c r="BM37" s="220"/>
      <c r="BN37" s="184"/>
      <c r="BO37" s="11"/>
      <c r="BP37" s="11"/>
    </row>
    <row r="38">
      <c r="A38" s="243" t="s">
        <v>115</v>
      </c>
      <c r="B38" s="160"/>
      <c r="C38" s="11"/>
      <c r="D38" s="11" t="s">
        <v>116</v>
      </c>
      <c r="E38" s="232"/>
      <c r="F38" s="231" t="str">
        <f t="array" ref="F38">IF(
  E38 = 0, 
  "", 
  IFERROR(
    INDEX(
      'アイテム別限界値DB'!$K:$K, 
      MATCH(
        1, 
        ('アイテム別限界値DB'!$B:$B = D$10) * 
        ('アイテム別限界値DB'!$F:$F = D38) * 
        ('アイテム別限界値DB'!$H:$H = E38), 
        0
      )
    ), 
    "再製作"
  )
)
</f>
        <v/>
      </c>
      <c r="G38" s="218" t="str">
        <f t="array" ref="G38">IF(
  E38 = 0, 
  "", 
  IFERROR(
    INDEX(
      'アイテム別限界値DB'!$L:$L, 
      MATCH(
        1, 
        ('アイテム別限界値DB'!$B:$B = D$10) * 
        ('アイテム別限界値DB'!$C:$C = D38) * 
        ('アイテム別限界値DB'!$F:$F = E38), 
        0
      )
    ), 
    ""
  )
)
</f>
        <v/>
      </c>
      <c r="H38" s="11"/>
      <c r="I38" s="11"/>
      <c r="J38" s="220"/>
      <c r="K38" s="184"/>
      <c r="L38" s="11"/>
      <c r="M38" s="11"/>
      <c r="N38" s="11"/>
      <c r="O38" s="220"/>
      <c r="P38" s="184"/>
      <c r="Q38" s="11"/>
      <c r="R38" s="12"/>
      <c r="S38" s="11"/>
      <c r="T38" s="220"/>
      <c r="U38" s="184"/>
      <c r="V38" s="11"/>
      <c r="W38" s="11"/>
      <c r="X38" s="11"/>
      <c r="Y38" s="220"/>
      <c r="Z38" s="184"/>
      <c r="AA38" s="11"/>
      <c r="AB38" s="11"/>
      <c r="AC38" s="11"/>
      <c r="AD38" s="220"/>
      <c r="AE38" s="184"/>
      <c r="AF38" s="11"/>
      <c r="AG38" s="11"/>
      <c r="AH38" s="11"/>
      <c r="AI38" s="220"/>
      <c r="AJ38" s="184"/>
      <c r="AK38" s="11"/>
      <c r="AL38" s="11"/>
      <c r="AM38" s="11"/>
      <c r="AN38" s="220"/>
      <c r="AO38" s="184"/>
      <c r="AP38" s="11"/>
      <c r="AQ38" s="11"/>
      <c r="AR38" s="11"/>
      <c r="AS38" s="220"/>
      <c r="AT38" s="184"/>
      <c r="AU38" s="11"/>
      <c r="AV38" s="11"/>
      <c r="AW38" s="11"/>
      <c r="AX38" s="220"/>
      <c r="AY38" s="184"/>
      <c r="AZ38" s="11"/>
      <c r="BA38" s="11"/>
      <c r="BB38" s="11"/>
      <c r="BC38" s="220"/>
      <c r="BD38" s="184"/>
      <c r="BE38" s="11"/>
      <c r="BF38" s="11"/>
      <c r="BG38" s="11"/>
      <c r="BH38" s="220"/>
      <c r="BI38" s="184"/>
      <c r="BJ38" s="11"/>
      <c r="BK38" s="11"/>
      <c r="BL38" s="11"/>
      <c r="BM38" s="220"/>
      <c r="BN38" s="184"/>
      <c r="BO38" s="11"/>
      <c r="BP38" s="11"/>
    </row>
    <row r="39">
      <c r="A39" s="228" t="str">
        <f>IF( $AC$11 = "再製作", "◼︎ ポロシャツ（対応着地：再製作）" &amp; char(10) &amp; "《修正数値》" , IF($AC$11 &lt;&gt; "", "◼︎ ポロシャツ（対応着地：お直し）" &amp; char(10) &amp; "《修正数値》" , ""))</f>
        <v/>
      </c>
      <c r="B39" s="229"/>
      <c r="C39" s="11"/>
      <c r="D39" s="11" t="s">
        <v>117</v>
      </c>
      <c r="E39" s="232"/>
      <c r="F39" s="231" t="str">
        <f t="array" ref="F39">IF(
  E39 = 0, 
  "", 
  IFERROR(
    INDEX(
      'アイテム別限界値DB'!$I:$I, 
      MATCH(
        1, 
        ('アイテム別限界値DB'!$B:$B = D$10) * 
        ('アイテム別限界値DB'!$C:$C = D39) * 
        ('アイテム別限界値DB'!$F:$F = E39), 
        0
      )
    ), 
    "再製作"
  )
)
</f>
        <v/>
      </c>
      <c r="G39" s="218" t="str">
        <f t="array" ref="G39">IF(
  E39 = 0, 
  "", 
  IFERROR(
    INDEX(
      'アイテム別限界値DB'!$L:$L, 
      MATCH(
        1, 
        ('アイテム別限界値DB'!$B:$B = D$10) * 
        ('アイテム別限界値DB'!$C:$C = D39) * 
        ('アイテム別限界値DB'!$F:$F = E39), 
        0
      )
    ), 
    ""
  )
)
</f>
        <v/>
      </c>
      <c r="H39" s="11"/>
      <c r="I39" s="11"/>
      <c r="J39" s="220"/>
      <c r="K39" s="184"/>
      <c r="L39" s="11"/>
      <c r="M39" s="11"/>
      <c r="N39" s="11"/>
      <c r="O39" s="220"/>
      <c r="P39" s="184"/>
      <c r="Q39" s="11"/>
      <c r="R39" s="12"/>
      <c r="S39" s="11"/>
      <c r="T39" s="220"/>
      <c r="U39" s="184"/>
      <c r="V39" s="11"/>
      <c r="W39" s="11"/>
      <c r="X39" s="11"/>
      <c r="Y39" s="220"/>
      <c r="Z39" s="184"/>
      <c r="AA39" s="11"/>
      <c r="AB39" s="11"/>
      <c r="AC39" s="11"/>
      <c r="AD39" s="220"/>
      <c r="AE39" s="184"/>
      <c r="AF39" s="11"/>
      <c r="AG39" s="11"/>
      <c r="AH39" s="11"/>
      <c r="AI39" s="220"/>
      <c r="AJ39" s="184"/>
      <c r="AK39" s="11"/>
      <c r="AL39" s="11"/>
      <c r="AM39" s="11"/>
      <c r="AN39" s="220"/>
      <c r="AO39" s="184"/>
      <c r="AP39" s="11"/>
      <c r="AQ39" s="11"/>
      <c r="AR39" s="11"/>
      <c r="AS39" s="220"/>
      <c r="AT39" s="184"/>
      <c r="AU39" s="11"/>
      <c r="AV39" s="11"/>
      <c r="AW39" s="11"/>
      <c r="AX39" s="220"/>
      <c r="AY39" s="184"/>
      <c r="AZ39" s="11"/>
      <c r="BA39" s="11"/>
      <c r="BB39" s="11"/>
      <c r="BC39" s="220"/>
      <c r="BD39" s="184"/>
      <c r="BE39" s="11"/>
      <c r="BF39" s="11"/>
      <c r="BG39" s="11"/>
      <c r="BH39" s="220"/>
      <c r="BI39" s="184"/>
      <c r="BJ39" s="11"/>
      <c r="BK39" s="11"/>
      <c r="BL39" s="11"/>
      <c r="BM39" s="220"/>
      <c r="BN39" s="184"/>
      <c r="BO39" s="11"/>
      <c r="BP39" s="11"/>
    </row>
    <row r="40">
      <c r="A40" s="228" t="str">
        <f>IFERROR(__xludf.DUMMYFUNCTION("TEXTJOIN(CHAR(10),TRUE,FILTER(ARRAYFORMULA(IF(AD$14:AD72&lt;&gt;"""",AC$14:AC72&amp;"" : ""&amp; AD$14:AD72 &amp;"" cm"","""")), AC$14:AC72 &lt;&gt;""""))"),"")</f>
        <v/>
      </c>
      <c r="B40" s="12"/>
      <c r="C40" s="11"/>
      <c r="D40" s="11" t="s">
        <v>118</v>
      </c>
      <c r="E40" s="232"/>
      <c r="F40" s="231" t="str">
        <f t="array" ref="F40">IF(
  E40 = 0, 
  "", 
  IFERROR(
    INDEX(
      'アイテム別限界値DB'!$I:$I, 
      MATCH(
        1, 
        ('アイテム別限界値DB'!$B:$B = D$10) * 
        ('アイテム別限界値DB'!$C:$C = D40) * 
        ('アイテム別限界値DB'!$F:$F = E40), 
        0
      )
    ), 
    "再製作"
  )
)
</f>
        <v/>
      </c>
      <c r="G40" s="121"/>
      <c r="H40" s="11"/>
      <c r="I40" s="11"/>
      <c r="J40" s="220"/>
      <c r="K40" s="184"/>
      <c r="L40" s="11"/>
      <c r="M40" s="11"/>
      <c r="N40" s="11"/>
      <c r="O40" s="220"/>
      <c r="P40" s="184"/>
      <c r="Q40" s="11"/>
      <c r="R40" s="12"/>
      <c r="S40" s="11"/>
      <c r="T40" s="220"/>
      <c r="U40" s="184"/>
      <c r="V40" s="11"/>
      <c r="W40" s="11"/>
      <c r="X40" s="11"/>
      <c r="Y40" s="220"/>
      <c r="Z40" s="184"/>
      <c r="AA40" s="11"/>
      <c r="AB40" s="11"/>
      <c r="AC40" s="11"/>
      <c r="AD40" s="220"/>
      <c r="AE40" s="184"/>
      <c r="AF40" s="11"/>
      <c r="AG40" s="11"/>
      <c r="AH40" s="11"/>
      <c r="AI40" s="220"/>
      <c r="AJ40" s="184"/>
      <c r="AK40" s="11"/>
      <c r="AL40" s="11"/>
      <c r="AM40" s="11"/>
      <c r="AN40" s="220"/>
      <c r="AO40" s="184"/>
      <c r="AP40" s="11"/>
      <c r="AQ40" s="11"/>
      <c r="AR40" s="11"/>
      <c r="AS40" s="220"/>
      <c r="AT40" s="184"/>
      <c r="AU40" s="11"/>
      <c r="AV40" s="11"/>
      <c r="AW40" s="11"/>
      <c r="AX40" s="220"/>
      <c r="AY40" s="184"/>
      <c r="AZ40" s="11"/>
      <c r="BA40" s="11"/>
      <c r="BB40" s="11"/>
      <c r="BC40" s="220"/>
      <c r="BD40" s="184"/>
      <c r="BE40" s="11"/>
      <c r="BF40" s="11"/>
      <c r="BG40" s="11"/>
      <c r="BH40" s="220"/>
      <c r="BI40" s="184"/>
      <c r="BJ40" s="11"/>
      <c r="BK40" s="11"/>
      <c r="BL40" s="11"/>
      <c r="BM40" s="220"/>
      <c r="BN40" s="184"/>
      <c r="BO40" s="11"/>
      <c r="BP40" s="11"/>
    </row>
    <row r="41">
      <c r="A41" s="244" t="str">
        <f>if($A$39&lt;&gt;"", "《仕上がり数値》","")</f>
        <v/>
      </c>
      <c r="B41" s="160"/>
      <c r="C41" s="11"/>
      <c r="D41" s="11" t="s">
        <v>119</v>
      </c>
      <c r="E41" s="232"/>
      <c r="F41" s="231" t="str">
        <f t="array" ref="F41">IF(
  E41 = 0, 
  "", 
  IFERROR(
    INDEX(
      'アイテム別限界値DB'!$I:$I, 
      MATCH(
        1, 
        ('アイテム別限界値DB'!$B:$B = D$10) * 
        ('アイテム別限界値DB'!$C:$C = D41) * 
        ('アイテム別限界値DB'!$F:$F = E41), 
        0
      )
    ), 
    "再製作"
  )
)
</f>
        <v/>
      </c>
      <c r="G41" s="195"/>
      <c r="H41" s="11"/>
      <c r="I41" s="11"/>
      <c r="J41" s="220"/>
      <c r="K41" s="184"/>
      <c r="L41" s="11"/>
      <c r="M41" s="11"/>
      <c r="N41" s="11"/>
      <c r="O41" s="220"/>
      <c r="P41" s="184"/>
      <c r="Q41" s="11"/>
      <c r="R41" s="12"/>
      <c r="S41" s="11"/>
      <c r="T41" s="220"/>
      <c r="U41" s="184"/>
      <c r="V41" s="11"/>
      <c r="W41" s="11"/>
      <c r="X41" s="11"/>
      <c r="Y41" s="220"/>
      <c r="Z41" s="184"/>
      <c r="AA41" s="11"/>
      <c r="AB41" s="11"/>
      <c r="AC41" s="11"/>
      <c r="AD41" s="220"/>
      <c r="AE41" s="184"/>
      <c r="AF41" s="11"/>
      <c r="AG41" s="11"/>
      <c r="AH41" s="11"/>
      <c r="AI41" s="220"/>
      <c r="AJ41" s="184"/>
      <c r="AK41" s="11"/>
      <c r="AL41" s="11"/>
      <c r="AM41" s="11"/>
      <c r="AN41" s="220"/>
      <c r="AO41" s="184"/>
      <c r="AP41" s="11"/>
      <c r="AQ41" s="11"/>
      <c r="AR41" s="11"/>
      <c r="AS41" s="220"/>
      <c r="AT41" s="184"/>
      <c r="AU41" s="11"/>
      <c r="AV41" s="11"/>
      <c r="AW41" s="11"/>
      <c r="AX41" s="220"/>
      <c r="AY41" s="184"/>
      <c r="AZ41" s="11"/>
      <c r="BA41" s="11"/>
      <c r="BB41" s="11"/>
      <c r="BC41" s="220"/>
      <c r="BD41" s="184"/>
      <c r="BE41" s="11"/>
      <c r="BF41" s="11"/>
      <c r="BG41" s="11"/>
      <c r="BH41" s="220"/>
      <c r="BI41" s="184"/>
      <c r="BJ41" s="11"/>
      <c r="BK41" s="11"/>
      <c r="BL41" s="11"/>
      <c r="BM41" s="220"/>
      <c r="BN41" s="184"/>
      <c r="BO41" s="11"/>
      <c r="BP41" s="11"/>
    </row>
    <row r="42">
      <c r="A42" s="228" t="str">
        <f>IFERROR(__xludf.DUMMYFUNCTION("TEXTJOIN(CHAR(10),TRUE,FILTER(ARRAYFORMULA(IF(AD$14:AD72&lt;&gt;"""",AC$14:AC72&amp;"" :  cm"","""")), AC$14:AC72 &lt;&gt;""""))"),"")</f>
        <v/>
      </c>
      <c r="B42" s="229"/>
      <c r="C42" s="11"/>
      <c r="D42" s="11" t="s">
        <v>120</v>
      </c>
      <c r="E42" s="230"/>
      <c r="F42" s="231" t="str">
        <f t="array" ref="F42">IF(
  E42 = 0, 
  "", 
  IFERROR(
    INDEX(
      'アイテム別限界値DB'!$I:$I, 
      MATCH(
        1, 
        ('アイテム別限界値DB'!$B:$B = D$10) * 
        ('アイテム別限界値DB'!$C:$C = D42) * 
        ('アイテム別限界値DB'!$F:$F = E42), 
        0
      )
    ), 
    "再製作"
  )
)
</f>
        <v/>
      </c>
      <c r="G42" s="195"/>
      <c r="H42" s="11"/>
      <c r="I42" s="11"/>
      <c r="J42" s="220"/>
      <c r="K42" s="184"/>
      <c r="L42" s="11"/>
      <c r="M42" s="11"/>
      <c r="N42" s="11"/>
      <c r="O42" s="220"/>
      <c r="P42" s="184"/>
      <c r="Q42" s="11"/>
      <c r="R42" s="12"/>
      <c r="S42" s="11"/>
      <c r="T42" s="220"/>
      <c r="U42" s="184"/>
      <c r="V42" s="11"/>
      <c r="W42" s="11"/>
      <c r="X42" s="11"/>
      <c r="Y42" s="220"/>
      <c r="Z42" s="184"/>
      <c r="AA42" s="11"/>
      <c r="AB42" s="11"/>
      <c r="AC42" s="11"/>
      <c r="AD42" s="220"/>
      <c r="AE42" s="184"/>
      <c r="AF42" s="11"/>
      <c r="AG42" s="11"/>
      <c r="AH42" s="11"/>
      <c r="AI42" s="220"/>
      <c r="AJ42" s="184"/>
      <c r="AK42" s="11"/>
      <c r="AL42" s="11"/>
      <c r="AM42" s="11"/>
      <c r="AN42" s="220"/>
      <c r="AO42" s="184"/>
      <c r="AP42" s="11"/>
      <c r="AQ42" s="11"/>
      <c r="AR42" s="11"/>
      <c r="AS42" s="220"/>
      <c r="AT42" s="184"/>
      <c r="AU42" s="11"/>
      <c r="AV42" s="11"/>
      <c r="AW42" s="11"/>
      <c r="AX42" s="220"/>
      <c r="AY42" s="184"/>
      <c r="AZ42" s="11"/>
      <c r="BA42" s="11"/>
      <c r="BB42" s="11"/>
      <c r="BC42" s="220"/>
      <c r="BD42" s="184"/>
      <c r="BE42" s="11"/>
      <c r="BF42" s="11"/>
      <c r="BG42" s="11"/>
      <c r="BH42" s="220"/>
      <c r="BI42" s="184"/>
      <c r="BJ42" s="11"/>
      <c r="BK42" s="11"/>
      <c r="BL42" s="11"/>
      <c r="BM42" s="220"/>
      <c r="BN42" s="184"/>
      <c r="BO42" s="11"/>
      <c r="BP42" s="11"/>
    </row>
    <row r="43">
      <c r="A43" s="222" t="s">
        <v>121</v>
      </c>
      <c r="B43" s="185"/>
      <c r="C43" s="11"/>
      <c r="D43" s="11"/>
      <c r="E43" s="11"/>
      <c r="F43" s="11"/>
      <c r="G43" s="11"/>
      <c r="H43" s="11"/>
      <c r="I43" s="11"/>
      <c r="J43" s="220"/>
      <c r="K43" s="184"/>
      <c r="L43" s="184"/>
      <c r="M43" s="11"/>
      <c r="N43" s="11"/>
      <c r="O43" s="195"/>
      <c r="P43" s="11"/>
      <c r="Q43" s="11"/>
      <c r="R43" s="12"/>
      <c r="S43" s="11"/>
      <c r="T43" s="220"/>
      <c r="U43" s="184"/>
      <c r="V43" s="184"/>
      <c r="W43" s="11"/>
      <c r="X43" s="11"/>
      <c r="Y43" s="220"/>
      <c r="Z43" s="184"/>
      <c r="AA43" s="184"/>
      <c r="AB43" s="11"/>
      <c r="AC43" s="11"/>
      <c r="AD43" s="220"/>
      <c r="AE43" s="184"/>
      <c r="AF43" s="184"/>
      <c r="AG43" s="11"/>
      <c r="AH43" s="11"/>
      <c r="AI43" s="220"/>
      <c r="AJ43" s="184"/>
      <c r="AK43" s="184"/>
      <c r="AL43" s="11"/>
      <c r="AM43" s="11"/>
      <c r="AN43" s="220"/>
      <c r="AO43" s="184"/>
      <c r="AP43" s="184"/>
      <c r="AQ43" s="11"/>
      <c r="AR43" s="11"/>
      <c r="AS43" s="220"/>
      <c r="AT43" s="184"/>
      <c r="AU43" s="184"/>
      <c r="AV43" s="11"/>
      <c r="AW43" s="11"/>
      <c r="AX43" s="220"/>
      <c r="AY43" s="184"/>
      <c r="AZ43" s="184"/>
      <c r="BA43" s="11"/>
      <c r="BB43" s="11"/>
      <c r="BC43" s="220"/>
      <c r="BD43" s="184"/>
      <c r="BE43" s="184"/>
      <c r="BF43" s="11"/>
      <c r="BG43" s="11"/>
      <c r="BH43" s="220"/>
      <c r="BI43" s="184"/>
      <c r="BJ43" s="184"/>
      <c r="BK43" s="184"/>
      <c r="BL43" s="184"/>
      <c r="BM43" s="184"/>
      <c r="BN43" s="184"/>
      <c r="BO43" s="184"/>
      <c r="BP43" s="184"/>
    </row>
    <row r="44">
      <c r="A44" s="245" t="str">
        <f>IF( $AH$11 = "再製作", "◼︎ アルスターコート（対応着地：再製作）" &amp; char(10) &amp; "《修正数値》", IF($AH$11 &lt;&gt; "", "◼︎ アルスターコート（対応着地：お直し）" &amp; char(10) &amp; "《修正数値》", ""))</f>
        <v/>
      </c>
      <c r="B44" s="187"/>
      <c r="C44" s="11"/>
      <c r="D44" s="11"/>
      <c r="E44" s="220"/>
      <c r="F44" s="220"/>
      <c r="G44" s="220"/>
      <c r="H44" s="11"/>
      <c r="I44" s="11"/>
      <c r="J44" s="220"/>
      <c r="K44" s="184"/>
      <c r="L44" s="184"/>
      <c r="M44" s="11"/>
      <c r="N44" s="11"/>
      <c r="O44" s="195"/>
      <c r="P44" s="11"/>
      <c r="Q44" s="11"/>
      <c r="R44" s="12"/>
      <c r="S44" s="11"/>
      <c r="T44" s="220"/>
      <c r="U44" s="184"/>
      <c r="V44" s="184"/>
      <c r="W44" s="11"/>
      <c r="X44" s="11"/>
      <c r="Y44" s="220"/>
      <c r="Z44" s="184"/>
      <c r="AA44" s="184"/>
      <c r="AB44" s="11"/>
      <c r="AC44" s="11"/>
      <c r="AD44" s="220"/>
      <c r="AE44" s="184"/>
      <c r="AF44" s="184"/>
      <c r="AG44" s="11"/>
      <c r="AH44" s="11"/>
      <c r="AI44" s="220"/>
      <c r="AJ44" s="184"/>
      <c r="AK44" s="184"/>
      <c r="AL44" s="11"/>
      <c r="AM44" s="11"/>
      <c r="AN44" s="220"/>
      <c r="AO44" s="184"/>
      <c r="AP44" s="184"/>
      <c r="AQ44" s="11"/>
      <c r="AR44" s="11"/>
      <c r="AS44" s="220"/>
      <c r="AT44" s="184"/>
      <c r="AU44" s="184"/>
      <c r="AV44" s="11"/>
      <c r="AW44" s="11"/>
      <c r="AX44" s="220"/>
      <c r="AY44" s="184"/>
      <c r="AZ44" s="184"/>
      <c r="BA44" s="11"/>
      <c r="BB44" s="11"/>
      <c r="BC44" s="220"/>
      <c r="BD44" s="184"/>
      <c r="BE44" s="184"/>
      <c r="BF44" s="11"/>
      <c r="BG44" s="11"/>
      <c r="BH44" s="220"/>
      <c r="BI44" s="184"/>
      <c r="BJ44" s="184"/>
      <c r="BK44" s="184"/>
      <c r="BL44" s="184"/>
      <c r="BM44" s="184"/>
      <c r="BN44" s="184"/>
      <c r="BO44" s="184"/>
      <c r="BP44" s="184"/>
    </row>
    <row r="45">
      <c r="A45" s="228" t="str">
        <f>IFERROR(__xludf.DUMMYFUNCTION("TEXTJOIN(CHAR(10),TRUE,FILTER(ARRAYFORMULA(IF($AI$14:$AI72&lt;&gt;"""",AH$14:AH72&amp;"" : ""&amp; AI$14:AI72 &amp;"" cm"","""")), AH$14:AH72 &lt;&gt;""""))"),"")</f>
        <v/>
      </c>
      <c r="B45" s="246"/>
      <c r="C45" s="11"/>
      <c r="D45" s="11"/>
      <c r="E45" s="220"/>
      <c r="F45" s="220"/>
      <c r="G45" s="220"/>
      <c r="H45" s="11"/>
      <c r="I45" s="11"/>
      <c r="J45" s="220"/>
      <c r="K45" s="184"/>
      <c r="L45" s="184"/>
      <c r="M45" s="11"/>
      <c r="N45" s="11"/>
      <c r="O45" s="195"/>
      <c r="P45" s="11"/>
      <c r="Q45" s="11"/>
      <c r="R45" s="12"/>
      <c r="S45" s="11"/>
      <c r="T45" s="220"/>
      <c r="U45" s="184"/>
      <c r="V45" s="184"/>
      <c r="W45" s="11"/>
      <c r="X45" s="11"/>
      <c r="Y45" s="220"/>
      <c r="Z45" s="184"/>
      <c r="AA45" s="184"/>
      <c r="AB45" s="11"/>
      <c r="AC45" s="11"/>
      <c r="AD45" s="220"/>
      <c r="AE45" s="184"/>
      <c r="AF45" s="184"/>
      <c r="AG45" s="11"/>
      <c r="AH45" s="11"/>
      <c r="AI45" s="220"/>
      <c r="AJ45" s="184"/>
      <c r="AK45" s="184"/>
      <c r="AL45" s="11"/>
      <c r="AM45" s="11"/>
      <c r="AN45" s="220"/>
      <c r="AO45" s="184"/>
      <c r="AP45" s="184"/>
      <c r="AQ45" s="11"/>
      <c r="AR45" s="11"/>
      <c r="AS45" s="220"/>
      <c r="AT45" s="184"/>
      <c r="AU45" s="184"/>
      <c r="AV45" s="11"/>
      <c r="AW45" s="11"/>
      <c r="AX45" s="220"/>
      <c r="AY45" s="184"/>
      <c r="AZ45" s="184"/>
      <c r="BA45" s="11"/>
      <c r="BB45" s="11"/>
      <c r="BC45" s="220"/>
      <c r="BD45" s="184"/>
      <c r="BE45" s="184"/>
      <c r="BF45" s="11"/>
      <c r="BG45" s="11"/>
      <c r="BH45" s="220"/>
      <c r="BI45" s="184"/>
      <c r="BJ45" s="184"/>
      <c r="BK45" s="184"/>
      <c r="BL45" s="184"/>
      <c r="BM45" s="184"/>
      <c r="BN45" s="184"/>
      <c r="BO45" s="184"/>
      <c r="BP45" s="184"/>
    </row>
    <row r="46">
      <c r="A46" s="242" t="str">
        <f>if($A$44&lt;&gt;"", "《仕上がり数値》","")</f>
        <v/>
      </c>
      <c r="B46" s="240"/>
      <c r="C46" s="11"/>
      <c r="D46" s="11"/>
      <c r="E46" s="220"/>
      <c r="F46" s="220"/>
      <c r="G46" s="220"/>
      <c r="H46" s="11"/>
      <c r="I46" s="11"/>
      <c r="J46" s="220"/>
      <c r="K46" s="184"/>
      <c r="L46" s="184"/>
      <c r="M46" s="11"/>
      <c r="N46" s="11"/>
      <c r="O46" s="195"/>
      <c r="P46" s="11"/>
      <c r="Q46" s="11"/>
      <c r="R46" s="12"/>
      <c r="S46" s="11"/>
      <c r="T46" s="220"/>
      <c r="U46" s="184"/>
      <c r="V46" s="184"/>
      <c r="W46" s="11"/>
      <c r="X46" s="11"/>
      <c r="Y46" s="220"/>
      <c r="Z46" s="184"/>
      <c r="AA46" s="184"/>
      <c r="AB46" s="11"/>
      <c r="AC46" s="11"/>
      <c r="AD46" s="220"/>
      <c r="AE46" s="184"/>
      <c r="AF46" s="184"/>
      <c r="AG46" s="11"/>
      <c r="AH46" s="11"/>
      <c r="AI46" s="220"/>
      <c r="AJ46" s="184"/>
      <c r="AK46" s="184"/>
      <c r="AL46" s="11"/>
      <c r="AM46" s="11"/>
      <c r="AN46" s="220"/>
      <c r="AO46" s="184"/>
      <c r="AP46" s="184"/>
      <c r="AQ46" s="11"/>
      <c r="AR46" s="11"/>
      <c r="AS46" s="220"/>
      <c r="AT46" s="184"/>
      <c r="AU46" s="184"/>
      <c r="AV46" s="11"/>
      <c r="AW46" s="11"/>
      <c r="AX46" s="220"/>
      <c r="AY46" s="184"/>
      <c r="AZ46" s="184"/>
      <c r="BA46" s="11"/>
      <c r="BB46" s="11"/>
      <c r="BC46" s="220"/>
      <c r="BD46" s="184"/>
      <c r="BE46" s="184"/>
      <c r="BF46" s="11"/>
      <c r="BG46" s="11"/>
      <c r="BH46" s="220"/>
      <c r="BI46" s="184"/>
      <c r="BJ46" s="184"/>
      <c r="BK46" s="184"/>
      <c r="BL46" s="184"/>
      <c r="BM46" s="184"/>
      <c r="BN46" s="184"/>
      <c r="BO46" s="184"/>
      <c r="BP46" s="184"/>
    </row>
    <row r="47">
      <c r="A47" s="228" t="str">
        <f>IFERROR(__xludf.DUMMYFUNCTION("TEXTJOIN(CHAR(10),TRUE,FILTER(ARRAYFORMULA(IF($AI$14:$AI72&lt;&gt;"""",AH$14:AH72&amp;"" :  cm"","""")), AH$14:AH72 &lt;&gt;""""))"),"")</f>
        <v/>
      </c>
      <c r="B47" s="240"/>
      <c r="C47" s="11"/>
      <c r="D47" s="11"/>
      <c r="E47" s="220"/>
      <c r="F47" s="220"/>
      <c r="G47" s="220"/>
      <c r="H47" s="11"/>
      <c r="I47" s="11"/>
      <c r="J47" s="220"/>
      <c r="K47" s="184"/>
      <c r="L47" s="184"/>
      <c r="M47" s="11"/>
      <c r="N47" s="11"/>
      <c r="O47" s="195"/>
      <c r="P47" s="11"/>
      <c r="Q47" s="11"/>
      <c r="R47" s="12"/>
      <c r="S47" s="11"/>
      <c r="T47" s="220"/>
      <c r="U47" s="184"/>
      <c r="V47" s="184"/>
      <c r="W47" s="11"/>
      <c r="X47" s="11"/>
      <c r="Y47" s="220"/>
      <c r="Z47" s="184"/>
      <c r="AA47" s="184"/>
      <c r="AB47" s="11"/>
      <c r="AC47" s="11"/>
      <c r="AD47" s="220"/>
      <c r="AE47" s="184"/>
      <c r="AF47" s="184"/>
      <c r="AG47" s="11"/>
      <c r="AH47" s="11"/>
      <c r="AI47" s="220"/>
      <c r="AJ47" s="184"/>
      <c r="AK47" s="184"/>
      <c r="AL47" s="11"/>
      <c r="AM47" s="11"/>
      <c r="AN47" s="220"/>
      <c r="AO47" s="184"/>
      <c r="AP47" s="184"/>
      <c r="AQ47" s="11"/>
      <c r="AR47" s="11"/>
      <c r="AS47" s="220"/>
      <c r="AT47" s="184"/>
      <c r="AU47" s="184"/>
      <c r="AV47" s="11"/>
      <c r="AW47" s="11"/>
      <c r="AX47" s="220"/>
      <c r="AY47" s="184"/>
      <c r="AZ47" s="184"/>
      <c r="BA47" s="11"/>
      <c r="BB47" s="11"/>
      <c r="BC47" s="220"/>
      <c r="BD47" s="184"/>
      <c r="BE47" s="184"/>
      <c r="BF47" s="11"/>
      <c r="BG47" s="11"/>
      <c r="BH47" s="220"/>
      <c r="BI47" s="184"/>
      <c r="BJ47" s="184"/>
      <c r="BK47" s="184"/>
      <c r="BL47" s="184"/>
      <c r="BM47" s="184"/>
      <c r="BN47" s="184"/>
      <c r="BO47" s="184"/>
      <c r="BP47" s="184"/>
    </row>
    <row r="48">
      <c r="A48" s="237" t="s">
        <v>122</v>
      </c>
      <c r="B48" s="240"/>
      <c r="C48" s="11"/>
      <c r="D48" s="11"/>
      <c r="E48" s="220"/>
      <c r="F48" s="220"/>
      <c r="G48" s="220"/>
      <c r="H48" s="11"/>
      <c r="I48" s="11"/>
      <c r="J48" s="220"/>
      <c r="K48" s="184"/>
      <c r="L48" s="184"/>
      <c r="M48" s="11"/>
      <c r="N48" s="11"/>
      <c r="O48" s="195"/>
      <c r="P48" s="11"/>
      <c r="Q48" s="11"/>
      <c r="R48" s="12"/>
      <c r="S48" s="11"/>
      <c r="T48" s="220"/>
      <c r="U48" s="184"/>
      <c r="V48" s="184"/>
      <c r="W48" s="11"/>
      <c r="X48" s="11"/>
      <c r="Y48" s="220"/>
      <c r="Z48" s="184"/>
      <c r="AA48" s="184"/>
      <c r="AB48" s="11"/>
      <c r="AC48" s="11"/>
      <c r="AD48" s="220"/>
      <c r="AE48" s="184"/>
      <c r="AF48" s="184"/>
      <c r="AG48" s="11"/>
      <c r="AH48" s="11"/>
      <c r="AI48" s="220"/>
      <c r="AJ48" s="184"/>
      <c r="AK48" s="184"/>
      <c r="AL48" s="11"/>
      <c r="AM48" s="11"/>
      <c r="AN48" s="220"/>
      <c r="AO48" s="184"/>
      <c r="AP48" s="184"/>
      <c r="AQ48" s="11"/>
      <c r="AR48" s="11"/>
      <c r="AS48" s="220"/>
      <c r="AT48" s="184"/>
      <c r="AU48" s="184"/>
      <c r="AV48" s="11"/>
      <c r="AW48" s="11"/>
      <c r="AX48" s="220"/>
      <c r="AY48" s="184"/>
      <c r="AZ48" s="184"/>
      <c r="BA48" s="11"/>
      <c r="BB48" s="11"/>
      <c r="BC48" s="220"/>
      <c r="BD48" s="184"/>
      <c r="BE48" s="184"/>
      <c r="BF48" s="11"/>
      <c r="BG48" s="11"/>
      <c r="BH48" s="220"/>
      <c r="BI48" s="184"/>
      <c r="BJ48" s="184"/>
      <c r="BK48" s="184"/>
      <c r="BL48" s="184"/>
      <c r="BM48" s="184"/>
      <c r="BN48" s="184"/>
      <c r="BO48" s="184"/>
      <c r="BP48" s="184"/>
    </row>
    <row r="49">
      <c r="A49" s="245" t="str">
        <f>IF( $AM$11 = "再製作", "◼︎ ショートステンカラーコート（対応着地：再製作）" &amp; char(10) &amp; "《修正数値》", IF($AM$11 &lt;&gt; "", "◼︎ ショートステンカラーコート（対応着地：お直し）"  &amp; char(10) &amp; "《修正数値》", ""))</f>
        <v/>
      </c>
      <c r="B49" s="240"/>
      <c r="C49" s="11"/>
      <c r="D49" s="11"/>
      <c r="E49" s="220"/>
      <c r="F49" s="220"/>
      <c r="G49" s="220"/>
      <c r="H49" s="11"/>
      <c r="I49" s="11"/>
      <c r="J49" s="220"/>
      <c r="K49" s="184"/>
      <c r="L49" s="184"/>
      <c r="M49" s="11"/>
      <c r="N49" s="11"/>
      <c r="O49" s="195"/>
      <c r="P49" s="11"/>
      <c r="Q49" s="11"/>
      <c r="R49" s="12"/>
      <c r="S49" s="11"/>
      <c r="T49" s="220"/>
      <c r="U49" s="184"/>
      <c r="V49" s="184"/>
      <c r="W49" s="11"/>
      <c r="X49" s="11"/>
      <c r="Y49" s="220"/>
      <c r="Z49" s="184"/>
      <c r="AA49" s="184"/>
      <c r="AB49" s="11"/>
      <c r="AC49" s="11"/>
      <c r="AD49" s="220"/>
      <c r="AE49" s="184"/>
      <c r="AF49" s="184"/>
      <c r="AG49" s="11"/>
      <c r="AH49" s="11"/>
      <c r="AI49" s="220"/>
      <c r="AJ49" s="184"/>
      <c r="AK49" s="184"/>
      <c r="AL49" s="11"/>
      <c r="AM49" s="11"/>
      <c r="AN49" s="220"/>
      <c r="AO49" s="184"/>
      <c r="AP49" s="184"/>
      <c r="AQ49" s="11"/>
      <c r="AR49" s="11"/>
      <c r="AS49" s="220"/>
      <c r="AT49" s="184"/>
      <c r="AU49" s="184"/>
      <c r="AV49" s="11"/>
      <c r="AW49" s="11"/>
      <c r="AX49" s="220"/>
      <c r="AY49" s="184"/>
      <c r="AZ49" s="184"/>
      <c r="BA49" s="11"/>
      <c r="BB49" s="11"/>
      <c r="BC49" s="220"/>
      <c r="BD49" s="184"/>
      <c r="BE49" s="184"/>
      <c r="BF49" s="11"/>
      <c r="BG49" s="11"/>
      <c r="BH49" s="220"/>
      <c r="BI49" s="184"/>
      <c r="BJ49" s="184"/>
      <c r="BK49" s="184"/>
      <c r="BL49" s="184"/>
      <c r="BM49" s="184"/>
      <c r="BN49" s="184"/>
      <c r="BO49" s="184"/>
      <c r="BP49" s="184"/>
    </row>
    <row r="50">
      <c r="A50" s="228" t="str">
        <f>IFERROR(__xludf.DUMMYFUNCTION("TEXTJOIN(CHAR(10),TRUE,FILTER(ARRAYFORMULA(IF(AN$14:AN72&lt;&gt;"""",AM$14:AM72&amp;"" : ""&amp; AN$14:AN72 &amp;"" cm"" &amp; ""（仕上がり寸：cm）"","""")), AM$14:AM72 &lt;&gt;""""))"),"")</f>
        <v/>
      </c>
      <c r="B50" s="240"/>
      <c r="C50" s="11"/>
      <c r="D50" s="11"/>
      <c r="E50" s="220"/>
      <c r="F50" s="220"/>
      <c r="G50" s="220"/>
      <c r="H50" s="11"/>
      <c r="I50" s="11"/>
      <c r="J50" s="220"/>
      <c r="K50" s="184"/>
      <c r="L50" s="184"/>
      <c r="M50" s="11"/>
      <c r="N50" s="11"/>
      <c r="O50" s="195"/>
      <c r="P50" s="11"/>
      <c r="Q50" s="11"/>
      <c r="R50" s="12"/>
      <c r="S50" s="11"/>
      <c r="T50" s="220"/>
      <c r="U50" s="184"/>
      <c r="V50" s="184"/>
      <c r="W50" s="11"/>
      <c r="X50" s="11"/>
      <c r="Y50" s="220"/>
      <c r="Z50" s="184"/>
      <c r="AA50" s="184"/>
      <c r="AB50" s="11"/>
      <c r="AC50" s="11"/>
      <c r="AD50" s="220"/>
      <c r="AE50" s="184"/>
      <c r="AF50" s="184"/>
      <c r="AG50" s="11"/>
      <c r="AH50" s="11"/>
      <c r="AI50" s="220"/>
      <c r="AJ50" s="184"/>
      <c r="AK50" s="184"/>
      <c r="AL50" s="11"/>
      <c r="AM50" s="11"/>
      <c r="AN50" s="220"/>
      <c r="AO50" s="184"/>
      <c r="AP50" s="184"/>
      <c r="AQ50" s="11"/>
      <c r="AR50" s="11"/>
      <c r="AS50" s="220"/>
      <c r="AT50" s="184"/>
      <c r="AU50" s="184"/>
      <c r="AV50" s="11"/>
      <c r="AW50" s="11"/>
      <c r="AX50" s="220"/>
      <c r="AY50" s="184"/>
      <c r="AZ50" s="184"/>
      <c r="BA50" s="11"/>
      <c r="BB50" s="11"/>
      <c r="BC50" s="220"/>
      <c r="BD50" s="184"/>
      <c r="BE50" s="184"/>
      <c r="BF50" s="11"/>
      <c r="BG50" s="11"/>
      <c r="BH50" s="220"/>
      <c r="BI50" s="184"/>
      <c r="BJ50" s="184"/>
      <c r="BK50" s="184"/>
      <c r="BL50" s="184"/>
      <c r="BM50" s="184"/>
      <c r="BN50" s="184"/>
      <c r="BO50" s="184"/>
      <c r="BP50" s="184"/>
    </row>
    <row r="51">
      <c r="A51" s="244" t="str">
        <f>if($A$49&lt;&gt;"", "《仕上がり数値》","")</f>
        <v/>
      </c>
      <c r="B51" s="240"/>
      <c r="C51" s="11"/>
      <c r="D51" s="11"/>
      <c r="E51" s="220"/>
      <c r="F51" s="220"/>
      <c r="G51" s="220"/>
      <c r="H51" s="11"/>
      <c r="I51" s="11"/>
      <c r="J51" s="220"/>
      <c r="K51" s="184"/>
      <c r="L51" s="184"/>
      <c r="M51" s="11"/>
      <c r="N51" s="11"/>
      <c r="O51" s="195"/>
      <c r="P51" s="11"/>
      <c r="Q51" s="11"/>
      <c r="R51" s="12"/>
      <c r="S51" s="11"/>
      <c r="T51" s="220"/>
      <c r="U51" s="184"/>
      <c r="V51" s="184"/>
      <c r="W51" s="11"/>
      <c r="X51" s="11"/>
      <c r="Y51" s="220"/>
      <c r="Z51" s="184"/>
      <c r="AA51" s="184"/>
      <c r="AB51" s="11"/>
      <c r="AC51" s="11"/>
      <c r="AD51" s="220"/>
      <c r="AE51" s="184"/>
      <c r="AF51" s="184"/>
      <c r="AG51" s="11"/>
      <c r="AH51" s="11"/>
      <c r="AI51" s="220"/>
      <c r="AJ51" s="184"/>
      <c r="AK51" s="184"/>
      <c r="AL51" s="11"/>
      <c r="AM51" s="11"/>
      <c r="AN51" s="220"/>
      <c r="AO51" s="184"/>
      <c r="AP51" s="184"/>
      <c r="AQ51" s="11"/>
      <c r="AR51" s="11"/>
      <c r="AS51" s="220"/>
      <c r="AT51" s="184"/>
      <c r="AU51" s="184"/>
      <c r="AV51" s="11"/>
      <c r="AW51" s="11"/>
      <c r="AX51" s="220"/>
      <c r="AY51" s="184"/>
      <c r="AZ51" s="184"/>
      <c r="BA51" s="11"/>
      <c r="BB51" s="11"/>
      <c r="BC51" s="220"/>
      <c r="BD51" s="184"/>
      <c r="BE51" s="184"/>
      <c r="BF51" s="11"/>
      <c r="BG51" s="11"/>
      <c r="BH51" s="220"/>
      <c r="BI51" s="184"/>
      <c r="BJ51" s="184"/>
      <c r="BK51" s="184"/>
      <c r="BL51" s="184"/>
      <c r="BM51" s="184"/>
      <c r="BN51" s="184"/>
      <c r="BO51" s="184"/>
      <c r="BP51" s="184"/>
    </row>
    <row r="52">
      <c r="A52" s="228" t="str">
        <f>IFERROR(__xludf.DUMMYFUNCTION("TEXTJOIN(CHAR(10),TRUE,FILTER(ARRAYFORMULA(IF(AN$14:AN72&lt;&gt;"""",AM$14:AM72&amp;"" : ""&amp; AN$14:AN72 &amp;"" cm"" &amp; ""（仕上がり寸：cm）"","""")), AM$14:AM72 &lt;&gt;""""))"),"")</f>
        <v/>
      </c>
      <c r="B52" s="240"/>
      <c r="C52" s="11"/>
      <c r="D52" s="11"/>
      <c r="E52" s="220"/>
      <c r="F52" s="220"/>
      <c r="G52" s="220"/>
      <c r="H52" s="11"/>
      <c r="I52" s="11"/>
      <c r="J52" s="220"/>
      <c r="K52" s="184"/>
      <c r="L52" s="184"/>
      <c r="M52" s="11"/>
      <c r="N52" s="11"/>
      <c r="O52" s="195"/>
      <c r="P52" s="11"/>
      <c r="Q52" s="11"/>
      <c r="R52" s="12"/>
      <c r="S52" s="11"/>
      <c r="T52" s="220"/>
      <c r="U52" s="184"/>
      <c r="V52" s="184"/>
      <c r="W52" s="11"/>
      <c r="X52" s="11"/>
      <c r="Y52" s="220"/>
      <c r="Z52" s="184"/>
      <c r="AA52" s="184"/>
      <c r="AB52" s="11"/>
      <c r="AC52" s="11"/>
      <c r="AD52" s="220"/>
      <c r="AE52" s="184"/>
      <c r="AF52" s="184"/>
      <c r="AG52" s="11"/>
      <c r="AH52" s="11"/>
      <c r="AI52" s="220"/>
      <c r="AJ52" s="184"/>
      <c r="AK52" s="184"/>
      <c r="AL52" s="11"/>
      <c r="AM52" s="11"/>
      <c r="AN52" s="220"/>
      <c r="AO52" s="184"/>
      <c r="AP52" s="184"/>
      <c r="AQ52" s="11"/>
      <c r="AR52" s="11"/>
      <c r="AS52" s="220"/>
      <c r="AT52" s="184"/>
      <c r="AU52" s="184"/>
      <c r="AV52" s="11"/>
      <c r="AW52" s="11"/>
      <c r="AX52" s="220"/>
      <c r="AY52" s="184"/>
      <c r="AZ52" s="184"/>
      <c r="BA52" s="11"/>
      <c r="BB52" s="11"/>
      <c r="BC52" s="220"/>
      <c r="BD52" s="184"/>
      <c r="BE52" s="184"/>
      <c r="BF52" s="11"/>
      <c r="BG52" s="11"/>
      <c r="BH52" s="220"/>
      <c r="BI52" s="184"/>
      <c r="BJ52" s="184"/>
      <c r="BK52" s="184"/>
      <c r="BL52" s="184"/>
      <c r="BM52" s="184"/>
      <c r="BN52" s="184"/>
      <c r="BO52" s="184"/>
      <c r="BP52" s="184"/>
    </row>
    <row r="53">
      <c r="A53" s="243" t="s">
        <v>123</v>
      </c>
      <c r="B53" s="240"/>
      <c r="C53" s="11"/>
      <c r="D53" s="11"/>
      <c r="E53" s="220"/>
      <c r="F53" s="220"/>
      <c r="G53" s="220"/>
      <c r="H53" s="11"/>
      <c r="I53" s="11"/>
      <c r="J53" s="220"/>
      <c r="K53" s="184"/>
      <c r="L53" s="184"/>
      <c r="M53" s="11"/>
      <c r="N53" s="11"/>
      <c r="O53" s="195"/>
      <c r="P53" s="11"/>
      <c r="Q53" s="11"/>
      <c r="R53" s="12"/>
      <c r="S53" s="11"/>
      <c r="T53" s="220"/>
      <c r="U53" s="184"/>
      <c r="V53" s="184"/>
      <c r="W53" s="11"/>
      <c r="X53" s="11"/>
      <c r="Y53" s="220"/>
      <c r="Z53" s="184"/>
      <c r="AA53" s="184"/>
      <c r="AB53" s="11"/>
      <c r="AC53" s="11"/>
      <c r="AD53" s="220"/>
      <c r="AE53" s="184"/>
      <c r="AF53" s="184"/>
      <c r="AG53" s="11"/>
      <c r="AH53" s="11"/>
      <c r="AI53" s="220"/>
      <c r="AJ53" s="184"/>
      <c r="AK53" s="184"/>
      <c r="AL53" s="11"/>
      <c r="AM53" s="11"/>
      <c r="AN53" s="220"/>
      <c r="AO53" s="184"/>
      <c r="AP53" s="184"/>
      <c r="AQ53" s="11"/>
      <c r="AR53" s="11"/>
      <c r="AS53" s="220"/>
      <c r="AT53" s="184"/>
      <c r="AU53" s="184"/>
      <c r="AV53" s="11"/>
      <c r="AW53" s="11"/>
      <c r="AX53" s="220"/>
      <c r="AY53" s="184"/>
      <c r="AZ53" s="184"/>
      <c r="BA53" s="11"/>
      <c r="BB53" s="11"/>
      <c r="BC53" s="220"/>
      <c r="BD53" s="184"/>
      <c r="BE53" s="184"/>
      <c r="BF53" s="11"/>
      <c r="BG53" s="11"/>
      <c r="BH53" s="220"/>
      <c r="BI53" s="184"/>
      <c r="BJ53" s="184"/>
      <c r="BK53" s="184"/>
      <c r="BL53" s="184"/>
      <c r="BM53" s="184"/>
      <c r="BN53" s="184"/>
      <c r="BO53" s="184"/>
      <c r="BP53" s="184"/>
    </row>
    <row r="54">
      <c r="A54" s="245" t="str">
        <f>IF( $AR$11 = "再製作", "◼︎ ステンカラーコート（対応着地：再製作）" &amp;char(10)&amp; "《修正数値》", IF($AR$11 &lt;&gt; "", "◼︎ ステンカラーコート（対応着地：お直し）" &amp;char(10)&amp; "《修正数値》", ""))</f>
        <v/>
      </c>
      <c r="B54" s="240"/>
      <c r="C54" s="11"/>
      <c r="D54" s="11"/>
      <c r="E54" s="220"/>
      <c r="F54" s="220"/>
      <c r="G54" s="220"/>
      <c r="H54" s="11"/>
      <c r="I54" s="11"/>
      <c r="J54" s="220"/>
      <c r="K54" s="184"/>
      <c r="L54" s="184"/>
      <c r="M54" s="11"/>
      <c r="N54" s="11"/>
      <c r="O54" s="195"/>
      <c r="P54" s="11"/>
      <c r="Q54" s="11"/>
      <c r="R54" s="12"/>
      <c r="S54" s="11"/>
      <c r="T54" s="220"/>
      <c r="U54" s="184"/>
      <c r="V54" s="184"/>
      <c r="W54" s="11"/>
      <c r="X54" s="11"/>
      <c r="Y54" s="220"/>
      <c r="Z54" s="184"/>
      <c r="AA54" s="184"/>
      <c r="AB54" s="11"/>
      <c r="AC54" s="11"/>
      <c r="AD54" s="220"/>
      <c r="AE54" s="184"/>
      <c r="AF54" s="184"/>
      <c r="AG54" s="11"/>
      <c r="AH54" s="11"/>
      <c r="AI54" s="220"/>
      <c r="AJ54" s="184"/>
      <c r="AK54" s="184"/>
      <c r="AL54" s="11"/>
      <c r="AM54" s="11"/>
      <c r="AN54" s="220"/>
      <c r="AO54" s="184"/>
      <c r="AP54" s="184"/>
      <c r="AQ54" s="11"/>
      <c r="AR54" s="11"/>
      <c r="AS54" s="220"/>
      <c r="AT54" s="184"/>
      <c r="AU54" s="184"/>
      <c r="AV54" s="11"/>
      <c r="AW54" s="11"/>
      <c r="AX54" s="220"/>
      <c r="AY54" s="184"/>
      <c r="AZ54" s="184"/>
      <c r="BA54" s="11"/>
      <c r="BB54" s="11"/>
      <c r="BC54" s="220"/>
      <c r="BD54" s="184"/>
      <c r="BE54" s="184"/>
      <c r="BF54" s="11"/>
      <c r="BG54" s="11"/>
      <c r="BH54" s="220"/>
      <c r="BI54" s="184"/>
      <c r="BJ54" s="184"/>
      <c r="BK54" s="184"/>
      <c r="BL54" s="184"/>
      <c r="BM54" s="184"/>
      <c r="BN54" s="184"/>
      <c r="BO54" s="184"/>
      <c r="BP54" s="184"/>
    </row>
    <row r="55">
      <c r="A55" s="228" t="str">
        <f>IFERROR(__xludf.DUMMYFUNCTION("TEXTJOIN(CHAR(10),TRUE,FILTER(ARRAYFORMULA(IF(AS$14:AS72&lt;&gt;"""",AR$14:AR72&amp;"" : ""&amp; AS$14:AS72 &amp;"" cm"","""")), AR$14:AR72 &lt;&gt;""""))"),"")</f>
        <v/>
      </c>
      <c r="B55" s="240"/>
      <c r="C55" s="11"/>
      <c r="D55" s="11"/>
      <c r="E55" s="220"/>
      <c r="F55" s="220"/>
      <c r="G55" s="220"/>
      <c r="H55" s="11"/>
      <c r="I55" s="11"/>
      <c r="J55" s="220"/>
      <c r="K55" s="184"/>
      <c r="L55" s="184"/>
      <c r="M55" s="11"/>
      <c r="N55" s="11"/>
      <c r="O55" s="195"/>
      <c r="P55" s="11"/>
      <c r="Q55" s="11"/>
      <c r="R55" s="12"/>
      <c r="S55" s="11"/>
      <c r="T55" s="220"/>
      <c r="U55" s="184"/>
      <c r="V55" s="184"/>
      <c r="W55" s="11"/>
      <c r="X55" s="11"/>
      <c r="Y55" s="220"/>
      <c r="Z55" s="184"/>
      <c r="AA55" s="184"/>
      <c r="AB55" s="11"/>
      <c r="AC55" s="11"/>
      <c r="AD55" s="220"/>
      <c r="AE55" s="184"/>
      <c r="AF55" s="184"/>
      <c r="AG55" s="11"/>
      <c r="AH55" s="11"/>
      <c r="AI55" s="220"/>
      <c r="AJ55" s="184"/>
      <c r="AK55" s="184"/>
      <c r="AL55" s="11"/>
      <c r="AM55" s="11"/>
      <c r="AN55" s="220"/>
      <c r="AO55" s="184"/>
      <c r="AP55" s="184"/>
      <c r="AQ55" s="11"/>
      <c r="AR55" s="11"/>
      <c r="AS55" s="220"/>
      <c r="AT55" s="184"/>
      <c r="AU55" s="184"/>
      <c r="AV55" s="11"/>
      <c r="AW55" s="11"/>
      <c r="AX55" s="220"/>
      <c r="AY55" s="184"/>
      <c r="AZ55" s="184"/>
      <c r="BA55" s="11"/>
      <c r="BB55" s="11"/>
      <c r="BC55" s="220"/>
      <c r="BD55" s="184"/>
      <c r="BE55" s="184"/>
      <c r="BF55" s="11"/>
      <c r="BG55" s="11"/>
      <c r="BH55" s="220"/>
      <c r="BI55" s="184"/>
      <c r="BJ55" s="184"/>
      <c r="BK55" s="184"/>
      <c r="BL55" s="184"/>
      <c r="BM55" s="184"/>
      <c r="BN55" s="184"/>
      <c r="BO55" s="184"/>
      <c r="BP55" s="184"/>
    </row>
    <row r="56">
      <c r="A56" s="244" t="str">
        <f>if($A$54&lt;&gt;"", "《仕上がり数値》","")</f>
        <v/>
      </c>
      <c r="B56" s="240"/>
      <c r="C56" s="11"/>
      <c r="D56" s="11"/>
      <c r="E56" s="220"/>
      <c r="F56" s="220"/>
      <c r="G56" s="220"/>
      <c r="H56" s="11"/>
      <c r="I56" s="11"/>
      <c r="J56" s="220"/>
      <c r="K56" s="184"/>
      <c r="L56" s="184"/>
      <c r="M56" s="11"/>
      <c r="N56" s="11"/>
      <c r="O56" s="195"/>
      <c r="P56" s="11"/>
      <c r="Q56" s="11"/>
      <c r="R56" s="12"/>
      <c r="S56" s="11"/>
      <c r="T56" s="220"/>
      <c r="U56" s="184"/>
      <c r="V56" s="184"/>
      <c r="W56" s="11"/>
      <c r="X56" s="11"/>
      <c r="Y56" s="220"/>
      <c r="Z56" s="184"/>
      <c r="AA56" s="184"/>
      <c r="AB56" s="11"/>
      <c r="AC56" s="11"/>
      <c r="AD56" s="220"/>
      <c r="AE56" s="184"/>
      <c r="AF56" s="184"/>
      <c r="AG56" s="11"/>
      <c r="AH56" s="11"/>
      <c r="AI56" s="220"/>
      <c r="AJ56" s="184"/>
      <c r="AK56" s="184"/>
      <c r="AL56" s="11"/>
      <c r="AM56" s="11"/>
      <c r="AN56" s="220"/>
      <c r="AO56" s="184"/>
      <c r="AP56" s="184"/>
      <c r="AQ56" s="11"/>
      <c r="AR56" s="11"/>
      <c r="AS56" s="220"/>
      <c r="AT56" s="184"/>
      <c r="AU56" s="184"/>
      <c r="AV56" s="11"/>
      <c r="AW56" s="11"/>
      <c r="AX56" s="220"/>
      <c r="AY56" s="184"/>
      <c r="AZ56" s="184"/>
      <c r="BA56" s="11"/>
      <c r="BB56" s="11"/>
      <c r="BC56" s="220"/>
      <c r="BD56" s="184"/>
      <c r="BE56" s="184"/>
      <c r="BF56" s="11"/>
      <c r="BG56" s="11"/>
      <c r="BH56" s="220"/>
      <c r="BI56" s="184"/>
      <c r="BJ56" s="184"/>
      <c r="BK56" s="184"/>
      <c r="BL56" s="184"/>
      <c r="BM56" s="184"/>
      <c r="BN56" s="184"/>
      <c r="BO56" s="184"/>
      <c r="BP56" s="184"/>
    </row>
    <row r="57">
      <c r="A57" s="228" t="str">
        <f>IFERROR(__xludf.DUMMYFUNCTION("TEXTJOIN(CHAR(10),TRUE,FILTER(ARRAYFORMULA(IF(AS$14:AS72&lt;&gt;"""",AR$14:AR72&amp;"" :  cm"","""")), AR$14:AR72 &lt;&gt;""""))"),"")</f>
        <v/>
      </c>
      <c r="B57" s="240"/>
      <c r="C57" s="11"/>
      <c r="D57" s="11"/>
      <c r="E57" s="220"/>
      <c r="F57" s="220"/>
      <c r="G57" s="220"/>
      <c r="H57" s="11"/>
      <c r="I57" s="11"/>
      <c r="J57" s="220"/>
      <c r="K57" s="184"/>
      <c r="L57" s="184"/>
      <c r="M57" s="11"/>
      <c r="N57" s="11"/>
      <c r="O57" s="195"/>
      <c r="P57" s="11"/>
      <c r="Q57" s="11"/>
      <c r="R57" s="12"/>
      <c r="S57" s="11"/>
      <c r="T57" s="220"/>
      <c r="U57" s="184"/>
      <c r="V57" s="184"/>
      <c r="W57" s="11"/>
      <c r="X57" s="11"/>
      <c r="Y57" s="220"/>
      <c r="Z57" s="184"/>
      <c r="AA57" s="184"/>
      <c r="AB57" s="11"/>
      <c r="AC57" s="11"/>
      <c r="AD57" s="220"/>
      <c r="AE57" s="184"/>
      <c r="AF57" s="184"/>
      <c r="AG57" s="11"/>
      <c r="AH57" s="11"/>
      <c r="AI57" s="220"/>
      <c r="AJ57" s="184"/>
      <c r="AK57" s="184"/>
      <c r="AL57" s="11"/>
      <c r="AM57" s="11"/>
      <c r="AN57" s="220"/>
      <c r="AO57" s="184"/>
      <c r="AP57" s="184"/>
      <c r="AQ57" s="11"/>
      <c r="AR57" s="11"/>
      <c r="AS57" s="220"/>
      <c r="AT57" s="184"/>
      <c r="AU57" s="184"/>
      <c r="AV57" s="11"/>
      <c r="AW57" s="11"/>
      <c r="AX57" s="220"/>
      <c r="AY57" s="184"/>
      <c r="AZ57" s="184"/>
      <c r="BA57" s="11"/>
      <c r="BB57" s="11"/>
      <c r="BC57" s="220"/>
      <c r="BD57" s="184"/>
      <c r="BE57" s="184"/>
      <c r="BF57" s="11"/>
      <c r="BG57" s="11"/>
      <c r="BH57" s="220"/>
      <c r="BI57" s="184"/>
      <c r="BJ57" s="184"/>
      <c r="BK57" s="184"/>
      <c r="BL57" s="184"/>
      <c r="BM57" s="184"/>
      <c r="BN57" s="184"/>
      <c r="BO57" s="184"/>
      <c r="BP57" s="184"/>
    </row>
    <row r="58">
      <c r="A58" s="243" t="s">
        <v>124</v>
      </c>
      <c r="B58" s="240"/>
      <c r="C58" s="11"/>
      <c r="D58" s="11"/>
      <c r="E58" s="220"/>
      <c r="F58" s="220"/>
      <c r="G58" s="220"/>
      <c r="H58" s="11"/>
      <c r="I58" s="11"/>
      <c r="J58" s="220"/>
      <c r="K58" s="184"/>
      <c r="L58" s="184"/>
      <c r="M58" s="11"/>
      <c r="N58" s="11"/>
      <c r="O58" s="195"/>
      <c r="P58" s="11"/>
      <c r="Q58" s="11"/>
      <c r="R58" s="12"/>
      <c r="S58" s="11"/>
      <c r="T58" s="220"/>
      <c r="U58" s="184"/>
      <c r="V58" s="184"/>
      <c r="W58" s="11"/>
      <c r="X58" s="11"/>
      <c r="Y58" s="220"/>
      <c r="Z58" s="184"/>
      <c r="AA58" s="184"/>
      <c r="AB58" s="11"/>
      <c r="AC58" s="11"/>
      <c r="AD58" s="220"/>
      <c r="AE58" s="184"/>
      <c r="AF58" s="184"/>
      <c r="AG58" s="11"/>
      <c r="AH58" s="11"/>
      <c r="AI58" s="220"/>
      <c r="AJ58" s="184"/>
      <c r="AK58" s="184"/>
      <c r="AL58" s="11"/>
      <c r="AM58" s="11"/>
      <c r="AN58" s="220"/>
      <c r="AO58" s="184"/>
      <c r="AP58" s="184"/>
      <c r="AQ58" s="11"/>
      <c r="AR58" s="11"/>
      <c r="AS58" s="220"/>
      <c r="AT58" s="184"/>
      <c r="AU58" s="184"/>
      <c r="AV58" s="11"/>
      <c r="AW58" s="11"/>
      <c r="AX58" s="220"/>
      <c r="AY58" s="184"/>
      <c r="AZ58" s="184"/>
      <c r="BA58" s="11"/>
      <c r="BB58" s="11"/>
      <c r="BC58" s="220"/>
      <c r="BD58" s="184"/>
      <c r="BE58" s="184"/>
      <c r="BF58" s="11"/>
      <c r="BG58" s="11"/>
      <c r="BH58" s="220"/>
      <c r="BI58" s="184"/>
      <c r="BJ58" s="184"/>
      <c r="BK58" s="184"/>
      <c r="BL58" s="184"/>
      <c r="BM58" s="184"/>
      <c r="BN58" s="184"/>
      <c r="BO58" s="184"/>
      <c r="BP58" s="184"/>
    </row>
    <row r="59">
      <c r="A59" s="245" t="str">
        <f>IF( $AW$11 = "再製作", "◼︎ チェスターコート（対応着地：再製作）" &amp;char(10)&amp;"《修正数値》", IF($AW$11 &lt;&gt; "", "◼︎ チェスターコート（対応着地：お直し）" &amp;char(10)&amp;"《修正数値》", ""))</f>
        <v/>
      </c>
      <c r="B59" s="240"/>
      <c r="C59" s="11"/>
      <c r="D59" s="11"/>
      <c r="E59" s="220"/>
      <c r="F59" s="220"/>
      <c r="G59" s="220"/>
      <c r="H59" s="11"/>
      <c r="I59" s="11"/>
      <c r="J59" s="220"/>
      <c r="K59" s="184"/>
      <c r="L59" s="184"/>
      <c r="M59" s="11"/>
      <c r="N59" s="11"/>
      <c r="O59" s="195"/>
      <c r="P59" s="11"/>
      <c r="Q59" s="11"/>
      <c r="R59" s="12"/>
      <c r="S59" s="11"/>
      <c r="T59" s="220"/>
      <c r="U59" s="184"/>
      <c r="V59" s="184"/>
      <c r="W59" s="11"/>
      <c r="X59" s="11"/>
      <c r="Y59" s="220"/>
      <c r="Z59" s="184"/>
      <c r="AA59" s="184"/>
      <c r="AB59" s="11"/>
      <c r="AC59" s="11"/>
      <c r="AD59" s="220"/>
      <c r="AE59" s="184"/>
      <c r="AF59" s="184"/>
      <c r="AG59" s="11"/>
      <c r="AH59" s="11"/>
      <c r="AI59" s="220"/>
      <c r="AJ59" s="184"/>
      <c r="AK59" s="184"/>
      <c r="AL59" s="11"/>
      <c r="AM59" s="11"/>
      <c r="AN59" s="220"/>
      <c r="AO59" s="184"/>
      <c r="AP59" s="184"/>
      <c r="AQ59" s="11"/>
      <c r="AR59" s="11"/>
      <c r="AS59" s="220"/>
      <c r="AT59" s="184"/>
      <c r="AU59" s="184"/>
      <c r="AV59" s="11"/>
      <c r="AW59" s="11"/>
      <c r="AX59" s="220"/>
      <c r="AY59" s="184"/>
      <c r="AZ59" s="184"/>
      <c r="BA59" s="11"/>
      <c r="BB59" s="11"/>
      <c r="BC59" s="220"/>
      <c r="BD59" s="184"/>
      <c r="BE59" s="184"/>
      <c r="BF59" s="11"/>
      <c r="BG59" s="11"/>
      <c r="BH59" s="220"/>
      <c r="BI59" s="184"/>
      <c r="BJ59" s="184"/>
      <c r="BK59" s="184"/>
      <c r="BL59" s="184"/>
      <c r="BM59" s="184"/>
      <c r="BN59" s="184"/>
      <c r="BO59" s="184"/>
      <c r="BP59" s="184"/>
    </row>
    <row r="60">
      <c r="A60" s="228" t="str">
        <f>IFERROR(__xludf.DUMMYFUNCTION("TEXTJOIN(CHAR(10),TRUE,FILTER(ARRAYFORMULA(IF(AX$14:AX72&lt;&gt;"""",AW$14:AW72&amp;"" : ""&amp; AX$14:AX72 &amp;"" cm"","""")), AC$14:AC72 &lt;&gt;""""))"),"")</f>
        <v/>
      </c>
      <c r="B60" s="240"/>
      <c r="C60" s="11"/>
      <c r="D60" s="11"/>
      <c r="E60" s="220"/>
      <c r="F60" s="220"/>
      <c r="G60" s="220"/>
      <c r="H60" s="11"/>
      <c r="I60" s="11"/>
      <c r="J60" s="220"/>
      <c r="K60" s="184"/>
      <c r="L60" s="184"/>
      <c r="M60" s="11"/>
      <c r="N60" s="11"/>
      <c r="O60" s="195"/>
      <c r="P60" s="11"/>
      <c r="Q60" s="11"/>
      <c r="R60" s="12"/>
      <c r="S60" s="11"/>
      <c r="T60" s="220"/>
      <c r="U60" s="184"/>
      <c r="V60" s="184"/>
      <c r="W60" s="11"/>
      <c r="X60" s="11"/>
      <c r="Y60" s="220"/>
      <c r="Z60" s="184"/>
      <c r="AA60" s="184"/>
      <c r="AB60" s="11"/>
      <c r="AC60" s="11"/>
      <c r="AD60" s="220"/>
      <c r="AE60" s="184"/>
      <c r="AF60" s="184"/>
      <c r="AG60" s="11"/>
      <c r="AH60" s="11"/>
      <c r="AI60" s="220"/>
      <c r="AJ60" s="184"/>
      <c r="AK60" s="184"/>
      <c r="AL60" s="11"/>
      <c r="AM60" s="11"/>
      <c r="AN60" s="220"/>
      <c r="AO60" s="184"/>
      <c r="AP60" s="184"/>
      <c r="AQ60" s="11"/>
      <c r="AR60" s="11"/>
      <c r="AS60" s="220"/>
      <c r="AT60" s="184"/>
      <c r="AU60" s="184"/>
      <c r="AV60" s="11"/>
      <c r="AW60" s="11"/>
      <c r="AX60" s="220"/>
      <c r="AY60" s="184"/>
      <c r="AZ60" s="184"/>
      <c r="BA60" s="11"/>
      <c r="BB60" s="11"/>
      <c r="BC60" s="220"/>
      <c r="BD60" s="184"/>
      <c r="BE60" s="184"/>
      <c r="BF60" s="11"/>
      <c r="BG60" s="11"/>
      <c r="BH60" s="220"/>
      <c r="BI60" s="184"/>
      <c r="BJ60" s="184"/>
      <c r="BK60" s="184"/>
      <c r="BL60" s="184"/>
      <c r="BM60" s="184"/>
      <c r="BN60" s="184"/>
      <c r="BO60" s="184"/>
      <c r="BP60" s="184"/>
    </row>
    <row r="61">
      <c r="A61" s="244" t="str">
        <f>if($A$59&lt;&gt;"", "《仕上がり数値》","")</f>
        <v/>
      </c>
      <c r="B61" s="240"/>
      <c r="C61" s="11"/>
      <c r="D61" s="11"/>
      <c r="E61" s="220"/>
      <c r="F61" s="220"/>
      <c r="G61" s="220"/>
      <c r="H61" s="11"/>
      <c r="I61" s="11"/>
      <c r="J61" s="220"/>
      <c r="K61" s="184"/>
      <c r="L61" s="184"/>
      <c r="M61" s="11"/>
      <c r="N61" s="11"/>
      <c r="O61" s="195"/>
      <c r="P61" s="11"/>
      <c r="Q61" s="11"/>
      <c r="R61" s="12"/>
      <c r="S61" s="11"/>
      <c r="T61" s="220"/>
      <c r="U61" s="184"/>
      <c r="V61" s="184"/>
      <c r="W61" s="11"/>
      <c r="X61" s="11"/>
      <c r="Y61" s="220"/>
      <c r="Z61" s="184"/>
      <c r="AA61" s="184"/>
      <c r="AB61" s="11"/>
      <c r="AC61" s="11"/>
      <c r="AD61" s="220"/>
      <c r="AE61" s="184"/>
      <c r="AF61" s="184"/>
      <c r="AG61" s="11"/>
      <c r="AH61" s="11"/>
      <c r="AI61" s="220"/>
      <c r="AJ61" s="184"/>
      <c r="AK61" s="184"/>
      <c r="AL61" s="11"/>
      <c r="AM61" s="11"/>
      <c r="AN61" s="220"/>
      <c r="AO61" s="184"/>
      <c r="AP61" s="184"/>
      <c r="AQ61" s="11"/>
      <c r="AR61" s="11"/>
      <c r="AS61" s="220"/>
      <c r="AT61" s="184"/>
      <c r="AU61" s="184"/>
      <c r="AV61" s="11"/>
      <c r="AW61" s="11"/>
      <c r="AX61" s="220"/>
      <c r="AY61" s="184"/>
      <c r="AZ61" s="184"/>
      <c r="BA61" s="11"/>
      <c r="BB61" s="11"/>
      <c r="BC61" s="220"/>
      <c r="BD61" s="184"/>
      <c r="BE61" s="184"/>
      <c r="BF61" s="11"/>
      <c r="BG61" s="11"/>
      <c r="BH61" s="220"/>
      <c r="BI61" s="184"/>
      <c r="BJ61" s="184"/>
      <c r="BK61" s="184"/>
      <c r="BL61" s="184"/>
      <c r="BM61" s="184"/>
      <c r="BN61" s="184"/>
      <c r="BO61" s="184"/>
      <c r="BP61" s="184"/>
    </row>
    <row r="62">
      <c r="A62" s="228" t="str">
        <f>IFERROR(__xludf.DUMMYFUNCTION("TEXTJOIN(CHAR(10),TRUE,FILTER(ARRAYFORMULA(IF(AX$14:AX72&lt;&gt;"""",AW$14:AW72&amp;"" :  cm"","""")), AC$14:AC72 &lt;&gt;""""))"),"")</f>
        <v/>
      </c>
      <c r="B62" s="240"/>
      <c r="C62" s="11"/>
      <c r="D62" s="11"/>
      <c r="E62" s="220"/>
      <c r="F62" s="220"/>
      <c r="G62" s="220"/>
      <c r="H62" s="11"/>
      <c r="I62" s="11"/>
      <c r="J62" s="220"/>
      <c r="K62" s="184"/>
      <c r="L62" s="184"/>
      <c r="M62" s="11"/>
      <c r="N62" s="11"/>
      <c r="O62" s="195"/>
      <c r="P62" s="11"/>
      <c r="Q62" s="11"/>
      <c r="R62" s="12"/>
      <c r="S62" s="11"/>
      <c r="T62" s="220"/>
      <c r="U62" s="184"/>
      <c r="V62" s="184"/>
      <c r="W62" s="11"/>
      <c r="X62" s="11"/>
      <c r="Y62" s="220"/>
      <c r="Z62" s="184"/>
      <c r="AA62" s="184"/>
      <c r="AB62" s="11"/>
      <c r="AC62" s="11"/>
      <c r="AD62" s="220"/>
      <c r="AE62" s="184"/>
      <c r="AF62" s="184"/>
      <c r="AG62" s="11"/>
      <c r="AH62" s="11"/>
      <c r="AI62" s="220"/>
      <c r="AJ62" s="184"/>
      <c r="AK62" s="184"/>
      <c r="AL62" s="11"/>
      <c r="AM62" s="11"/>
      <c r="AN62" s="220"/>
      <c r="AO62" s="184"/>
      <c r="AP62" s="184"/>
      <c r="AQ62" s="11"/>
      <c r="AR62" s="11"/>
      <c r="AS62" s="220"/>
      <c r="AT62" s="184"/>
      <c r="AU62" s="184"/>
      <c r="AV62" s="11"/>
      <c r="AW62" s="11"/>
      <c r="AX62" s="220"/>
      <c r="AY62" s="184"/>
      <c r="AZ62" s="184"/>
      <c r="BA62" s="11"/>
      <c r="BB62" s="11"/>
      <c r="BC62" s="220"/>
      <c r="BD62" s="184"/>
      <c r="BE62" s="184"/>
      <c r="BF62" s="11"/>
      <c r="BG62" s="11"/>
      <c r="BH62" s="220"/>
      <c r="BI62" s="184"/>
      <c r="BJ62" s="184"/>
      <c r="BK62" s="184"/>
      <c r="BL62" s="184"/>
      <c r="BM62" s="184"/>
      <c r="BN62" s="184"/>
      <c r="BO62" s="184"/>
      <c r="BP62" s="184"/>
    </row>
    <row r="63">
      <c r="A63" s="243" t="s">
        <v>125</v>
      </c>
      <c r="B63" s="240"/>
      <c r="C63" s="11"/>
      <c r="D63" s="11"/>
      <c r="E63" s="220"/>
      <c r="F63" s="220"/>
      <c r="G63" s="220"/>
      <c r="H63" s="11"/>
      <c r="I63" s="11"/>
      <c r="J63" s="220"/>
      <c r="K63" s="184"/>
      <c r="L63" s="184"/>
      <c r="M63" s="11"/>
      <c r="N63" s="11"/>
      <c r="O63" s="195"/>
      <c r="P63" s="11"/>
      <c r="Q63" s="11"/>
      <c r="R63" s="12"/>
      <c r="S63" s="11"/>
      <c r="T63" s="220"/>
      <c r="U63" s="184"/>
      <c r="V63" s="184"/>
      <c r="W63" s="11"/>
      <c r="X63" s="11"/>
      <c r="Y63" s="220"/>
      <c r="Z63" s="184"/>
      <c r="AA63" s="184"/>
      <c r="AB63" s="11"/>
      <c r="AC63" s="11"/>
      <c r="AD63" s="220"/>
      <c r="AE63" s="184"/>
      <c r="AF63" s="184"/>
      <c r="AG63" s="11"/>
      <c r="AH63" s="11"/>
      <c r="AI63" s="220"/>
      <c r="AJ63" s="184"/>
      <c r="AK63" s="184"/>
      <c r="AL63" s="11"/>
      <c r="AM63" s="11"/>
      <c r="AN63" s="220"/>
      <c r="AO63" s="184"/>
      <c r="AP63" s="184"/>
      <c r="AQ63" s="11"/>
      <c r="AR63" s="11"/>
      <c r="AS63" s="220"/>
      <c r="AT63" s="184"/>
      <c r="AU63" s="184"/>
      <c r="AV63" s="11"/>
      <c r="AW63" s="11"/>
      <c r="AX63" s="220"/>
      <c r="AY63" s="184"/>
      <c r="AZ63" s="184"/>
      <c r="BA63" s="11"/>
      <c r="BB63" s="11"/>
      <c r="BC63" s="220"/>
      <c r="BD63" s="184"/>
      <c r="BE63" s="184"/>
      <c r="BF63" s="11"/>
      <c r="BG63" s="11"/>
      <c r="BH63" s="220"/>
      <c r="BI63" s="184"/>
      <c r="BJ63" s="184"/>
      <c r="BK63" s="184"/>
      <c r="BL63" s="184"/>
      <c r="BM63" s="184"/>
      <c r="BN63" s="184"/>
      <c r="BO63" s="184"/>
      <c r="BP63" s="184"/>
    </row>
    <row r="64">
      <c r="A64" s="245" t="str">
        <f>IF( $BB$11 = "再製作", "◼︎ トレンチコート（対応着地：再製作）" &amp;char(10)&amp; "《修正数値》", IF($BB$11 &lt;&gt; "", "◼︎ トレンチコート（対応着地：お直し）" &amp;char(10)&amp; "《修正数値》", ""))</f>
        <v/>
      </c>
      <c r="B64" s="240"/>
      <c r="C64" s="11"/>
      <c r="D64" s="11"/>
      <c r="E64" s="220"/>
      <c r="F64" s="220"/>
      <c r="G64" s="220"/>
      <c r="H64" s="11"/>
      <c r="I64" s="11"/>
      <c r="J64" s="220"/>
      <c r="K64" s="184"/>
      <c r="L64" s="184"/>
      <c r="M64" s="11"/>
      <c r="N64" s="11"/>
      <c r="O64" s="195"/>
      <c r="P64" s="11"/>
      <c r="Q64" s="11"/>
      <c r="R64" s="12"/>
      <c r="S64" s="11"/>
      <c r="T64" s="220"/>
      <c r="U64" s="184"/>
      <c r="V64" s="184"/>
      <c r="W64" s="11"/>
      <c r="X64" s="11"/>
      <c r="Y64" s="220"/>
      <c r="Z64" s="184"/>
      <c r="AA64" s="184"/>
      <c r="AB64" s="11"/>
      <c r="AC64" s="11"/>
      <c r="AD64" s="220"/>
      <c r="AE64" s="184"/>
      <c r="AF64" s="184"/>
      <c r="AG64" s="11"/>
      <c r="AH64" s="11"/>
      <c r="AI64" s="220"/>
      <c r="AJ64" s="184"/>
      <c r="AK64" s="184"/>
      <c r="AL64" s="11"/>
      <c r="AM64" s="11"/>
      <c r="AN64" s="220"/>
      <c r="AO64" s="184"/>
      <c r="AP64" s="184"/>
      <c r="AQ64" s="11"/>
      <c r="AR64" s="11"/>
      <c r="AS64" s="220"/>
      <c r="AT64" s="184"/>
      <c r="AU64" s="184"/>
      <c r="AV64" s="11"/>
      <c r="AW64" s="11"/>
      <c r="AX64" s="220"/>
      <c r="AY64" s="184"/>
      <c r="AZ64" s="184"/>
      <c r="BA64" s="11"/>
      <c r="BB64" s="11"/>
      <c r="BC64" s="220"/>
      <c r="BD64" s="184"/>
      <c r="BE64" s="184"/>
      <c r="BF64" s="11"/>
      <c r="BG64" s="11"/>
      <c r="BH64" s="220"/>
      <c r="BI64" s="184"/>
      <c r="BJ64" s="184"/>
      <c r="BK64" s="184"/>
      <c r="BL64" s="184"/>
      <c r="BM64" s="184"/>
      <c r="BN64" s="184"/>
      <c r="BO64" s="184"/>
      <c r="BP64" s="184"/>
    </row>
    <row r="65">
      <c r="A65" s="228" t="str">
        <f>IFERROR(__xludf.DUMMYFUNCTION("TEXTJOIN(CHAR(10),TRUE,FILTER(ARRAYFORMULA(IF(BC$14:BC72&lt;&gt;"""",BB$14:BB72&amp;"" : ""&amp; BC$14:BC72 &amp;"" cm"","""")), BB$14:BB72 &lt;&gt;""""))"),"")</f>
        <v/>
      </c>
      <c r="B65" s="240"/>
      <c r="C65" s="11"/>
      <c r="D65" s="11"/>
      <c r="E65" s="220"/>
      <c r="F65" s="220"/>
      <c r="G65" s="220"/>
      <c r="H65" s="11"/>
      <c r="I65" s="11"/>
      <c r="J65" s="220"/>
      <c r="K65" s="184"/>
      <c r="L65" s="184"/>
      <c r="M65" s="11"/>
      <c r="N65" s="11"/>
      <c r="O65" s="195"/>
      <c r="P65" s="11"/>
      <c r="Q65" s="11"/>
      <c r="R65" s="12"/>
      <c r="S65" s="11"/>
      <c r="T65" s="220"/>
      <c r="U65" s="184"/>
      <c r="V65" s="184"/>
      <c r="W65" s="11"/>
      <c r="X65" s="11"/>
      <c r="Y65" s="220"/>
      <c r="Z65" s="184"/>
      <c r="AA65" s="184"/>
      <c r="AB65" s="11"/>
      <c r="AC65" s="11"/>
      <c r="AD65" s="220"/>
      <c r="AE65" s="184"/>
      <c r="AF65" s="184"/>
      <c r="AG65" s="11"/>
      <c r="AH65" s="11"/>
      <c r="AI65" s="220"/>
      <c r="AJ65" s="184"/>
      <c r="AK65" s="184"/>
      <c r="AL65" s="11"/>
      <c r="AM65" s="11"/>
      <c r="AN65" s="220"/>
      <c r="AO65" s="184"/>
      <c r="AP65" s="184"/>
      <c r="AQ65" s="11"/>
      <c r="AR65" s="11"/>
      <c r="AS65" s="220"/>
      <c r="AT65" s="184"/>
      <c r="AU65" s="184"/>
      <c r="AV65" s="11"/>
      <c r="AW65" s="11"/>
      <c r="AX65" s="220"/>
      <c r="AY65" s="184"/>
      <c r="AZ65" s="184"/>
      <c r="BA65" s="11"/>
      <c r="BB65" s="11"/>
      <c r="BC65" s="220"/>
      <c r="BD65" s="184"/>
      <c r="BE65" s="184"/>
      <c r="BF65" s="11"/>
      <c r="BG65" s="11"/>
      <c r="BH65" s="220"/>
      <c r="BI65" s="184"/>
      <c r="BJ65" s="184"/>
      <c r="BK65" s="184"/>
      <c r="BL65" s="184"/>
      <c r="BM65" s="184"/>
      <c r="BN65" s="184"/>
      <c r="BO65" s="184"/>
      <c r="BP65" s="184"/>
    </row>
    <row r="66">
      <c r="A66" s="244" t="str">
        <f>if($A$64&lt;&gt;"", "《仕上がり数値》","")</f>
        <v/>
      </c>
      <c r="B66" s="240"/>
      <c r="C66" s="11"/>
      <c r="D66" s="11"/>
      <c r="E66" s="220"/>
      <c r="F66" s="220"/>
      <c r="G66" s="220"/>
      <c r="H66" s="11"/>
      <c r="I66" s="11"/>
      <c r="J66" s="220"/>
      <c r="K66" s="184"/>
      <c r="L66" s="184"/>
      <c r="M66" s="11"/>
      <c r="N66" s="11"/>
      <c r="O66" s="195"/>
      <c r="P66" s="11"/>
      <c r="Q66" s="11"/>
      <c r="R66" s="12"/>
      <c r="S66" s="11"/>
      <c r="T66" s="220"/>
      <c r="U66" s="184"/>
      <c r="V66" s="184"/>
      <c r="W66" s="11"/>
      <c r="X66" s="11"/>
      <c r="Y66" s="220"/>
      <c r="Z66" s="184"/>
      <c r="AA66" s="184"/>
      <c r="AB66" s="11"/>
      <c r="AC66" s="11"/>
      <c r="AD66" s="220"/>
      <c r="AE66" s="184"/>
      <c r="AF66" s="184"/>
      <c r="AG66" s="11"/>
      <c r="AH66" s="11"/>
      <c r="AI66" s="220"/>
      <c r="AJ66" s="184"/>
      <c r="AK66" s="184"/>
      <c r="AL66" s="11"/>
      <c r="AM66" s="11"/>
      <c r="AN66" s="220"/>
      <c r="AO66" s="184"/>
      <c r="AP66" s="184"/>
      <c r="AQ66" s="11"/>
      <c r="AR66" s="11"/>
      <c r="AS66" s="220"/>
      <c r="AT66" s="184"/>
      <c r="AU66" s="184"/>
      <c r="AV66" s="11"/>
      <c r="AW66" s="11"/>
      <c r="AX66" s="220"/>
      <c r="AY66" s="184"/>
      <c r="AZ66" s="184"/>
      <c r="BA66" s="11"/>
      <c r="BB66" s="11"/>
      <c r="BC66" s="220"/>
      <c r="BD66" s="184"/>
      <c r="BE66" s="184"/>
      <c r="BF66" s="11"/>
      <c r="BG66" s="11"/>
      <c r="BH66" s="220"/>
      <c r="BI66" s="184"/>
      <c r="BJ66" s="184"/>
      <c r="BK66" s="184"/>
      <c r="BL66" s="184"/>
      <c r="BM66" s="184"/>
      <c r="BN66" s="184"/>
      <c r="BO66" s="184"/>
      <c r="BP66" s="184"/>
    </row>
    <row r="67">
      <c r="A67" s="228" t="str">
        <f>IFERROR(__xludf.DUMMYFUNCTION("TEXTJOIN(CHAR(10),TRUE,FILTER(ARRAYFORMULA(IF(BC$14:BC72&lt;&gt;"""",BB$14:BB72&amp;"" :  cm"","""")), BB$14:BB72 &lt;&gt;""""))"),"")</f>
        <v/>
      </c>
      <c r="B67" s="240"/>
      <c r="C67" s="11"/>
      <c r="D67" s="11"/>
      <c r="E67" s="220"/>
      <c r="F67" s="220"/>
      <c r="G67" s="220"/>
      <c r="H67" s="11"/>
      <c r="I67" s="11"/>
      <c r="J67" s="220"/>
      <c r="K67" s="184"/>
      <c r="L67" s="184"/>
      <c r="M67" s="11"/>
      <c r="N67" s="11"/>
      <c r="O67" s="195"/>
      <c r="P67" s="11"/>
      <c r="Q67" s="11"/>
      <c r="R67" s="12"/>
      <c r="S67" s="11"/>
      <c r="T67" s="220"/>
      <c r="U67" s="184"/>
      <c r="V67" s="184"/>
      <c r="W67" s="11"/>
      <c r="X67" s="11"/>
      <c r="Y67" s="220"/>
      <c r="Z67" s="184"/>
      <c r="AA67" s="184"/>
      <c r="AB67" s="11"/>
      <c r="AC67" s="11"/>
      <c r="AD67" s="220"/>
      <c r="AE67" s="184"/>
      <c r="AF67" s="184"/>
      <c r="AG67" s="11"/>
      <c r="AH67" s="11"/>
      <c r="AI67" s="220"/>
      <c r="AJ67" s="184"/>
      <c r="AK67" s="184"/>
      <c r="AL67" s="11"/>
      <c r="AM67" s="11"/>
      <c r="AN67" s="220"/>
      <c r="AO67" s="184"/>
      <c r="AP67" s="184"/>
      <c r="AQ67" s="11"/>
      <c r="AR67" s="11"/>
      <c r="AS67" s="220"/>
      <c r="AT67" s="184"/>
      <c r="AU67" s="184"/>
      <c r="AV67" s="11"/>
      <c r="AW67" s="11"/>
      <c r="AX67" s="220"/>
      <c r="AY67" s="184"/>
      <c r="AZ67" s="184"/>
      <c r="BA67" s="11"/>
      <c r="BB67" s="11"/>
      <c r="BC67" s="220"/>
      <c r="BD67" s="184"/>
      <c r="BE67" s="184"/>
      <c r="BF67" s="11"/>
      <c r="BG67" s="11"/>
      <c r="BH67" s="220"/>
      <c r="BI67" s="184"/>
      <c r="BJ67" s="184"/>
      <c r="BK67" s="184"/>
      <c r="BL67" s="184"/>
      <c r="BM67" s="184"/>
      <c r="BN67" s="184"/>
      <c r="BO67" s="184"/>
      <c r="BP67" s="184"/>
    </row>
    <row r="68">
      <c r="A68" s="243" t="s">
        <v>126</v>
      </c>
      <c r="B68" s="240"/>
      <c r="C68" s="11"/>
      <c r="D68" s="11"/>
      <c r="E68" s="220"/>
      <c r="F68" s="220"/>
      <c r="G68" s="220"/>
      <c r="H68" s="11"/>
      <c r="I68" s="11"/>
      <c r="J68" s="220"/>
      <c r="K68" s="184"/>
      <c r="L68" s="184"/>
      <c r="M68" s="11"/>
      <c r="N68" s="11"/>
      <c r="O68" s="195"/>
      <c r="P68" s="11"/>
      <c r="Q68" s="11"/>
      <c r="R68" s="12"/>
      <c r="S68" s="11"/>
      <c r="T68" s="220"/>
      <c r="U68" s="184"/>
      <c r="V68" s="184"/>
      <c r="W68" s="11"/>
      <c r="X68" s="11"/>
      <c r="Y68" s="220"/>
      <c r="Z68" s="184"/>
      <c r="AA68" s="184"/>
      <c r="AB68" s="11"/>
      <c r="AC68" s="11"/>
      <c r="AD68" s="220"/>
      <c r="AE68" s="184"/>
      <c r="AF68" s="184"/>
      <c r="AG68" s="11"/>
      <c r="AH68" s="11"/>
      <c r="AI68" s="220"/>
      <c r="AJ68" s="184"/>
      <c r="AK68" s="184"/>
      <c r="AL68" s="11"/>
      <c r="AM68" s="11"/>
      <c r="AN68" s="220"/>
      <c r="AO68" s="184"/>
      <c r="AP68" s="184"/>
      <c r="AQ68" s="11"/>
      <c r="AR68" s="11"/>
      <c r="AS68" s="220"/>
      <c r="AT68" s="184"/>
      <c r="AU68" s="184"/>
      <c r="AV68" s="11"/>
      <c r="AW68" s="11"/>
      <c r="AX68" s="220"/>
      <c r="AY68" s="184"/>
      <c r="AZ68" s="184"/>
      <c r="BA68" s="11"/>
      <c r="BB68" s="11"/>
      <c r="BC68" s="220"/>
      <c r="BD68" s="184"/>
      <c r="BE68" s="184"/>
      <c r="BF68" s="11"/>
      <c r="BG68" s="11"/>
      <c r="BH68" s="220"/>
      <c r="BI68" s="184"/>
      <c r="BJ68" s="184"/>
      <c r="BK68" s="184"/>
      <c r="BL68" s="184"/>
      <c r="BM68" s="184"/>
      <c r="BN68" s="184"/>
      <c r="BO68" s="184"/>
      <c r="BP68" s="184"/>
    </row>
    <row r="69">
      <c r="A69" s="245" t="str">
        <f>IF( $BG$11 = "再製作", "◼︎ フーデッドコート（対応着地：再製作）"&amp;char(10)&amp;"《修正数値》", IF($BG$11 &lt;&gt; "", "◼︎ フーデッドコート（対応着地：お直し）"&amp;char(10)&amp;"《修正数値》", ""))</f>
        <v/>
      </c>
      <c r="B69" s="240"/>
      <c r="C69" s="11"/>
      <c r="D69" s="11"/>
      <c r="E69" s="220"/>
      <c r="F69" s="220"/>
      <c r="G69" s="220"/>
      <c r="H69" s="11"/>
      <c r="I69" s="11"/>
      <c r="J69" s="220"/>
      <c r="K69" s="184"/>
      <c r="L69" s="184"/>
      <c r="M69" s="11"/>
      <c r="N69" s="11"/>
      <c r="O69" s="195"/>
      <c r="P69" s="11"/>
      <c r="Q69" s="11"/>
      <c r="R69" s="12"/>
      <c r="S69" s="11"/>
      <c r="T69" s="220"/>
      <c r="U69" s="184"/>
      <c r="V69" s="184"/>
      <c r="W69" s="11"/>
      <c r="X69" s="11"/>
      <c r="Y69" s="220"/>
      <c r="Z69" s="184"/>
      <c r="AA69" s="184"/>
      <c r="AB69" s="11"/>
      <c r="AC69" s="11"/>
      <c r="AD69" s="220"/>
      <c r="AE69" s="184"/>
      <c r="AF69" s="184"/>
      <c r="AG69" s="11"/>
      <c r="AH69" s="11"/>
      <c r="AI69" s="220"/>
      <c r="AJ69" s="184"/>
      <c r="AK69" s="184"/>
      <c r="AL69" s="11"/>
      <c r="AM69" s="11"/>
      <c r="AN69" s="220"/>
      <c r="AO69" s="184"/>
      <c r="AP69" s="184"/>
      <c r="AQ69" s="11"/>
      <c r="AR69" s="11"/>
      <c r="AS69" s="220"/>
      <c r="AT69" s="184"/>
      <c r="AU69" s="184"/>
      <c r="AV69" s="11"/>
      <c r="AW69" s="11"/>
      <c r="AX69" s="220"/>
      <c r="AY69" s="184"/>
      <c r="AZ69" s="184"/>
      <c r="BA69" s="11"/>
      <c r="BB69" s="11"/>
      <c r="BC69" s="220"/>
      <c r="BD69" s="184"/>
      <c r="BE69" s="184"/>
      <c r="BF69" s="11"/>
      <c r="BG69" s="11"/>
      <c r="BH69" s="220"/>
      <c r="BI69" s="184"/>
      <c r="BJ69" s="184"/>
      <c r="BK69" s="184"/>
      <c r="BL69" s="184"/>
      <c r="BM69" s="184"/>
      <c r="BN69" s="184"/>
      <c r="BO69" s="184"/>
      <c r="BP69" s="184"/>
    </row>
    <row r="70">
      <c r="A70" s="228" t="str">
        <f>IFERROR(__xludf.DUMMYFUNCTION("TEXTJOIN(CHAR(10),TRUE,FILTER(ARRAYFORMULA(IF(BH$14:BH72&lt;&gt;"""",BG$14:BG72&amp;"" : ""&amp; BH$14:BH72 &amp;"" cm"","""")), BG$14:BG72 &lt;&gt;""""))"),"")</f>
        <v/>
      </c>
      <c r="B70" s="240"/>
      <c r="C70" s="11"/>
      <c r="D70" s="11"/>
      <c r="E70" s="220"/>
      <c r="F70" s="220"/>
      <c r="G70" s="220"/>
      <c r="H70" s="11"/>
      <c r="I70" s="11"/>
      <c r="J70" s="220"/>
      <c r="K70" s="184"/>
      <c r="L70" s="184"/>
      <c r="M70" s="11"/>
      <c r="N70" s="11"/>
      <c r="O70" s="195"/>
      <c r="P70" s="11"/>
      <c r="Q70" s="11"/>
      <c r="R70" s="12"/>
      <c r="S70" s="11"/>
      <c r="T70" s="220"/>
      <c r="U70" s="184"/>
      <c r="V70" s="184"/>
      <c r="W70" s="11"/>
      <c r="X70" s="11"/>
      <c r="Y70" s="220"/>
      <c r="Z70" s="184"/>
      <c r="AA70" s="184"/>
      <c r="AB70" s="11"/>
      <c r="AC70" s="11"/>
      <c r="AD70" s="220"/>
      <c r="AE70" s="184"/>
      <c r="AF70" s="184"/>
      <c r="AG70" s="11"/>
      <c r="AH70" s="11"/>
      <c r="AI70" s="220"/>
      <c r="AJ70" s="184"/>
      <c r="AK70" s="184"/>
      <c r="AL70" s="11"/>
      <c r="AM70" s="11"/>
      <c r="AN70" s="220"/>
      <c r="AO70" s="184"/>
      <c r="AP70" s="184"/>
      <c r="AQ70" s="11"/>
      <c r="AR70" s="11"/>
      <c r="AS70" s="220"/>
      <c r="AT70" s="184"/>
      <c r="AU70" s="184"/>
      <c r="AV70" s="11"/>
      <c r="AW70" s="11"/>
      <c r="AX70" s="220"/>
      <c r="AY70" s="184"/>
      <c r="AZ70" s="184"/>
      <c r="BA70" s="11"/>
      <c r="BB70" s="11"/>
      <c r="BC70" s="220"/>
      <c r="BD70" s="184"/>
      <c r="BE70" s="184"/>
      <c r="BF70" s="11"/>
      <c r="BG70" s="11"/>
      <c r="BH70" s="220"/>
      <c r="BI70" s="184"/>
      <c r="BJ70" s="184"/>
      <c r="BK70" s="184"/>
      <c r="BL70" s="184"/>
      <c r="BM70" s="184"/>
      <c r="BN70" s="184"/>
      <c r="BO70" s="184"/>
      <c r="BP70" s="184"/>
    </row>
    <row r="71">
      <c r="A71" s="244" t="str">
        <f>if($A$69&lt;&gt;"", "《仕上がり数値》","")</f>
        <v/>
      </c>
      <c r="B71" s="240"/>
      <c r="C71" s="11"/>
      <c r="D71" s="11"/>
      <c r="E71" s="220"/>
      <c r="F71" s="220"/>
      <c r="G71" s="220"/>
      <c r="H71" s="11"/>
      <c r="I71" s="11"/>
      <c r="J71" s="220"/>
      <c r="K71" s="184"/>
      <c r="L71" s="184"/>
      <c r="M71" s="11"/>
      <c r="N71" s="11"/>
      <c r="O71" s="195"/>
      <c r="P71" s="11"/>
      <c r="Q71" s="11"/>
      <c r="R71" s="12"/>
      <c r="S71" s="11"/>
      <c r="T71" s="220"/>
      <c r="U71" s="184"/>
      <c r="V71" s="184"/>
      <c r="W71" s="11"/>
      <c r="X71" s="11"/>
      <c r="Y71" s="220"/>
      <c r="Z71" s="184"/>
      <c r="AA71" s="184"/>
      <c r="AB71" s="11"/>
      <c r="AC71" s="11"/>
      <c r="AD71" s="220"/>
      <c r="AE71" s="184"/>
      <c r="AF71" s="184"/>
      <c r="AG71" s="11"/>
      <c r="AH71" s="11"/>
      <c r="AI71" s="220"/>
      <c r="AJ71" s="184"/>
      <c r="AK71" s="184"/>
      <c r="AL71" s="11"/>
      <c r="AM71" s="11"/>
      <c r="AN71" s="220"/>
      <c r="AO71" s="184"/>
      <c r="AP71" s="184"/>
      <c r="AQ71" s="11"/>
      <c r="AR71" s="11"/>
      <c r="AS71" s="220"/>
      <c r="AT71" s="184"/>
      <c r="AU71" s="184"/>
      <c r="AV71" s="11"/>
      <c r="AW71" s="11"/>
      <c r="AX71" s="220"/>
      <c r="AY71" s="184"/>
      <c r="AZ71" s="184"/>
      <c r="BA71" s="11"/>
      <c r="BB71" s="11"/>
      <c r="BC71" s="220"/>
      <c r="BD71" s="184"/>
      <c r="BE71" s="184"/>
      <c r="BF71" s="11"/>
      <c r="BG71" s="11"/>
      <c r="BH71" s="220"/>
      <c r="BI71" s="184"/>
      <c r="BJ71" s="184"/>
      <c r="BK71" s="184"/>
      <c r="BL71" s="184"/>
      <c r="BM71" s="184"/>
      <c r="BN71" s="184"/>
      <c r="BO71" s="184"/>
      <c r="BP71" s="184"/>
    </row>
    <row r="72">
      <c r="A72" s="228" t="str">
        <f>IFERROR(__xludf.DUMMYFUNCTION("TEXTJOIN(CHAR(10),TRUE,FILTER(ARRAYFORMULA(IF(BH$14:BH72&lt;&gt;"""",BG$14:BG72&amp;"" :  cm"","""")), BG$14:BG72 &lt;&gt;""""))"),"")</f>
        <v/>
      </c>
      <c r="B72" s="240"/>
      <c r="C72" s="11"/>
      <c r="D72" s="11"/>
      <c r="E72" s="220"/>
      <c r="F72" s="220"/>
      <c r="G72" s="220"/>
      <c r="H72" s="11"/>
      <c r="I72" s="11"/>
      <c r="J72" s="220"/>
      <c r="K72" s="184"/>
      <c r="L72" s="184"/>
      <c r="M72" s="11"/>
      <c r="N72" s="11"/>
      <c r="O72" s="195"/>
      <c r="P72" s="11"/>
      <c r="Q72" s="11"/>
      <c r="R72" s="12"/>
      <c r="S72" s="11"/>
      <c r="T72" s="220"/>
      <c r="U72" s="184"/>
      <c r="V72" s="184"/>
      <c r="W72" s="11"/>
      <c r="X72" s="11"/>
      <c r="Y72" s="220"/>
      <c r="Z72" s="184"/>
      <c r="AA72" s="184"/>
      <c r="AB72" s="11"/>
      <c r="AC72" s="11"/>
      <c r="AD72" s="220"/>
      <c r="AE72" s="184"/>
      <c r="AF72" s="184"/>
      <c r="AG72" s="11"/>
      <c r="AH72" s="11"/>
      <c r="AI72" s="220"/>
      <c r="AJ72" s="184"/>
      <c r="AK72" s="184"/>
      <c r="AL72" s="11"/>
      <c r="AM72" s="11"/>
      <c r="AN72" s="220"/>
      <c r="AO72" s="184"/>
      <c r="AP72" s="184"/>
      <c r="AQ72" s="11"/>
      <c r="AR72" s="11"/>
      <c r="AS72" s="220"/>
      <c r="AT72" s="184"/>
      <c r="AU72" s="184"/>
      <c r="AV72" s="11"/>
      <c r="AW72" s="11"/>
      <c r="AX72" s="220"/>
      <c r="AY72" s="184"/>
      <c r="AZ72" s="184"/>
      <c r="BA72" s="11"/>
      <c r="BB72" s="11"/>
      <c r="BC72" s="220"/>
      <c r="BD72" s="184"/>
      <c r="BE72" s="184"/>
      <c r="BF72" s="11"/>
      <c r="BG72" s="11"/>
      <c r="BH72" s="220"/>
      <c r="BI72" s="184"/>
      <c r="BJ72" s="184"/>
      <c r="BK72" s="184"/>
      <c r="BL72" s="184"/>
      <c r="BM72" s="184"/>
      <c r="BN72" s="184"/>
      <c r="BO72" s="184"/>
      <c r="BP72" s="184"/>
    </row>
  </sheetData>
  <mergeCells count="1">
    <mergeCell ref="D5:G5"/>
  </mergeCells>
  <hyperlinks>
    <hyperlink r:id="rId1" location="gid=1551873484" ref="K5"/>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workbookViewId="0"/>
  </sheetViews>
  <sheetFormatPr customHeight="1" defaultColWidth="12.63" defaultRowHeight="15.75"/>
  <cols>
    <col customWidth="1" hidden="1" min="1" max="2" width="20.88"/>
    <col customWidth="1" min="3" max="3" width="3.88"/>
    <col customWidth="1" min="4" max="4" width="25.13"/>
    <col customWidth="1" min="5" max="6" width="12.63"/>
    <col customWidth="1" hidden="1" min="7" max="7" width="12.63"/>
    <col customWidth="1" min="8" max="8" width="6.38"/>
    <col customWidth="1" min="9" max="9" width="25.13"/>
    <col customWidth="1" min="10" max="11" width="12.63"/>
    <col customWidth="1" hidden="1" min="12" max="12" width="12.63"/>
    <col customWidth="1" min="13" max="13" width="6.38"/>
    <col customWidth="1" min="14" max="14" width="25.13"/>
    <col customWidth="1" min="15" max="16" width="12.63"/>
    <col customWidth="1" hidden="1" min="17" max="17" width="12.63"/>
    <col customWidth="1" min="18" max="60" width="6.25"/>
  </cols>
  <sheetData>
    <row r="1">
      <c r="A1" s="289">
        <f>today()</f>
        <v>45991</v>
      </c>
      <c r="B1" s="290"/>
      <c r="C1" s="291"/>
      <c r="D1" s="292" t="s">
        <v>4</v>
      </c>
      <c r="E1" s="293" t="s">
        <v>18</v>
      </c>
      <c r="F1" s="291"/>
      <c r="G1" s="291"/>
      <c r="H1" s="294"/>
      <c r="I1" s="294"/>
      <c r="J1" s="295" t="s">
        <v>158</v>
      </c>
      <c r="K1" s="291"/>
      <c r="L1" s="291"/>
      <c r="M1" s="294"/>
      <c r="N1" s="291"/>
      <c r="O1" s="291"/>
      <c r="P1" s="291"/>
      <c r="Q1" s="291"/>
      <c r="R1" s="294"/>
      <c r="S1" s="294"/>
      <c r="T1" s="294"/>
      <c r="U1" s="294"/>
      <c r="V1" s="294"/>
      <c r="W1" s="294"/>
      <c r="X1" s="294"/>
      <c r="Y1" s="294"/>
      <c r="Z1" s="294"/>
      <c r="AA1" s="294"/>
      <c r="AB1" s="294"/>
      <c r="AC1" s="294"/>
      <c r="AD1" s="294"/>
      <c r="AE1" s="294"/>
      <c r="AF1" s="294"/>
      <c r="AG1" s="294"/>
      <c r="AH1" s="294"/>
      <c r="AI1" s="294"/>
      <c r="AJ1" s="294"/>
      <c r="AK1" s="294"/>
      <c r="AL1" s="294"/>
      <c r="AM1" s="294"/>
      <c r="AN1" s="294"/>
      <c r="AO1" s="294"/>
      <c r="AP1" s="294"/>
      <c r="AQ1" s="294"/>
      <c r="AR1" s="294"/>
      <c r="AS1" s="294"/>
      <c r="AT1" s="294"/>
      <c r="AU1" s="294"/>
      <c r="AV1" s="294"/>
      <c r="AW1" s="294"/>
      <c r="AX1" s="294"/>
      <c r="AY1" s="294"/>
      <c r="AZ1" s="294"/>
      <c r="BA1" s="294"/>
      <c r="BB1" s="294"/>
      <c r="BC1" s="294"/>
      <c r="BD1" s="294"/>
      <c r="BE1" s="294"/>
      <c r="BF1" s="294"/>
      <c r="BG1" s="294"/>
      <c r="BH1" s="294"/>
    </row>
    <row r="2">
      <c r="B2" s="183"/>
      <c r="C2" s="12"/>
      <c r="D2" s="12"/>
      <c r="E2" s="12"/>
      <c r="F2" s="12"/>
      <c r="G2" s="12"/>
      <c r="H2" s="11"/>
      <c r="I2" s="11"/>
      <c r="J2" s="12"/>
      <c r="K2" s="12"/>
      <c r="L2" s="12"/>
      <c r="M2" s="11"/>
      <c r="N2" s="12"/>
      <c r="O2" s="12"/>
      <c r="P2" s="12"/>
      <c r="Q2" s="12"/>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row>
    <row r="3" hidden="1">
      <c r="A3" s="185"/>
      <c r="B3" s="185"/>
      <c r="C3" s="12"/>
      <c r="D3" s="12" t="str">
        <f t="array" ref="D3:D5">index(A3:A5,0)</f>
        <v/>
      </c>
      <c r="E3" s="12"/>
      <c r="F3" s="12"/>
      <c r="G3" s="12"/>
      <c r="H3" s="11"/>
      <c r="I3" s="11"/>
      <c r="J3" s="12"/>
      <c r="K3" s="12"/>
      <c r="L3" s="12"/>
      <c r="M3" s="11"/>
      <c r="N3" s="12"/>
      <c r="O3" s="12"/>
      <c r="P3" s="12"/>
      <c r="Q3" s="12"/>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row>
    <row r="4">
      <c r="A4" s="185" t="s">
        <v>28</v>
      </c>
      <c r="B4" s="185"/>
      <c r="C4" s="12"/>
      <c r="D4" s="12" t="s">
        <v>28</v>
      </c>
      <c r="E4" s="12"/>
      <c r="F4" s="12"/>
      <c r="G4" s="12"/>
      <c r="H4" s="11"/>
      <c r="I4" s="11"/>
      <c r="J4" s="12"/>
      <c r="K4" s="12"/>
      <c r="L4" s="12"/>
      <c r="M4" s="11"/>
      <c r="N4" s="12"/>
      <c r="O4" s="12"/>
      <c r="P4" s="12"/>
      <c r="Q4" s="12"/>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row>
    <row r="5" ht="225.0" customHeight="1">
      <c r="A5" s="183" t="str">
        <f>$A$7 &amp; CHAR(10) &amp; CHAR(10) &amp; $A$10 &amp; CHAR(10) &amp; CHAR(10) &amp; $A$11</f>
        <v>FABRIC TOKYO 新宿 2025-11-30 お直し適用サイズ
◼︎ パンツ（対応着地：お直し）
《修正数値》
パンツウエスト / タックなし / タック1本 : 2 cm
渡り巾 : 0.5 cm
【お直し詳細】
① お客さまのご要望：例）ウエストがゆるい気がする
②「体型変動」程度の大幅なヌード寸の差異：あり・なし
③ お直しが起きた原因：例）もう少し上側で穿きたかったという要望のすり合わせ不足
【備考・エピソード】</v>
      </c>
      <c r="B5" s="193" t="str">
        <f>"【お直し来店済み】" &amp; CHAR(10) &amp; 
 "来店⽇時：" &amp; text($A$1," yyyy/mm/dd")&amp; CHAR(10) &amp;
 "来店店舗：" &amp; $D$1 &amp; CHAR(10) &amp; CHAR(10) &amp;
 "お直し着地：" &amp; CHAR(10) &amp; $A$10</f>
        <v>【お直し来店済み】
来店⽇時： 2025/11/30
来店店舗：新宿
お直し着地：
◼︎ パンツ（対応着地：お直し）
《修正数値》
パンツウエスト / タックなし / タック1本 : 2 cm
渡り巾 : 0.5 cm</v>
      </c>
      <c r="C5" s="12"/>
      <c r="D5" s="190" t="s">
        <v>159</v>
      </c>
      <c r="H5" s="11"/>
      <c r="I5" s="190" t="str">
        <f>"【お直し来店済み】" &amp; CHAR(10) &amp; 
 "来店⽇時：" &amp; text($A$1," yyyy/mm/dd")&amp; CHAR(10) &amp;
 "来店店舗：" &amp; $D$1 &amp; CHAR(10) &amp; CHAR(10) &amp;
 "お直し着地：" &amp; CHAR(10) &amp; $A$10</f>
        <v>【お直し来店済み】
来店⽇時： 2025/11/30
来店店舗：新宿
お直し着地：
◼︎ パンツ（対応着地：お直し）
《修正数値》
パンツウエスト / タックなし / タック1本 : 2 cm
渡り巾 : 0.5 cm</v>
      </c>
      <c r="J5" s="12"/>
      <c r="K5" s="191" t="s">
        <v>30</v>
      </c>
      <c r="L5" s="12"/>
      <c r="M5" s="11"/>
      <c r="N5" s="12"/>
      <c r="O5" s="12"/>
      <c r="P5" s="12"/>
      <c r="Q5" s="12"/>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row>
    <row r="6">
      <c r="A6" s="186"/>
      <c r="B6" s="186"/>
      <c r="C6" s="12"/>
      <c r="D6" s="12"/>
      <c r="E6" s="12"/>
      <c r="F6" s="12"/>
      <c r="G6" s="12"/>
      <c r="H6" s="11"/>
      <c r="I6" s="11"/>
      <c r="J6" s="12"/>
      <c r="K6" s="12"/>
      <c r="L6" s="12"/>
      <c r="M6" s="11"/>
      <c r="N6" s="12"/>
      <c r="O6" s="12"/>
      <c r="P6" s="12"/>
      <c r="Q6" s="12"/>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row>
    <row r="7" ht="28.5" customHeight="1">
      <c r="A7" s="296" t="str">
        <f>"FABRIC TOKYO "&amp; $D$1 &amp; "" &amp; text($A$1," yyyy-m-d"&amp;" お直し適用サイズ")</f>
        <v>FABRIC TOKYO 新宿 2025-11-30 お直し適用サイズ</v>
      </c>
      <c r="B7" s="193"/>
      <c r="C7" s="12"/>
      <c r="D7" s="194" t="s">
        <v>31</v>
      </c>
      <c r="E7" s="12"/>
      <c r="F7" s="12"/>
      <c r="G7" s="12"/>
      <c r="H7" s="11"/>
      <c r="I7" s="11"/>
      <c r="J7" s="12"/>
      <c r="K7" s="12"/>
      <c r="L7" s="12"/>
      <c r="M7" s="11"/>
      <c r="N7" s="12"/>
      <c r="O7" s="12"/>
      <c r="P7" s="12"/>
      <c r="Q7" s="12"/>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row>
    <row r="8">
      <c r="A8" s="296"/>
      <c r="B8" s="193"/>
      <c r="C8" s="195"/>
      <c r="D8" s="196">
        <f>IF(OR($D$11="再製作", $I$11="再製作", $N$11="再製作"), "再製作", 
  IF(AND(COUNTIF($E$11:$O$11, "&gt;=" &amp;  TODAY()), COUNTIF($E$11:$O11, "&lt;&gt;")), MAX($D$11, $I$11, $N$11), ""))</f>
        <v>46002</v>
      </c>
      <c r="E8" s="197" t="s">
        <v>160</v>
      </c>
      <c r="F8" s="12"/>
      <c r="G8" s="12"/>
      <c r="H8" s="12"/>
      <c r="I8" s="12"/>
      <c r="J8" s="195"/>
      <c r="K8" s="195"/>
      <c r="L8" s="195"/>
      <c r="M8" s="11"/>
      <c r="N8" s="11"/>
      <c r="O8" s="12"/>
      <c r="P8" s="12"/>
      <c r="Q8" s="12"/>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row>
    <row r="9">
      <c r="A9" s="185"/>
      <c r="B9" s="186"/>
      <c r="C9" s="12"/>
      <c r="D9" s="12"/>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row>
    <row r="10" ht="15.75" customHeight="1">
      <c r="A10" s="297" t="str">
        <f t="array" ref="A10">TRIM(
 IF($A$14&lt;&gt;"",TEXTJOIN(CHAR(10),TRUE,IF($A$14:$A$15&lt;&gt;"",$A$14:$A$15,"")) &amp; CHAR(10) &amp; CHAR(10),"") &amp;
 IF($A$17&lt;&gt;"",TEXTJOIN(CHAR(10),TRUE,IF($A$17:$A$18&lt;&gt;"",$A$17:$A$18,"")) &amp; CHAR(10) &amp; CHAR(10),"") &amp;
 IF($A$20&lt;&gt;"",TEXTJOIN(CHAR(10),TRUE,IF($A$20:$A$21&lt;&gt;"",$A$20:$A$21,"")) &amp; CHAR(10) &amp; CHAR(10),"")  
)
</f>
        <v>◼︎ パンツ（対応着地：お直し）
《修正数値》
パンツウエスト / タックなし / タック1本 : 2 cm
渡り巾 : 0.5 cm</v>
      </c>
      <c r="B10" s="298"/>
      <c r="C10" s="12"/>
      <c r="D10" s="200" t="s">
        <v>34</v>
      </c>
      <c r="E10" s="201"/>
      <c r="F10" s="201"/>
      <c r="G10" s="194" t="s">
        <v>35</v>
      </c>
      <c r="H10" s="11"/>
      <c r="I10" s="200" t="s">
        <v>36</v>
      </c>
      <c r="J10" s="203"/>
      <c r="K10" s="201"/>
      <c r="L10" s="194" t="s">
        <v>35</v>
      </c>
      <c r="M10" s="11"/>
      <c r="N10" s="299" t="s">
        <v>161</v>
      </c>
      <c r="O10" s="203"/>
      <c r="P10" s="201"/>
      <c r="Q10" s="194" t="s">
        <v>35</v>
      </c>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row>
    <row r="11" ht="37.5" customHeight="1">
      <c r="A11" s="300" t="s">
        <v>48</v>
      </c>
      <c r="B11" s="301"/>
      <c r="C11" s="195"/>
      <c r="D11" s="196" t="str">
        <f t="array" ref="D11">IFS(
  COUNTA(F$13:F27) = 0, "", 
  COUNTIF(F$13:F27, "再製作") &gt; 0, "再製作", 
  COUNTIF(F$13:F27, "&gt;0") = 1, INDEX(F$13:F27, MATCH(TRUE, ISNUMBER(F$13:F27), 0)), 
  COUNTIF(F$13:F27, "&gt;0") = 2, 'アイテム別限界値DB'!$S$4, 
  COUNTIF(F$13:F27, "&gt;0") &gt;= 3, 'アイテム別限界値DB'!$S$6, 
  TRUE, ""
)
</f>
        <v/>
      </c>
      <c r="E11" s="210" t="s">
        <v>49</v>
      </c>
      <c r="F11" s="194" t="s">
        <v>50</v>
      </c>
      <c r="G11" s="209">
        <f>sum(G12:G54)</f>
        <v>0</v>
      </c>
      <c r="H11" s="12"/>
      <c r="I11" s="196">
        <f t="array" ref="I11">IFS(
  COUNTA(K$13:K27) = 0, "", 
  COUNTIF(K$13:K27, "再製作") &gt; 0, "再製作", 
  COUNTIF(K$13:K27, "&gt;0") = 1, INDEX(K$13:K27, MATCH(TRUE, ISNUMBER(K$13:K27), 0)), 
  COUNTIF(K$13:K27, "&gt;0") = 2, 'アイテム別限界値DB'!$S$8, 
  COUNTIF(K$13:K27, "&gt;0") &gt;= 3, 'アイテム別限界値DB'!$S$10, 
  TRUE, ""
)
</f>
        <v>46002</v>
      </c>
      <c r="J11" s="210" t="s">
        <v>49</v>
      </c>
      <c r="K11" s="194" t="s">
        <v>50</v>
      </c>
      <c r="L11" s="209">
        <f>sum(L12:L54)</f>
        <v>0</v>
      </c>
      <c r="M11" s="12"/>
      <c r="N11" s="196" t="str">
        <f t="array" ref="N11">IFS(
  COUNTA(P$13:P27) = 0, "", 
  COUNTIF(P$13:P27, "再製作") &gt; 0, "再製作", 
  COUNTIF(P$13:P27, "&gt;0") = 1, INDEX(P$13:P27, MATCH(TRUE, ISNUMBER(P$13:P27), 0)), 
  COUNTIF(P$13:P27, "&gt;0") = 2, 'アイテム別限界値DB'!$S$8, 
  COUNTIF(P$13:P27, "&gt;0") &gt;= 3, 'アイテム別限界値DB'!$S$10, 
  TRUE, ""
)
</f>
        <v/>
      </c>
      <c r="O11" s="210" t="s">
        <v>49</v>
      </c>
      <c r="P11" s="194" t="s">
        <v>50</v>
      </c>
      <c r="Q11" s="209">
        <f>sum(Q12:Q54)</f>
        <v>0</v>
      </c>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row>
    <row r="12" ht="15.75" customHeight="1">
      <c r="A12" s="240"/>
      <c r="B12" s="240"/>
      <c r="C12" s="11"/>
      <c r="D12" s="216" t="s">
        <v>51</v>
      </c>
      <c r="E12" s="217" t="str">
        <f>IF(D11="再製作", "再製作", IF(D11&lt;&gt;"", "お直し", ""))
</f>
        <v/>
      </c>
      <c r="F12" s="195"/>
      <c r="G12" s="218" t="str">
        <f t="array" ref="G12">IF(
  E12 = "再製作", 
  "", 
 if(E12="", "",
  IFERROR(
    INDEX(
      'アイテム別限界値DB'!$L:$L, 
      MATCH(
        1, 
        ('アイテム別限界値DB'!$B:$B = D$10) * 
        ('アイテム別限界値DB'!$C:$C = D12), 
        0
      )
    ), 
    "再製作"
  )
))
</f>
        <v/>
      </c>
      <c r="H12" s="12"/>
      <c r="I12" s="216" t="s">
        <v>51</v>
      </c>
      <c r="J12" s="217" t="str">
        <f>IF(I11="再製作", "再製作", IF(I11&lt;&gt;"", "お直し", ""))
</f>
        <v>お直し</v>
      </c>
      <c r="K12" s="195"/>
      <c r="L12" s="218" t="str">
        <f t="array" ref="L12">IF(
  J12 = "再製作", 
  "", 
 if(J12="", "",
  IFERROR(
    INDEX(
      'アイテム別限界値DB'!$L:$L, 
      MATCH(
        1, 
        ('アイテム別限界値DB'!$B:$B = I$10) * 
        ('アイテム別限界値DB'!$C:$C = I12), 
        0
      )
    ), 
    "再製作"
  )
))
</f>
        <v/>
      </c>
      <c r="M12" s="121"/>
      <c r="N12" s="216" t="s">
        <v>51</v>
      </c>
      <c r="O12" s="219" t="str">
        <f>IF(N11="再製作", "再製作", IF(N11&lt;&gt;"", "お直し", ""))
</f>
        <v/>
      </c>
      <c r="P12" s="195"/>
      <c r="Q12" s="218" t="str">
        <f t="array" ref="Q12">IF(
  O12 = "再製作", 
  "", 
 if(O12="", "",
  IFERROR(
    INDEX(
      'アイテム別限界値DB'!$L:$L, 
      MATCH(
        1, 
        ('アイテム別限界値DB'!$B:$B = N$10) * 
        ('アイテム別限界値DB'!$C:$C = N12), 
        0
      )
    ), 
    "再製作"
  )
))
</f>
        <v/>
      </c>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row>
    <row r="13" ht="18.75" customHeight="1">
      <c r="A13" s="302" t="s">
        <v>162</v>
      </c>
      <c r="B13" s="186"/>
      <c r="C13" s="12"/>
      <c r="D13" s="223" t="b">
        <f t="array" ref="D13:D22">UNIQUE(IF( ('アイテム別限界値DB'!$B:$B = D$10) * ('アイテム別限界値DB'!$A:$A = "サイズ - ウィメンズ"),  IF('アイテム別限界値DB'!$B:$B = D$10, 'アイテム別限界値DB'!$F:$F, "") ))</f>
        <v>0</v>
      </c>
      <c r="E13" s="224"/>
      <c r="F13" s="12"/>
      <c r="G13" s="121"/>
      <c r="H13" s="12"/>
      <c r="I13" s="223" t="b">
        <f t="array" ref="I13:I22">UNIQUE(IF( ('アイテム別限界値DB'!$B:$B = I$10) * ('アイテム別限界値DB'!$A:$A = "サイズ - ウィメンズ"),  IF('アイテム別限界値DB'!$B:$B = I$10, 'アイテム別限界値DB'!$F:$F, "") ))</f>
        <v>0</v>
      </c>
      <c r="J13" s="224"/>
      <c r="K13" s="12"/>
      <c r="L13" s="121"/>
      <c r="M13" s="12"/>
      <c r="N13" s="223" t="b">
        <f t="array" ref="N13:N15">UNIQUE(IF( ('アイテム別限界値DB'!$B:$B = N$10) * ('アイテム別限界値DB'!$A:$A = "サイズ - ウィメンズ"),  IF('アイテム別限界値DB'!$B:$B = N$10, 'アイテム別限界値DB'!$F:$F, "") ))</f>
        <v>0</v>
      </c>
      <c r="O13" s="225"/>
      <c r="P13" s="12"/>
      <c r="Q13" s="12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row>
    <row r="14">
      <c r="A14" s="228" t="str">
        <f>IF($D$11 = "再製作", "◼︎ ジャケット（対応着地：再製作）" &amp; char(10) &amp; "《修正数値》", IF( $D$11 &lt;&gt;"", "◼︎ ジャケット（対応着地：お直し）" &amp; char(10) &amp; "《修正数値》", ""))</f>
        <v/>
      </c>
      <c r="B14" s="246"/>
      <c r="C14" s="224"/>
      <c r="D14" s="303" t="s">
        <v>51</v>
      </c>
      <c r="E14" s="230"/>
      <c r="F14" s="231" t="str">
        <f t="array" ref="F14">IF(
  E14 = 0, 
  "", 
  IFERROR(
    INDEX(
      'アイテム別限界値DB'!$K:$K, 
      MATCH(
        1, 
        ('アイテム別限界値DB'!$B:$B = D$10) * 
        ('アイテム別限界値DB'!$F:$F = D14) * 
        ('アイテム別限界値DB'!$H:$H = E14), 
        0
      )
    ), 
    "再製作"
  )
)
</f>
        <v/>
      </c>
      <c r="G14" s="227" t="str">
        <f t="array" ref="G14">IF(
  E14 = 0, 
  "", 
  IFERROR(
    INDEX(
      'アイテム別限界値DB'!$L:$L, 
      MATCH(
        1, 
        ('アイテム別限界値DB'!$B:$B = D$10) * 
        ('アイテム別限界値DB'!$C:$C = D14) * 
        ('アイテム別限界値DB'!$F:$F = E14), 
        0
      )
    ), 
    ""
  )
)
</f>
        <v/>
      </c>
      <c r="H14" s="195"/>
      <c r="I14" s="303" t="s">
        <v>163</v>
      </c>
      <c r="J14" s="230"/>
      <c r="K14" s="231" t="str">
        <f t="array" ref="K14">IF(
  J14 = 0, 
  "", 
  IFERROR(
    INDEX(
      'アイテム別限界値DB'!$K:$K, 
      MATCH(
        1, 
        ('アイテム別限界値DB'!$B:$B = I$10) * 
        ('アイテム別限界値DB'!$F:$F = I14) * 
        ('アイテム別限界値DB'!$H:$H = J14), 
        0
      )
    ), 
    "再製作"
  )
)
</f>
        <v/>
      </c>
      <c r="L14" s="227" t="str">
        <f t="array" ref="L14">IF(
  J14 = 0, 
  "", 
  IFERROR(
    INDEX(
      'アイテム別限界値DB'!$L:$L, 
      MATCH(
        1, 
        ('アイテム別限界値DB'!$B:$B = I$10) * 
        ('アイテム別限界値DB'!$C:$C = I14) * 
        ('アイテム別限界値DB'!$F:$F = J14), 
        0
      )
    ), 
    ""
  )
)
</f>
        <v/>
      </c>
      <c r="M14" s="12"/>
      <c r="N14" s="224" t="s">
        <v>57</v>
      </c>
      <c r="O14" s="230"/>
      <c r="P14" s="234" t="str">
        <f t="array" ref="P14">IF(
  O14 = 0, 
  "", 
  IFERROR(
    INDEX(
      'アイテム別限界値DB'!$I:$I, 
      MATCH(
        1, 
        ('アイテム別限界値DB'!$B:$B = N$10) * 
        ('アイテム別限界値DB'!$C:$C = N14) * 
        ('アイテム別限界値DB'!$F:$F = O14), 
        0
      )
    ), 
    "再製作"
  )
)
</f>
        <v/>
      </c>
      <c r="Q14" s="218" t="str">
        <f t="array" ref="Q14">IF(
  O14 = 0, 
  "", 
  IFERROR(
    INDEX(
      'アイテム別限界値DB'!$L:$L, 
      MATCH(
        1, 
        ('アイテム別限界値DB'!$B:$B = N$10) * 
        ('アイテム別限界値DB'!$C:$C = N14) * 
        ('アイテム別限界値DB'!$F:$F = O14), 
        0
      )
    ), 
    ""
  )
)
</f>
        <v/>
      </c>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row>
    <row r="15">
      <c r="A15" s="228" t="str">
        <f>IFERROR(__xludf.DUMMYFUNCTION("TEXTJOIN(CHAR(10),TRUE,FILTER(ARRAYFORMULA(IF(E$14:E54&lt;&gt;"""",D$14:D54&amp;"" : ""&amp; E$14:E54 &amp;"" cm"","""")), D$14:D54 &lt;&gt;""""))"),"")</f>
        <v/>
      </c>
      <c r="B15" s="304"/>
      <c r="C15" s="224"/>
      <c r="D15" s="303" t="s">
        <v>53</v>
      </c>
      <c r="E15" s="230"/>
      <c r="F15" s="231" t="str">
        <f t="array" ref="F15">IF(
  E15 = 0, 
  "", 
  IFERROR(
    INDEX(
      'アイテム別限界値DB'!$K:$K, 
      MATCH(
        1, 
        ('アイテム別限界値DB'!$B:$B = D$10) * 
        ('アイテム別限界値DB'!$F:$F = D15) * 
        ('アイテム別限界値DB'!$H:$H = E15), 
        0
      )
    ), 
    "再製作"
  )
)
</f>
        <v/>
      </c>
      <c r="G15" s="227" t="str">
        <f t="array" ref="G15">IF(
  E15 = 0, 
  "", 
  IFERROR(
    INDEX(
      'アイテム別限界値DB'!$L:$L, 
      MATCH(
        1, 
        ('アイテム別限界値DB'!$B:$B = D$10) * 
        ('アイテム別限界値DB'!$C:$C = D15) * 
        ('アイテム別限界値DB'!$F:$F = E15), 
        0
      )
    ), 
    ""
  )
)
</f>
        <v/>
      </c>
      <c r="H15" s="12"/>
      <c r="I15" s="303" t="s">
        <v>164</v>
      </c>
      <c r="J15" s="230" t="s">
        <v>132</v>
      </c>
      <c r="K15" s="231">
        <f t="array" ref="K15">IF(
  J15 = 0, 
  "", 
  IFERROR(
    INDEX(
      'アイテム別限界値DB'!$K:$K, 
      MATCH(
        1, 
        ('アイテム別限界値DB'!$B:$B = I$10) * 
        ('アイテム別限界値DB'!$F:$F = I15) * 
        ('アイテム別限界値DB'!$H:$H = J15), 
        0
      )
    ), 
    "再製作"
  )
)
</f>
        <v>45996</v>
      </c>
      <c r="L15" s="227" t="str">
        <f t="array" ref="L15">IF(
  J15 = 0, 
  "", 
  IFERROR(
    INDEX(
      'アイテム別限界値DB'!$L:$L, 
      MATCH(
        1, 
        ('アイテム別限界値DB'!$B:$B = I$10) * 
        ('アイテム別限界値DB'!$C:$C = I15) * 
        ('アイテム別限界値DB'!$F:$F = J15), 
        0
      )
    ), 
    ""
  )
)
</f>
        <v/>
      </c>
      <c r="M15" s="12"/>
      <c r="N15" s="224" t="s">
        <v>110</v>
      </c>
      <c r="O15" s="230"/>
      <c r="P15" s="234" t="str">
        <f t="array" ref="P15">IF(
  O15 = 0, 
  "", 
  IFERROR(
    INDEX(
      'アイテム別限界値DB'!$I:$I, 
      MATCH(
        1, 
        ('アイテム別限界値DB'!$B:$B = N$10) * 
        ('アイテム別限界値DB'!$C:$C = N15) * 
        ('アイテム別限界値DB'!$F:$F = O15), 
        0
      )
    ), 
    "再製作"
  )
)
</f>
        <v/>
      </c>
      <c r="Q15" s="218" t="str">
        <f t="array" ref="Q15">IF(
  O15 = 0, 
  "", 
  IFERROR(
    INDEX(
      'アイテム別限界値DB'!$L:$L, 
      MATCH(
        1, 
        ('アイテム別限界値DB'!$B:$B = N$10) * 
        ('アイテム別限界値DB'!$C:$C = N15) * 
        ('アイテム別限界値DB'!$F:$F = O15), 
        0
      )
    ), 
    ""
  )
)
</f>
        <v/>
      </c>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row>
    <row r="16">
      <c r="A16" s="305" t="s">
        <v>165</v>
      </c>
      <c r="B16" s="303"/>
      <c r="C16" s="224"/>
      <c r="D16" s="303" t="s">
        <v>55</v>
      </c>
      <c r="E16" s="230"/>
      <c r="F16" s="231" t="str">
        <f t="array" ref="F16">IF(
  E16 = 0, 
  "", 
  IFERROR(
    INDEX(
      'アイテム別限界値DB'!$K:$K, 
      MATCH(
        1, 
        ('アイテム別限界値DB'!$B:$B = D$10) * 
        ('アイテム別限界値DB'!$F:$F = D16) * 
        ('アイテム別限界値DB'!$H:$H = E16), 
        0
      )
    ), 
    "再製作"
  )
)
</f>
        <v/>
      </c>
      <c r="G16" s="227" t="str">
        <f t="array" ref="G16">IF(
  E16 = 0, 
  "", 
  IFERROR(
    INDEX(
      'アイテム別限界値DB'!$L:$L, 
      MATCH(
        1, 
        ('アイテム別限界値DB'!$B:$B = D$10) * 
        ('アイテム別限界値DB'!$C:$C = D16) * 
        ('アイテム別限界値DB'!$F:$F = E16), 
        0
      )
    ), 
    ""
  )
)
</f>
        <v/>
      </c>
      <c r="H16" s="12"/>
      <c r="I16" s="303" t="s">
        <v>56</v>
      </c>
      <c r="J16" s="230"/>
      <c r="K16" s="231" t="str">
        <f t="array" ref="K16">IF(
  J16 = 0, 
  "", 
  IFERROR(
    INDEX(
      'アイテム別限界値DB'!$K:$K, 
      MATCH(
        1, 
        ('アイテム別限界値DB'!$B:$B = I$10) * 
        ('アイテム別限界値DB'!$F:$F = I16) * 
        ('アイテム別限界値DB'!$H:$H = J16), 
        0
      )
    ), 
    "再製作"
  )
)
</f>
        <v/>
      </c>
      <c r="L16" s="227" t="str">
        <f t="array" ref="L16">IF(
  J16 = 0, 
  "", 
  IFERROR(
    INDEX(
      'アイテム別限界値DB'!$L:$L, 
      MATCH(
        1, 
        ('アイテム別限界値DB'!$B:$B = I$10) * 
        ('アイテム別限界値DB'!$C:$C = I16) * 
        ('アイテム別限界値DB'!$F:$F = J16), 
        0
      )
    ), 
    ""
  )
)
</f>
        <v/>
      </c>
      <c r="M16" s="12"/>
      <c r="N16" s="224"/>
      <c r="O16" s="232"/>
      <c r="P16" s="234" t="str">
        <f t="array" ref="P16">IF(
  O16 = 0, 
  "", 
  IFERROR(
    INDEX(
      'アイテム別限界値DB'!$I:$I, 
      MATCH(
        1, 
        ('アイテム別限界値DB'!$B:$B = N$10) * 
        ('アイテム別限界値DB'!$C:$C = N16) * 
        ('アイテム別限界値DB'!$F:$F = O16), 
        0
      )
    ), 
    "再製作"
  )
)
</f>
        <v/>
      </c>
      <c r="Q16" s="218" t="str">
        <f t="array" ref="Q16">IF(
  O16 = 0, 
  "", 
  IFERROR(
    INDEX(
      'アイテム別限界値DB'!$L:$L, 
      MATCH(
        1, 
        ('アイテム別限界値DB'!$B:$B = N$10) * 
        ('アイテム別限界値DB'!$C:$C = N16) * 
        ('アイテム別限界値DB'!$F:$F = O16), 
        0
      )
    ), 
    ""
  )
)
</f>
        <v/>
      </c>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row>
    <row r="17">
      <c r="A17" s="306" t="str">
        <f>IF($I$11 ="再製作", "◼︎ パンツ（対応着地：再製作）" &amp;char(10)&amp; "《修正数値》", IF($I$11 &lt;&gt; "", "◼︎ パンツ（対応着地：お直し）" &amp;char(10)&amp; "《修正数値》", ""))</f>
        <v>◼︎ パンツ（対応着地：お直し）
《修正数値》</v>
      </c>
      <c r="B17" s="246"/>
      <c r="C17" s="224"/>
      <c r="D17" s="303" t="s">
        <v>60</v>
      </c>
      <c r="E17" s="230"/>
      <c r="F17" s="231" t="str">
        <f t="array" ref="F17">IF(
  E17 = 0, 
  "", 
  IFERROR(
    INDEX(
      'アイテム別限界値DB'!$K:$K, 
      MATCH(
        1, 
        ('アイテム別限界値DB'!$B:$B = D$10) * 
        ('アイテム別限界値DB'!$F:$F = D17) * 
        ('アイテム別限界値DB'!$H:$H = E17), 
        0
      )
    ), 
    "再製作"
  )
)
</f>
        <v/>
      </c>
      <c r="G17" s="227" t="str">
        <f t="array" ref="G17">IF(
  E17 = 0, 
  "", 
  IFERROR(
    INDEX(
      'アイテム別限界値DB'!$L:$L, 
      MATCH(
        1, 
        ('アイテム別限界値DB'!$B:$B = D$10) * 
        ('アイテム別限界値DB'!$C:$C = D17) * 
        ('アイテム別限界値DB'!$F:$F = E17), 
        0
      )
    ), 
    ""
  )
)
</f>
        <v/>
      </c>
      <c r="H17" s="12"/>
      <c r="I17" s="303" t="s">
        <v>78</v>
      </c>
      <c r="J17" s="230" t="s">
        <v>150</v>
      </c>
      <c r="K17" s="231">
        <f t="array" ref="K17">IF(
  J17 = 0, 
  "", 
  IFERROR(
    INDEX(
      'アイテム別限界値DB'!$K:$K, 
      MATCH(
        1, 
        ('アイテム別限界値DB'!$B:$B = I$10) * 
        ('アイテム別限界値DB'!$F:$F = I17) * 
        ('アイテム別限界値DB'!$H:$H = J17), 
        0
      )
    ), 
    "再製作"
  )
)
</f>
        <v>45996</v>
      </c>
      <c r="L17" s="227" t="str">
        <f t="array" ref="L17">IF(
  J17 = 0, 
  "", 
  IFERROR(
    INDEX(
      'アイテム別限界値DB'!$L:$L, 
      MATCH(
        1, 
        ('アイテム別限界値DB'!$B:$B = I$10) * 
        ('アイテム別限界値DB'!$C:$C = I17) * 
        ('アイテム別限界値DB'!$F:$F = J17), 
        0
      )
    ), 
    ""
  )
)
</f>
        <v/>
      </c>
      <c r="M17" s="12"/>
      <c r="N17" s="224"/>
      <c r="O17" s="232"/>
      <c r="P17" s="234" t="str">
        <f t="array" ref="P17">IF(
  O17 = 0, 
  "", 
  IFERROR(
    INDEX(
      'アイテム別限界値DB'!$I:$I, 
      MATCH(
        1, 
        ('アイテム別限界値DB'!$B:$B = N$10) * 
        ('アイテム別限界値DB'!$C:$C = N17) * 
        ('アイテム別限界値DB'!$F:$F = O17), 
        0
      )
    ), 
    "再製作"
  )
)
</f>
        <v/>
      </c>
      <c r="Q17" s="218" t="str">
        <f t="array" ref="Q17">IF(
  O17 = 0, 
  "", 
  IFERROR(
    INDEX(
      'アイテム別限界値DB'!$L:$L, 
      MATCH(
        1, 
        ('アイテム別限界値DB'!$B:$B = N$10) * 
        ('アイテム別限界値DB'!$C:$C = N17) * 
        ('アイテム別限界値DB'!$F:$F = O17), 
        0
      )
    ), 
    ""
  )
)
</f>
        <v/>
      </c>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row>
    <row r="18">
      <c r="A18" s="228" t="str">
        <f>IFERROR(__xludf.DUMMYFUNCTION("TEXTJOIN(CHAR(10),TRUE,FILTER(ARRAYFORMULA(IF(J$14:J54&lt;&gt;"""", I$14:I54 &amp;"" : ""&amp; J$14:J54 &amp;"" cm"","""")), I$14:I54 &lt;&gt;""""))"),"パンツウエスト / タックなし / タック1本 : 2 cm
渡り巾 : 0.5 cm")</f>
        <v>パンツウエスト / タックなし / タック1本 : 2 cm
渡り巾 : 0.5 cm</v>
      </c>
      <c r="B18" s="304"/>
      <c r="C18" s="224"/>
      <c r="D18" s="303" t="s">
        <v>166</v>
      </c>
      <c r="E18" s="230"/>
      <c r="F18" s="231" t="str">
        <f t="array" ref="F18">IF(
  E18 = 0, 
  "", 
  IFERROR(
    INDEX(
      'アイテム別限界値DB'!$K:$K, 
      MATCH(
        1, 
        ('アイテム別限界値DB'!$B:$B = D$10) * 
        ('アイテム別限界値DB'!$F:$F = D18) * 
        ('アイテム別限界値DB'!$H:$H = E18), 
        0
      )
    ), 
    "再製作"
  )
)
</f>
        <v/>
      </c>
      <c r="G18" s="227" t="str">
        <f t="array" ref="G18">IF(
  E18 = 0, 
  "", 
  IFERROR(
    INDEX(
      'アイテム別限界値DB'!$L:$L, 
      MATCH(
        1, 
        ('アイテム別限界値DB'!$B:$B = D$10) * 
        ('アイテム別限界値DB'!$C:$C = D18) * 
        ('アイテム別限界値DB'!$F:$F = E18), 
        0
      )
    ), 
    ""
  )
)
</f>
        <v/>
      </c>
      <c r="H18" s="12"/>
      <c r="I18" s="303" t="s">
        <v>167</v>
      </c>
      <c r="J18" s="230"/>
      <c r="K18" s="231" t="str">
        <f t="array" ref="K18">IF(
  J18 = 0, 
  "", 
  IFERROR(
    INDEX(
      'アイテム別限界値DB'!$K:$K, 
      MATCH(
        1, 
        ('アイテム別限界値DB'!$B:$B = I$10) * 
        ('アイテム別限界値DB'!$F:$F = I18) * 
        ('アイテム別限界値DB'!$H:$H = J18), 
        0
      )
    ), 
    "再製作"
  )
)
</f>
        <v/>
      </c>
      <c r="L18" s="227" t="str">
        <f t="array" ref="L18">IF(
  J18 = 0, 
  "", 
  IFERROR(
    INDEX(
      'アイテム別限界値DB'!$L:$L, 
      MATCH(
        1, 
        ('アイテム別限界値DB'!$B:$B = I$10) * 
        ('アイテム別限界値DB'!$C:$C = I18) * 
        ('アイテム別限界値DB'!$F:$F = J18), 
        0
      )
    ), 
    ""
  )
)
</f>
        <v/>
      </c>
      <c r="M18" s="12"/>
      <c r="N18" s="224"/>
      <c r="O18" s="232"/>
      <c r="P18" s="234" t="str">
        <f t="array" ref="P18">IF(
  O18 = 0, 
  "", 
  IFERROR(
    INDEX(
      'アイテム別限界値DB'!$I:$I, 
      MATCH(
        1, 
        ('アイテム別限界値DB'!$B:$B = N$10) * 
        ('アイテム別限界値DB'!$C:$C = N18) * 
        ('アイテム別限界値DB'!$F:$F = O18), 
        0
      )
    ), 
    "再製作"
  )
)
</f>
        <v/>
      </c>
      <c r="Q18" s="218" t="str">
        <f t="array" ref="Q18">IF(
  O18 = 0, 
  "", 
  IFERROR(
    INDEX(
      'アイテム別限界値DB'!$L:$L, 
      MATCH(
        1, 
        ('アイテム別限界値DB'!$B:$B = N$10) * 
        ('アイテム別限界値DB'!$C:$C = N18) * 
        ('アイテム別限界値DB'!$F:$F = O18), 
        0
      )
    ), 
    ""
  )
)
</f>
        <v/>
      </c>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row>
    <row r="19">
      <c r="A19" s="307" t="s">
        <v>168</v>
      </c>
      <c r="B19" s="303"/>
      <c r="C19" s="224"/>
      <c r="D19" s="239" t="s">
        <v>169</v>
      </c>
      <c r="E19" s="230"/>
      <c r="F19" s="231" t="str">
        <f t="array" ref="F19">IF(
  E19 = 0, 
  "", 
  IFERROR(
    INDEX(
      'アイテム別限界値DB'!$K:$K, 
      MATCH(
        1, 
        ('アイテム別限界値DB'!$B:$B = D$10) * 
        ('アイテム別限界値DB'!$F:$F = D19) * 
        ('アイテム別限界値DB'!$H:$H = E19), 
        0
      )
    ), 
    "再製作"
  )
)
</f>
        <v/>
      </c>
      <c r="G19" s="227" t="str">
        <f t="array" ref="G19">IF(
  E19 = 0, 
  "", 
  IFERROR(
    INDEX(
      'アイテム別限界値DB'!$L:$L, 
      MATCH(
        1, 
        ('アイテム別限界値DB'!$B:$B = D$10) * 
        ('アイテム別限界値DB'!$C:$C = D19) * 
        ('アイテム別限界値DB'!$F:$F = E19), 
        0
      )
    ), 
    ""
  )
)
</f>
        <v/>
      </c>
      <c r="H19" s="12"/>
      <c r="I19" s="239" t="s">
        <v>170</v>
      </c>
      <c r="J19" s="230"/>
      <c r="K19" s="231" t="str">
        <f t="array" ref="K19">IF(
  J19 = 0, 
  "", 
  IFERROR(
    INDEX(
      'アイテム別限界値DB'!$K:$K, 
      MATCH(
        1, 
        ('アイテム別限界値DB'!$B:$B = I$10) * 
        ('アイテム別限界値DB'!$F:$F = I19) * 
        ('アイテム別限界値DB'!$H:$H = J19), 
        0
      )
    ), 
    "再製作"
  )
)
</f>
        <v/>
      </c>
      <c r="L19" s="227" t="str">
        <f t="array" ref="L19">IF(
  J19 = 0, 
  "", 
  IFERROR(
    INDEX(
      'アイテム別限界値DB'!$L:$L, 
      MATCH(
        1, 
        ('アイテム別限界値DB'!$B:$B = I$10) * 
        ('アイテム別限界値DB'!$C:$C = I19) * 
        ('アイテム別限界値DB'!$F:$F = J19), 
        0
      )
    ), 
    ""
  )
)
</f>
        <v/>
      </c>
      <c r="M19" s="12"/>
      <c r="N19" s="238"/>
      <c r="O19" s="232"/>
      <c r="P19" s="234" t="str">
        <f t="array" ref="P19">IF(
  O19 = 0, 
  "", 
  IFERROR(
    INDEX(
      'アイテム別限界値DB'!$I:$I, 
      MATCH(
        1, 
        ('アイテム別限界値DB'!$B:$B = N$10) * 
        ('アイテム別限界値DB'!$C:$C = N19) * 
        ('アイテム別限界値DB'!$F:$F = O19), 
        0
      )
    ), 
    "再製作"
  )
)
</f>
        <v/>
      </c>
      <c r="Q19" s="218" t="str">
        <f t="array" ref="Q19">IF(
  O19 = 0, 
  "", 
  IFERROR(
    INDEX(
      'アイテム別限界値DB'!$L:$L, 
      MATCH(
        1, 
        ('アイテム別限界値DB'!$B:$B = N$10) * 
        ('アイテム別限界値DB'!$C:$C = N19) * 
        ('アイテム別限界値DB'!$F:$F = O19), 
        0
      )
    ), 
    ""
  )
)
</f>
        <v/>
      </c>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row>
    <row r="20">
      <c r="A20" s="228" t="str">
        <f>IF($N$11="再製作", "◼︎ スカート（対応着地：再製作）" &amp;char(10)&amp; "《修正数値》", IF($N$11&lt;&gt;"", "◼︎ スカート（対応着地：お直し）" &amp;char(10)&amp; "《修正数値》", ""))</f>
        <v/>
      </c>
      <c r="B20" s="246"/>
      <c r="C20" s="224"/>
      <c r="D20" s="239" t="s">
        <v>171</v>
      </c>
      <c r="E20" s="230"/>
      <c r="F20" s="231" t="str">
        <f t="array" ref="F20">IF(
  E20 = 0, 
  "", 
  IFERROR(
    INDEX(
      'アイテム別限界値DB'!$K:$K, 
      MATCH(
        1, 
        ('アイテム別限界値DB'!$B:$B = D$10) * 
        ('アイテム別限界値DB'!$F:$F = D20) * 
        ('アイテム別限界値DB'!$H:$H = E20), 
        0
      )
    ), 
    "再製作"
  )
)
</f>
        <v/>
      </c>
      <c r="G20" s="227" t="str">
        <f t="array" ref="G20">IF(
  E20 = 0, 
  "", 
  IFERROR(
    INDEX(
      'アイテム別限界値DB'!$L:$L, 
      MATCH(
        1, 
        ('アイテム別限界値DB'!$B:$B = D$10) * 
        ('アイテム別限界値DB'!$C:$C = D20) * 
        ('アイテム別限界値DB'!$F:$F = E20), 
        0
      )
    ), 
    ""
  )
)
</f>
        <v/>
      </c>
      <c r="H20" s="12"/>
      <c r="I20" s="239" t="s">
        <v>172</v>
      </c>
      <c r="J20" s="230"/>
      <c r="K20" s="231" t="str">
        <f t="array" ref="K20">IF(
  J20 = 0, 
  "", 
  IFERROR(
    INDEX(
      'アイテム別限界値DB'!$K:$K, 
      MATCH(
        1, 
        ('アイテム別限界値DB'!$B:$B = I$10) * 
        ('アイテム別限界値DB'!$F:$F = I20) * 
        ('アイテム別限界値DB'!$H:$H = J20), 
        0
      )
    ), 
    "再製作"
  )
)
</f>
        <v/>
      </c>
      <c r="L20" s="227" t="str">
        <f t="array" ref="L20">IF(
  J20 = 0, 
  "", 
  IFERROR(
    INDEX(
      'アイテム別限界値DB'!$L:$L, 
      MATCH(
        1, 
        ('アイテム別限界値DB'!$B:$B = I$10) * 
        ('アイテム別限界値DB'!$C:$C = I20) * 
        ('アイテム別限界値DB'!$F:$F = J20), 
        0
      )
    ), 
    ""
  )
)
</f>
        <v/>
      </c>
      <c r="M20" s="12"/>
      <c r="N20" s="238"/>
      <c r="O20" s="232"/>
      <c r="P20" s="234" t="str">
        <f t="array" ref="P20">IF(
  O20 = 0, 
  "", 
  IFERROR(
    INDEX(
      'アイテム別限界値DB'!$I:$I, 
      MATCH(
        1, 
        ('アイテム別限界値DB'!$B:$B = N$10) * 
        ('アイテム別限界値DB'!$C:$C = N20) * 
        ('アイテム別限界値DB'!$F:$F = O20), 
        0
      )
    ), 
    "再製作"
  )
)
</f>
        <v/>
      </c>
      <c r="Q20" s="218" t="str">
        <f t="array" ref="Q20">IF(
  O20 = 0, 
  "", 
  IFERROR(
    INDEX(
      'アイテム別限界値DB'!$L:$L, 
      MATCH(
        1, 
        ('アイテム別限界値DB'!$B:$B = N$10) * 
        ('アイテム別限界値DB'!$C:$C = N20) * 
        ('アイテム別限界値DB'!$F:$F = O20), 
        0
      )
    ), 
    ""
  )
)
</f>
        <v/>
      </c>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row>
    <row r="21">
      <c r="A21" s="228" t="str">
        <f>IFERROR(__xludf.DUMMYFUNCTION("TEXTJOIN(CHAR(10),TRUE,FILTER(ARRAYFORMULA(IF(O$14:O54&lt;&gt;"""",N$14:N54 &amp;"" : ""&amp; O$14:O54 &amp;"" cm"","""")), N$14:N54 &lt;&gt;""""))"),"")</f>
        <v/>
      </c>
      <c r="B21" s="246"/>
      <c r="C21" s="224"/>
      <c r="D21" s="239" t="s">
        <v>62</v>
      </c>
      <c r="E21" s="230"/>
      <c r="F21" s="231" t="str">
        <f t="array" ref="F21">IF(
  E21 = 0, 
  "", 
  IFERROR(
    INDEX(
      'アイテム別限界値DB'!$K:$K, 
      MATCH(
        1, 
        ('アイテム別限界値DB'!$B:$B = D$10) * 
        ('アイテム別限界値DB'!$F:$F = D21) * 
        ('アイテム別限界値DB'!$H:$H = E21), 
        0
      )
    ), 
    "再製作"
  )
)
</f>
        <v/>
      </c>
      <c r="G21" s="227" t="str">
        <f t="array" ref="G21">IF(
  E21 = 0, 
  "", 
  IFERROR(
    INDEX(
      'アイテム別限界値DB'!$L:$L, 
      MATCH(
        1, 
        ('アイテム別限界値DB'!$B:$B = D$10) * 
        ('アイテム別限界値DB'!$C:$C = D21) * 
        ('アイテム別限界値DB'!$F:$F = E21), 
        0
      )
    ), 
    ""
  )
)
</f>
        <v/>
      </c>
      <c r="H21" s="12"/>
      <c r="I21" s="239" t="s">
        <v>173</v>
      </c>
      <c r="J21" s="230"/>
      <c r="K21" s="231" t="str">
        <f t="array" ref="K21">IF(
  J21 = 0, 
  "", 
  IFERROR(
    INDEX(
      'アイテム別限界値DB'!$K:$K, 
      MATCH(
        1, 
        ('アイテム別限界値DB'!$B:$B = I$10) * 
        ('アイテム別限界値DB'!$F:$F = I21) * 
        ('アイテム別限界値DB'!$H:$H = J21), 
        0
      )
    ), 
    "再製作"
  )
)
</f>
        <v/>
      </c>
      <c r="L21" s="227" t="str">
        <f t="array" ref="L21">IF(
  J21 = 0, 
  "", 
  IFERROR(
    INDEX(
      'アイテム別限界値DB'!$L:$L, 
      MATCH(
        1, 
        ('アイテム別限界値DB'!$B:$B = I$10) * 
        ('アイテム別限界値DB'!$C:$C = I21) * 
        ('アイテム別限界値DB'!$F:$F = J21), 
        0
      )
    ), 
    ""
  )
)
</f>
        <v/>
      </c>
      <c r="M21" s="12"/>
      <c r="N21" s="224"/>
      <c r="O21" s="195"/>
      <c r="P21" s="195" t="str">
        <f t="array" ref="P21">IF(
  O21 = 0, 
  "", 
  IFERROR(
    INDEX(
      'アイテム別限界値DB'!$I:$I, 
      MATCH(
        1, 
        ('アイテム別限界値DB'!$B:$B = N$10) * 
        ('アイテム別限界値DB'!$C:$C = N21) * 
        ('アイテム別限界値DB'!$F:$F = O21), 
        0
      )
    ), 
    "再製作"
  )
)
</f>
        <v/>
      </c>
      <c r="Q21" s="121" t="str">
        <f t="array" ref="Q21">IF(
  O21 = 0, 
  "", 
  IFERROR(
    INDEX(
      'アイテム別限界値DB'!$L:$L, 
      MATCH(
        1, 
        ('アイテム別限界値DB'!$B:$B = N$10) * 
        ('アイテム別限界値DB'!$C:$C = N21) * 
        ('アイテム別限界値DB'!$F:$F = O21), 
        0
      )
    ), 
    ""
  )
)
</f>
        <v/>
      </c>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row>
    <row r="22">
      <c r="A22" s="228" t="str">
        <f>IF($N$11="再製作", "〈対応着地：再製作〉", IF($N$11&lt;&gt;"", "〈対応着地：お直し〉", ""))</f>
        <v/>
      </c>
      <c r="B22" s="303"/>
      <c r="C22" s="224"/>
      <c r="D22" s="239" t="s">
        <v>98</v>
      </c>
      <c r="E22" s="230"/>
      <c r="F22" s="231" t="str">
        <f t="array" ref="F22">IF(
  E22 = 0, 
  "", 
  IFERROR(
    INDEX(
      'アイテム別限界値DB'!$I:$I, 
      MATCH(
        1, 
        ('アイテム別限界値DB'!$B:$B = D$10) * 
        ('アイテム別限界値DB'!$C:$C = D22) * 
        ('アイテム別限界値DB'!$F:$F = E22), 
        0
      )
    ), 
    "再製作"
  )
)
</f>
        <v/>
      </c>
      <c r="G22" s="227" t="str">
        <f t="array" ref="G22">IF(
  E22 = 0, 
  "", 
  IFERROR(
    INDEX(
      'アイテム別限界値DB'!$L:$L, 
      MATCH(
        1, 
        ('アイテム別限界値DB'!$B:$B = D$10) * 
        ('アイテム別限界値DB'!$C:$C = D22) * 
        ('アイテム別限界値DB'!$F:$F = E22), 
        0
      )
    ), 
    ""
  )
)
</f>
        <v/>
      </c>
      <c r="H22" s="12"/>
      <c r="I22" s="239" t="s">
        <v>174</v>
      </c>
      <c r="J22" s="230"/>
      <c r="K22" s="231" t="str">
        <f t="array" ref="K22">IF(
  J22 = 0, 
  "", 
  IFERROR(
    INDEX(
      'アイテム別限界値DB'!$K:$K, 
      MATCH(
        1, 
        ('アイテム別限界値DB'!$B:$B = I$10) * 
        ('アイテム別限界値DB'!$F:$F = I22) * 
        ('アイテム別限界値DB'!$H:$H = J22), 
        0
      )
    ), 
    "再製作"
  )
)
</f>
        <v/>
      </c>
      <c r="L22" s="227" t="str">
        <f t="array" ref="L22">IF(
  J22 = 0, 
  "", 
  IFERROR(
    INDEX(
      'アイテム別限界値DB'!$L:$L, 
      MATCH(
        1, 
        ('アイテム別限界値DB'!$B:$B = I$10) * 
        ('アイテム別限界値DB'!$C:$C = I22) * 
        ('アイテム別限界値DB'!$F:$F = J22), 
        0
      )
    ), 
    ""
  )
)
</f>
        <v/>
      </c>
      <c r="M22" s="11"/>
      <c r="N22" s="224"/>
      <c r="O22" s="195"/>
      <c r="P22" s="195" t="str">
        <f t="array" ref="P22">IF(
  O22 = 0, 
  "", 
  IFERROR(
    INDEX(
      'アイテム別限界値DB'!$I:$I, 
      MATCH(
        1, 
        ('アイテム別限界値DB'!$B:$B = N$10) * 
        ('アイテム別限界値DB'!$C:$C = N22) * 
        ('アイテム別限界値DB'!$F:$F = O22), 
        0
      )
    ), 
    "再製作"
  )
)
</f>
        <v/>
      </c>
      <c r="Q22" s="121" t="str">
        <f t="array" ref="Q22">IF(
  O22 = 0, 
  "", 
  IFERROR(
    INDEX(
      'アイテム別限界値DB'!$L:$L, 
      MATCH(
        1, 
        ('アイテム別限界値DB'!$B:$B = N$10) * 
        ('アイテム別限界値DB'!$C:$C = N22) * 
        ('アイテム別限界値DB'!$F:$F = O22), 
        0
      )
    ), 
    ""
  )
)
</f>
        <v/>
      </c>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row>
    <row r="23" ht="18.75" customHeight="1">
      <c r="B23" s="246"/>
      <c r="C23" s="224"/>
      <c r="D23" s="238"/>
      <c r="E23" s="232"/>
      <c r="F23" s="231" t="str">
        <f t="array" ref="F23">IF(
  E23 = 0, 
  "", 
  IFERROR(
    INDEX(
      'アイテム別限界値DB'!$I:$I, 
      MATCH(
        1, 
        ('アイテム別限界値DB'!$B:$B = D$10) * 
        ('アイテム別限界値DB'!$C:$C = D23) * 
        ('アイテム別限界値DB'!$F:$F = E23), 
        0
      )
    ), 
    "再製作"
  )
)
</f>
        <v/>
      </c>
      <c r="G23" s="227" t="str">
        <f t="array" ref="G23">IF(
  E23 = 0, 
  "", 
  IFERROR(
    INDEX(
      'アイテム別限界値DB'!$L:$L, 
      MATCH(
        1, 
        ('アイテム別限界値DB'!$B:$B = D$10) * 
        ('アイテム別限界値DB'!$C:$C = D23) * 
        ('アイテム別限界値DB'!$F:$F = E23), 
        0
      )
    ), 
    ""
  )
)
</f>
        <v/>
      </c>
      <c r="H23" s="12"/>
      <c r="I23" s="238"/>
      <c r="J23" s="230"/>
      <c r="K23" s="231" t="str">
        <f t="array" ref="K23">IF(
  J23 = 0, 
  "", 
  IFERROR(
    INDEX(
      'アイテム別限界値DB'!$K:$K, 
      MATCH(
        1, 
        ('アイテム別限界値DB'!$B:$B = I$10) * 
        ('アイテム別限界値DB'!$F:$F = I23) * 
        ('アイテム別限界値DB'!$H:$H = J23), 
        0
      )
    ), 
    "再製作"
  )
)
</f>
        <v/>
      </c>
      <c r="L23" s="227" t="str">
        <f t="array" ref="L23">IF(
  J23 = 0, 
  "", 
  IFERROR(
    INDEX(
      'アイテム別限界値DB'!$L:$L, 
      MATCH(
        1, 
        ('アイテム別限界値DB'!$B:$B = I$10) * 
        ('アイテム別限界値DB'!$C:$C = I23) * 
        ('アイテム別限界値DB'!$F:$F = J23), 
        0
      )
    ), 
    ""
  )
)
</f>
        <v/>
      </c>
      <c r="M23" s="11"/>
      <c r="N23" s="224"/>
      <c r="O23" s="195"/>
      <c r="P23" s="195" t="str">
        <f t="array" ref="P23">IF(
  O23 = 0, 
  "", 
  IFERROR(
    INDEX(
      'アイテム別限界値DB'!$I:$I, 
      MATCH(
        1, 
        ('アイテム別限界値DB'!$B:$B = N$10) * 
        ('アイテム別限界値DB'!$C:$C = N23) * 
        ('アイテム別限界値DB'!$F:$F = O23), 
        0
      )
    ), 
    "再製作"
  )
)
</f>
        <v/>
      </c>
      <c r="Q23" s="121" t="str">
        <f t="array" ref="Q23">IF(
  O23 = 0, 
  "", 
  IFERROR(
    INDEX(
      'アイテム別限界値DB'!$L:$L, 
      MATCH(
        1, 
        ('アイテム別限界値DB'!$B:$B = N$10) * 
        ('アイテム別限界値DB'!$C:$C = N23) * 
        ('アイテム別限界値DB'!$F:$F = O23), 
        0
      )
    ), 
    ""
  )
)
</f>
        <v/>
      </c>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row>
    <row r="24" ht="18.75" customHeight="1">
      <c r="A24" s="305"/>
      <c r="B24" s="246"/>
      <c r="C24" s="224"/>
      <c r="D24" s="239"/>
      <c r="E24" s="232"/>
      <c r="F24" s="231" t="str">
        <f t="array" ref="F24">IF(
  E24 = 0, 
  "", 
  IFERROR(
    INDEX(
      'アイテム別限界値DB'!$I:$I, 
      MATCH(
        1, 
        ('アイテム別限界値DB'!$B:$B = D$10) * 
        ('アイテム別限界値DB'!$C:$C = D24) * 
        ('アイテム別限界値DB'!$F:$F = E24), 
        0
      )
    ), 
    "再製作"
  )
)
</f>
        <v/>
      </c>
      <c r="G24" s="227" t="str">
        <f t="array" ref="G24">IF(
  E24 = 0, 
  "", 
  IFERROR(
    INDEX(
      'アイテム別限界値DB'!$L:$L, 
      MATCH(
        1, 
        ('アイテム別限界値DB'!$B:$B = D$10) * 
        ('アイテム別限界値DB'!$C:$C = D24) * 
        ('アイテム別限界値DB'!$F:$F = E24), 
        0
      )
    ), 
    ""
  )
)
</f>
        <v/>
      </c>
      <c r="H24" s="12"/>
      <c r="I24" s="239"/>
      <c r="J24" s="232"/>
      <c r="K24" s="231" t="str">
        <f t="array" ref="K24">IF(
  J24 = 0, 
  "", 
  IFERROR(
    INDEX(
      'アイテム別限界値DB'!$I:$I, 
      MATCH(
        1, 
        ('アイテム別限界値DB'!$B:$B = I$10) * 
        ('アイテム別限界値DB'!$C:$C = I24) * 
        ('アイテム別限界値DB'!$F:$F = J24), 
        0
      )
    ), 
    "再製作"
  )
)
</f>
        <v/>
      </c>
      <c r="L24" s="227" t="str">
        <f t="array" ref="L24">IF(
  J24 = 0, 
  "", 
  IFERROR(
    INDEX(
      'アイテム別限界値DB'!$L:$L, 
      MATCH(
        1, 
        ('アイテム別限界値DB'!$B:$B = I$10) * 
        ('アイテム別限界値DB'!$C:$C = I24) * 
        ('アイテム別限界値DB'!$F:$F = J24), 
        0
      )
    ), 
    ""
  )
)
</f>
        <v/>
      </c>
      <c r="M24" s="11"/>
      <c r="N24" s="224"/>
      <c r="O24" s="195"/>
      <c r="P24" s="195" t="str">
        <f t="array" ref="P24">IF(
  O24 = 0, 
  "", 
  IFERROR(
    INDEX(
      'アイテム別限界値DB'!$I:$I, 
      MATCH(
        1, 
        ('アイテム別限界値DB'!$B:$B = N$10) * 
        ('アイテム別限界値DB'!$C:$C = N24) * 
        ('アイテム別限界値DB'!$F:$F = O24), 
        0
      )
    ), 
    "再製作"
  )
)
</f>
        <v/>
      </c>
      <c r="Q24" s="121" t="str">
        <f t="array" ref="Q24">IF(
  O24 = 0, 
  "", 
  IFERROR(
    INDEX(
      'アイテム別限界値DB'!$L:$L, 
      MATCH(
        1, 
        ('アイテム別限界値DB'!$B:$B = N$10) * 
        ('アイテム別限界値DB'!$C:$C = N24) * 
        ('アイテム別限界値DB'!$F:$F = O24), 
        0
      )
    ), 
    ""
  )
)
</f>
        <v/>
      </c>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row>
    <row r="25" ht="18.75" customHeight="1">
      <c r="A25" s="228"/>
      <c r="B25" s="303"/>
      <c r="C25" s="224"/>
      <c r="D25" s="239"/>
      <c r="E25" s="232"/>
      <c r="F25" s="231" t="str">
        <f t="array" ref="F25">IF(
  E25 = 0, 
  "", 
  IFERROR(
    INDEX(
      'アイテム別限界値DB'!$I:$I, 
      MATCH(
        1, 
        ('アイテム別限界値DB'!$B:$B = D$10) * 
        ('アイテム別限界値DB'!$C:$C = D25) * 
        ('アイテム別限界値DB'!$F:$F = E25), 
        0
      )
    ), 
    "再製作"
  )
)
</f>
        <v/>
      </c>
      <c r="G25" s="227" t="str">
        <f t="array" ref="G25">IF(
  E25 = 0, 
  "", 
  IFERROR(
    INDEX(
      'アイテム別限界値DB'!$L:$L, 
      MATCH(
        1, 
        ('アイテム別限界値DB'!$B:$B = D$10) * 
        ('アイテム別限界値DB'!$C:$C = D25) * 
        ('アイテム別限界値DB'!$F:$F = E25), 
        0
      )
    ), 
    ""
  )
)
</f>
        <v/>
      </c>
      <c r="H25" s="12"/>
      <c r="I25" s="224"/>
      <c r="J25" s="220"/>
      <c r="K25" s="220"/>
      <c r="L25" s="220"/>
      <c r="M25" s="11"/>
      <c r="N25" s="11"/>
      <c r="O25" s="195"/>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row>
    <row r="26" ht="18.75" customHeight="1">
      <c r="A26" s="228"/>
      <c r="B26" s="246"/>
      <c r="C26" s="224"/>
      <c r="D26" s="239"/>
      <c r="E26" s="232"/>
      <c r="F26" s="231" t="str">
        <f t="array" ref="F26">IF(
  E26 = 0, 
  "", 
  IFERROR(
    INDEX(
      'アイテム別限界値DB'!$I:$I, 
      MATCH(
        1, 
        ('アイテム別限界値DB'!$B:$B = D$10) * 
        ('アイテム別限界値DB'!$C:$C = D26) * 
        ('アイテム別限界値DB'!$F:$F = E26), 
        0
      )
    ), 
    "再製作"
  )
)
</f>
        <v/>
      </c>
      <c r="G26" s="227" t="str">
        <f t="array" ref="G26">IF(
  E26 = 0, 
  "", 
  IFERROR(
    INDEX(
      'アイテム別限界値DB'!$L:$L, 
      MATCH(
        1, 
        ('アイテム別限界値DB'!$B:$B = D$10) * 
        ('アイテム別限界値DB'!$C:$C = D26) * 
        ('アイテム別限界値DB'!$F:$F = E26), 
        0
      )
    ), 
    ""
  )
)
</f>
        <v/>
      </c>
      <c r="H26" s="12"/>
      <c r="I26" s="11"/>
      <c r="J26" s="220"/>
      <c r="K26" s="220"/>
      <c r="L26" s="220"/>
      <c r="M26" s="11"/>
      <c r="N26" s="11"/>
      <c r="O26" s="195"/>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row>
    <row r="27" ht="18.75" customHeight="1">
      <c r="A27" s="228"/>
      <c r="B27" s="246"/>
      <c r="C27" s="224"/>
      <c r="D27" s="239"/>
      <c r="E27" s="232"/>
      <c r="F27" s="231" t="str">
        <f t="array" ref="F27">IF(
  E27 = 0, 
  "", 
  IFERROR(
    INDEX(
      'アイテム別限界値DB'!$I:$I, 
      MATCH(
        1, 
        ('アイテム別限界値DB'!$B:$B = D$10) * 
        ('アイテム別限界値DB'!$C:$C = D27) * 
        ('アイテム別限界値DB'!$F:$F = E27), 
        0
      )
    ), 
    "再製作"
  )
)
</f>
        <v/>
      </c>
      <c r="G27" s="227" t="str">
        <f t="array" ref="G27">IF(
  E27 = 0, 
  "", 
  IFERROR(
    INDEX(
      'アイテム別限界値DB'!$L:$L, 
      MATCH(
        1, 
        ('アイテム別限界値DB'!$B:$B = D$10) * 
        ('アイテム別限界値DB'!$C:$C = D27) * 
        ('アイテム別限界値DB'!$F:$F = E27), 
        0
      )
    ), 
    ""
  )
)
</f>
        <v/>
      </c>
      <c r="H27" s="12"/>
      <c r="I27" s="11"/>
      <c r="J27" s="220"/>
      <c r="K27" s="184"/>
      <c r="L27" s="184"/>
      <c r="M27" s="11"/>
      <c r="N27" s="11"/>
      <c r="O27" s="195"/>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row>
    <row r="28" ht="15.75" customHeight="1">
      <c r="A28" s="308"/>
      <c r="B28" s="240"/>
      <c r="C28" s="11"/>
      <c r="D28" s="11"/>
      <c r="E28" s="232"/>
      <c r="F28" s="231" t="str">
        <f t="array" ref="F28">IF(
  E28 = 0, 
  "", 
  IFERROR(
    INDEX(
      'アイテム別限界値DB'!$I:$I, 
      MATCH(
        1, 
        ('アイテム別限界値DB'!$B:$B = D$10) * 
        ('アイテム別限界値DB'!$C:$C = D28) * 
        ('アイテム別限界値DB'!$F:$F = E28), 
        0
      )
    ), 
    "再製作"
  )
)
</f>
        <v/>
      </c>
      <c r="G28" s="227" t="str">
        <f t="array" ref="G28">IF(
  E28 = 0, 
  "", 
  IFERROR(
    INDEX(
      'アイテム別限界値DB'!$L:$L, 
      MATCH(
        1, 
        ('アイテム別限界値DB'!$B:$B = D$10) * 
        ('アイテム別限界値DB'!$C:$C = D28) * 
        ('アイテム別限界値DB'!$F:$F = E28), 
        0
      )
    ), 
    ""
  )
)
</f>
        <v/>
      </c>
      <c r="H28" s="11"/>
      <c r="I28" s="11"/>
      <c r="J28" s="220"/>
      <c r="K28" s="184"/>
      <c r="L28" s="184"/>
      <c r="M28" s="11"/>
      <c r="N28" s="11"/>
      <c r="O28" s="195"/>
      <c r="P28" s="11"/>
      <c r="Q28" s="11"/>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row>
    <row r="29" ht="15.75" customHeight="1">
      <c r="A29" s="245"/>
      <c r="B29" s="187"/>
      <c r="C29" s="11"/>
      <c r="D29" s="11"/>
      <c r="E29" s="232"/>
      <c r="F29" s="231" t="str">
        <f t="array" ref="F29">IF(
  E29 = 0, 
  "", 
  IFERROR(
    INDEX(
      'アイテム別限界値DB'!$I:$I, 
      MATCH(
        1, 
        ('アイテム別限界値DB'!$B:$B = D$10) * 
        ('アイテム別限界値DB'!$C:$C = D29) * 
        ('アイテム別限界値DB'!$F:$F = E29), 
        0
      )
    ), 
    "再製作"
  )
)
</f>
        <v/>
      </c>
      <c r="G29" s="227" t="str">
        <f t="array" ref="G29">IF(
  E29 = 0, 
  "", 
  IFERROR(
    INDEX(
      'アイテム別限界値DB'!$L:$L, 
      MATCH(
        1, 
        ('アイテム別限界値DB'!$B:$B = D$10) * 
        ('アイテム別限界値DB'!$C:$C = D29) * 
        ('アイテム別限界値DB'!$F:$F = E29), 
        0
      )
    ), 
    ""
  )
)
</f>
        <v/>
      </c>
      <c r="H29" s="11"/>
      <c r="I29" s="11"/>
      <c r="J29" s="220"/>
      <c r="K29" s="184"/>
      <c r="L29" s="184"/>
      <c r="M29" s="11"/>
      <c r="N29" s="11"/>
      <c r="O29" s="195"/>
      <c r="P29" s="11"/>
      <c r="Q29" s="11"/>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row>
    <row r="30" ht="15.75" customHeight="1">
      <c r="A30" s="228"/>
      <c r="B30" s="246"/>
      <c r="C30" s="11"/>
      <c r="D30" s="11"/>
      <c r="E30" s="232"/>
      <c r="F30" s="231" t="str">
        <f t="array" ref="F30">IF(
  E30 = 0, 
  "", 
  IFERROR(
    INDEX(
      'アイテム別限界値DB'!$I:$I, 
      MATCH(
        1, 
        ('アイテム別限界値DB'!$B:$B = D$10) * 
        ('アイテム別限界値DB'!$C:$C = D30) * 
        ('アイテム別限界値DB'!$F:$F = E30), 
        0
      )
    ), 
    "再製作"
  )
)
</f>
        <v/>
      </c>
      <c r="G30" s="227" t="str">
        <f t="array" ref="G30">IF(
  E30 = 0, 
  "", 
  IFERROR(
    INDEX(
      'アイテム別限界値DB'!$L:$L, 
      MATCH(
        1, 
        ('アイテム別限界値DB'!$B:$B = D$10) * 
        ('アイテム別限界値DB'!$C:$C = D30) * 
        ('アイテム別限界値DB'!$F:$F = E30), 
        0
      )
    ), 
    ""
  )
)
</f>
        <v/>
      </c>
      <c r="H30" s="11"/>
      <c r="I30" s="11"/>
      <c r="J30" s="220"/>
      <c r="K30" s="184"/>
      <c r="L30" s="184"/>
      <c r="M30" s="11"/>
      <c r="N30" s="11"/>
      <c r="O30" s="195"/>
      <c r="P30" s="11"/>
      <c r="Q30" s="11"/>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row>
    <row r="31" ht="15.75" customHeight="1">
      <c r="A31" s="309"/>
      <c r="B31" s="185"/>
      <c r="C31" s="11"/>
      <c r="D31" s="11"/>
      <c r="E31" s="232"/>
      <c r="F31" s="231" t="str">
        <f t="array" ref="F31">IF(
  E31 = 0, 
  "", 
  IFERROR(
    INDEX(
      'アイテム別限界値DB'!$I:$I, 
      MATCH(
        1, 
        ('アイテム別限界値DB'!$B:$B = D$10) * 
        ('アイテム別限界値DB'!$C:$C = D31) * 
        ('アイテム別限界値DB'!$F:$F = E31), 
        0
      )
    ), 
    "再製作"
  )
)
</f>
        <v/>
      </c>
      <c r="G31" s="227" t="str">
        <f t="array" ref="G31">IF(
  E31 = 0, 
  "", 
  IFERROR(
    INDEX(
      'アイテム別限界値DB'!$L:$L, 
      MATCH(
        1, 
        ('アイテム別限界値DB'!$B:$B = D$10) * 
        ('アイテム別限界値DB'!$C:$C = D31) * 
        ('アイテム別限界値DB'!$F:$F = E31), 
        0
      )
    ), 
    ""
  )
)
</f>
        <v/>
      </c>
      <c r="H31" s="11"/>
      <c r="I31" s="11"/>
      <c r="J31" s="220"/>
      <c r="K31" s="184"/>
      <c r="L31" s="184"/>
      <c r="M31" s="11"/>
      <c r="N31" s="11"/>
      <c r="O31" s="195"/>
      <c r="P31" s="11"/>
      <c r="Q31" s="11"/>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row>
    <row r="32" ht="15.75" customHeight="1">
      <c r="A32" s="245"/>
      <c r="B32" s="187"/>
      <c r="C32" s="11"/>
      <c r="D32" s="11"/>
      <c r="E32" s="232"/>
      <c r="F32" s="231" t="str">
        <f t="array" ref="F32">IF(
  E32 = 0, 
  "", 
  IFERROR(
    INDEX(
      'アイテム別限界値DB'!$I:$I, 
      MATCH(
        1, 
        ('アイテム別限界値DB'!$B:$B = D$10) * 
        ('アイテム別限界値DB'!$C:$C = D32) * 
        ('アイテム別限界値DB'!$F:$F = E32), 
        0
      )
    ), 
    "再製作"
  )
)
</f>
        <v/>
      </c>
      <c r="G32" s="227" t="str">
        <f t="array" ref="G32">IF(
  E32 = 0, 
  "", 
  IFERROR(
    INDEX(
      'アイテム別限界値DB'!$L:$L, 
      MATCH(
        1, 
        ('アイテム別限界値DB'!$B:$B = D$10) * 
        ('アイテム別限界値DB'!$C:$C = D32) * 
        ('アイテム別限界値DB'!$F:$F = E32), 
        0
      )
    ), 
    ""
  )
)
</f>
        <v/>
      </c>
      <c r="H32" s="11"/>
      <c r="I32" s="11"/>
      <c r="J32" s="220"/>
      <c r="K32" s="184"/>
      <c r="L32" s="184"/>
      <c r="M32" s="11"/>
      <c r="N32" s="11"/>
      <c r="O32" s="195"/>
      <c r="P32" s="11"/>
      <c r="Q32" s="11"/>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row>
    <row r="33" ht="15.75" customHeight="1">
      <c r="A33" s="228"/>
      <c r="B33" s="246"/>
      <c r="C33" s="11"/>
      <c r="D33" s="11"/>
      <c r="E33" s="232"/>
      <c r="F33" s="231" t="str">
        <f t="array" ref="F33">IF(
  E33 = 0, 
  "", 
  IFERROR(
    INDEX(
      'アイテム別限界値DB'!$I:$I, 
      MATCH(
        1, 
        ('アイテム別限界値DB'!$B:$B = D$10) * 
        ('アイテム別限界値DB'!$C:$C = D33) * 
        ('アイテム別限界値DB'!$F:$F = E33), 
        0
      )
    ), 
    "再製作"
  )
)
</f>
        <v/>
      </c>
      <c r="G33" s="227" t="str">
        <f t="array" ref="G33">IF(
  E33 = 0, 
  "", 
  IFERROR(
    INDEX(
      'アイテム別限界値DB'!$L:$L, 
      MATCH(
        1, 
        ('アイテム別限界値DB'!$B:$B = D$10) * 
        ('アイテム別限界値DB'!$C:$C = D33) * 
        ('アイテム別限界値DB'!$F:$F = E33), 
        0
      )
    ), 
    ""
  )
)
</f>
        <v/>
      </c>
      <c r="H33" s="11"/>
      <c r="I33" s="11"/>
      <c r="J33" s="220"/>
      <c r="K33" s="184"/>
      <c r="L33" s="184"/>
      <c r="M33" s="11"/>
      <c r="N33" s="11"/>
      <c r="O33" s="195"/>
      <c r="P33" s="11"/>
      <c r="Q33" s="11"/>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row>
    <row r="34" ht="15.75" customHeight="1">
      <c r="A34" s="309"/>
      <c r="B34" s="185"/>
      <c r="C34" s="11"/>
      <c r="D34" s="11"/>
      <c r="E34" s="232"/>
      <c r="F34" s="231" t="str">
        <f t="array" ref="F34">IF(
  E34 = 0, 
  "", 
  IFERROR(
    INDEX(
      'アイテム別限界値DB'!$I:$I, 
      MATCH(
        1, 
        ('アイテム別限界値DB'!$B:$B = D$10) * 
        ('アイテム別限界値DB'!$C:$C = D34) * 
        ('アイテム別限界値DB'!$F:$F = E34), 
        0
      )
    ), 
    "再製作"
  )
)
</f>
        <v/>
      </c>
      <c r="G34" s="227" t="str">
        <f t="array" ref="G34">IF(
  E34 = 0, 
  "", 
  IFERROR(
    INDEX(
      'アイテム別限界値DB'!$L:$L, 
      MATCH(
        1, 
        ('アイテム別限界値DB'!$B:$B = D$10) * 
        ('アイテム別限界値DB'!$C:$C = D34) * 
        ('アイテム別限界値DB'!$F:$F = E34), 
        0
      )
    ), 
    ""
  )
)
</f>
        <v/>
      </c>
      <c r="H34" s="11"/>
      <c r="I34" s="11"/>
      <c r="J34" s="220"/>
      <c r="K34" s="184"/>
      <c r="L34" s="184"/>
      <c r="M34" s="11"/>
      <c r="N34" s="11"/>
      <c r="O34" s="195"/>
      <c r="P34" s="11"/>
      <c r="Q34" s="11"/>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row>
    <row r="35" ht="15.75" customHeight="1">
      <c r="A35" s="245"/>
      <c r="B35" s="187"/>
      <c r="C35" s="11"/>
      <c r="D35" s="11"/>
      <c r="E35" s="232"/>
      <c r="F35" s="231" t="str">
        <f t="array" ref="F35">IF(
  E35 = 0, 
  "", 
  IFERROR(
    INDEX(
      'アイテム別限界値DB'!$I:$I, 
      MATCH(
        1, 
        ('アイテム別限界値DB'!$B:$B = D$10) * 
        ('アイテム別限界値DB'!$C:$C = D35) * 
        ('アイテム別限界値DB'!$F:$F = E35), 
        0
      )
    ), 
    "再製作"
  )
)
</f>
        <v/>
      </c>
      <c r="G35" s="227" t="str">
        <f t="array" ref="G35">IF(
  E35 = 0, 
  "", 
  IFERROR(
    INDEX(
      'アイテム別限界値DB'!$L:$L, 
      MATCH(
        1, 
        ('アイテム別限界値DB'!$B:$B = D$10) * 
        ('アイテム別限界値DB'!$C:$C = D35) * 
        ('アイテム別限界値DB'!$F:$F = E35), 
        0
      )
    ), 
    ""
  )
)
</f>
        <v/>
      </c>
      <c r="H35" s="11"/>
      <c r="I35" s="11"/>
      <c r="J35" s="220"/>
      <c r="K35" s="184"/>
      <c r="L35" s="184"/>
      <c r="M35" s="11"/>
      <c r="N35" s="11"/>
      <c r="O35" s="195"/>
      <c r="P35" s="11"/>
      <c r="Q35" s="11"/>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row>
    <row r="36" ht="15.75" customHeight="1">
      <c r="A36" s="228"/>
      <c r="B36" s="246"/>
      <c r="C36" s="11"/>
      <c r="D36" s="11"/>
      <c r="E36" s="232"/>
      <c r="F36" s="231" t="str">
        <f t="array" ref="F36">IF(
  E36 = 0, 
  "", 
  IFERROR(
    INDEX(
      'アイテム別限界値DB'!$I:$I, 
      MATCH(
        1, 
        ('アイテム別限界値DB'!$B:$B = D$10) * 
        ('アイテム別限界値DB'!$C:$C = D36) * 
        ('アイテム別限界値DB'!$F:$F = E36), 
        0
      )
    ), 
    "再製作"
  )
)
</f>
        <v/>
      </c>
      <c r="G36" s="227" t="str">
        <f t="array" ref="G36">IF(
  E36 = 0, 
  "", 
  IFERROR(
    INDEX(
      'アイテム別限界値DB'!$L:$L, 
      MATCH(
        1, 
        ('アイテム別限界値DB'!$B:$B = D$10) * 
        ('アイテム別限界値DB'!$C:$C = D36) * 
        ('アイテム別限界値DB'!$F:$F = E36), 
        0
      )
    ), 
    ""
  )
)
</f>
        <v/>
      </c>
      <c r="H36" s="11"/>
      <c r="I36" s="11"/>
      <c r="J36" s="220"/>
      <c r="K36" s="184"/>
      <c r="L36" s="184"/>
      <c r="M36" s="11"/>
      <c r="N36" s="11"/>
      <c r="O36" s="195"/>
      <c r="P36" s="11"/>
      <c r="Q36" s="11"/>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row>
    <row r="37">
      <c r="A37" s="309"/>
      <c r="B37" s="185"/>
      <c r="C37" s="11"/>
      <c r="D37" s="11"/>
      <c r="E37" s="232"/>
      <c r="F37" s="231" t="str">
        <f t="array" ref="F37">IF(
  E37 = 0, 
  "", 
  IFERROR(
    INDEX(
      'アイテム別限界値DB'!$I:$I, 
      MATCH(
        1, 
        ('アイテム別限界値DB'!$B:$B = D$10) * 
        ('アイテム別限界値DB'!$C:$C = D37) * 
        ('アイテム別限界値DB'!$F:$F = E37), 
        0
      )
    ), 
    "再製作"
  )
)
</f>
        <v/>
      </c>
      <c r="G37" s="227" t="str">
        <f t="array" ref="G37">IF(
  E37 = 0, 
  "", 
  IFERROR(
    INDEX(
      'アイテム別限界値DB'!$L:$L, 
      MATCH(
        1, 
        ('アイテム別限界値DB'!$B:$B = D$10) * 
        ('アイテム別限界値DB'!$C:$C = D37) * 
        ('アイテム別限界値DB'!$F:$F = E37), 
        0
      )
    ), 
    ""
  )
)
</f>
        <v/>
      </c>
      <c r="H37" s="11"/>
      <c r="I37" s="11"/>
      <c r="J37" s="220"/>
      <c r="K37" s="184"/>
      <c r="L37" s="184"/>
      <c r="M37" s="11"/>
      <c r="N37" s="11"/>
      <c r="O37" s="195"/>
      <c r="P37" s="11"/>
      <c r="Q37" s="11"/>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row>
    <row r="38">
      <c r="A38" s="245"/>
      <c r="B38" s="187"/>
      <c r="C38" s="11"/>
      <c r="D38" s="11"/>
      <c r="E38" s="232"/>
      <c r="F38" s="231" t="str">
        <f t="array" ref="F38">IF(
  E38 = 0, 
  "", 
  IFERROR(
    INDEX(
      'アイテム別限界値DB'!$I:$I, 
      MATCH(
        1, 
        ('アイテム別限界値DB'!$B:$B = D$10) * 
        ('アイテム別限界値DB'!$C:$C = D38) * 
        ('アイテム別限界値DB'!$F:$F = E38), 
        0
      )
    ), 
    "再製作"
  )
)
</f>
        <v/>
      </c>
      <c r="G38" s="227" t="str">
        <f t="array" ref="G38">IF(
  E38 = 0, 
  "", 
  IFERROR(
    INDEX(
      'アイテム別限界値DB'!$L:$L, 
      MATCH(
        1, 
        ('アイテム別限界値DB'!$B:$B = D$10) * 
        ('アイテム別限界値DB'!$C:$C = D38) * 
        ('アイテム別限界値DB'!$F:$F = E38), 
        0
      )
    ), 
    ""
  )
)
</f>
        <v/>
      </c>
      <c r="H38" s="11"/>
      <c r="I38" s="11"/>
      <c r="J38" s="220"/>
      <c r="K38" s="184"/>
      <c r="L38" s="184"/>
      <c r="M38" s="11"/>
      <c r="N38" s="11"/>
      <c r="O38" s="195"/>
      <c r="P38" s="11"/>
      <c r="Q38" s="11"/>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row>
    <row r="39">
      <c r="A39" s="228"/>
      <c r="B39" s="246"/>
      <c r="C39" s="11"/>
      <c r="D39" s="11"/>
      <c r="E39" s="232"/>
      <c r="F39" s="231" t="str">
        <f t="array" ref="F39">IF(
  E39 = 0, 
  "", 
  IFERROR(
    INDEX(
      'アイテム別限界値DB'!$I:$I, 
      MATCH(
        1, 
        ('アイテム別限界値DB'!$B:$B = D$10) * 
        ('アイテム別限界値DB'!$C:$C = D39) * 
        ('アイテム別限界値DB'!$F:$F = E39), 
        0
      )
    ), 
    "再製作"
  )
)
</f>
        <v/>
      </c>
      <c r="G39" s="227" t="str">
        <f t="array" ref="G39">IF(
  E39 = 0, 
  "", 
  IFERROR(
    INDEX(
      'アイテム別限界値DB'!$L:$L, 
      MATCH(
        1, 
        ('アイテム別限界値DB'!$B:$B = D$10) * 
        ('アイテム別限界値DB'!$C:$C = D39) * 
        ('アイテム別限界値DB'!$F:$F = E39), 
        0
      )
    ), 
    ""
  )
)
</f>
        <v/>
      </c>
      <c r="H39" s="11"/>
      <c r="I39" s="11"/>
      <c r="J39" s="220"/>
      <c r="K39" s="184"/>
      <c r="L39" s="184"/>
      <c r="M39" s="11"/>
      <c r="N39" s="11"/>
      <c r="O39" s="195"/>
      <c r="P39" s="11"/>
      <c r="Q39" s="11"/>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row>
    <row r="40">
      <c r="A40" s="309"/>
      <c r="B40" s="185"/>
      <c r="C40" s="11"/>
      <c r="D40" s="11"/>
      <c r="E40" s="232"/>
      <c r="F40" s="231" t="str">
        <f t="array" ref="F40">IF(
  E40 = 0, 
  "", 
  IFERROR(
    INDEX(
      'アイテム別限界値DB'!$I:$I, 
      MATCH(
        1, 
        ('アイテム別限界値DB'!$B:$B = D$10) * 
        ('アイテム別限界値DB'!$C:$C = D40) * 
        ('アイテム別限界値DB'!$F:$F = E40), 
        0
      )
    ), 
    "再製作"
  )
)
</f>
        <v/>
      </c>
      <c r="G40" s="227" t="str">
        <f t="array" ref="G40">IF(
  E40 = 0, 
  "", 
  IFERROR(
    INDEX(
      'アイテム別限界値DB'!$L:$L, 
      MATCH(
        1, 
        ('アイテム別限界値DB'!$B:$B = D$10) * 
        ('アイテム別限界値DB'!$C:$C = D40) * 
        ('アイテム別限界値DB'!$F:$F = E40), 
        0
      )
    ), 
    ""
  )
)
</f>
        <v/>
      </c>
      <c r="H40" s="11"/>
      <c r="I40" s="11"/>
      <c r="J40" s="220"/>
      <c r="K40" s="184"/>
      <c r="L40" s="184"/>
      <c r="M40" s="11"/>
      <c r="N40" s="11"/>
      <c r="O40" s="195"/>
      <c r="P40" s="11"/>
      <c r="Q40" s="11"/>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row>
    <row r="41">
      <c r="A41" s="245"/>
      <c r="B41" s="187"/>
      <c r="C41" s="11"/>
      <c r="D41" s="11"/>
      <c r="E41" s="220"/>
      <c r="F41" s="220"/>
      <c r="G41" s="220"/>
      <c r="H41" s="11"/>
      <c r="I41" s="11"/>
      <c r="J41" s="220"/>
      <c r="K41" s="184"/>
      <c r="L41" s="184"/>
      <c r="M41" s="11"/>
      <c r="N41" s="11"/>
      <c r="O41" s="195"/>
      <c r="P41" s="11"/>
      <c r="Q41" s="11"/>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row>
    <row r="42">
      <c r="A42" s="228"/>
      <c r="B42" s="246"/>
      <c r="C42" s="11"/>
      <c r="D42" s="11"/>
      <c r="E42" s="220"/>
      <c r="F42" s="220"/>
      <c r="G42" s="220"/>
      <c r="H42" s="11"/>
      <c r="I42" s="11"/>
      <c r="J42" s="220"/>
      <c r="K42" s="184"/>
      <c r="L42" s="184"/>
      <c r="M42" s="11"/>
      <c r="N42" s="11"/>
      <c r="O42" s="195"/>
      <c r="P42" s="11"/>
      <c r="Q42" s="11"/>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row>
    <row r="43">
      <c r="A43" s="309"/>
      <c r="B43" s="185"/>
      <c r="C43" s="11"/>
      <c r="D43" s="11"/>
      <c r="E43" s="220"/>
      <c r="F43" s="220"/>
      <c r="G43" s="220"/>
      <c r="H43" s="11"/>
      <c r="I43" s="11"/>
      <c r="J43" s="220"/>
      <c r="K43" s="184"/>
      <c r="L43" s="184"/>
      <c r="M43" s="11"/>
      <c r="N43" s="11"/>
      <c r="O43" s="195"/>
      <c r="P43" s="11"/>
      <c r="Q43" s="11"/>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row>
    <row r="44">
      <c r="A44" s="245"/>
      <c r="B44" s="187"/>
      <c r="C44" s="11"/>
      <c r="D44" s="11"/>
      <c r="E44" s="220"/>
      <c r="F44" s="220"/>
      <c r="G44" s="220"/>
      <c r="H44" s="11"/>
      <c r="I44" s="11"/>
      <c r="J44" s="220"/>
      <c r="K44" s="184"/>
      <c r="L44" s="184"/>
      <c r="M44" s="11"/>
      <c r="N44" s="11"/>
      <c r="O44" s="195"/>
      <c r="P44" s="11"/>
      <c r="Q44" s="11"/>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row>
    <row r="45">
      <c r="A45" s="228"/>
      <c r="B45" s="246"/>
      <c r="C45" s="11"/>
      <c r="D45" s="11"/>
      <c r="E45" s="220"/>
      <c r="F45" s="220"/>
      <c r="G45" s="220"/>
      <c r="H45" s="11"/>
      <c r="I45" s="11"/>
      <c r="J45" s="220"/>
      <c r="K45" s="184"/>
      <c r="L45" s="184"/>
      <c r="M45" s="11"/>
      <c r="N45" s="11"/>
      <c r="O45" s="195"/>
      <c r="P45" s="11"/>
      <c r="Q45" s="11"/>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row>
    <row r="46">
      <c r="A46" s="240"/>
      <c r="B46" s="240"/>
      <c r="C46" s="11"/>
      <c r="D46" s="11"/>
      <c r="E46" s="220"/>
      <c r="F46" s="220"/>
      <c r="G46" s="220"/>
      <c r="H46" s="11"/>
      <c r="I46" s="11"/>
      <c r="J46" s="220"/>
      <c r="K46" s="184"/>
      <c r="L46" s="184"/>
      <c r="M46" s="11"/>
      <c r="N46" s="11"/>
      <c r="O46" s="195"/>
      <c r="P46" s="11"/>
      <c r="Q46" s="11"/>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row>
    <row r="47">
      <c r="A47" s="240"/>
      <c r="B47" s="240"/>
      <c r="C47" s="11"/>
      <c r="D47" s="11"/>
      <c r="E47" s="220"/>
      <c r="F47" s="220"/>
      <c r="G47" s="220"/>
      <c r="H47" s="11"/>
      <c r="I47" s="11"/>
      <c r="J47" s="220"/>
      <c r="K47" s="184"/>
      <c r="L47" s="184"/>
      <c r="M47" s="11"/>
      <c r="N47" s="11"/>
      <c r="O47" s="195"/>
      <c r="P47" s="11"/>
      <c r="Q47" s="11"/>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row>
    <row r="48">
      <c r="A48" s="240"/>
      <c r="B48" s="240"/>
      <c r="C48" s="11"/>
      <c r="D48" s="11"/>
      <c r="E48" s="220"/>
      <c r="F48" s="220"/>
      <c r="G48" s="220"/>
      <c r="H48" s="11"/>
      <c r="I48" s="11"/>
      <c r="J48" s="220"/>
      <c r="K48" s="184"/>
      <c r="L48" s="184"/>
      <c r="M48" s="11"/>
      <c r="N48" s="11"/>
      <c r="O48" s="195"/>
      <c r="P48" s="11"/>
      <c r="Q48" s="11"/>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row>
    <row r="49">
      <c r="A49" s="240"/>
      <c r="B49" s="240"/>
      <c r="C49" s="11"/>
      <c r="D49" s="11"/>
      <c r="E49" s="220"/>
      <c r="F49" s="220"/>
      <c r="G49" s="220"/>
      <c r="H49" s="11"/>
      <c r="I49" s="11"/>
      <c r="J49" s="220"/>
      <c r="K49" s="184"/>
      <c r="L49" s="184"/>
      <c r="M49" s="11"/>
      <c r="N49" s="11"/>
      <c r="O49" s="195"/>
      <c r="P49" s="11"/>
      <c r="Q49" s="11"/>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row>
    <row r="50">
      <c r="A50" s="240"/>
      <c r="B50" s="240"/>
      <c r="C50" s="11"/>
      <c r="D50" s="11"/>
      <c r="E50" s="220"/>
      <c r="F50" s="220"/>
      <c r="G50" s="220"/>
      <c r="H50" s="11"/>
      <c r="I50" s="11"/>
      <c r="J50" s="220"/>
      <c r="K50" s="184"/>
      <c r="L50" s="184"/>
      <c r="M50" s="11"/>
      <c r="N50" s="11"/>
      <c r="O50" s="195"/>
      <c r="P50" s="11"/>
      <c r="Q50" s="11"/>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row>
    <row r="51">
      <c r="A51" s="240"/>
      <c r="B51" s="240"/>
      <c r="C51" s="11"/>
      <c r="D51" s="11"/>
      <c r="E51" s="220"/>
      <c r="F51" s="220"/>
      <c r="G51" s="220"/>
      <c r="H51" s="11"/>
      <c r="I51" s="11"/>
      <c r="J51" s="220"/>
      <c r="K51" s="184"/>
      <c r="L51" s="184"/>
      <c r="M51" s="11"/>
      <c r="N51" s="11"/>
      <c r="O51" s="195"/>
      <c r="P51" s="11"/>
      <c r="Q51" s="11"/>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row>
    <row r="52">
      <c r="A52" s="240"/>
      <c r="B52" s="240"/>
      <c r="C52" s="11"/>
      <c r="D52" s="11"/>
      <c r="E52" s="220"/>
      <c r="F52" s="220"/>
      <c r="G52" s="220"/>
      <c r="H52" s="11"/>
      <c r="I52" s="11"/>
      <c r="J52" s="220"/>
      <c r="K52" s="184"/>
      <c r="L52" s="184"/>
      <c r="M52" s="11"/>
      <c r="N52" s="11"/>
      <c r="O52" s="195"/>
      <c r="P52" s="11"/>
      <c r="Q52" s="11"/>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row>
    <row r="53">
      <c r="A53" s="240"/>
      <c r="B53" s="240"/>
      <c r="C53" s="11"/>
      <c r="D53" s="11"/>
      <c r="E53" s="220"/>
      <c r="F53" s="220"/>
      <c r="G53" s="220"/>
      <c r="H53" s="11"/>
      <c r="I53" s="11"/>
      <c r="J53" s="220"/>
      <c r="K53" s="184"/>
      <c r="L53" s="184"/>
      <c r="M53" s="11"/>
      <c r="N53" s="11"/>
      <c r="O53" s="195"/>
      <c r="P53" s="11"/>
      <c r="Q53" s="11"/>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row>
    <row r="54">
      <c r="A54" s="240"/>
      <c r="B54" s="240"/>
      <c r="C54" s="11"/>
      <c r="D54" s="11"/>
      <c r="E54" s="220"/>
      <c r="F54" s="220"/>
      <c r="G54" s="220"/>
      <c r="H54" s="11"/>
      <c r="I54" s="11"/>
      <c r="J54" s="220"/>
      <c r="K54" s="184"/>
      <c r="L54" s="184"/>
      <c r="M54" s="11"/>
      <c r="N54" s="11"/>
      <c r="O54" s="195"/>
      <c r="P54" s="11"/>
      <c r="Q54" s="11"/>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row>
  </sheetData>
  <mergeCells count="1">
    <mergeCell ref="D5:G5"/>
  </mergeCells>
  <hyperlinks>
    <hyperlink r:id="rId1" location="gid=1724247325" ref="J1"/>
    <hyperlink r:id="rId2" location="gid=1551873484" ref="K5"/>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hidden="1" min="1" max="1" width="5.13"/>
    <col customWidth="1" hidden="1" min="2" max="2" width="30.13"/>
    <col customWidth="1" min="3" max="3" width="5.13"/>
    <col customWidth="1" min="4" max="4" width="40.13"/>
    <col customWidth="1" hidden="1" min="5" max="5" width="6.38"/>
    <col customWidth="1" min="6" max="7" width="18.88"/>
    <col customWidth="1" min="8" max="9" width="12.63"/>
    <col customWidth="1" min="10" max="10" width="6.38"/>
    <col customWidth="1" min="11" max="11" width="37.63"/>
    <col customWidth="1" hidden="1" min="12" max="12" width="9.75"/>
    <col customWidth="1" min="13" max="13" width="12.63"/>
    <col customWidth="1" min="14" max="14" width="18.88"/>
    <col customWidth="1" min="15" max="16" width="12.63"/>
    <col customWidth="1" min="17" max="17" width="6.38"/>
    <col customWidth="1" min="18" max="18" width="37.63"/>
    <col customWidth="1" hidden="1" min="19" max="19" width="6.38"/>
    <col customWidth="1" min="20" max="21" width="18.88"/>
    <col customWidth="1" min="22" max="23" width="12.63"/>
    <col customWidth="1" min="24" max="24" width="6.25"/>
    <col customWidth="1" min="25" max="25" width="37.63"/>
    <col customWidth="1" hidden="1" min="26" max="26" width="6.38"/>
    <col customWidth="1" min="27" max="28" width="18.88"/>
    <col customWidth="1" min="29" max="30" width="12.63"/>
    <col customWidth="1" min="31" max="31" width="6.38"/>
    <col customWidth="1" min="32" max="32" width="25.13"/>
    <col customWidth="1" hidden="1" min="33" max="33" width="6.38"/>
    <col customWidth="1" min="34" max="35" width="18.88"/>
    <col customWidth="1" min="36" max="37" width="12.63"/>
    <col customWidth="1" min="38" max="38" width="6.38"/>
    <col customWidth="1" min="39" max="39" width="25.13"/>
    <col customWidth="1" hidden="1" min="40" max="40" width="6.38"/>
    <col customWidth="1" min="41" max="42" width="18.88"/>
    <col customWidth="1" min="43" max="44" width="12.63"/>
    <col customWidth="1" min="45" max="45" width="7.13"/>
    <col customWidth="1" min="46" max="46" width="25.13"/>
    <col customWidth="1" min="47" max="48" width="18.88"/>
    <col customWidth="1" min="49" max="50" width="12.63"/>
    <col customWidth="1" min="51" max="51" width="7.13"/>
    <col customWidth="1" min="52" max="52" width="25.13"/>
    <col customWidth="1" min="53" max="54" width="18.88"/>
    <col customWidth="1" min="55" max="56" width="12.63"/>
    <col customWidth="1" min="57" max="57" width="7.13"/>
    <col customWidth="1" min="58" max="58" width="25.13"/>
    <col customWidth="1" min="59" max="60" width="18.88"/>
    <col customWidth="1" min="61" max="62" width="12.63"/>
    <col customWidth="1" min="63" max="63" width="7.13"/>
    <col customWidth="1" min="64" max="64" width="25.13"/>
    <col customWidth="1" min="65" max="66" width="18.88"/>
    <col customWidth="1" min="67" max="68" width="12.63"/>
    <col customWidth="1" min="69" max="69" width="7.13"/>
    <col customWidth="1" min="70" max="70" width="25.13"/>
    <col customWidth="1" min="71" max="72" width="18.88"/>
    <col customWidth="1" min="73" max="74" width="12.63"/>
    <col customWidth="1" min="75" max="75" width="7.13"/>
    <col customWidth="1" min="76" max="76" width="25.13"/>
    <col customWidth="1" min="77" max="78" width="18.88"/>
    <col customWidth="1" min="79" max="80" width="12.63"/>
    <col customWidth="1" hidden="1" min="81" max="81" width="12.63"/>
    <col customWidth="1" hidden="1" min="82" max="82" width="25.13"/>
    <col customWidth="1" hidden="1" min="83" max="85" width="12.63"/>
    <col customWidth="1" hidden="1" min="86" max="87" width="7.13"/>
  </cols>
  <sheetData>
    <row r="1" ht="67.5" customHeight="1">
      <c r="A1" s="310"/>
      <c r="B1" s="311"/>
      <c r="C1" s="311"/>
      <c r="D1" s="312" t="s">
        <v>175</v>
      </c>
      <c r="E1" s="183"/>
      <c r="H1" s="313"/>
      <c r="I1" s="314"/>
      <c r="J1" s="315"/>
      <c r="L1" s="316"/>
      <c r="M1" s="317"/>
      <c r="N1" s="317"/>
      <c r="O1" s="317"/>
      <c r="P1" s="317"/>
      <c r="R1" s="318" t="s">
        <v>176</v>
      </c>
      <c r="S1" s="319"/>
      <c r="T1" s="320"/>
      <c r="U1" s="320"/>
      <c r="V1" s="317"/>
      <c r="W1" s="317"/>
      <c r="X1" s="321"/>
      <c r="Y1" s="322"/>
      <c r="Z1" s="323"/>
      <c r="AA1" s="324"/>
      <c r="AB1" s="324"/>
      <c r="AC1" s="324"/>
      <c r="AD1" s="324"/>
      <c r="AE1" s="325"/>
      <c r="AF1" s="325"/>
      <c r="AG1" s="326"/>
      <c r="AH1" s="317"/>
      <c r="AI1" s="317"/>
      <c r="AJ1" s="317"/>
      <c r="AK1" s="317"/>
      <c r="AL1" s="327"/>
      <c r="AM1" s="328"/>
      <c r="AN1" s="329"/>
      <c r="AO1" s="330"/>
      <c r="AP1" s="330"/>
      <c r="AQ1" s="330"/>
      <c r="AR1" s="330"/>
      <c r="AS1" s="331"/>
      <c r="AT1" s="329"/>
      <c r="AU1" s="330"/>
      <c r="AV1" s="330"/>
      <c r="AW1" s="330"/>
      <c r="AX1" s="330"/>
      <c r="AY1" s="331"/>
      <c r="AZ1" s="329"/>
      <c r="BA1" s="330"/>
      <c r="BB1" s="330"/>
      <c r="BC1" s="330"/>
      <c r="BD1" s="330"/>
      <c r="BE1" s="332"/>
      <c r="BF1" s="329"/>
      <c r="BG1" s="330"/>
      <c r="BH1" s="330"/>
      <c r="BI1" s="330"/>
      <c r="BJ1" s="330"/>
      <c r="BK1" s="332"/>
      <c r="BL1" s="329"/>
      <c r="BM1" s="330"/>
      <c r="BN1" s="330"/>
      <c r="BO1" s="330"/>
      <c r="BP1" s="330"/>
      <c r="BQ1" s="332"/>
      <c r="BR1" s="329"/>
      <c r="BS1" s="330"/>
      <c r="BT1" s="330"/>
      <c r="BU1" s="330"/>
      <c r="BV1" s="330"/>
      <c r="BW1" s="332"/>
      <c r="BX1" s="329"/>
      <c r="BY1" s="330"/>
      <c r="BZ1" s="330"/>
      <c r="CA1" s="330"/>
      <c r="CB1" s="330"/>
      <c r="CC1" s="330"/>
      <c r="CD1" s="333" t="s">
        <v>177</v>
      </c>
      <c r="CE1" s="334" t="s">
        <v>178</v>
      </c>
      <c r="CF1" s="330"/>
      <c r="CG1" s="330"/>
      <c r="CH1" s="332"/>
      <c r="CI1" s="332"/>
    </row>
    <row r="2">
      <c r="A2" s="317"/>
      <c r="B2" s="317"/>
      <c r="C2" s="317"/>
      <c r="D2" s="335" t="s">
        <v>179</v>
      </c>
      <c r="E2" s="336"/>
      <c r="F2" s="337" t="s">
        <v>180</v>
      </c>
      <c r="G2" s="338" t="s">
        <v>181</v>
      </c>
      <c r="H2" s="339" t="s">
        <v>182</v>
      </c>
      <c r="I2" s="340"/>
      <c r="J2" s="317"/>
      <c r="K2" s="341" t="s">
        <v>183</v>
      </c>
      <c r="L2" s="316"/>
      <c r="M2" s="317"/>
      <c r="N2" s="342"/>
      <c r="Q2" s="317"/>
      <c r="S2" s="343"/>
      <c r="V2" s="317"/>
      <c r="W2" s="317"/>
      <c r="X2" s="344"/>
      <c r="Y2" s="345"/>
      <c r="Z2" s="323"/>
      <c r="AA2" s="324"/>
      <c r="AB2" s="324"/>
      <c r="AC2" s="324"/>
      <c r="AD2" s="324"/>
      <c r="AE2" s="324"/>
      <c r="AF2" s="324"/>
      <c r="AG2" s="326"/>
      <c r="AH2" s="317"/>
      <c r="AI2" s="317"/>
      <c r="AJ2" s="317"/>
      <c r="AK2" s="317"/>
      <c r="AL2" s="317"/>
      <c r="AM2" s="330"/>
      <c r="AN2" s="346"/>
      <c r="AO2" s="330"/>
      <c r="AP2" s="330"/>
      <c r="AQ2" s="330"/>
      <c r="AR2" s="330"/>
      <c r="AS2" s="347"/>
      <c r="AT2" s="346"/>
      <c r="AU2" s="330"/>
      <c r="AV2" s="330"/>
      <c r="AW2" s="330"/>
      <c r="AX2" s="330"/>
      <c r="AY2" s="347"/>
      <c r="AZ2" s="346"/>
      <c r="BA2" s="330"/>
      <c r="BB2" s="330"/>
      <c r="BC2" s="330"/>
      <c r="BD2" s="330"/>
      <c r="BE2" s="330"/>
      <c r="BF2" s="346"/>
      <c r="BG2" s="330"/>
      <c r="BH2" s="330"/>
      <c r="BI2" s="330"/>
      <c r="BJ2" s="330"/>
      <c r="BK2" s="330"/>
      <c r="BL2" s="346"/>
      <c r="BM2" s="330"/>
      <c r="BN2" s="330"/>
      <c r="BO2" s="330"/>
      <c r="BP2" s="330"/>
      <c r="BQ2" s="330"/>
      <c r="BR2" s="346"/>
      <c r="BS2" s="330"/>
      <c r="BT2" s="330"/>
      <c r="BU2" s="330"/>
      <c r="BV2" s="330"/>
      <c r="BW2" s="330"/>
      <c r="BX2" s="346"/>
      <c r="BY2" s="330"/>
      <c r="BZ2" s="330"/>
      <c r="CA2" s="330"/>
      <c r="CB2" s="330"/>
      <c r="CC2" s="330"/>
      <c r="CD2" s="330"/>
      <c r="CE2" s="330"/>
      <c r="CF2" s="330"/>
      <c r="CG2" s="330"/>
      <c r="CH2" s="330"/>
      <c r="CI2" s="330"/>
    </row>
    <row r="3">
      <c r="A3" s="317"/>
      <c r="B3" s="317"/>
      <c r="C3" s="317"/>
      <c r="D3" s="348" t="s">
        <v>184</v>
      </c>
      <c r="E3" s="349"/>
      <c r="F3" s="348" t="s">
        <v>185</v>
      </c>
      <c r="G3" s="350">
        <v>1.0</v>
      </c>
      <c r="H3" s="351">
        <f>SUMIFS('アイテム別限界値DB'!$Y$3:$Y$7,'アイテム別限界値DB'!$W$3:$W$7,$D$3,'アイテム別限界値DB'!$X$3:$X$7,$F$3)*$G$3</f>
        <v>3100.02</v>
      </c>
      <c r="I3" s="352"/>
      <c r="J3" s="317"/>
      <c r="K3" s="353">
        <f>ROUND(SUM($D$5,$K$5,$R$5,$Y$5,$AF$5,$AM$5,$AT$5,,$AZ$5,$BF$5,$BL$5,$BR$5,$BX$5,$D$37,$K$37,$R$37,$Y$37,$AF$37,$AM$37,$AT$37,$AZ$37,$BF$37,$BL$37,$BR$37,$BX$37)+$H$3,0)</f>
        <v>4340</v>
      </c>
      <c r="L3" s="354"/>
      <c r="M3" s="355" t="s">
        <v>186</v>
      </c>
      <c r="N3" s="356"/>
      <c r="O3" s="357"/>
      <c r="P3" s="357"/>
      <c r="Q3" s="358"/>
      <c r="R3" s="359" t="s">
        <v>187</v>
      </c>
      <c r="S3" s="343"/>
      <c r="V3" s="317"/>
      <c r="W3" s="317"/>
      <c r="X3" s="344"/>
      <c r="Y3" s="345"/>
      <c r="Z3" s="323"/>
      <c r="AA3" s="324"/>
      <c r="AB3" s="324"/>
      <c r="AC3" s="324"/>
      <c r="AD3" s="324"/>
      <c r="AE3" s="324"/>
      <c r="AF3" s="324"/>
      <c r="AG3" s="326"/>
      <c r="AH3" s="317"/>
      <c r="AI3" s="317"/>
      <c r="AJ3" s="317"/>
      <c r="AK3" s="317"/>
      <c r="AL3" s="317"/>
      <c r="AM3" s="330"/>
      <c r="AN3" s="346"/>
      <c r="AO3" s="330"/>
      <c r="AP3" s="330"/>
      <c r="AQ3" s="330"/>
      <c r="AR3" s="330"/>
      <c r="AS3" s="347"/>
      <c r="AT3" s="346"/>
      <c r="AU3" s="330"/>
      <c r="AV3" s="330"/>
      <c r="AW3" s="330"/>
      <c r="AX3" s="330"/>
      <c r="AY3" s="347"/>
      <c r="AZ3" s="346"/>
      <c r="BA3" s="330"/>
      <c r="BB3" s="330"/>
      <c r="BC3" s="330"/>
      <c r="BD3" s="330"/>
      <c r="BE3" s="330"/>
      <c r="BF3" s="346"/>
      <c r="BG3" s="330"/>
      <c r="BH3" s="330"/>
      <c r="BI3" s="330"/>
      <c r="BJ3" s="330"/>
      <c r="BK3" s="330"/>
      <c r="BL3" s="346"/>
      <c r="BM3" s="330"/>
      <c r="BN3" s="330"/>
      <c r="BO3" s="330"/>
      <c r="BP3" s="330"/>
      <c r="BQ3" s="330"/>
      <c r="BR3" s="346"/>
      <c r="BS3" s="330"/>
      <c r="BT3" s="330"/>
      <c r="BU3" s="330"/>
      <c r="BV3" s="330"/>
      <c r="BW3" s="330"/>
      <c r="BX3" s="346"/>
      <c r="BY3" s="330"/>
      <c r="BZ3" s="330"/>
      <c r="CA3" s="330"/>
      <c r="CB3" s="330"/>
      <c r="CC3" s="330"/>
      <c r="CD3" s="330"/>
      <c r="CE3" s="330"/>
      <c r="CF3" s="330"/>
      <c r="CG3" s="330"/>
      <c r="CH3" s="330"/>
      <c r="CI3" s="330"/>
    </row>
    <row r="4">
      <c r="A4" s="360"/>
      <c r="B4" s="360"/>
      <c r="C4" s="360"/>
      <c r="D4" s="361" t="s">
        <v>34</v>
      </c>
      <c r="E4" s="362"/>
      <c r="F4" s="362"/>
      <c r="G4" s="362"/>
      <c r="H4" s="363"/>
      <c r="I4" s="363"/>
      <c r="J4" s="364"/>
      <c r="K4" s="365" t="s">
        <v>36</v>
      </c>
      <c r="L4" s="366"/>
      <c r="M4" s="363"/>
      <c r="N4" s="363"/>
      <c r="O4" s="363"/>
      <c r="P4" s="363"/>
      <c r="Q4" s="332"/>
      <c r="R4" s="367" t="s">
        <v>37</v>
      </c>
      <c r="S4" s="366"/>
      <c r="T4" s="363"/>
      <c r="U4" s="363"/>
      <c r="V4" s="363"/>
      <c r="W4" s="363"/>
      <c r="X4" s="327"/>
      <c r="Y4" s="368" t="s">
        <v>38</v>
      </c>
      <c r="Z4" s="366"/>
      <c r="AA4" s="363"/>
      <c r="AB4" s="363"/>
      <c r="AC4" s="363"/>
      <c r="AD4" s="363"/>
      <c r="AE4" s="332"/>
      <c r="AF4" s="299" t="s">
        <v>39</v>
      </c>
      <c r="AG4" s="369"/>
      <c r="AH4" s="363"/>
      <c r="AI4" s="363"/>
      <c r="AJ4" s="363"/>
      <c r="AK4" s="363"/>
      <c r="AL4" s="332"/>
      <c r="AM4" s="299" t="s">
        <v>40</v>
      </c>
      <c r="AN4" s="365"/>
      <c r="AO4" s="363"/>
      <c r="AP4" s="363"/>
      <c r="AQ4" s="363"/>
      <c r="AR4" s="363"/>
      <c r="AS4" s="332"/>
      <c r="AT4" s="365" t="s">
        <v>41</v>
      </c>
      <c r="AU4" s="363"/>
      <c r="AV4" s="363"/>
      <c r="AW4" s="363"/>
      <c r="AX4" s="363"/>
      <c r="AY4" s="332"/>
      <c r="AZ4" s="365" t="s">
        <v>42</v>
      </c>
      <c r="BA4" s="363"/>
      <c r="BB4" s="363"/>
      <c r="BC4" s="363"/>
      <c r="BD4" s="363"/>
      <c r="BE4" s="332"/>
      <c r="BF4" s="365" t="s">
        <v>43</v>
      </c>
      <c r="BG4" s="363"/>
      <c r="BH4" s="363"/>
      <c r="BI4" s="363"/>
      <c r="BJ4" s="363"/>
      <c r="BK4" s="332"/>
      <c r="BL4" s="365" t="s">
        <v>44</v>
      </c>
      <c r="BM4" s="363"/>
      <c r="BN4" s="363"/>
      <c r="BO4" s="363"/>
      <c r="BP4" s="363"/>
      <c r="BQ4" s="332"/>
      <c r="BR4" s="365" t="s">
        <v>45</v>
      </c>
      <c r="BS4" s="363"/>
      <c r="BT4" s="363"/>
      <c r="BU4" s="363"/>
      <c r="BV4" s="363"/>
      <c r="BW4" s="332"/>
      <c r="BX4" s="365" t="s">
        <v>46</v>
      </c>
      <c r="BY4" s="363"/>
      <c r="BZ4" s="363"/>
      <c r="CA4" s="363"/>
      <c r="CB4" s="363"/>
      <c r="CC4" s="330"/>
      <c r="CD4" s="365" t="s">
        <v>188</v>
      </c>
      <c r="CE4" s="363"/>
      <c r="CF4" s="363"/>
      <c r="CG4" s="363"/>
      <c r="CH4" s="332"/>
      <c r="CI4" s="332"/>
    </row>
    <row r="5" ht="37.5" customHeight="1">
      <c r="A5" s="370"/>
      <c r="B5" s="302" t="s">
        <v>162</v>
      </c>
      <c r="C5" s="370"/>
      <c r="D5" s="371">
        <f>round(if(sum(I7:I34)=I7, "", sum(I7:I34)) ,0)</f>
        <v>0</v>
      </c>
      <c r="E5" s="372"/>
      <c r="F5" s="373" t="s">
        <v>189</v>
      </c>
      <c r="G5" s="374" t="str">
        <f t="array" ref="G5">IFS(
  COUNTA(H$8:H34) = 0, "", 
  COUNTIF(H$8:H34, "再製作") &gt; 0, "再製作", 
  COUNTIF(H$8:H34, "&gt;0") = 1, INDEX(H$8:H34, MATCH(TRUE, ISNUMBER(H$8:H34), 0)), 
  COUNTIF(H$8:H34, "&gt;0") = 2, 'アイテム別限界値DB'!$S$4, 
  COUNTIF(H$8:H34, "&gt;0") &gt;= 3, 'アイテム別限界値DB'!$S$6, 
  TRUE, ""
)
</f>
        <v/>
      </c>
      <c r="H5" s="375" t="s">
        <v>190</v>
      </c>
      <c r="I5" s="375" t="s">
        <v>191</v>
      </c>
      <c r="J5" s="376"/>
      <c r="K5" s="371">
        <f>ROUND(
  IF(SUM(P7:P34)=P7, P7*M6, SUM(P6:P34)),
  0
)
</f>
        <v>0</v>
      </c>
      <c r="L5" s="377"/>
      <c r="M5" s="373" t="s">
        <v>192</v>
      </c>
      <c r="N5" s="374" t="str">
        <f t="array" ref="N5">IFS(
  COUNTA(O$8:O34) = 0, "", 
  COUNTIF(O$8:O34, "再製作") &gt; 0, "再製作", 
  COUNTIF(O$8:O34, "&gt;0") = 1, INDEX(O$8:O34, MATCH(TRUE, ISNUMBER(O$8:O34), 0)), 
  COUNTIF(O$8:O34, "&gt;0") = 2, 'アイテム別限界値DB'!$S$8, 
  COUNTIF(O$8:O34, "&gt;0") &gt;= 3, 'アイテム別限界値DB'!$S$10, 
  TRUE, ""
)
</f>
        <v/>
      </c>
      <c r="O5" s="375" t="s">
        <v>190</v>
      </c>
      <c r="P5" s="375" t="s">
        <v>191</v>
      </c>
      <c r="Q5" s="378"/>
      <c r="R5" s="371">
        <f>round(if(sum(W7:W34)=W7, "", sum(W7:W34)) ,0)</f>
        <v>0</v>
      </c>
      <c r="S5" s="379"/>
      <c r="T5" s="373" t="s">
        <v>189</v>
      </c>
      <c r="U5" s="374" t="str">
        <f t="array" ref="U5">IFS(
  COUNTA(V$8:V34) = 0, "", 
  COUNTIF(V$8:V34, "再製作") &gt; 0, "再製作", 
  COUNTIF(V$8:V34, "&gt;0") = 1, INDEX(V$8:V34, MATCH(TRUE, ISNUMBER(V$8:V34), 0)), 
  COUNTIF(V$8:V34, "&gt;0") = 2, 'アイテム別限界値DB'!$S$4, 
  COUNTIF(V$8:V34, "&gt;0") &gt;= 3, 'アイテム別限界値DB'!$S$6, 
  TRUE, ""
)
</f>
        <v/>
      </c>
      <c r="V5" s="375" t="s">
        <v>190</v>
      </c>
      <c r="W5" s="375" t="s">
        <v>191</v>
      </c>
      <c r="X5" s="327"/>
      <c r="Y5" s="371">
        <f>round(if(sum(AD7:AD34)=AD7, "", sum(AD7:AD34)) ,0)</f>
        <v>0</v>
      </c>
      <c r="Z5" s="379"/>
      <c r="AA5" s="373" t="s">
        <v>189</v>
      </c>
      <c r="AB5" s="374" t="str">
        <f t="array" ref="AB5">IFS(
  COUNTA(AC$8:AC34) = 0, "", 
  COUNTIF(AC$8:AC34, "再製作") &gt; 0, "再製作", 
  COUNTIF(AC$8:AC34, "&gt;0") = 1, INDEX(AC$8:AC34, MATCH(TRUE, ISNUMBER(AC$8:AC34), 0)), 
  COUNTIF(AC$8:AC34, "&gt;0") = 2, 'アイテム別限界値DB'!$S$4, 
  COUNTIF(AC$8:AC34, "&gt;0") &gt;= 3, 'アイテム別限界値DB'!$S$6, 
  TRUE, ""
)
</f>
        <v/>
      </c>
      <c r="AC5" s="375" t="s">
        <v>190</v>
      </c>
      <c r="AD5" s="375" t="s">
        <v>191</v>
      </c>
      <c r="AE5" s="380"/>
      <c r="AF5" s="371">
        <f>round(if(sum(AK7:AK34)=AK7, "", sum(AK7:AK34)) ,0)</f>
        <v>0</v>
      </c>
      <c r="AG5" s="372"/>
      <c r="AH5" s="373" t="s">
        <v>189</v>
      </c>
      <c r="AI5" s="374" t="str">
        <f t="array" ref="AI5">IFS(
  COUNTA(AJ$8:AJ34) = 0, "", 
  COUNTIF(AJ$8:AJ34, "再製作") &gt; 0, "再製作", 
  COUNTIF(AJ$8:AJ34, "&gt;0") = 1, INDEX(AJ$8:AJ34, MATCH(TRUE, ISNUMBER(AJ$8:AJ34), 0)), 
  COUNTIF(AJ$8:AJ34, "&gt;0") = 2, 'アイテム別限界値DB'!$S$4, 
  COUNTIF(AJ$8:AJ34, "&gt;0") &gt;= 3, 'アイテム別限界値DB'!$S$6, 
  TRUE, ""
)
</f>
        <v/>
      </c>
      <c r="AJ5" s="375" t="s">
        <v>190</v>
      </c>
      <c r="AK5" s="375" t="s">
        <v>191</v>
      </c>
      <c r="AL5" s="327"/>
      <c r="AM5" s="371">
        <f>round(if(sum(AR7:AR34)=AR7, "", sum(AR7:AR34)) ,0)</f>
        <v>0</v>
      </c>
      <c r="AN5" s="371"/>
      <c r="AO5" s="373" t="s">
        <v>189</v>
      </c>
      <c r="AP5" s="374" t="str">
        <f t="array" ref="AP5">IFS(
  COUNTA(AQ$8:AQ34) = 0, "", 
  COUNTIF(AQ$8:AQ34, "再製作") &gt; 0, "再製作", 
  COUNTIF(AQ$8:AQ34, "&gt;0") = 1, INDEX(AQ$8:AQ34, MATCH(TRUE, ISNUMBER(AQ$8:AQ34), 0)), 
  COUNTIF(AQ$8:AQ34, "&gt;0") = 2, 'アイテム別限界値DB'!$S$4, 
  COUNTIF(AQ$8:AQ34, "&gt;0") &gt;= 3, 'アイテム別限界値DB'!$S$6, 
  TRUE, ""
)
</f>
        <v/>
      </c>
      <c r="AQ5" s="375" t="s">
        <v>190</v>
      </c>
      <c r="AR5" s="375" t="s">
        <v>191</v>
      </c>
      <c r="AS5" s="327"/>
      <c r="AT5" s="371">
        <f>round(if(sum(AX7:AX34)=AX7, "", sum(AX7:AX34)) ,0)</f>
        <v>0</v>
      </c>
      <c r="AU5" s="373" t="s">
        <v>189</v>
      </c>
      <c r="AV5" s="374" t="str">
        <f t="array" ref="AV5">IFS(
  COUNTA(AW$8:AW34) = 0, "", 
  COUNTIF(AW$8:AW34, "再製作") &gt; 0, "再製作", 
  COUNTIF(AW$8:AW34, "&gt;0") = 1, INDEX(AW$8:AW34, MATCH(TRUE, ISNUMBER(AW$8:AW34), 0)), 
  COUNTIF(AW$8:AW34, "&gt;0") = 2, 'アイテム別限界値DB'!$S$4, 
  COUNTIF(AW$8:AW34, "&gt;0") &gt;= 3, 'アイテム別限界値DB'!$S$6, 
  TRUE, ""
)
</f>
        <v/>
      </c>
      <c r="AW5" s="375" t="s">
        <v>190</v>
      </c>
      <c r="AX5" s="375" t="s">
        <v>191</v>
      </c>
      <c r="AY5" s="327"/>
      <c r="AZ5" s="371">
        <f>round(if(sum(BD7:BD34)=BD7, "", sum(BD7:BD34)) ,0)</f>
        <v>0</v>
      </c>
      <c r="BA5" s="373" t="s">
        <v>189</v>
      </c>
      <c r="BB5" s="374" t="str">
        <f t="array" ref="BB5">IFS(
  COUNTA(BC$8:BC34) = 0, "", 
  COUNTIF(BC$8:BC34, "再製作") &gt; 0, "再製作", 
  COUNTIF(BC$8:BC34, "&gt;0") = 1, INDEX(BC$8:BC34, MATCH(TRUE, ISNUMBER(BC$8:BC34), 0)), 
  COUNTIF(BC$8:BC34, "&gt;0") = 2, 'アイテム別限界値DB'!$S$4, 
  COUNTIF(BC$8:BC34, "&gt;0") &gt;= 3, 'アイテム別限界値DB'!$S$6, 
  TRUE, ""
)
</f>
        <v/>
      </c>
      <c r="BC5" s="375" t="s">
        <v>190</v>
      </c>
      <c r="BD5" s="375" t="s">
        <v>191</v>
      </c>
      <c r="BE5" s="327"/>
      <c r="BF5" s="371">
        <f>round(if(sum(BJ7:BJ34)=BJ7, "", sum(BJ7:BJ34)) ,0)</f>
        <v>0</v>
      </c>
      <c r="BG5" s="373" t="s">
        <v>189</v>
      </c>
      <c r="BH5" s="374" t="str">
        <f t="array" ref="BH5">IFS(
  COUNTA(BI$8:BI34) = 0, "", 
  COUNTIF(BI$8:BI34, "再製作") &gt; 0, "再製作", 
  COUNTIF(BI$8:BI34, "&gt;0") = 1, INDEX(BI$8:BI34, MATCH(TRUE, ISNUMBER(BI$8:BI34), 0)), 
  COUNTIF(BI$8:BI34, "&gt;0") = 2, 'アイテム別限界値DB'!$S$4, 
  COUNTIF(BI$8:BI34, "&gt;0") &gt;= 3, 'アイテム別限界値DB'!$S$6, 
  TRUE, ""
)
</f>
        <v/>
      </c>
      <c r="BI5" s="375" t="s">
        <v>190</v>
      </c>
      <c r="BJ5" s="375" t="s">
        <v>191</v>
      </c>
      <c r="BK5" s="327"/>
      <c r="BL5" s="371">
        <f>round(if(sum(BP7:BP34)=BP7, "", sum(BP7:BP34)) ,0)</f>
        <v>0</v>
      </c>
      <c r="BM5" s="373" t="s">
        <v>189</v>
      </c>
      <c r="BN5" s="374" t="str">
        <f t="array" ref="BN5">IFS(
  COUNTA(BO$8:BO34) = 0, "", 
  COUNTIF(BO$8:BO34, "再製作") &gt; 0, "再製作", 
  COUNTIF(BO$8:BO34, "&gt;0") = 1, INDEX(BO$8:BO34, MATCH(TRUE, ISNUMBER(BO$8:BO34), 0)), 
  COUNTIF(BO$8:BO34, "&gt;0") = 2, 'アイテム別限界値DB'!$S$4, 
  COUNTIF(BO$8:BO34, "&gt;0") &gt;= 3, 'アイテム別限界値DB'!$S$6, 
  TRUE, ""
)
</f>
        <v/>
      </c>
      <c r="BO5" s="375" t="s">
        <v>190</v>
      </c>
      <c r="BP5" s="375" t="s">
        <v>191</v>
      </c>
      <c r="BQ5" s="327"/>
      <c r="BR5" s="371">
        <f>round(if(sum(BV7:BV34)=BV7, "", sum(BV7:BV34)) ,0)</f>
        <v>0</v>
      </c>
      <c r="BS5" s="373" t="s">
        <v>189</v>
      </c>
      <c r="BT5" s="374" t="str">
        <f t="array" ref="BT5">IFS(
  COUNTA(BU$8:BU34) = 0, "", 
  COUNTIF(BU$8:BU34, "再製作") &gt; 0, "再製作", 
  COUNTIF(BU$8:BU34, "&gt;0") = 1, INDEX(BU$8:BU34, MATCH(TRUE, ISNUMBER(BU$8:BU34), 0)), 
  COUNTIF(BU$8:BU34, "&gt;0") = 2, 'アイテム別限界値DB'!$S$4, 
  COUNTIF(BU$8:BU34, "&gt;0") &gt;= 3, 'アイテム別限界値DB'!$S$6, 
  TRUE, ""
)
</f>
        <v/>
      </c>
      <c r="BU5" s="375" t="s">
        <v>190</v>
      </c>
      <c r="BV5" s="375" t="s">
        <v>191</v>
      </c>
      <c r="BW5" s="327"/>
      <c r="BX5" s="371">
        <f>round(if(sum(CB7:CB34)=CB7, "", sum(CB7:CB34)) ,0)</f>
        <v>0</v>
      </c>
      <c r="BY5" s="373" t="s">
        <v>189</v>
      </c>
      <c r="BZ5" s="374" t="str">
        <f t="array" ref="BZ5">IFS(
  COUNTA(CA$8:CA34) = 0, "", 
  COUNTIF(CA$8:CA34, "再製作") &gt; 0, "再製作", 
  COUNTIF(CA$8:CA34, "&gt;0") = 1, INDEX(CA$8:CA34, MATCH(TRUE, ISNUMBER(CA$8:CA34), 0)), 
  COUNTIF(CA$8:CA34, "&gt;0") = 2, 'アイテム別限界値DB'!$S$4, 
  COUNTIF(CA$8:CA34, "&gt;0") &gt;= 3, 'アイテム別限界値DB'!$S$6, 
  TRUE, ""
)
</f>
        <v/>
      </c>
      <c r="CA5" s="375" t="s">
        <v>190</v>
      </c>
      <c r="CB5" s="375" t="s">
        <v>191</v>
      </c>
      <c r="CC5" s="381"/>
      <c r="CD5" s="371">
        <f>round(if(sum(CG7:CG34)=CG7, "", sum(CG7:CG34)) ,0)</f>
        <v>0</v>
      </c>
      <c r="CE5" s="374" t="str">
        <f t="array" ref="CE5">IFS(
  COUNTA(CF$8:CF34) = 0, "", 
  COUNTIF(CF$8:CF34, "再製作") &gt; 0, "再製作", 
  COUNTIF(CF$8:CF34, "&gt;0") = 1, INDEX(CF$8:CF34, MATCH(TRUE, ISNUMBER(CF$8:CF34), 0)), 
  COUNTIF(CF$8:CF34, "&gt;0") = 2, 'アイテム別限界値DB'!$Q$4, 
  COUNTIF(CF$8:CF34, "&gt;0") &gt;= 3, 'アイテム別限界値DB'!$Q$6, 
  TRUE, ""
)
</f>
        <v>再製作</v>
      </c>
      <c r="CF5" s="375" t="s">
        <v>190</v>
      </c>
      <c r="CG5" s="375" t="s">
        <v>191</v>
      </c>
      <c r="CH5" s="327"/>
      <c r="CI5" s="327"/>
    </row>
    <row r="6" ht="18.75" hidden="1" customHeight="1">
      <c r="A6" s="382"/>
      <c r="C6" s="382"/>
      <c r="D6" s="383" t="b">
        <f t="array" ref="D6:D35">UNIQUE(IF( ('アイテム別限界値DB'!$B:$B = D$4) * ('アイテム別限界値DB'!$A:$A = "サイズ"),  IF('アイテム別限界値DB'!$B:$B = D$4, 'アイテム別限界値DB'!$G:$G, "") ))</f>
        <v>0</v>
      </c>
      <c r="E6" s="384" t="b">
        <f t="array" ref="E6:E30">UNIQUE(IF( ('アイテム別限界値DB'!$B:$B = D$4) * ('アイテム別限界値DB'!$A:$A = "サイズ"),  IF('アイテム別限界値DB'!$B:$B = D$4, 'アイテム別限界値DB'!$C:$C, "") ))</f>
        <v>0</v>
      </c>
      <c r="F6" s="385">
        <f>MAX(F7:F35)</f>
        <v>0</v>
      </c>
      <c r="G6" s="386"/>
      <c r="H6" s="387"/>
      <c r="I6" s="317"/>
      <c r="J6" s="388"/>
      <c r="K6" s="383" t="b">
        <f t="array" ref="K6:K20">UNIQUE(IF( ('アイテム別限界値DB'!$B:$B = K$4) * ('アイテム別限界値DB'!$A:$A = "サイズ"),  IF('アイテム別限界値DB'!$B:$B = K$4, 'アイテム別限界値DB'!$G:$G, "") ))</f>
        <v>0</v>
      </c>
      <c r="L6" s="384" t="b">
        <f t="array" ref="L6:L17">UNIQUE(IF( ('アイテム別限界値DB'!$B:$B = K$4) * ('アイテム別限界値DB'!$A:$A = "サイズ"),  IF('アイテム別限界値DB'!$B:$B = K$4, 'アイテム別限界値DB'!$C:$C, "") ))</f>
        <v>0</v>
      </c>
      <c r="M6" s="385">
        <v>1.0</v>
      </c>
      <c r="N6" s="386"/>
      <c r="O6" s="387"/>
      <c r="P6" s="317"/>
      <c r="Q6" s="389"/>
      <c r="R6" s="383" t="b">
        <f t="array" ref="R6:R14">UNIQUE(IF( ('アイテム別限界値DB'!$B:$B = R$4) * ('アイテム別限界値DB'!$A:$A = "サイズ"),  IF('アイテム別限界値DB'!$B:$B = R$4, 'アイテム別限界値DB'!$G:$G, "") ))</f>
        <v>0</v>
      </c>
      <c r="S6" s="384" t="b">
        <f t="array" ref="S6:S14">UNIQUE(IF( ('アイテム別限界値DB'!$B:$B = R$4) * ('アイテム別限界値DB'!$A:$A = "サイズ"),  IF('アイテム別限界値DB'!$B:$B = R$4, 'アイテム別限界値DB'!$C:$C, "") ))</f>
        <v>0</v>
      </c>
      <c r="T6" s="385">
        <f>MAX(T7:T25)</f>
        <v>0</v>
      </c>
      <c r="U6" s="386"/>
      <c r="V6" s="387"/>
      <c r="W6" s="317"/>
      <c r="X6" s="327"/>
      <c r="Y6" s="383" t="b">
        <f t="array" ref="Y6:Y21">UNIQUE(IF( ('アイテム別限界値DB'!$B:$B = Y$4) * ('アイテム別限界値DB'!$A:$A = "サイズ"),  IF('アイテム別限界値DB'!$B:$B = Y$4, 'アイテム別限界値DB'!$G:$G, "") ))</f>
        <v>0</v>
      </c>
      <c r="Z6" s="384" t="b">
        <f t="array" ref="Z6:Z17">UNIQUE(IF( ('アイテム別限界値DB'!$B:$B = Y$4) * ('アイテム別限界値DB'!$A:$A = "サイズ"),  IF('アイテム別限界値DB'!$B:$B = Y$4, 'アイテム別限界値DB'!$C:$C, "") ))</f>
        <v>0</v>
      </c>
      <c r="AA6" s="385">
        <f>MAX(AA7:AA25)</f>
        <v>0</v>
      </c>
      <c r="AB6" s="386"/>
      <c r="AC6" s="387"/>
      <c r="AD6" s="317"/>
      <c r="AE6" s="389"/>
      <c r="AF6" s="383" t="b">
        <f t="array" ref="AF6:AF24">UNIQUE(IF( ('アイテム別限界値DB'!$B:$B = AF$4) * ('アイテム別限界値DB'!$A:$A = "サイズ"),  IF('アイテム別限界値DB'!$B:$B = AF$4, 'アイテム別限界値DB'!$G:$G, "") ))</f>
        <v>0</v>
      </c>
      <c r="AG6" s="384" t="b">
        <f t="array" ref="AG6:AG24">UNIQUE(IF( ('アイテム別限界値DB'!$B:$B = AF$4) * ('アイテム別限界値DB'!$A:$A = "サイズ"),  IF('アイテム別限界値DB'!$B:$B = AF$4, 'アイテム別限界値DB'!$C:$C, "") ))</f>
        <v>0</v>
      </c>
      <c r="AH6" s="385">
        <f>MAX(AH7:AH25)</f>
        <v>0</v>
      </c>
      <c r="AI6" s="386"/>
      <c r="AJ6" s="387"/>
      <c r="AK6" s="317"/>
      <c r="AL6" s="327"/>
      <c r="AM6" s="383" t="b">
        <f t="array" ref="AM6:AM22">UNIQUE(IF( ('アイテム別限界値DB'!$B:$B = AM$4) * ('アイテム別限界値DB'!$A:$A = "サイズ"),  IF('アイテム別限界値DB'!$B:$B = AM$4, 'アイテム別限界値DB'!$G:$G, "") ))</f>
        <v>0</v>
      </c>
      <c r="AN6" s="384" t="b">
        <f t="array" ref="AN6:AN22">UNIQUE(IF( ('アイテム別限界値DB'!$B:$B = AM$4) * ('アイテム別限界値DB'!$A:$A = "サイズ"),  IF('アイテム別限界値DB'!$B:$B = AM$4, 'アイテム別限界値DB'!$C:$C, "") ))</f>
        <v>0</v>
      </c>
      <c r="AO6" s="385">
        <f>MAX(AO7:AO25)</f>
        <v>0</v>
      </c>
      <c r="AP6" s="386"/>
      <c r="AQ6" s="387"/>
      <c r="AR6" s="317"/>
      <c r="AS6" s="327"/>
      <c r="AT6" s="384" t="b">
        <f t="array" ref="AT6:AT13">UNIQUE(IF( ('アイテム別限界値DB'!$B:$B = AT$4) * ('アイテム別限界値DB'!$A:$A = "サイズ"),  IF('アイテム別限界値DB'!$B:$B = AT$4, 'アイテム別限界値DB'!$G:$G, "") ))</f>
        <v>0</v>
      </c>
      <c r="AU6" s="385">
        <f>MAX(AU7:AU25)</f>
        <v>0</v>
      </c>
      <c r="AV6" s="386"/>
      <c r="AW6" s="387"/>
      <c r="AX6" s="317"/>
      <c r="AY6" s="327"/>
      <c r="AZ6" s="384" t="b">
        <f t="array" ref="AZ6:AZ13">UNIQUE(IF( ('アイテム別限界値DB'!$B:$B = AZ$4) * ('アイテム別限界値DB'!$A:$A = "サイズ"),  IF('アイテム別限界値DB'!$B:$B = AZ$4, 'アイテム別限界値DB'!$G:$G, "") ))</f>
        <v>0</v>
      </c>
      <c r="BA6" s="385">
        <f>MAX(BA7:BA25)</f>
        <v>0</v>
      </c>
      <c r="BB6" s="386"/>
      <c r="BC6" s="387"/>
      <c r="BD6" s="317"/>
      <c r="BE6" s="327"/>
      <c r="BF6" s="384" t="b">
        <f t="array" ref="BF6:BF13">UNIQUE(IF( ('アイテム別限界値DB'!$B:$B = BF$4) * ('アイテム別限界値DB'!$A:$A = "サイズ"),  IF('アイテム別限界値DB'!$B:$B = BF$4, 'アイテム別限界値DB'!$G:$G, "") ))</f>
        <v>0</v>
      </c>
      <c r="BG6" s="385">
        <f>MAX(BG7:BG25)</f>
        <v>0</v>
      </c>
      <c r="BH6" s="386"/>
      <c r="BI6" s="387"/>
      <c r="BJ6" s="317"/>
      <c r="BK6" s="327"/>
      <c r="BL6" s="384" t="b">
        <f t="array" ref="BL6:BL13">UNIQUE(IF( ('アイテム別限界値DB'!$B:$B = BL$4) * ('アイテム別限界値DB'!$A:$A = "サイズ"),  IF('アイテム別限界値DB'!$B:$B = BL$4, 'アイテム別限界値DB'!$G:$G, "") ))</f>
        <v>0</v>
      </c>
      <c r="BM6" s="385">
        <f>MAX(BM7:BM25)</f>
        <v>0</v>
      </c>
      <c r="BN6" s="386"/>
      <c r="BO6" s="387"/>
      <c r="BP6" s="317"/>
      <c r="BQ6" s="327"/>
      <c r="BR6" s="384" t="b">
        <f t="array" ref="BR6:BR13">UNIQUE(IF( ('アイテム別限界値DB'!$B:$B = BR$4) * ('アイテム別限界値DB'!$A:$A = "サイズ"),  IF('アイテム別限界値DB'!$B:$B = BR$4, 'アイテム別限界値DB'!$G:$G, "") ))</f>
        <v>0</v>
      </c>
      <c r="BS6" s="385">
        <f>MAX(BS7:BS25)</f>
        <v>0</v>
      </c>
      <c r="BT6" s="386"/>
      <c r="BU6" s="387"/>
      <c r="BV6" s="317"/>
      <c r="BW6" s="327"/>
      <c r="BX6" s="384" t="b">
        <f t="array" ref="BX6:BX13">UNIQUE(IF( ('アイテム別限界値DB'!$B:$B = BX$4) * ('アイテム別限界値DB'!$A:$A = "サイズ"),  IF('アイテム別限界値DB'!$B:$B = BX$4, 'アイテム別限界値DB'!$G:$G, "") ))</f>
        <v>0</v>
      </c>
      <c r="BY6" s="385">
        <f>MAX(BY7:BY25)</f>
        <v>0</v>
      </c>
      <c r="BZ6" s="386"/>
      <c r="CA6" s="387"/>
      <c r="CB6" s="317"/>
      <c r="CC6" s="390" t="s">
        <v>193</v>
      </c>
      <c r="CD6" s="384" t="b">
        <f t="array" ref="CD6">UNIQUE(IF( ('アイテム別限界値DB'!$B:$B = CD$4) * ('アイテム別限界値DB'!$A:$A = "サイズ"),  IF('アイテム別限界値DB'!$B:$B = CD$4, 'アイテム別限界値DB'!$G:$G, "") ))</f>
        <v>0</v>
      </c>
      <c r="CE6" s="391" t="s">
        <v>194</v>
      </c>
      <c r="CF6" s="392" t="s">
        <v>195</v>
      </c>
      <c r="CG6" s="317"/>
      <c r="CH6" s="327"/>
      <c r="CI6" s="327"/>
    </row>
    <row r="7" ht="15.75" hidden="1" customHeight="1">
      <c r="A7" s="393"/>
      <c r="B7" s="228" t="str">
        <f>IFERROR(__xludf.DUMMYFUNCTION("TEXTJOIN(CHAR(10),TRUE,FILTER(ARRAYFORMULA(IF(G$8:G35&lt;&gt;"""",D$8:D35&amp;"" : ""&amp; G$8:G35 &amp;"" cm"" &amp; "" (¥"" &amp; I$8:I$35 &amp; ""）"","""")), G$8:G35 &lt;&gt;""""))"),"#N/A")</f>
        <v>#N/A</v>
      </c>
      <c r="C7" s="393"/>
      <c r="D7" s="394" t="s">
        <v>51</v>
      </c>
      <c r="E7" s="395" t="s">
        <v>51</v>
      </c>
      <c r="F7" s="395"/>
      <c r="G7" s="395" t="str">
        <f>IF(AND($G$5&lt;&gt;"", $G$39&lt;&gt;""), "", IF(AND($G$5&lt;&gt;"", $G$39=""), IF($G$5="再製作", "再製作", "お直し"), ""))</f>
        <v/>
      </c>
      <c r="H7" s="396"/>
      <c r="I7" s="397" t="str">
        <f t="array" ref="I7">IF(
  G7 = "", 
  "", 
  IFERROR(
    INDEX(
      'アイテム別限界値DB'!$N:$N, 
      MATCH(
        1, 
        ('アイテム別限界値DB'!$B:$B = D$4) * 
        ('アイテム別限界値DB'!$G:$G = D7), 
        0
      )
    )*F6, 
    "再製作"
  )
)
</f>
        <v/>
      </c>
      <c r="J7" s="388"/>
      <c r="K7" s="394" t="s">
        <v>51</v>
      </c>
      <c r="L7" s="398" t="s">
        <v>51</v>
      </c>
      <c r="M7" s="385"/>
      <c r="N7" s="395" t="str">
        <f>IF(AND($N$5&lt;&gt;"", $N$39&lt;&gt;""), "", IF(AND($N$5&lt;&gt;"", $N$39=""), IF($N$5="再製作", "再製作", "お直し"), ""))</f>
        <v/>
      </c>
      <c r="O7" s="396"/>
      <c r="P7" s="397" t="str">
        <f t="array" ref="P7">IF(
  N7 = "", 
  "", 
  IFERROR(
    INDEX(
      'アイテム別限界値DB'!$N:$N, 
      MATCH(
        1, 
        ('アイテム別限界値DB'!$B:$B = K$4) * 
        ('アイテム別限界値DB'!$G:$G = K7), 
        0
      )
    )*M6, 
    "再製作"
  )
)
</f>
        <v/>
      </c>
      <c r="Q7" s="399"/>
      <c r="R7" s="394" t="s">
        <v>51</v>
      </c>
      <c r="S7" s="400" t="s">
        <v>51</v>
      </c>
      <c r="T7" s="385"/>
      <c r="U7" s="395" t="str">
        <f>IF(AND($U$5&lt;&gt;"", $U$39&lt;&gt;""), "", IF(AND($U$5&lt;&gt;"", $U$39=""), IF($U$5="再製作", "再製作", "お直し"), ""))</f>
        <v/>
      </c>
      <c r="V7" s="396"/>
      <c r="W7" s="397" t="str">
        <f t="array" ref="W7">IF(
  U7 = "", 
  "", 
  IFERROR(
    INDEX(
      'アイテム別限界値DB'!$N:$N, 
      MATCH(
        1, 
        ('アイテム別限界値DB'!$B:$B = R$4) * 
        ('アイテム別限界値DB'!$G:$G = R7), 
        0
      )
    )*T6, 
    "再製作"
  )
)
</f>
        <v/>
      </c>
      <c r="X7" s="327"/>
      <c r="Y7" s="394" t="s">
        <v>51</v>
      </c>
      <c r="Z7" s="400" t="s">
        <v>51</v>
      </c>
      <c r="AA7" s="385"/>
      <c r="AB7" s="395" t="str">
        <f>IF(AND($AB$5&lt;&gt;"", $AB$39&lt;&gt;""), "", IF(AND($AB$5&lt;&gt;"", $AB$39=""), IF($AB$5="再製作", "再製作", "お直し"), ""))</f>
        <v/>
      </c>
      <c r="AC7" s="396"/>
      <c r="AD7" s="397" t="str">
        <f t="array" ref="AD7">IF(
  AB7 = "", 
  "", 
  IFERROR(
    INDEX(
      'アイテム別限界値DB'!$N:$N, 
      MATCH(
        1, 
        ('アイテム別限界値DB'!$B:$B = Y$4) * 
        ('アイテム別限界値DB'!$G:$G = Y7), 
        0
      )
    )*AA6, 
    "再製作"
  )
)
</f>
        <v/>
      </c>
      <c r="AE7" s="389"/>
      <c r="AF7" s="394" t="s">
        <v>51</v>
      </c>
      <c r="AG7" s="401" t="s">
        <v>51</v>
      </c>
      <c r="AH7" s="385"/>
      <c r="AI7" s="395" t="str">
        <f>IF(AND($AI$5&lt;&gt;"", $AI$39&lt;&gt;""), "", IF(AND($AI$5&lt;&gt;"", $AI$39=""), IF($AI$5="再製作", "再製作", "お直し"), ""))</f>
        <v/>
      </c>
      <c r="AJ7" s="396"/>
      <c r="AK7" s="397" t="str">
        <f t="array" ref="AK7">IF(
  AI7 = "", 
  "", 
  IFERROR(
    INDEX(
      'アイテム別限界値DB'!$N:$N, 
      MATCH(
        1, 
        ('アイテム別限界値DB'!$B:$B = AF$4) * 
        ('アイテム別限界値DB'!$G:$G = AF7), 
        0
      )
    )*AH6, 
    "再製作"
  )
)
</f>
        <v/>
      </c>
      <c r="AL7" s="327"/>
      <c r="AM7" s="394" t="s">
        <v>51</v>
      </c>
      <c r="AN7" s="393" t="s">
        <v>51</v>
      </c>
      <c r="AO7" s="385"/>
      <c r="AP7" s="395" t="str">
        <f>IF(AND($AP$5&lt;&gt;"", $AP$39&lt;&gt;""), "", IF(AND($AP$5&lt;&gt;"", $AP$39=""), IF($AP$5="再製作", "再製作", "お直し"), ""))</f>
        <v/>
      </c>
      <c r="AQ7" s="396"/>
      <c r="AR7" s="397" t="str">
        <f t="array" ref="AR7">IF(
  AP7 = "", 
  "", 
  IFERROR(
    INDEX(
      'アイテム別限界値DB'!$N:$N, 
      MATCH(
        1, 
        ('アイテム別限界値DB'!$B:$B = AM$4) * 
        ('アイテム別限界値DB'!$G:$G = AM7), 
        0
      )
    )*AO6, 
    "再製作"
  )
)
</f>
        <v/>
      </c>
      <c r="AS7" s="327"/>
      <c r="AT7" s="394" t="s">
        <v>51</v>
      </c>
      <c r="AU7" s="385"/>
      <c r="AV7" s="395" t="str">
        <f>IF(AND($AV$5&lt;&gt;"", $AV$39&lt;&gt;""), "", IF(AND($AV$5&lt;&gt;"", $AV$39=""), IF($AV$5="再製作", "再製作", "お直し"), ""))</f>
        <v/>
      </c>
      <c r="AW7" s="396"/>
      <c r="AX7" s="397" t="str">
        <f t="array" ref="AX7">IF(
  AV7 = "", 
  "", 
  IFERROR(
    INDEX(
      'アイテム別限界値DB'!$N:$N, 
      MATCH(
        1, 
        ('アイテム別限界値DB'!$B:$B = AT$4) * 
        ('アイテム別限界値DB'!$G:$G = AT7), 
        0
      )
    )*AU6, 
    "再製作"
  )
)
</f>
        <v/>
      </c>
      <c r="AY7" s="327"/>
      <c r="AZ7" s="394" t="s">
        <v>51</v>
      </c>
      <c r="BA7" s="385"/>
      <c r="BB7" s="395" t="str">
        <f>IF(AND($BB$5&lt;&gt;"", $BB$39&lt;&gt;""), "", IF(AND($BB$5&lt;&gt;"", $BB$39=""), IF($BB$5="再製作", "再製作", "お直し"), ""))</f>
        <v/>
      </c>
      <c r="BC7" s="396"/>
      <c r="BD7" s="397" t="str">
        <f t="array" ref="BD7">IF(
  BB7 = "", 
  "", 
  IFERROR(
    INDEX(
      'アイテム別限界値DB'!$N:$N, 
      MATCH(
        1, 
        ('アイテム別限界値DB'!$B:$B = AZ$4) * 
        ('アイテム別限界値DB'!$G:$G = AZ7), 
        0
      )
    )*BA6, 
    "再製作"
  )
)
</f>
        <v/>
      </c>
      <c r="BE7" s="327"/>
      <c r="BF7" s="394" t="s">
        <v>51</v>
      </c>
      <c r="BG7" s="385"/>
      <c r="BH7" s="395" t="str">
        <f>IF(AND($BH$5&lt;&gt;"", $BH$39&lt;&gt;""), "", IF(AND($BH$5&lt;&gt;"", $BH$39=""), IF($BH$5="再製作", "再製作", "お直し"), ""))</f>
        <v/>
      </c>
      <c r="BI7" s="396"/>
      <c r="BJ7" s="397" t="str">
        <f t="array" ref="BJ7">IF(
  BH7 = "", 
  "", 
  IFERROR(
    INDEX(
      'アイテム別限界値DB'!$N:$N, 
      MATCH(
        1, 
        ('アイテム別限界値DB'!$B:$B = BF$4) * 
        ('アイテム別限界値DB'!$G:$G = BF7), 
        0
      )
    )*BG6, 
    "再製作"
  )
)
</f>
        <v/>
      </c>
      <c r="BK7" s="327"/>
      <c r="BL7" s="393" t="s">
        <v>51</v>
      </c>
      <c r="BM7" s="385"/>
      <c r="BN7" s="395" t="str">
        <f>IF(AND($BN$5&lt;&gt;"", $BN$39&lt;&gt;""), "", IF(AND($BN$5&lt;&gt;"", $BN$39=""), IF($BN$5="再製作", "再製作", "お直し"), ""))</f>
        <v/>
      </c>
      <c r="BO7" s="396"/>
      <c r="BP7" s="397" t="str">
        <f t="array" ref="BP7">IF(
  BN7 = "", 
  "", 
  IFERROR(
    INDEX(
      'アイテム別限界値DB'!$N:$N, 
      MATCH(
        1, 
        ('アイテム別限界値DB'!$B:$B = BL$4) * 
        ('アイテム別限界値DB'!$G:$G = BL7), 
        0
      )
    )*BM6, 
    "再製作"
  )
)
</f>
        <v/>
      </c>
      <c r="BQ7" s="327"/>
      <c r="BR7" s="393" t="s">
        <v>51</v>
      </c>
      <c r="BS7" s="385"/>
      <c r="BT7" s="395" t="str">
        <f>IF(AND($BT$5&lt;&gt;"", $BT$39&lt;&gt;""), "", IF(AND($BT$5&lt;&gt;"", $BT$39=""), IF($BT$5="再製作", "再製作", "お直し"), ""))</f>
        <v/>
      </c>
      <c r="BU7" s="396"/>
      <c r="BV7" s="397" t="str">
        <f t="array" ref="BV7">IF(
  BT7 = "", 
  "", 
  IFERROR(
    INDEX(
      'アイテム別限界値DB'!$N:$N, 
      MATCH(
        1, 
        ('アイテム別限界値DB'!$B:$B = BR$4) * 
        ('アイテム別限界値DB'!$G:$G = BR7), 
        0
      )
    )*BS6, 
    "再製作"
  )
)
</f>
        <v/>
      </c>
      <c r="BW7" s="327"/>
      <c r="BX7" s="393" t="s">
        <v>51</v>
      </c>
      <c r="BY7" s="385"/>
      <c r="BZ7" s="395" t="str">
        <f>IF(AND($BZ$5&lt;&gt;"", $BZ$39&lt;&gt;""), "", IF(AND($BZ$5&lt;&gt;"", $BZ$39=""), IF($BZ$5="再製作", "再製作", "お直し"), ""))</f>
        <v/>
      </c>
      <c r="CA7" s="396"/>
      <c r="CB7" s="397" t="str">
        <f t="array" ref="CB7">IF(
  BZ7 = "", 
  "", 
  IFERROR(
    INDEX(
      'アイテム別限界値DB'!$N:$N, 
      MATCH(
        1, 
        ('アイテム別限界値DB'!$B:$B = BX$4) * 
        ('アイテム別限界値DB'!$G:$G = BX7), 
        0
      )
    )*BY6, 
    "再製作"
  )
)
</f>
        <v/>
      </c>
      <c r="CC7" s="402"/>
      <c r="CD7" s="393" t="s">
        <v>51</v>
      </c>
      <c r="CE7" s="395" t="str">
        <f>IF(AND(CE5&lt;&gt;"", CE39&lt;&gt;""), "", IF(AND(CE5&lt;&gt;"", CE39=""), IF(CE5="再製作", "再製作", "お直し"), ""))</f>
        <v>再製作</v>
      </c>
      <c r="CF7" s="396"/>
      <c r="CG7" s="397" t="str">
        <f t="array" ref="CG7">IF(
  CE7 = "", 
  "", 
  IFERROR(
    INDEX(
      'アイテム別限界値DB'!$N:$N, 
      MATCH(
        1, 
        ('アイテム別限界値DB'!$B:$B = CC$4) * 
        ('アイテム別限界値DB'!$G:$G = CC7), 
        0
      )
    ), 
    "再製作"
  )
)
</f>
        <v/>
      </c>
      <c r="CH7" s="327"/>
      <c r="CI7" s="327"/>
    </row>
    <row r="8" ht="15.75" customHeight="1">
      <c r="A8" s="393"/>
      <c r="B8" s="228" t="str">
        <f>IFERROR(__xludf.DUMMYFUNCTION("TEXTJOIN(CHAR(10),TRUE,FILTER(ARRAYFORMULA(IF(G$8:G37&lt;&gt;"""",D$8:D37&amp;"" : ""&amp; G$8:G37 &amp;"" cm"" &amp; "" (¥"" &amp; I$8:I$35 &amp; ""）"","""")), G$8:G37 &lt;&gt;""""))"),"#N/A")</f>
        <v>#N/A</v>
      </c>
      <c r="C8" s="393"/>
      <c r="D8" s="394" t="s">
        <v>53</v>
      </c>
      <c r="E8" s="395" t="s">
        <v>53</v>
      </c>
      <c r="F8" s="403"/>
      <c r="G8" s="404"/>
      <c r="H8" s="405" t="str">
        <f t="array" ref="H8">IF(
  G8 = 0, 
  "", 
  IFERROR(
    INDEX(
      'アイテム別限界値DB'!$K:$K, 
      MATCH(
        1, 
        ('アイテム別限界値DB'!$B:$B = D$4) * 
        ('アイテム別限界値DB'!$G:$G = D8) * 
        ('アイテム別限界値DB'!$H:$H = G8), 
        0
      )
    ), 
    "再製作"
  )
)
</f>
        <v/>
      </c>
      <c r="I8" s="397" t="str">
        <f t="array" ref="I8">IF(
  $G8 = 0, 
  "", 
  IFERROR(
    INDEX(
      'アイテム別限界値DB'!$N:$N, 
      MATCH(
        1, 
        ('アイテム別限界値DB'!$B:$B = $D$4) * 
        ('アイテム別限界値DB'!$G:$G = $D8) * 
        ('アイテム別限界値DB'!$H:$H = $G8), 
        0
      )
    )*F8, 
    "再製作"
  )
)
</f>
        <v/>
      </c>
      <c r="J8" s="388"/>
      <c r="K8" s="394" t="s">
        <v>54</v>
      </c>
      <c r="L8" s="398" t="s">
        <v>54</v>
      </c>
      <c r="M8" s="406"/>
      <c r="N8" s="407"/>
      <c r="O8" s="405" t="str">
        <f t="array" ref="O8">IF(
  $N8 = 0, 
  "", 
  IFERROR(
    INDEX(
      'アイテム別限界値DB'!$K:$K, 
      MATCH(
        1, 
        ('アイテム別限界値DB'!$B:$B = $K$4) * 
        ('アイテム別限界値DB'!$G:$G = $K8) * 
        ('アイテム別限界値DB'!$H:$H = $N8), 
        0
      )
    ), 
    "再製作"
  )
)
</f>
        <v/>
      </c>
      <c r="P8" s="397" t="str">
        <f t="array" ref="P8">IF(
  $N8 = 0, 
  "", 
  IFERROR(
    INDEX(
      'アイテム別限界値DB'!$N:$N, 
      MATCH(
        1, 
        ('アイテム別限界値DB'!$B:$B = $K$4) * 
        ('アイテム別限界値DB'!$G:$G = $K8) * 
        ('アイテム別限界値DB'!$H:$H = $N8), 
        0
      )
    )*$M8, 
    "再製作"
  )
)
</f>
        <v/>
      </c>
      <c r="Q8" s="399"/>
      <c r="R8" s="394" t="s">
        <v>55</v>
      </c>
      <c r="S8" s="400" t="s">
        <v>55</v>
      </c>
      <c r="T8" s="406"/>
      <c r="U8" s="408"/>
      <c r="V8" s="405" t="str">
        <f t="array" ref="V8">IF(
  $U8 = 0, 
  "", 
  IFERROR(
    INDEX(
      'アイテム別限界値DB'!$K:$K, 
      MATCH(
        1, 
        ('アイテム別限界値DB'!$B:$B = $R$4) * 
        ('アイテム別限界値DB'!$G:$G = $R8) * 
        ('アイテム別限界値DB'!$H:$H = $U8), 
        0
      )
    ), 
    "再製作"
  )
)
</f>
        <v/>
      </c>
      <c r="W8" s="397" t="str">
        <f t="array" ref="W8">IF(
  $U8 = 0, 
  "", 
  IFERROR(
    INDEX(
      'アイテム別限界値DB'!$N:$N, 
      MATCH(
        1, 
        ('アイテム別限界値DB'!$B:$B = $R$4) * 
        ('アイテム別限界値DB'!$G:$G = $R8) * 
        ('アイテム別限界値DB'!$H:$H = $U8), 
        0
      )
    )*T8, 
    "再製作"
  )
)
</f>
        <v/>
      </c>
      <c r="X8" s="327"/>
      <c r="Y8" s="394" t="s">
        <v>54</v>
      </c>
      <c r="Z8" s="400" t="s">
        <v>54</v>
      </c>
      <c r="AA8" s="406"/>
      <c r="AB8" s="409"/>
      <c r="AC8" s="405" t="str">
        <f t="array" ref="AC8">IF(
  $AB8 = 0, 
  "", 
  IFERROR(
    INDEX(
      'アイテム別限界値DB'!$K:$K, 
      MATCH(
        1, 
        ('アイテム別限界値DB'!$B:$B = $Y$4) * 
        ('アイテム別限界値DB'!$G:$G = $Y8) * 
        ('アイテム別限界値DB'!$H:$H = $AB8), 
        0
      )
    ), 
    "再製作"
  )
)
</f>
        <v/>
      </c>
      <c r="AD8" s="397" t="str">
        <f t="array" ref="AD8">IF(
  $AB8 = 0, 
  "", 
  IFERROR(
    INDEX(
      'アイテム別限界値DB'!$N:$N, 
      MATCH(
        1, 
        ('アイテム別限界値DB'!$B:$B = $Y$4) * 
        ('アイテム別限界値DB'!$G:$G = $Y8) * 
        ('アイテム別限界値DB'!$H:$H = $AB8), 
        0
      )
    )*AA8, 
    "再製作"
  )
)
</f>
        <v/>
      </c>
      <c r="AE8" s="389"/>
      <c r="AF8" s="394" t="s">
        <v>53</v>
      </c>
      <c r="AG8" s="401" t="s">
        <v>53</v>
      </c>
      <c r="AH8" s="406"/>
      <c r="AI8" s="409"/>
      <c r="AJ8" s="405" t="str">
        <f t="array" ref="AJ8">IF(
  $AI8 = 0, 
  "", 
  IFERROR(
    INDEX(
      'アイテム別限界値DB'!$K:$K, 
      MATCH(
        1, 
        ('アイテム別限界値DB'!$B:$B = AF$4) * 
        ('アイテム別限界値DB'!$G:$G = $AF8) * 
        ('アイテム別限界値DB'!$H:$H = $AI8), 
        0
      )
    ), 
    "再製作"
  )
)
</f>
        <v/>
      </c>
      <c r="AK8" s="397" t="str">
        <f t="array" ref="AK8">IF(
  $AI8 = 0, 
  "", 
  IFERROR(
    INDEX(
      'アイテム別限界値DB'!$N:$N, 
      MATCH(
        1, 
        ('アイテム別限界値DB'!$B:$B = $AF$4) * 
        ('アイテム別限界値DB'!$G:$G = $AF8) * 
        ('アイテム別限界値DB'!$H:$H = $AI8), 
        0
      )
    )*AH8, 
    "再製作"
  )
)
</f>
        <v/>
      </c>
      <c r="AL8" s="327"/>
      <c r="AM8" s="394" t="s">
        <v>53</v>
      </c>
      <c r="AN8" s="393" t="s">
        <v>53</v>
      </c>
      <c r="AO8" s="406"/>
      <c r="AP8" s="410"/>
      <c r="AQ8" s="405" t="str">
        <f t="array" ref="AQ8">IF(
  $AP8 = 0, 
  "", 
  IFERROR(
    INDEX(
      'アイテム別限界値DB'!$K:$K, 
      MATCH(
        1, 
        ('アイテム別限界値DB'!$B:$B = $AM$4) * 
        ('アイテム別限界値DB'!$G:$G = $AM8) * 
        ('アイテム別限界値DB'!$H:$H = $AP8), 
        0
      )
    ), 
    "再製作"
  )
)
</f>
        <v/>
      </c>
      <c r="AR8" s="397" t="str">
        <f t="array" ref="AR8">IF(
  $AP8 = 0, 
  "", 
  IFERROR(
    INDEX(
      'アイテム別限界値DB'!$N:$N, 
      MATCH(
        1, 
        ('アイテム別限界値DB'!$B:$B = $AM$4) * 
        ('アイテム別限界値DB'!$G:$G = $AM8) * 
        ('アイテム別限界値DB'!$H:$H = $AP8), 
        0
      )
    )*AO8, 
    "再製作"
  )
)
</f>
        <v/>
      </c>
      <c r="AS8" s="327"/>
      <c r="AT8" s="394" t="s">
        <v>53</v>
      </c>
      <c r="AU8" s="406"/>
      <c r="AV8" s="411"/>
      <c r="AW8" s="405" t="str">
        <f t="array" ref="AW8">IF(
  $AV8 = 0, 
  "", 
  IFERROR(
    INDEX(
      'アイテム別限界値DB'!$K:$K, 
      MATCH(
        1, 
        ('アイテム別限界値DB'!$B:$B = $AT$4) * 
        ('アイテム別限界値DB'!$G:$G = $AT8) * 
        ('アイテム別限界値DB'!$H:$H = $AV8), 
        0
      )
    ), 
    "再製作"
  )
)
</f>
        <v/>
      </c>
      <c r="AX8" s="397" t="str">
        <f t="array" ref="AX8">IF(
  $AV8 = 0, 
  "", 
  IFERROR(
    INDEX(
      'アイテム別限界値DB'!$N:$N, 
      MATCH(
        1, 
        ('アイテム別限界値DB'!$B:$B = $AT$4) * 
        ('アイテム別限界値DB'!$G:$G = $AT8) * 
        ('アイテム別限界値DB'!$H:$H = $AV8), 
        0
      )
    )*AU8, 
    "再製作"
  )
)
</f>
        <v/>
      </c>
      <c r="AY8" s="327"/>
      <c r="AZ8" s="394" t="s">
        <v>53</v>
      </c>
      <c r="BA8" s="406"/>
      <c r="BB8" s="410"/>
      <c r="BC8" s="405" t="str">
        <f t="array" ref="BC8">IF(
  $BB8 = 0, 
  "", 
  IFERROR(
    INDEX(
      'アイテム別限界値DB'!$K:$K, 
      MATCH(
        1, 
        ('アイテム別限界値DB'!$B:$B = $AZ$4) * 
        ('アイテム別限界値DB'!$G:$G = $AZ8) * 
        ('アイテム別限界値DB'!$H:$H = $BB8), 
        0
      )
    ), 
    "再製作"
  )
)
</f>
        <v/>
      </c>
      <c r="BD8" s="397" t="str">
        <f t="array" ref="BD8">IF(
  $BB8 = 0, 
  "", 
  IFERROR(
    INDEX(
      'アイテム別限界値DB'!$N:$N, 
      MATCH(
        1, 
        ('アイテム別限界値DB'!$B:$B = $AZ$4) * 
        ('アイテム別限界値DB'!$G:$G = $AZ8) * 
        ('アイテム別限界値DB'!$H:$H = $BB8), 
        0
      )
    )*BA8, 
    "再製作"
  )
)
</f>
        <v/>
      </c>
      <c r="BE8" s="327"/>
      <c r="BF8" s="394" t="s">
        <v>53</v>
      </c>
      <c r="BG8" s="406"/>
      <c r="BH8" s="410"/>
      <c r="BI8" s="405" t="str">
        <f t="array" ref="BI8">IF(
  $BH8 = 0, 
  "", 
  IFERROR(
    INDEX(
      'アイテム別限界値DB'!$K:$K, 
      MATCH(
        1, 
        ('アイテム別限界値DB'!$B:$B = $BF$4) * 
        ('アイテム別限界値DB'!$G:$G = $BF8) * 
        ('アイテム別限界値DB'!$H:$H = $BH8), 
        0
      )
    ), 
    "再製作"
  )
)
</f>
        <v/>
      </c>
      <c r="BJ8" s="397" t="str">
        <f t="array" ref="BJ8">IF(
  $BH8 = 0, 
  "", 
  IFERROR(
    INDEX(
      'アイテム別限界値DB'!$N:$N, 
      MATCH(
        1, 
        ('アイテム別限界値DB'!$B:$B = $BF$4) * 
        ('アイテム別限界値DB'!$G:$G = $BF8) * 
        ('アイテム別限界値DB'!$H:$H = $BH8), 
        0
      )
    )*BG8, 
    "再製作"
  )
)
</f>
        <v/>
      </c>
      <c r="BK8" s="327"/>
      <c r="BL8" s="393" t="s">
        <v>196</v>
      </c>
      <c r="BM8" s="406"/>
      <c r="BN8" s="410"/>
      <c r="BO8" s="405" t="str">
        <f t="array" ref="BO8">IF(
  $BN8 = 0, 
  "", 
  IFERROR(
    INDEX(
      'アイテム別限界値DB'!$K:$K, 
      MATCH(
        1, 
        ('アイテム別限界値DB'!$B:$B = $BL$4) * 
        ('アイテム別限界値DB'!$G:$G = $BL8) * 
        ('アイテム別限界値DB'!$H:$H = $BN8), 
        0
      )
    ), 
    "再製作"
  )
)
</f>
        <v/>
      </c>
      <c r="BP8" s="397" t="str">
        <f t="array" ref="BP8">IF(
  $BN8 = 0, 
  "", 
  IFERROR(
    INDEX(
      'アイテム別限界値DB'!$N:$N, 
      MATCH(
        1, 
        ('アイテム別限界値DB'!$B:$B = $BL$4) * 
        ('アイテム別限界値DB'!$G:$G = $BL8) * 
        ('アイテム別限界値DB'!$H:$H = $BN8), 
        0
      )
    )*BM8, 
    "再製作"
  )
)
</f>
        <v/>
      </c>
      <c r="BQ8" s="327"/>
      <c r="BR8" s="393" t="s">
        <v>53</v>
      </c>
      <c r="BS8" s="406"/>
      <c r="BT8" s="404"/>
      <c r="BU8" s="405" t="str">
        <f t="array" ref="BU8">IF(
  $BT8 = 0, 
  "", 
  IFERROR(
    INDEX(
      'アイテム別限界値DB'!$K:$K, 
      MATCH(
        1, 
        ('アイテム別限界値DB'!$B:$B = $BR$4) * 
        ('アイテム別限界値DB'!$G:$G = $BR8) * 
        ('アイテム別限界値DB'!$H:$H = $BT8), 
        0
      )
    ), 
    "再製作"
  )
)
</f>
        <v/>
      </c>
      <c r="BV8" s="397" t="str">
        <f t="array" ref="BV8">IF(
  $BT8 = 0, 
  "", 
  IFERROR(
    INDEX(
      'アイテム別限界値DB'!$N:$N, 
      MATCH(
        1, 
        ('アイテム別限界値DB'!$B:$B = $BR$4) * 
        ('アイテム別限界値DB'!$G:$G = $BR8) * 
        ('アイテム別限界値DB'!$H:$H = $BT8), 
        0
      )
    )*BS8, 
    "再製作"
  )
)
</f>
        <v/>
      </c>
      <c r="BW8" s="327"/>
      <c r="BX8" s="393" t="s">
        <v>53</v>
      </c>
      <c r="BY8" s="406"/>
      <c r="BZ8" s="404"/>
      <c r="CA8" s="405" t="str">
        <f t="array" ref="CA8">IF(
  $BZ8 = 0, 
  "", 
  IFERROR(
    INDEX(
      'アイテム別限界値DB'!$K:$K, 
      MATCH(
        1, 
        ('アイテム別限界値DB'!$B:$B = $BX$4) * 
        ('アイテム別限界値DB'!$G:$G = $BX8) * 
        ('アイテム別限界値DB'!$H:$H = $BZ8), 
        0
      )
    ), 
    "再製作"
  )
)
</f>
        <v/>
      </c>
      <c r="CB8" s="397" t="str">
        <f t="array" ref="CB8">IF(
  $BZ8 = 0, 
  "", 
  IFERROR(
    INDEX(
      'アイテム別限界値DB'!$N:$N, 
      MATCH(
        1, 
        ('アイテム別限界値DB'!$B:$B = $BX$4) * 
        ('アイテム別限界値DB'!$G:$G = $BX8) * 
        ('アイテム別限界値DB'!$H:$H = $BZ8), 
        0
      )
    )*BY8, 
    "再製作"
  )
)
</f>
        <v/>
      </c>
      <c r="CC8" s="402"/>
      <c r="CD8" s="393" t="s">
        <v>51</v>
      </c>
      <c r="CE8" s="395" t="str">
        <f>IF(AND(CE6&lt;&gt;"", CE41&lt;&gt;""), "", IF(AND(CE6&lt;&gt;"", CE41=""), IF(CE6="再製作", "再製作", "お直し"), ""))</f>
        <v>お直し</v>
      </c>
      <c r="CF8" s="396"/>
      <c r="CG8" s="397" t="str">
        <f t="array" ref="CG8">IF(
  CE8 = "", 
  "", 
  IFERROR(
    INDEX(
      'アイテム別限界値DB'!$N:$N, 
      MATCH(
        1, 
        ('アイテム別限界値DB'!$B:$B = CC$4) * 
        ('アイテム別限界値DB'!$G:$G = CC8), 
        0
      )
    ), 
    "再製作"
  )
)
</f>
        <v/>
      </c>
      <c r="CH8" s="327"/>
      <c r="CI8" s="327"/>
    </row>
    <row r="9" ht="26.25" customHeight="1">
      <c r="A9" s="412"/>
      <c r="B9" s="228" t="str">
        <f>IFERROR(__xludf.DUMMYFUNCTION("TEXTJOIN(CHAR(10),TRUE,FILTER(ARRAYFORMULA(IF(N$8:N35&lt;&gt;"""",K$8:K35&amp;"" : ""&amp; N$8:N35 &amp;"" cm"" &amp; "" (¥"" &amp; P$8:P$35 &amp; ""）"","""")), N$8:N35 &lt;&gt;""""))"),"#N/A")</f>
        <v>#N/A</v>
      </c>
      <c r="C9" s="412"/>
      <c r="D9" s="412" t="s">
        <v>55</v>
      </c>
      <c r="E9" s="413" t="s">
        <v>55</v>
      </c>
      <c r="F9" s="403"/>
      <c r="G9" s="404"/>
      <c r="H9" s="405" t="str">
        <f t="array" ref="H9">IF(
  G9 = 0, 
  "", 
  IFERROR(
    INDEX(
      'アイテム別限界値DB'!$K:$K, 
      MATCH(
        1, 
        ('アイテム別限界値DB'!$B:$B = D$4) * 
        ('アイテム別限界値DB'!$G:$G = D9) * 
        ('アイテム別限界値DB'!$H:$H = G9), 
        0
      )
    ), 
    "再製作"
  )
)
</f>
        <v/>
      </c>
      <c r="I9" s="397" t="str">
        <f t="array" ref="I9">IF(
  $G9 = 0, 
  "", 
  IFERROR(
    INDEX(
      'アイテム別限界値DB'!$N:$N, 
      MATCH(
        1, 
        ('アイテム別限界値DB'!$B:$B = $D$4) * 
        ('アイテム別限界値DB'!$G:$G = $D9) * 
        ('アイテム別限界値DB'!$H:$H = $G9), 
        0
      )
    )*F9, 
    "再製作"
  )
)
</f>
        <v/>
      </c>
      <c r="J9" s="388"/>
      <c r="K9" s="412" t="s">
        <v>56</v>
      </c>
      <c r="L9" s="414" t="s">
        <v>56</v>
      </c>
      <c r="M9" s="403"/>
      <c r="N9" s="415"/>
      <c r="O9" s="405" t="str">
        <f t="array" ref="O9">IF(
  $N9 = 0, 
  "", 
  IFERROR(
    INDEX(
      'アイテム別限界値DB'!$K:$K, 
      MATCH(
        1, 
        ('アイテム別限界値DB'!$B:$B = $K$4) * 
        ('アイテム別限界値DB'!$G:$G = $K9) * 
        ('アイテム別限界値DB'!$H:$H = $N9), 
        0
      )
    ), 
    "再製作"
  )
)
</f>
        <v/>
      </c>
      <c r="P9" s="397" t="str">
        <f t="array" ref="P9">IF(
  $N9 = 0, 
  "", 
  IFERROR(
    INDEX(
      'アイテム別限界値DB'!$N:$N, 
      MATCH(
        1, 
        ('アイテム別限界値DB'!$B:$B = $K$4) * 
        ('アイテム別限界値DB'!$G:$G = $K9) * 
        ('アイテム別限界値DB'!$H:$H = $N9), 
        0
      )
    )*$M9, 
    "再製作"
  )
)
</f>
        <v/>
      </c>
      <c r="Q9" s="389"/>
      <c r="R9" s="412" t="s">
        <v>57</v>
      </c>
      <c r="S9" s="413" t="s">
        <v>57</v>
      </c>
      <c r="T9" s="403"/>
      <c r="U9" s="404"/>
      <c r="V9" s="405" t="str">
        <f t="array" ref="V9">IF(
  $U9 = 0, 
  "", 
  IFERROR(
    INDEX(
      'アイテム別限界値DB'!$K:$K, 
      MATCH(
        1, 
        ('アイテム別限界値DB'!$B:$B = $R$4) * 
        ('アイテム別限界値DB'!$G:$G = $R9) * 
        ('アイテム別限界値DB'!$H:$H = $U9), 
        0
      )
    ), 
    "再製作"
  )
)
</f>
        <v/>
      </c>
      <c r="W9" s="397" t="str">
        <f t="array" ref="W9">IF(
  $U9 = 0, 
  "", 
  IFERROR(
    INDEX(
      'アイテム別限界値DB'!$N:$N, 
      MATCH(
        1, 
        ('アイテム別限界値DB'!$B:$B = $R$4) * 
        ('アイテム別限界値DB'!$G:$G = $R9) * 
        ('アイテム別限界値DB'!$H:$H = $U9), 
        0
      )
    )*T9, 
    "再製作"
  )
)
</f>
        <v/>
      </c>
      <c r="X9" s="389"/>
      <c r="Y9" s="412" t="s">
        <v>56</v>
      </c>
      <c r="Z9" s="413" t="s">
        <v>56</v>
      </c>
      <c r="AA9" s="403"/>
      <c r="AB9" s="404"/>
      <c r="AC9" s="405" t="str">
        <f t="array" ref="AC9">IF(
  $AB9 = 0, 
  "", 
  IFERROR(
    INDEX(
      'アイテム別限界値DB'!$K:$K, 
      MATCH(
        1, 
        ('アイテム別限界値DB'!$B:$B = $Y$4) * 
        ('アイテム別限界値DB'!$G:$G = $Y9) * 
        ('アイテム別限界値DB'!$H:$H = $AB9), 
        0
      )
    ), 
    "再製作"
  )
)
</f>
        <v/>
      </c>
      <c r="AD9" s="397" t="str">
        <f t="array" ref="AD9">IF(
  $AB9 = 0, 
  "", 
  IFERROR(
    INDEX(
      'アイテム別限界値DB'!$N:$N, 
      MATCH(
        1, 
        ('アイテム別限界値DB'!$B:$B = $Y$4) * 
        ('アイテム別限界値DB'!$G:$G = $Y9) * 
        ('アイテム別限界値DB'!$H:$H = $AB9), 
        0
      )
    )*AA9, 
    "再製作"
  )
)
</f>
        <v/>
      </c>
      <c r="AE9" s="389"/>
      <c r="AF9" s="412" t="s">
        <v>58</v>
      </c>
      <c r="AG9" s="413" t="s">
        <v>58</v>
      </c>
      <c r="AH9" s="403"/>
      <c r="AI9" s="404"/>
      <c r="AJ9" s="405" t="str">
        <f t="array" ref="AJ9">IF(
  $AI9 = 0, 
  "", 
  IFERROR(
    INDEX(
      'アイテム別限界値DB'!$K:$K, 
      MATCH(
        1, 
        ('アイテム別限界値DB'!$B:$B = AF$4) * 
        ('アイテム別限界値DB'!$G:$G = $AF9) * 
        ('アイテム別限界値DB'!$H:$H = $AI9), 
        0
      )
    ), 
    "再製作"
  )
)
</f>
        <v/>
      </c>
      <c r="AK9" s="397" t="str">
        <f t="array" ref="AK9">IF(
  $AI9 = 0, 
  "", 
  IFERROR(
    INDEX(
      'アイテム別限界値DB'!$N:$N, 
      MATCH(
        1, 
        ('アイテム別限界値DB'!$B:$B = $AF$4) * 
        ('アイテム別限界値DB'!$G:$G = $AF9) * 
        ('アイテム別限界値DB'!$H:$H = $AI9), 
        0
      )
    )*AH9, 
    "再製作"
  )
)
</f>
        <v/>
      </c>
      <c r="AL9" s="327"/>
      <c r="AM9" s="412" t="s">
        <v>55</v>
      </c>
      <c r="AN9" s="416" t="s">
        <v>55</v>
      </c>
      <c r="AO9" s="403"/>
      <c r="AP9" s="404"/>
      <c r="AQ9" s="405" t="str">
        <f t="array" ref="AQ9">IF(
  $AP9 = 0, 
  "", 
  IFERROR(
    INDEX(
      'アイテム別限界値DB'!$K:$K, 
      MATCH(
        1, 
        ('アイテム別限界値DB'!$B:$B = $AM$4) * 
        ('アイテム別限界値DB'!$G:$G = $AM9) * 
        ('アイテム別限界値DB'!$H:$H = $AP9), 
        0
      )
    ), 
    "再製作"
  )
)
</f>
        <v/>
      </c>
      <c r="AR9" s="397" t="str">
        <f t="array" ref="AR9">IF(
  $AP9 = 0, 
  "", 
  IFERROR(
    INDEX(
      'アイテム別限界値DB'!$N:$N, 
      MATCH(
        1, 
        ('アイテム別限界値DB'!$B:$B = $AM$4) * 
        ('アイテム別限界値DB'!$G:$G = $AM9) * 
        ('アイテム別限界値DB'!$H:$H = $AP9), 
        0
      )
    )*AO9, 
    "再製作"
  )
)
</f>
        <v/>
      </c>
      <c r="AS9" s="327"/>
      <c r="AT9" s="416" t="s">
        <v>55</v>
      </c>
      <c r="AU9" s="403"/>
      <c r="AV9" s="417"/>
      <c r="AW9" s="405" t="str">
        <f t="array" ref="AW9">IF(
  $AV9 = 0, 
  "", 
  IFERROR(
    INDEX(
      'アイテム別限界値DB'!$K:$K, 
      MATCH(
        1, 
        ('アイテム別限界値DB'!$B:$B = $AT$4) * 
        ('アイテム別限界値DB'!$G:$G = $AT9) * 
        ('アイテム別限界値DB'!$H:$H = $AV9), 
        0
      )
    ), 
    "再製作"
  )
)
</f>
        <v/>
      </c>
      <c r="AX9" s="397" t="str">
        <f t="array" ref="AX9">IF(
  $AV9 = 0, 
  "", 
  IFERROR(
    INDEX(
      'アイテム別限界値DB'!$N:$N, 
      MATCH(
        1, 
        ('アイテム別限界値DB'!$B:$B = $AT$4) * 
        ('アイテム別限界値DB'!$G:$G = $AT9) * 
        ('アイテム別限界値DB'!$H:$H = $AV9), 
        0
      )
    )*AU9, 
    "再製作"
  )
)
</f>
        <v/>
      </c>
      <c r="AY9" s="327"/>
      <c r="AZ9" s="416" t="s">
        <v>55</v>
      </c>
      <c r="BA9" s="403"/>
      <c r="BB9" s="404"/>
      <c r="BC9" s="405" t="str">
        <f t="array" ref="BC9">IF(
  $BB9 = 0, 
  "", 
  IFERROR(
    INDEX(
      'アイテム別限界値DB'!$K:$K, 
      MATCH(
        1, 
        ('アイテム別限界値DB'!$B:$B = $AZ$4) * 
        ('アイテム別限界値DB'!$G:$G = $AZ9) * 
        ('アイテム別限界値DB'!$H:$H = $BB9), 
        0
      )
    ), 
    "再製作"
  )
)
</f>
        <v/>
      </c>
      <c r="BD9" s="397" t="str">
        <f t="array" ref="BD9">IF(
  $BB9 = 0, 
  "", 
  IFERROR(
    INDEX(
      'アイテム別限界値DB'!$N:$N, 
      MATCH(
        1, 
        ('アイテム別限界値DB'!$B:$B = $AZ$4) * 
        ('アイテム別限界値DB'!$G:$G = $AZ9) * 
        ('アイテム別限界値DB'!$H:$H = $BB9), 
        0
      )
    )*BA9, 
    "再製作"
  )
)
</f>
        <v/>
      </c>
      <c r="BE9" s="327"/>
      <c r="BF9" s="416" t="s">
        <v>55</v>
      </c>
      <c r="BG9" s="403"/>
      <c r="BH9" s="404"/>
      <c r="BI9" s="405" t="str">
        <f t="array" ref="BI9">IF(
  $BH9 = 0, 
  "", 
  IFERROR(
    INDEX(
      'アイテム別限界値DB'!$K:$K, 
      MATCH(
        1, 
        ('アイテム別限界値DB'!$B:$B = $BF$4) * 
        ('アイテム別限界値DB'!$G:$G = $BF9) * 
        ('アイテム別限界値DB'!$H:$H = $BH9), 
        0
      )
    ), 
    "再製作"
  )
)
</f>
        <v/>
      </c>
      <c r="BJ9" s="397" t="str">
        <f t="array" ref="BJ9">IF(
  $BH9 = 0, 
  "", 
  IFERROR(
    INDEX(
      'アイテム別限界値DB'!$N:$N, 
      MATCH(
        1, 
        ('アイテム別限界値DB'!$B:$B = $BF$4) * 
        ('アイテム別限界値DB'!$G:$G = $BF9) * 
        ('アイテム別限界値DB'!$H:$H = $BH9), 
        0
      )
    )*BG9, 
    "再製作"
  )
)
</f>
        <v/>
      </c>
      <c r="BK9" s="327"/>
      <c r="BL9" s="416" t="s">
        <v>55</v>
      </c>
      <c r="BM9" s="403"/>
      <c r="BN9" s="404"/>
      <c r="BO9" s="405" t="str">
        <f t="array" ref="BO9">IF(
  $BN9 = 0, 
  "", 
  IFERROR(
    INDEX(
      'アイテム別限界値DB'!$K:$K, 
      MATCH(
        1, 
        ('アイテム別限界値DB'!$B:$B = $BL$4) * 
        ('アイテム別限界値DB'!$G:$G = $BL9) * 
        ('アイテム別限界値DB'!$H:$H = $BN9), 
        0
      )
    ), 
    "再製作"
  )
)
</f>
        <v/>
      </c>
      <c r="BP9" s="397" t="str">
        <f t="array" ref="BP9">IF(
  $BN9 = 0, 
  "", 
  IFERROR(
    INDEX(
      'アイテム別限界値DB'!$N:$N, 
      MATCH(
        1, 
        ('アイテム別限界値DB'!$B:$B = $BL$4) * 
        ('アイテム別限界値DB'!$G:$G = $BL9) * 
        ('アイテム別限界値DB'!$H:$H = $BN9), 
        0
      )
    )*BM9, 
    "再製作"
  )
)
</f>
        <v/>
      </c>
      <c r="BQ9" s="327"/>
      <c r="BR9" s="416" t="s">
        <v>55</v>
      </c>
      <c r="BS9" s="403"/>
      <c r="BT9" s="404"/>
      <c r="BU9" s="405" t="str">
        <f t="array" ref="BU9">IF(
  $BT9 = 0, 
  "", 
  IFERROR(
    INDEX(
      'アイテム別限界値DB'!$K:$K, 
      MATCH(
        1, 
        ('アイテム別限界値DB'!$B:$B = $BR$4) * 
        ('アイテム別限界値DB'!$G:$G = $BR9) * 
        ('アイテム別限界値DB'!$H:$H = $BT9), 
        0
      )
    ), 
    "再製作"
  )
)
</f>
        <v/>
      </c>
      <c r="BV9" s="397" t="str">
        <f t="array" ref="BV9">IF(
  $BT9 = 0, 
  "", 
  IFERROR(
    INDEX(
      'アイテム別限界値DB'!$N:$N, 
      MATCH(
        1, 
        ('アイテム別限界値DB'!$B:$B = $BR$4) * 
        ('アイテム別限界値DB'!$G:$G = $BR9) * 
        ('アイテム別限界値DB'!$H:$H = $BT9), 
        0
      )
    )*BS9, 
    "再製作"
  )
)
</f>
        <v/>
      </c>
      <c r="BW9" s="327"/>
      <c r="BX9" s="416" t="s">
        <v>55</v>
      </c>
      <c r="BY9" s="403"/>
      <c r="BZ9" s="404"/>
      <c r="CA9" s="405" t="str">
        <f t="array" ref="CA9">IF(
  $BZ9 = 0, 
  "", 
  IFERROR(
    INDEX(
      'アイテム別限界値DB'!$K:$K, 
      MATCH(
        1, 
        ('アイテム別限界値DB'!$B:$B = $BX$4) * 
        ('アイテム別限界値DB'!$G:$G = $BX9) * 
        ('アイテム別限界値DB'!$H:$H = $BZ9), 
        0
      )
    ), 
    "再製作"
  )
)
</f>
        <v/>
      </c>
      <c r="CB9" s="397" t="str">
        <f t="array" ref="CB9">IF(
  $BZ9 = 0, 
  "", 
  IFERROR(
    INDEX(
      'アイテム別限界値DB'!$N:$N, 
      MATCH(
        1, 
        ('アイテム別限界値DB'!$B:$B = $BX$4) * 
        ('アイテム別限界値DB'!$G:$G = $BX9) * 
        ('アイテム別限界値DB'!$H:$H = $BZ9), 
        0
      )
    )*BY9, 
    "再製作"
  )
)
</f>
        <v/>
      </c>
      <c r="CC9" s="402"/>
      <c r="CD9" s="416"/>
      <c r="CE9" s="418" t="s">
        <v>59</v>
      </c>
      <c r="CF9" s="405" t="str">
        <f t="array" ref="CF9">IF(
  CE9 = 0, 
  "", 
  IFERROR(
    INDEX(
      'アイテム別限界値DB'!$K:$K, 
      MATCH(
        1, 
        ('アイテム別限界値DB'!$B:$B = CD$4) * 
        ('アイテム別限界値DB'!$G:$G = CD9) * 
        ('アイテム別限界値DB'!$H:$H = CE9), 
        0
      )
    ), 
    "再製作"
  )
)
</f>
        <v>再製作</v>
      </c>
      <c r="CG9" s="419" t="str">
        <f t="array" ref="CG9">IF(
  CE9 = 0, 
  "", 
  IFERROR(
    INDEX(
      'アイテム別限界値DB'!$N:$N, 
      MATCH(
        1, 
        ('アイテム別限界値DB'!$B:$B = CD$4) * 
        ('アイテム別限界値DB'!$G:$G = CD9) * 
        ('アイテム別限界値DB'!$H:$H = CE9), 
        0
      )
    ), 
    "再製作"
  )
)
</f>
        <v>再製作</v>
      </c>
      <c r="CH9" s="327"/>
      <c r="CI9" s="327"/>
    </row>
    <row r="10" ht="26.25" customHeight="1">
      <c r="A10" s="420"/>
      <c r="B10" s="305" t="s">
        <v>197</v>
      </c>
      <c r="C10" s="420"/>
      <c r="D10" s="420" t="s">
        <v>60</v>
      </c>
      <c r="E10" s="421" t="s">
        <v>57</v>
      </c>
      <c r="F10" s="403"/>
      <c r="G10" s="422"/>
      <c r="H10" s="405" t="str">
        <f t="array" ref="H10">IF(
  G10 = 0, 
  "", 
  IFERROR(
    INDEX(
      'アイテム別限界値DB'!$K:$K, 
      MATCH(
        1, 
        ('アイテム別限界値DB'!$B:$B = D$4) * 
        ('アイテム別限界値DB'!$G:$G = D10) * 
        ('アイテム別限界値DB'!$H:$H = G10), 
        0
      )
    ), 
    "再製作"
  )
)
</f>
        <v/>
      </c>
      <c r="I10" s="397" t="str">
        <f t="array" ref="I10">IF(
  $G10 = 0, 
  "", 
  IFERROR(
    INDEX(
      'アイテム別限界値DB'!$N:$N, 
      MATCH(
        1, 
        ('アイテム別限界値DB'!$B:$B = $D$4) * 
        ('アイテム別限界値DB'!$G:$G = $D10) * 
        ('アイテム別限界値DB'!$H:$H = $G10), 
        0
      )
    )*F10, 
    "再製作"
  )
)
</f>
        <v/>
      </c>
      <c r="J10" s="388"/>
      <c r="K10" s="420" t="s">
        <v>198</v>
      </c>
      <c r="L10" s="414" t="s">
        <v>174</v>
      </c>
      <c r="M10" s="423"/>
      <c r="N10" s="422"/>
      <c r="O10" s="405" t="str">
        <f t="array" ref="O10">IF(
  $N10 = 0, 
  "", 
  IFERROR(
    INDEX(
      'アイテム別限界値DB'!$K:$K, 
      MATCH(
        1, 
        ('アイテム別限界値DB'!$B:$B = $K$4) * 
        ('アイテム別限界値DB'!$G:$G = $K10) * 
        ('アイテム別限界値DB'!$H:$H = $N10), 
        0
      )
    ), 
    "再製作"
  )
)
</f>
        <v/>
      </c>
      <c r="P10" s="397" t="str">
        <f t="array" ref="P10">IF(
  $N10 = 0, 
  "", 
  IFERROR(
    INDEX(
      'アイテム別限界値DB'!$N:$N, 
      MATCH(
        1, 
        ('アイテム別限界値DB'!$B:$B = $K$4) * 
        ('アイテム別限界値DB'!$G:$G = $K10) * 
        ('アイテム別限界値DB'!$H:$H = $N10), 
        0
      )
    )*$M10, 
    "再製作"
  )
)
</f>
        <v/>
      </c>
      <c r="Q10" s="389"/>
      <c r="R10" s="420" t="s">
        <v>199</v>
      </c>
      <c r="S10" s="421" t="s">
        <v>62</v>
      </c>
      <c r="T10" s="423"/>
      <c r="U10" s="422"/>
      <c r="V10" s="405" t="str">
        <f t="array" ref="V10">IF(
  $U10 = 0, 
  "", 
  IFERROR(
    INDEX(
      'アイテム別限界値DB'!$K:$K, 
      MATCH(
        1, 
        ('アイテム別限界値DB'!$B:$B = $R$4) * 
        ('アイテム別限界値DB'!$G:$G = $R10) * 
        ('アイテム別限界値DB'!$H:$H = $U10), 
        0
      )
    ), 
    "再製作"
  )
)
</f>
        <v/>
      </c>
      <c r="W10" s="397" t="str">
        <f t="array" ref="W10">IF(
  $U10 = 0, 
  "", 
  IFERROR(
    INDEX(
      'アイテム別限界値DB'!$N:$N, 
      MATCH(
        1, 
        ('アイテム別限界値DB'!$B:$B = $R$4) * 
        ('アイテム別限界値DB'!$G:$G = $R10) * 
        ('アイテム別限界値DB'!$H:$H = $U10), 
        0
      )
    )*T10, 
    "再製作"
  )
)
</f>
        <v/>
      </c>
      <c r="X10" s="389"/>
      <c r="Y10" s="420" t="s">
        <v>198</v>
      </c>
      <c r="Z10" s="421" t="s">
        <v>174</v>
      </c>
      <c r="AA10" s="423"/>
      <c r="AB10" s="422"/>
      <c r="AC10" s="405" t="str">
        <f t="array" ref="AC10">IF(
  $AB10 = 0, 
  "", 
  IFERROR(
    INDEX(
      'アイテム別限界値DB'!$K:$K, 
      MATCH(
        1, 
        ('アイテム別限界値DB'!$B:$B = $Y$4) * 
        ('アイテム別限界値DB'!$G:$G = $Y10) * 
        ('アイテム別限界値DB'!$H:$H = $AB10), 
        0
      )
    ), 
    "再製作"
  )
)
</f>
        <v/>
      </c>
      <c r="AD10" s="397" t="str">
        <f t="array" ref="AD10">IF(
  $AB10 = 0, 
  "", 
  IFERROR(
    INDEX(
      'アイテム別限界値DB'!$N:$N, 
      MATCH(
        1, 
        ('アイテム別限界値DB'!$B:$B = $Y$4) * 
        ('アイテム別限界値DB'!$G:$G = $Y10) * 
        ('アイテム別限界値DB'!$H:$H = $AB10), 
        0
      )
    )*AA10, 
    "再製作"
  )
)
</f>
        <v/>
      </c>
      <c r="AE10" s="424"/>
      <c r="AF10" s="420" t="s">
        <v>63</v>
      </c>
      <c r="AG10" s="421" t="s">
        <v>63</v>
      </c>
      <c r="AH10" s="423"/>
      <c r="AI10" s="422"/>
      <c r="AJ10" s="405" t="str">
        <f t="array" ref="AJ10">IF(
  $AI10 = 0, 
  "", 
  IFERROR(
    INDEX(
      'アイテム別限界値DB'!$K:$K, 
      MATCH(
        1, 
        ('アイテム別限界値DB'!$B:$B = AF$4) * 
        ('アイテム別限界値DB'!$G:$G = $AF10) * 
        ('アイテム別限界値DB'!$H:$H = $AI10), 
        0
      )
    ), 
    "再製作"
  )
)
</f>
        <v/>
      </c>
      <c r="AK10" s="397" t="str">
        <f t="array" ref="AK10">IF(
  $AI10 = 0, 
  "", 
  IFERROR(
    INDEX(
      'アイテム別限界値DB'!$N:$N, 
      MATCH(
        1, 
        ('アイテム別限界値DB'!$B:$B = $AF$4) * 
        ('アイテム別限界値DB'!$G:$G = $AF10) * 
        ('アイテム別限界値DB'!$H:$H = $AI10), 
        0
      )
    )*AH10, 
    "再製作"
  )
)
</f>
        <v/>
      </c>
      <c r="AL10" s="327"/>
      <c r="AM10" s="420" t="s">
        <v>57</v>
      </c>
      <c r="AN10" s="425" t="s">
        <v>57</v>
      </c>
      <c r="AO10" s="423"/>
      <c r="AP10" s="422"/>
      <c r="AQ10" s="405" t="str">
        <f t="array" ref="AQ10">IF(
  $AP10 = 0, 
  "", 
  IFERROR(
    INDEX(
      'アイテム別限界値DB'!$K:$K, 
      MATCH(
        1, 
        ('アイテム別限界値DB'!$B:$B = $AM$4) * 
        ('アイテム別限界値DB'!$G:$G = $AM10) * 
        ('アイテム別限界値DB'!$H:$H = $AP10), 
        0
      )
    ), 
    "再製作"
  )
)
</f>
        <v/>
      </c>
      <c r="AR10" s="397" t="str">
        <f t="array" ref="AR10">IF(
  $AP10 = 0, 
  "", 
  IFERROR(
    INDEX(
      'アイテム別限界値DB'!$N:$N, 
      MATCH(
        1, 
        ('アイテム別限界値DB'!$B:$B = $AM$4) * 
        ('アイテム別限界値DB'!$G:$G = $AM10) * 
        ('アイテム別限界値DB'!$H:$H = $AP10), 
        0
      )
    )*AO10, 
    "再製作"
  )
)
</f>
        <v/>
      </c>
      <c r="AS10" s="327"/>
      <c r="AT10" s="425" t="s">
        <v>200</v>
      </c>
      <c r="AU10" s="423"/>
      <c r="AV10" s="426"/>
      <c r="AW10" s="405" t="str">
        <f t="array" ref="AW10">IF(
  $AV10 = 0, 
  "", 
  IFERROR(
    INDEX(
      'アイテム別限界値DB'!$K:$K, 
      MATCH(
        1, 
        ('アイテム別限界値DB'!$B:$B = $AT$4) * 
        ('アイテム別限界値DB'!$G:$G = $AT10) * 
        ('アイテム別限界値DB'!$H:$H = $AV10), 
        0
      )
    ), 
    "再製作"
  )
)
</f>
        <v/>
      </c>
      <c r="AX10" s="397" t="str">
        <f t="array" ref="AX10">IF(
  $AV10 = 0, 
  "", 
  IFERROR(
    INDEX(
      'アイテム別限界値DB'!$N:$N, 
      MATCH(
        1, 
        ('アイテム別限界値DB'!$B:$B = $AT$4) * 
        ('アイテム別限界値DB'!$G:$G = $AT10) * 
        ('アイテム別限界値DB'!$H:$H = $AV10), 
        0
      )
    )*AU10, 
    "再製作"
  )
)
</f>
        <v/>
      </c>
      <c r="AY10" s="327"/>
      <c r="AZ10" s="425" t="s">
        <v>200</v>
      </c>
      <c r="BA10" s="423"/>
      <c r="BB10" s="422"/>
      <c r="BC10" s="405" t="str">
        <f t="array" ref="BC10">IF(
  $BB10 = 0, 
  "", 
  IFERROR(
    INDEX(
      'アイテム別限界値DB'!$K:$K, 
      MATCH(
        1, 
        ('アイテム別限界値DB'!$B:$B = $AZ$4) * 
        ('アイテム別限界値DB'!$G:$G = $AZ10) * 
        ('アイテム別限界値DB'!$H:$H = $BB10), 
        0
      )
    ), 
    "再製作"
  )
)
</f>
        <v/>
      </c>
      <c r="BD10" s="397" t="str">
        <f t="array" ref="BD10">IF(
  $BB10 = 0, 
  "", 
  IFERROR(
    INDEX(
      'アイテム別限界値DB'!$N:$N, 
      MATCH(
        1, 
        ('アイテム別限界値DB'!$B:$B = $AZ$4) * 
        ('アイテム別限界値DB'!$G:$G = $AZ10) * 
        ('アイテム別限界値DB'!$H:$H = $BB10), 
        0
      )
    )*BA10, 
    "再製作"
  )
)
</f>
        <v/>
      </c>
      <c r="BE10" s="327"/>
      <c r="BF10" s="425" t="s">
        <v>200</v>
      </c>
      <c r="BG10" s="423"/>
      <c r="BH10" s="422"/>
      <c r="BI10" s="405" t="str">
        <f t="array" ref="BI10">IF(
  $BH10 = 0, 
  "", 
  IFERROR(
    INDEX(
      'アイテム別限界値DB'!$K:$K, 
      MATCH(
        1, 
        ('アイテム別限界値DB'!$B:$B = $BF$4) * 
        ('アイテム別限界値DB'!$G:$G = $BF10) * 
        ('アイテム別限界値DB'!$H:$H = $BH10), 
        0
      )
    ), 
    "再製作"
  )
)
</f>
        <v/>
      </c>
      <c r="BJ10" s="397" t="str">
        <f t="array" ref="BJ10">IF(
  $BH10 = 0, 
  "", 
  IFERROR(
    INDEX(
      'アイテム別限界値DB'!$N:$N, 
      MATCH(
        1, 
        ('アイテム別限界値DB'!$B:$B = $BF$4) * 
        ('アイテム別限界値DB'!$G:$G = $BF10) * 
        ('アイテム別限界値DB'!$H:$H = $BH10), 
        0
      )
    )*BG10, 
    "再製作"
  )
)
</f>
        <v/>
      </c>
      <c r="BK10" s="327"/>
      <c r="BL10" s="425" t="s">
        <v>201</v>
      </c>
      <c r="BM10" s="423"/>
      <c r="BN10" s="422"/>
      <c r="BO10" s="405" t="str">
        <f t="array" ref="BO10">IF(
  $BN10 = 0, 
  "", 
  IFERROR(
    INDEX(
      'アイテム別限界値DB'!$K:$K, 
      MATCH(
        1, 
        ('アイテム別限界値DB'!$B:$B = $BL$4) * 
        ('アイテム別限界値DB'!$G:$G = $BL10) * 
        ('アイテム別限界値DB'!$H:$H = $BN10), 
        0
      )
    ), 
    "再製作"
  )
)
</f>
        <v/>
      </c>
      <c r="BP10" s="397" t="str">
        <f t="array" ref="BP10">IF(
  $BN10 = 0, 
  "", 
  IFERROR(
    INDEX(
      'アイテム別限界値DB'!$N:$N, 
      MATCH(
        1, 
        ('アイテム別限界値DB'!$B:$B = $BL$4) * 
        ('アイテム別限界値DB'!$G:$G = $BL10) * 
        ('アイテム別限界値DB'!$H:$H = $BN10), 
        0
      )
    )*BM10, 
    "再製作"
  )
)
</f>
        <v/>
      </c>
      <c r="BQ10" s="327"/>
      <c r="BR10" s="425" t="s">
        <v>57</v>
      </c>
      <c r="BS10" s="423"/>
      <c r="BT10" s="422"/>
      <c r="BU10" s="405" t="str">
        <f t="array" ref="BU10">IF(
  $BT10 = 0, 
  "", 
  IFERROR(
    INDEX(
      'アイテム別限界値DB'!$K:$K, 
      MATCH(
        1, 
        ('アイテム別限界値DB'!$B:$B = $BR$4) * 
        ('アイテム別限界値DB'!$G:$G = $BR10) * 
        ('アイテム別限界値DB'!$H:$H = $BT10), 
        0
      )
    ), 
    "再製作"
  )
)
</f>
        <v/>
      </c>
      <c r="BV10" s="397" t="str">
        <f t="array" ref="BV10">IF(
  $BT10 = 0, 
  "", 
  IFERROR(
    INDEX(
      'アイテム別限界値DB'!$N:$N, 
      MATCH(
        1, 
        ('アイテム別限界値DB'!$B:$B = $BR$4) * 
        ('アイテム別限界値DB'!$G:$G = $BR10) * 
        ('アイテム別限界値DB'!$H:$H = $BT10), 
        0
      )
    )*BS10, 
    "再製作"
  )
)
</f>
        <v/>
      </c>
      <c r="BW10" s="327"/>
      <c r="BX10" s="425" t="s">
        <v>57</v>
      </c>
      <c r="BY10" s="423"/>
      <c r="BZ10" s="422"/>
      <c r="CA10" s="405" t="str">
        <f t="array" ref="CA10">IF(
  $BZ10 = 0, 
  "", 
  IFERROR(
    INDEX(
      'アイテム別限界値DB'!$K:$K, 
      MATCH(
        1, 
        ('アイテム別限界値DB'!$B:$B = $BX$4) * 
        ('アイテム別限界値DB'!$G:$G = $BX10) * 
        ('アイテム別限界値DB'!$H:$H = $BZ10), 
        0
      )
    ), 
    "再製作"
  )
)
</f>
        <v/>
      </c>
      <c r="CB10" s="397" t="str">
        <f t="array" ref="CB10">IF(
  $BZ10 = 0, 
  "", 
  IFERROR(
    INDEX(
      'アイテム別限界値DB'!$N:$N, 
      MATCH(
        1, 
        ('アイテム別限界値DB'!$B:$B = $BX$4) * 
        ('アイテム別限界値DB'!$G:$G = $BX10) * 
        ('アイテム別限界値DB'!$H:$H = $BZ10), 
        0
      )
    )*BY10, 
    "再製作"
  )
)
</f>
        <v/>
      </c>
      <c r="CC10" s="402"/>
      <c r="CD10" s="425"/>
      <c r="CE10" s="407" t="s">
        <v>59</v>
      </c>
      <c r="CF10" s="405" t="str">
        <f t="array" ref="CF10">IF(
  CE10 = 0, 
  "", 
  IFERROR(
    INDEX(
      'アイテム別限界値DB'!$K:$K, 
      MATCH(
        1, 
        ('アイテム別限界値DB'!$B:$B = CD$4) * 
        ('アイテム別限界値DB'!$G:$G = CD10) * 
        ('アイテム別限界値DB'!$H:$H = CE10), 
        0
      )
    ), 
    "再製作"
  )
)
</f>
        <v>再製作</v>
      </c>
      <c r="CG10" s="419" t="str">
        <f t="array" ref="CG10">IF(
  CE10 = 0, 
  "", 
  IFERROR(
    INDEX(
      'アイテム別限界値DB'!$N:$N, 
      MATCH(
        1, 
        ('アイテム別限界値DB'!$B:$B = CD$4) * 
        ('アイテム別限界値DB'!$G:$G = CD10) * 
        ('アイテム別限界値DB'!$H:$H = CE10), 
        0
      )
    ), 
    "再製作"
  )
)
</f>
        <v>再製作</v>
      </c>
      <c r="CH10" s="327"/>
      <c r="CI10" s="327"/>
    </row>
    <row r="11" ht="26.25" customHeight="1">
      <c r="A11" s="412"/>
      <c r="B11" s="228" t="str">
        <f>IFERROR(__xludf.DUMMYFUNCTION("TEXTJOIN(CHAR(10),TRUE,FILTER(ARRAYFORMULA(IF(Q$14:Q70&lt;&gt;"""",P$14:P70 &amp;"" : ""&amp; Q$14:Q70 &amp;"" cm"","""")), P$14:P70 &lt;&gt;""""))"),"")</f>
        <v/>
      </c>
      <c r="C11" s="412"/>
      <c r="D11" s="412" t="s">
        <v>65</v>
      </c>
      <c r="E11" s="413" t="s">
        <v>71</v>
      </c>
      <c r="F11" s="403"/>
      <c r="G11" s="404"/>
      <c r="H11" s="405" t="str">
        <f t="array" ref="H11">IF(
  G11 = 0, 
  "", 
  IFERROR(
    INDEX(
      'アイテム別限界値DB'!$K:$K, 
      MATCH(
        1, 
        ('アイテム別限界値DB'!$B:$B = D$4) * 
        ('アイテム別限界値DB'!$G:$G = D11) * 
        ('アイテム別限界値DB'!$H:$H = G11), 
        0
      )
    ), 
    "再製作"
  )
)
</f>
        <v/>
      </c>
      <c r="I11" s="397" t="str">
        <f t="array" ref="I11">IF(
  $G11 = 0, 
  "", 
  IFERROR(
    INDEX(
      'アイテム別限界値DB'!$N:$N, 
      MATCH(
        1, 
        ('アイテム別限界値DB'!$B:$B = $D$4) * 
        ('アイテム別限界値DB'!$G:$G = $D11) * 
        ('アイテム別限界値DB'!$H:$H = $G11), 
        0
      )
    )*F11, 
    "再製作"
  )
)
</f>
        <v/>
      </c>
      <c r="J11" s="388"/>
      <c r="K11" s="412" t="s">
        <v>202</v>
      </c>
      <c r="L11" s="414" t="s">
        <v>78</v>
      </c>
      <c r="M11" s="406"/>
      <c r="N11" s="404"/>
      <c r="O11" s="405" t="str">
        <f t="array" ref="O11">IF(
  $N11 = 0, 
  "", 
  IFERROR(
    INDEX(
      'アイテム別限界値DB'!$K:$K, 
      MATCH(
        1, 
        ('アイテム別限界値DB'!$B:$B = $K$4) * 
        ('アイテム別限界値DB'!$G:$G = $K11) * 
        ('アイテム別限界値DB'!$H:$H = $N11), 
        0
      )
    ), 
    "再製作"
  )
)
</f>
        <v/>
      </c>
      <c r="P11" s="397" t="str">
        <f t="array" ref="P11">IF(
  $N11 = 0, 
  "", 
  IFERROR(
    INDEX(
      'アイテム別限界値DB'!$N:$N, 
      MATCH(
        1, 
        ('アイテム別限界値DB'!$B:$B = $K$4) * 
        ('アイテム別限界値DB'!$G:$G = $K11) * 
        ('アイテム別限界値DB'!$H:$H = $N11), 
        0
      )
    )*$M11, 
    "再製作"
  )
)
</f>
        <v/>
      </c>
      <c r="Q11" s="389"/>
      <c r="R11" s="412" t="s">
        <v>67</v>
      </c>
      <c r="S11" s="413" t="s">
        <v>67</v>
      </c>
      <c r="T11" s="406"/>
      <c r="U11" s="404"/>
      <c r="V11" s="405" t="str">
        <f t="array" ref="V11">IF(
  $U11 = 0, 
  "", 
  IFERROR(
    INDEX(
      'アイテム別限界値DB'!$K:$K, 
      MATCH(
        1, 
        ('アイテム別限界値DB'!$B:$B = $R$4) * 
        ('アイテム別限界値DB'!$G:$G = $R11) * 
        ('アイテム別限界値DB'!$H:$H = $U11), 
        0
      )
    ), 
    "再製作"
  )
)
</f>
        <v/>
      </c>
      <c r="W11" s="397" t="str">
        <f t="array" ref="W11">IF(
  $U11 = 0, 
  "", 
  IFERROR(
    INDEX(
      'アイテム別限界値DB'!$N:$N, 
      MATCH(
        1, 
        ('アイテム別限界値DB'!$B:$B = $R$4) * 
        ('アイテム別限界値DB'!$G:$G = $R11) * 
        ('アイテム別限界値DB'!$H:$H = $U11), 
        0
      )
    )*T11, 
    "再製作"
  )
)
</f>
        <v/>
      </c>
      <c r="X11" s="327"/>
      <c r="Y11" s="412" t="s">
        <v>203</v>
      </c>
      <c r="Z11" s="413" t="s">
        <v>78</v>
      </c>
      <c r="AA11" s="406"/>
      <c r="AB11" s="404"/>
      <c r="AC11" s="405" t="str">
        <f t="array" ref="AC11">IF(
  $AB11 = 0, 
  "", 
  IFERROR(
    INDEX(
      'アイテム別限界値DB'!$K:$K, 
      MATCH(
        1, 
        ('アイテム別限界値DB'!$B:$B = $Y$4) * 
        ('アイテム別限界値DB'!$G:$G = $Y11) * 
        ('アイテム別限界値DB'!$H:$H = $AB11), 
        0
      )
    ), 
    "再製作"
  )
)
</f>
        <v/>
      </c>
      <c r="AD11" s="397" t="str">
        <f t="array" ref="AD11">IF(
  $AB11 = 0, 
  "", 
  IFERROR(
    INDEX(
      'アイテム別限界値DB'!$N:$N, 
      MATCH(
        1, 
        ('アイテム別限界値DB'!$B:$B = $Y$4) * 
        ('アイテム別限界値DB'!$G:$G = $Y11) * 
        ('アイテム別限界値DB'!$H:$H = $AB11), 
        0
      )
    )*AA11, 
    "再製作"
  )
)
</f>
        <v/>
      </c>
      <c r="AE11" s="424"/>
      <c r="AF11" s="412" t="s">
        <v>57</v>
      </c>
      <c r="AG11" s="413" t="s">
        <v>57</v>
      </c>
      <c r="AH11" s="406"/>
      <c r="AI11" s="404"/>
      <c r="AJ11" s="405" t="str">
        <f t="array" ref="AJ11">IF(
  $AI11 = 0, 
  "", 
  IFERROR(
    INDEX(
      'アイテム別限界値DB'!$K:$K, 
      MATCH(
        1, 
        ('アイテム別限界値DB'!$B:$B = AF$4) * 
        ('アイテム別限界値DB'!$G:$G = $AF11) * 
        ('アイテム別限界値DB'!$H:$H = $AI11), 
        0
      )
    ), 
    "再製作"
  )
)
</f>
        <v/>
      </c>
      <c r="AK11" s="397" t="str">
        <f t="array" ref="AK11">IF(
  $AI11 = 0, 
  "", 
  IFERROR(
    INDEX(
      'アイテム別限界値DB'!$N:$N, 
      MATCH(
        1, 
        ('アイテム別限界値DB'!$B:$B = $AF$4) * 
        ('アイテム別限界値DB'!$G:$G = $AF11) * 
        ('アイテム別限界値DB'!$H:$H = $AI11), 
        0
      )
    )*AH11, 
    "再製作"
  )
)
</f>
        <v/>
      </c>
      <c r="AL11" s="327"/>
      <c r="AM11" s="412" t="s">
        <v>69</v>
      </c>
      <c r="AN11" s="416" t="s">
        <v>69</v>
      </c>
      <c r="AO11" s="406"/>
      <c r="AP11" s="404"/>
      <c r="AQ11" s="405" t="str">
        <f t="array" ref="AQ11">IF(
  $AP11 = 0, 
  "", 
  IFERROR(
    INDEX(
      'アイテム別限界値DB'!$K:$K, 
      MATCH(
        1, 
        ('アイテム別限界値DB'!$B:$B = $AM$4) * 
        ('アイテム別限界値DB'!$G:$G = $AM11) * 
        ('アイテム別限界値DB'!$H:$H = $AP11), 
        0
      )
    ), 
    "再製作"
  )
)
</f>
        <v/>
      </c>
      <c r="AR11" s="397" t="str">
        <f t="array" ref="AR11">IF(
  $AP11 = 0, 
  "", 
  IFERROR(
    INDEX(
      'アイテム別限界値DB'!$N:$N, 
      MATCH(
        1, 
        ('アイテム別限界値DB'!$B:$B = $AM$4) * 
        ('アイテム別限界値DB'!$G:$G = $AM11) * 
        ('アイテム別限界値DB'!$H:$H = $AP11), 
        0
      )
    )*AO11, 
    "再製作"
  )
)
</f>
        <v/>
      </c>
      <c r="AS11" s="327"/>
      <c r="AT11" s="416" t="s">
        <v>204</v>
      </c>
      <c r="AU11" s="406"/>
      <c r="AV11" s="417"/>
      <c r="AW11" s="405" t="str">
        <f t="array" ref="AW11">IF(
  $AV11 = 0, 
  "", 
  IFERROR(
    INDEX(
      'アイテム別限界値DB'!$K:$K, 
      MATCH(
        1, 
        ('アイテム別限界値DB'!$B:$B = $AT$4) * 
        ('アイテム別限界値DB'!$G:$G = $AT11) * 
        ('アイテム別限界値DB'!$H:$H = $AV11), 
        0
      )
    ), 
    "再製作"
  )
)
</f>
        <v/>
      </c>
      <c r="AX11" s="397" t="str">
        <f t="array" ref="AX11">IF(
  $AV11 = 0, 
  "", 
  IFERROR(
    INDEX(
      'アイテム別限界値DB'!$N:$N, 
      MATCH(
        1, 
        ('アイテム別限界値DB'!$B:$B = $AT$4) * 
        ('アイテム別限界値DB'!$G:$G = $AT11) * 
        ('アイテム別限界値DB'!$H:$H = $AV11), 
        0
      )
    )*AU11, 
    "再製作"
  )
)
</f>
        <v/>
      </c>
      <c r="AY11" s="327"/>
      <c r="AZ11" s="416" t="s">
        <v>71</v>
      </c>
      <c r="BA11" s="406"/>
      <c r="BB11" s="404"/>
      <c r="BC11" s="405" t="str">
        <f t="array" ref="BC11">IF(
  $BB11 = 0, 
  "", 
  IFERROR(
    INDEX(
      'アイテム別限界値DB'!$K:$K, 
      MATCH(
        1, 
        ('アイテム別限界値DB'!$B:$B = $AZ$4) * 
        ('アイテム別限界値DB'!$G:$G = $AZ11) * 
        ('アイテム別限界値DB'!$H:$H = $BB11), 
        0
      )
    ), 
    "再製作"
  )
)
</f>
        <v/>
      </c>
      <c r="BD11" s="397" t="str">
        <f t="array" ref="BD11">IF(
  $BB11 = 0, 
  "", 
  IFERROR(
    INDEX(
      'アイテム別限界値DB'!$N:$N, 
      MATCH(
        1, 
        ('アイテム別限界値DB'!$B:$B = $AZ$4) * 
        ('アイテム別限界値DB'!$G:$G = $AZ11) * 
        ('アイテム別限界値DB'!$H:$H = $BB11), 
        0
      )
    )*BA11, 
    "再製作"
  )
)
</f>
        <v/>
      </c>
      <c r="BE11" s="327"/>
      <c r="BF11" s="416" t="s">
        <v>205</v>
      </c>
      <c r="BG11" s="406"/>
      <c r="BH11" s="404"/>
      <c r="BI11" s="405" t="str">
        <f t="array" ref="BI11">IF(
  $BH11 = 0, 
  "", 
  IFERROR(
    INDEX(
      'アイテム別限界値DB'!$K:$K, 
      MATCH(
        1, 
        ('アイテム別限界値DB'!$B:$B = $BF$4) * 
        ('アイテム別限界値DB'!$G:$G = $BF11) * 
        ('アイテム別限界値DB'!$H:$H = $BH11), 
        0
      )
    ), 
    "再製作"
  )
)
</f>
        <v/>
      </c>
      <c r="BJ11" s="397" t="str">
        <f t="array" ref="BJ11">IF(
  $BH11 = 0, 
  "", 
  IFERROR(
    INDEX(
      'アイテム別限界値DB'!$N:$N, 
      MATCH(
        1, 
        ('アイテム別限界値DB'!$B:$B = $BF$4) * 
        ('アイテム別限界値DB'!$G:$G = $BF11) * 
        ('アイテム別限界値DB'!$H:$H = $BH11), 
        0
      )
    )*BG11, 
    "再製作"
  )
)
</f>
        <v/>
      </c>
      <c r="BK11" s="327"/>
      <c r="BL11" s="416" t="s">
        <v>71</v>
      </c>
      <c r="BM11" s="406"/>
      <c r="BN11" s="404"/>
      <c r="BO11" s="405" t="str">
        <f t="array" ref="BO11">IF(
  $BN11 = 0, 
  "", 
  IFERROR(
    INDEX(
      'アイテム別限界値DB'!$K:$K, 
      MATCH(
        1, 
        ('アイテム別限界値DB'!$B:$B = $BL$4) * 
        ('アイテム別限界値DB'!$G:$G = $BL11) * 
        ('アイテム別限界値DB'!$H:$H = $BN11), 
        0
      )
    ), 
    "再製作"
  )
)
</f>
        <v/>
      </c>
      <c r="BP11" s="397" t="str">
        <f t="array" ref="BP11">IF(
  $BN11 = 0, 
  "", 
  IFERROR(
    INDEX(
      'アイテム別限界値DB'!$N:$N, 
      MATCH(
        1, 
        ('アイテム別限界値DB'!$B:$B = $BL$4) * 
        ('アイテム別限界値DB'!$G:$G = $BL11) * 
        ('アイテム別限界値DB'!$H:$H = $BN11), 
        0
      )
    )*BM11, 
    "再製作"
  )
)
</f>
        <v/>
      </c>
      <c r="BQ11" s="327"/>
      <c r="BR11" s="416" t="s">
        <v>71</v>
      </c>
      <c r="BS11" s="406"/>
      <c r="BT11" s="404"/>
      <c r="BU11" s="405" t="str">
        <f t="array" ref="BU11">IF(
  $BT11 = 0, 
  "", 
  IFERROR(
    INDEX(
      'アイテム別限界値DB'!$K:$K, 
      MATCH(
        1, 
        ('アイテム別限界値DB'!$B:$B = $BR$4) * 
        ('アイテム別限界値DB'!$G:$G = $BR11) * 
        ('アイテム別限界値DB'!$H:$H = $BT11), 
        0
      )
    ), 
    "再製作"
  )
)
</f>
        <v/>
      </c>
      <c r="BV11" s="397" t="str">
        <f t="array" ref="BV11">IF(
  $BT11 = 0, 
  "", 
  IFERROR(
    INDEX(
      'アイテム別限界値DB'!$N:$N, 
      MATCH(
        1, 
        ('アイテム別限界値DB'!$B:$B = $BR$4) * 
        ('アイテム別限界値DB'!$G:$G = $BR11) * 
        ('アイテム別限界値DB'!$H:$H = $BT11), 
        0
      )
    )*BS11, 
    "再製作"
  )
)
</f>
        <v/>
      </c>
      <c r="BW11" s="327"/>
      <c r="BX11" s="416" t="s">
        <v>71</v>
      </c>
      <c r="BY11" s="406"/>
      <c r="BZ11" s="404"/>
      <c r="CA11" s="405" t="str">
        <f t="array" ref="CA11">IF(
  $BZ11 = 0, 
  "", 
  IFERROR(
    INDEX(
      'アイテム別限界値DB'!$K:$K, 
      MATCH(
        1, 
        ('アイテム別限界値DB'!$B:$B = $BX$4) * 
        ('アイテム別限界値DB'!$G:$G = $BX11) * 
        ('アイテム別限界値DB'!$H:$H = $BZ11), 
        0
      )
    ), 
    "再製作"
  )
)
</f>
        <v/>
      </c>
      <c r="CB11" s="397" t="str">
        <f t="array" ref="CB11">IF(
  $BZ11 = 0, 
  "", 
  IFERROR(
    INDEX(
      'アイテム別限界値DB'!$N:$N, 
      MATCH(
        1, 
        ('アイテム別限界値DB'!$B:$B = $BX$4) * 
        ('アイテム別限界値DB'!$G:$G = $BX11) * 
        ('アイテム別限界値DB'!$H:$H = $BZ11), 
        0
      )
    )*BY11, 
    "再製作"
  )
)
</f>
        <v/>
      </c>
      <c r="CC11" s="402"/>
      <c r="CD11" s="416"/>
      <c r="CE11" s="418" t="s">
        <v>59</v>
      </c>
      <c r="CF11" s="405" t="str">
        <f t="array" ref="CF11">IF(
  CE11 = 0, 
  "", 
  IFERROR(
    INDEX(
      'アイテム別限界値DB'!$K:$K, 
      MATCH(
        1, 
        ('アイテム別限界値DB'!$B:$B = CD$4) * 
        ('アイテム別限界値DB'!$G:$G = CD11) * 
        ('アイテム別限界値DB'!$H:$H = CE11), 
        0
      )
    ), 
    "再製作"
  )
)
</f>
        <v>再製作</v>
      </c>
      <c r="CG11" s="419" t="str">
        <f t="array" ref="CG11">IF(
  CE11 = 0, 
  "", 
  IFERROR(
    INDEX(
      'アイテム別限界値DB'!$N:$N, 
      MATCH(
        1, 
        ('アイテム別限界値DB'!$B:$B = CD$4) * 
        ('アイテム別限界値DB'!$G:$G = CD11) * 
        ('アイテム別限界値DB'!$H:$H = CE11), 
        0
      )
    ), 
    "再製作"
  )
)
</f>
        <v>再製作</v>
      </c>
      <c r="CH11" s="327"/>
      <c r="CI11" s="327"/>
    </row>
    <row r="12" ht="26.25" customHeight="1">
      <c r="A12" s="427"/>
      <c r="B12" s="305" t="s">
        <v>206</v>
      </c>
      <c r="C12" s="427"/>
      <c r="D12" s="427" t="s">
        <v>72</v>
      </c>
      <c r="E12" s="421" t="s">
        <v>62</v>
      </c>
      <c r="F12" s="403"/>
      <c r="G12" s="422"/>
      <c r="H12" s="405" t="str">
        <f t="array" ref="H12">IF(
  G12 = 0, 
  "", 
  IFERROR(
    INDEX(
      'アイテム別限界値DB'!$K:$K, 
      MATCH(
        1, 
        ('アイテム別限界値DB'!$B:$B = D$4) * 
        ('アイテム別限界値DB'!$G:$G = D12) * 
        ('アイテム別限界値DB'!$H:$H = G12), 
        0
      )
    ), 
    "再製作"
  )
)
</f>
        <v/>
      </c>
      <c r="I12" s="397" t="str">
        <f t="array" ref="I12">IF(
  $G12 = 0, 
  "", 
  IFERROR(
    INDEX(
      'アイテム別限界値DB'!$N:$N, 
      MATCH(
        1, 
        ('アイテム別限界値DB'!$B:$B = $D$4) * 
        ('アイテム別限界値DB'!$G:$G = $D12) * 
        ('アイテム別限界値DB'!$H:$H = $G12), 
        0
      )
    )*F12, 
    "再製作"
  )
)
</f>
        <v/>
      </c>
      <c r="J12" s="388"/>
      <c r="K12" s="427" t="s">
        <v>207</v>
      </c>
      <c r="L12" s="414" t="s">
        <v>82</v>
      </c>
      <c r="M12" s="423"/>
      <c r="N12" s="422"/>
      <c r="O12" s="405" t="str">
        <f t="array" ref="O12">IF(
  $N12 = 0, 
  "", 
  IFERROR(
    INDEX(
      'アイテム別限界値DB'!$K:$K, 
      MATCH(
        1, 
        ('アイテム別限界値DB'!$B:$B = $K$4) * 
        ('アイテム別限界値DB'!$G:$G = $K12) * 
        ('アイテム別限界値DB'!$H:$H = $N12), 
        0
      )
    ), 
    "再製作"
  )
)
</f>
        <v/>
      </c>
      <c r="P12" s="397" t="str">
        <f t="array" ref="P12">IF(
  $N12 = 0, 
  "", 
  IFERROR(
    INDEX(
      'アイテム別限界値DB'!$N:$N, 
      MATCH(
        1, 
        ('アイテム別限界値DB'!$B:$B = $K$4) * 
        ('アイテム別限界値DB'!$G:$G = $K12) * 
        ('アイテム別限界値DB'!$H:$H = $N12), 
        0
      )
    )*$M12, 
    "再製作"
  )
)
</f>
        <v/>
      </c>
      <c r="Q12" s="389"/>
      <c r="R12" s="427" t="s">
        <v>74</v>
      </c>
      <c r="S12" s="421" t="s">
        <v>74</v>
      </c>
      <c r="T12" s="423"/>
      <c r="U12" s="404"/>
      <c r="V12" s="405" t="str">
        <f t="array" ref="V12">IF(
  $U12 = 0, 
  "", 
  IFERROR(
    INDEX(
      'アイテム別限界値DB'!$K:$K, 
      MATCH(
        1, 
        ('アイテム別限界値DB'!$B:$B = $R$4) * 
        ('アイテム別限界値DB'!$G:$G = $R12) * 
        ('アイテム別限界値DB'!$H:$H = $U12), 
        0
      )
    ), 
    "再製作"
  )
)
</f>
        <v/>
      </c>
      <c r="W12" s="397" t="str">
        <f t="array" ref="W12">IF(
  $U12 = 0, 
  "", 
  IFERROR(
    INDEX(
      'アイテム別限界値DB'!$N:$N, 
      MATCH(
        1, 
        ('アイテム別限界値DB'!$B:$B = $R$4) * 
        ('アイテム別限界値DB'!$G:$G = $R12) * 
        ('アイテム別限界値DB'!$H:$H = $U12), 
        0
      )
    )*T12, 
    "再製作"
  )
)
</f>
        <v/>
      </c>
      <c r="X12" s="327"/>
      <c r="Y12" s="427" t="s">
        <v>208</v>
      </c>
      <c r="Z12" s="421" t="s">
        <v>82</v>
      </c>
      <c r="AA12" s="423"/>
      <c r="AB12" s="404"/>
      <c r="AC12" s="405" t="str">
        <f t="array" ref="AC12">IF(
  $AB12 = 0, 
  "", 
  IFERROR(
    INDEX(
      'アイテム別限界値DB'!$K:$K, 
      MATCH(
        1, 
        ('アイテム別限界値DB'!$B:$B = $Y$4) * 
        ('アイテム別限界値DB'!$G:$G = $Y12) * 
        ('アイテム別限界値DB'!$H:$H = $AB12), 
        0
      )
    ), 
    "再製作"
  )
)
</f>
        <v/>
      </c>
      <c r="AD12" s="397" t="str">
        <f t="array" ref="AD12">IF(
  $AB12 = 0, 
  "", 
  IFERROR(
    INDEX(
      'アイテム別限界値DB'!$N:$N, 
      MATCH(
        1, 
        ('アイテム別限界値DB'!$B:$B = $Y$4) * 
        ('アイテム別限界値DB'!$G:$G = $Y12) * 
        ('アイテム別限界値DB'!$H:$H = $AB12), 
        0
      )
    )*AA12, 
    "再製作"
  )
)
</f>
        <v/>
      </c>
      <c r="AE12" s="332"/>
      <c r="AF12" s="427" t="s">
        <v>69</v>
      </c>
      <c r="AG12" s="421" t="s">
        <v>69</v>
      </c>
      <c r="AH12" s="423"/>
      <c r="AI12" s="422"/>
      <c r="AJ12" s="405" t="str">
        <f t="array" ref="AJ12">IF(
  $AI12 = 0, 
  "", 
  IFERROR(
    INDEX(
      'アイテム別限界値DB'!$K:$K, 
      MATCH(
        1, 
        ('アイテム別限界値DB'!$B:$B = AF$4) * 
        ('アイテム別限界値DB'!$G:$G = $AF12) * 
        ('アイテム別限界値DB'!$H:$H = $AI12), 
        0
      )
    ), 
    "再製作"
  )
)
</f>
        <v/>
      </c>
      <c r="AK12" s="397" t="str">
        <f t="array" ref="AK12">IF(
  $AI12 = 0, 
  "", 
  IFERROR(
    INDEX(
      'アイテム別限界値DB'!$N:$N, 
      MATCH(
        1, 
        ('アイテム別限界値DB'!$B:$B = $AF$4) * 
        ('アイテム別限界値DB'!$G:$G = $AF12) * 
        ('アイテム別限界値DB'!$H:$H = $AI12), 
        0
      )
    )*AH12, 
    "再製作"
  )
)
</f>
        <v/>
      </c>
      <c r="AL12" s="327"/>
      <c r="AM12" s="427" t="s">
        <v>76</v>
      </c>
      <c r="AN12" s="428" t="s">
        <v>76</v>
      </c>
      <c r="AO12" s="423"/>
      <c r="AP12" s="422"/>
      <c r="AQ12" s="405" t="str">
        <f t="array" ref="AQ12">IF(
  $AP12 = 0, 
  "", 
  IFERROR(
    INDEX(
      'アイテム別限界値DB'!$K:$K, 
      MATCH(
        1, 
        ('アイテム別限界値DB'!$B:$B = $AM$4) * 
        ('アイテム別限界値DB'!$G:$G = $AM12) * 
        ('アイテム別限界値DB'!$H:$H = $AP12), 
        0
      )
    ), 
    "再製作"
  )
)
</f>
        <v/>
      </c>
      <c r="AR12" s="397" t="str">
        <f t="array" ref="AR12">IF(
  $AP12 = 0, 
  "", 
  IFERROR(
    INDEX(
      'アイテム別限界値DB'!$N:$N, 
      MATCH(
        1, 
        ('アイテム別限界値DB'!$B:$B = $AM$4) * 
        ('アイテム別限界値DB'!$G:$G = $AM12) * 
        ('アイテム別限界値DB'!$H:$H = $AP12), 
        0
      )
    )*AO12, 
    "再製作"
  )
)
</f>
        <v/>
      </c>
      <c r="AS12" s="327"/>
      <c r="AT12" s="428" t="s">
        <v>71</v>
      </c>
      <c r="AU12" s="423"/>
      <c r="AV12" s="426"/>
      <c r="AW12" s="405" t="str">
        <f t="array" ref="AW12">IF(
  $AV12 = 0, 
  "", 
  IFERROR(
    INDEX(
      'アイテム別限界値DB'!$K:$K, 
      MATCH(
        1, 
        ('アイテム別限界値DB'!$B:$B = $AT$4) * 
        ('アイテム別限界値DB'!$G:$G = $AT12) * 
        ('アイテム別限界値DB'!$H:$H = $AV12), 
        0
      )
    ), 
    "再製作"
  )
)
</f>
        <v/>
      </c>
      <c r="AX12" s="397" t="str">
        <f t="array" ref="AX12">IF(
  $AV12 = 0, 
  "", 
  IFERROR(
    INDEX(
      'アイテム別限界値DB'!$N:$N, 
      MATCH(
        1, 
        ('アイテム別限界値DB'!$B:$B = $AT$4) * 
        ('アイテム別限界値DB'!$G:$G = $AT12) * 
        ('アイテム別限界値DB'!$H:$H = $AV12), 
        0
      )
    )*AU12, 
    "再製作"
  )
)
</f>
        <v/>
      </c>
      <c r="AY12" s="327"/>
      <c r="AZ12" s="428" t="s">
        <v>209</v>
      </c>
      <c r="BA12" s="423"/>
      <c r="BB12" s="422"/>
      <c r="BC12" s="405" t="str">
        <f t="array" ref="BC12">IF(
  $BB12 = 0, 
  "", 
  IFERROR(
    INDEX(
      'アイテム別限界値DB'!$K:$K, 
      MATCH(
        1, 
        ('アイテム別限界値DB'!$B:$B = $AZ$4) * 
        ('アイテム別限界値DB'!$G:$G = $AZ12) * 
        ('アイテム別限界値DB'!$H:$H = $BB12), 
        0
      )
    ), 
    "再製作"
  )
)
</f>
        <v/>
      </c>
      <c r="BD12" s="397" t="str">
        <f t="array" ref="BD12">IF(
  $BB12 = 0, 
  "", 
  IFERROR(
    INDEX(
      'アイテム別限界値DB'!$N:$N, 
      MATCH(
        1, 
        ('アイテム別限界値DB'!$B:$B = $AZ$4) * 
        ('アイテム別限界値DB'!$G:$G = $AZ12) * 
        ('アイテム別限界値DB'!$H:$H = $BB12), 
        0
      )
    )*BA12, 
    "再製作"
  )
)
</f>
        <v/>
      </c>
      <c r="BE12" s="327"/>
      <c r="BF12" s="428" t="s">
        <v>209</v>
      </c>
      <c r="BG12" s="423"/>
      <c r="BH12" s="422"/>
      <c r="BI12" s="405" t="str">
        <f t="array" ref="BI12">IF(
  $BH12 = 0, 
  "", 
  IFERROR(
    INDEX(
      'アイテム別限界値DB'!$K:$K, 
      MATCH(
        1, 
        ('アイテム別限界値DB'!$B:$B = $BF$4) * 
        ('アイテム別限界値DB'!$G:$G = $BF12) * 
        ('アイテム別限界値DB'!$H:$H = $BH12), 
        0
      )
    ), 
    "再製作"
  )
)
</f>
        <v/>
      </c>
      <c r="BJ12" s="397" t="str">
        <f t="array" ref="BJ12">IF(
  $BH12 = 0, 
  "", 
  IFERROR(
    INDEX(
      'アイテム別限界値DB'!$N:$N, 
      MATCH(
        1, 
        ('アイテム別限界値DB'!$B:$B = $BF$4) * 
        ('アイテム別限界値DB'!$G:$G = $BF12) * 
        ('アイテム別限界値DB'!$H:$H = $BH12), 
        0
      )
    )*BG12, 
    "再製作"
  )
)
</f>
        <v/>
      </c>
      <c r="BK12" s="327"/>
      <c r="BL12" s="428" t="s">
        <v>209</v>
      </c>
      <c r="BM12" s="423"/>
      <c r="BN12" s="422"/>
      <c r="BO12" s="405" t="str">
        <f t="array" ref="BO12">IF(
  $BN12 = 0, 
  "", 
  IFERROR(
    INDEX(
      'アイテム別限界値DB'!$K:$K, 
      MATCH(
        1, 
        ('アイテム別限界値DB'!$B:$B = $BL$4) * 
        ('アイテム別限界値DB'!$G:$G = $BL12) * 
        ('アイテム別限界値DB'!$H:$H = $BN12), 
        0
      )
    ), 
    "再製作"
  )
)
</f>
        <v/>
      </c>
      <c r="BP12" s="397" t="str">
        <f t="array" ref="BP12">IF(
  $BN12 = 0, 
  "", 
  IFERROR(
    INDEX(
      'アイテム別限界値DB'!$N:$N, 
      MATCH(
        1, 
        ('アイテム別限界値DB'!$B:$B = $BL$4) * 
        ('アイテム別限界値DB'!$G:$G = $BL12) * 
        ('アイテム別限界値DB'!$H:$H = $BN12), 
        0
      )
    )*BM12, 
    "再製作"
  )
)
</f>
        <v/>
      </c>
      <c r="BQ12" s="327"/>
      <c r="BR12" s="428" t="s">
        <v>62</v>
      </c>
      <c r="BS12" s="423"/>
      <c r="BT12" s="422"/>
      <c r="BU12" s="405" t="str">
        <f t="array" ref="BU12">IF(
  $BT12 = 0, 
  "", 
  IFERROR(
    INDEX(
      'アイテム別限界値DB'!$K:$K, 
      MATCH(
        1, 
        ('アイテム別限界値DB'!$B:$B = $BR$4) * 
        ('アイテム別限界値DB'!$G:$G = $BR12) * 
        ('アイテム別限界値DB'!$H:$H = $BT12), 
        0
      )
    ), 
    "再製作"
  )
)
</f>
        <v/>
      </c>
      <c r="BV12" s="397" t="str">
        <f t="array" ref="BV12">IF(
  $BT12 = 0, 
  "", 
  IFERROR(
    INDEX(
      'アイテム別限界値DB'!$N:$N, 
      MATCH(
        1, 
        ('アイテム別限界値DB'!$B:$B = $BR$4) * 
        ('アイテム別限界値DB'!$G:$G = $BR12) * 
        ('アイテム別限界値DB'!$H:$H = $BT12), 
        0
      )
    )*BS12, 
    "再製作"
  )
)
</f>
        <v/>
      </c>
      <c r="BW12" s="327"/>
      <c r="BX12" s="428" t="s">
        <v>62</v>
      </c>
      <c r="BY12" s="423"/>
      <c r="BZ12" s="422"/>
      <c r="CA12" s="405" t="str">
        <f t="array" ref="CA12">IF(
  $BZ12 = 0, 
  "", 
  IFERROR(
    INDEX(
      'アイテム別限界値DB'!$K:$K, 
      MATCH(
        1, 
        ('アイテム別限界値DB'!$B:$B = $BX$4) * 
        ('アイテム別限界値DB'!$G:$G = $BX12) * 
        ('アイテム別限界値DB'!$H:$H = $BZ12), 
        0
      )
    ), 
    "再製作"
  )
)
</f>
        <v/>
      </c>
      <c r="CB12" s="397" t="str">
        <f t="array" ref="CB12">IF(
  $BZ12 = 0, 
  "", 
  IFERROR(
    INDEX(
      'アイテム別限界値DB'!$N:$N, 
      MATCH(
        1, 
        ('アイテム別限界値DB'!$B:$B = $BX$4) * 
        ('アイテム別限界値DB'!$G:$G = $BX12) * 
        ('アイテム別限界値DB'!$H:$H = $BZ12), 
        0
      )
    )*BY12, 
    "再製作"
  )
)
</f>
        <v/>
      </c>
      <c r="CC12" s="402"/>
      <c r="CD12" s="428"/>
      <c r="CE12" s="407" t="s">
        <v>59</v>
      </c>
      <c r="CF12" s="405" t="str">
        <f t="array" ref="CF12">IF(
  CE12 = 0, 
  "", 
  IFERROR(
    INDEX(
      'アイテム別限界値DB'!$K:$K, 
      MATCH(
        1, 
        ('アイテム別限界値DB'!$B:$B = CD$4) * 
        ('アイテム別限界値DB'!$G:$G = CD12) * 
        ('アイテム別限界値DB'!$H:$H = CE12), 
        0
      )
    ), 
    "再製作"
  )
)
</f>
        <v>再製作</v>
      </c>
      <c r="CG12" s="419" t="str">
        <f t="array" ref="CG12">IF(
  CE12 = 0, 
  "", 
  IFERROR(
    INDEX(
      'アイテム別限界値DB'!$N:$N, 
      MATCH(
        1, 
        ('アイテム別限界値DB'!$B:$B = CD$4) * 
        ('アイテム別限界値DB'!$G:$G = CD12) * 
        ('アイテム別限界値DB'!$H:$H = CE12), 
        0
      )
    ), 
    "再製作"
  )
)
</f>
        <v>再製作</v>
      </c>
      <c r="CH12" s="327"/>
      <c r="CI12" s="327"/>
    </row>
    <row r="13" ht="26.25" customHeight="1">
      <c r="A13" s="429"/>
      <c r="B13" s="228" t="str">
        <f>IFERROR(__xludf.DUMMYFUNCTION("TEXTJOIN(CHAR(10),TRUE,FILTER(ARRAYFORMULA(IF(W$14:W70&lt;&gt;"""", V$14:V70 &amp;"" : ""&amp; W$14:W70 &amp;"" cm"","""")), V$14:V70 &lt;&gt;""""))"),"↓ 1箇所納期 ↓ : ↓ 税込料金↓ cm")</f>
        <v>↓ 1箇所納期 ↓ : ↓ 税込料金↓ cm</v>
      </c>
      <c r="C13" s="429"/>
      <c r="D13" s="429" t="s">
        <v>210</v>
      </c>
      <c r="E13" s="413" t="s">
        <v>98</v>
      </c>
      <c r="F13" s="430"/>
      <c r="G13" s="431"/>
      <c r="H13" s="405" t="str">
        <f t="array" ref="H13">IF(
  G13 = 0, 
  "", 
  IFERROR(
    INDEX(
      'アイテム別限界値DB'!$K:$K, 
      MATCH(
        1, 
        ('アイテム別限界値DB'!$B:$B = D$4) * 
        ('アイテム別限界値DB'!$G:$G = D13) * 
        ('アイテム別限界値DB'!$H:$H = G13), 
        0
      )
    ), 
    "再製作"
  )
)
</f>
        <v/>
      </c>
      <c r="I13" s="397" t="str">
        <f t="array" ref="I13">IF(
  $G13 = 0, 
  "", 
  IFERROR(
    INDEX(
      'アイテム別限界値DB'!$N:$N, 
      MATCH(
        1, 
        ('アイテム別限界値DB'!$B:$B = $D$4) * 
        ('アイテム別限界値DB'!$G:$G = $D13) * 
        ('アイテム別限界値DB'!$H:$H = $G13), 
        0
      )
    )*F13, 
    "再製作"
  )
)
</f>
        <v/>
      </c>
      <c r="J13" s="388"/>
      <c r="K13" s="429" t="s">
        <v>78</v>
      </c>
      <c r="L13" s="414" t="s">
        <v>211</v>
      </c>
      <c r="M13" s="406"/>
      <c r="N13" s="404"/>
      <c r="O13" s="405" t="str">
        <f t="array" ref="O13">IF(
  $N13 = 0, 
  "", 
  IFERROR(
    INDEX(
      'アイテム別限界値DB'!$K:$K, 
      MATCH(
        1, 
        ('アイテム別限界値DB'!$B:$B = $K$4) * 
        ('アイテム別限界値DB'!$G:$G = $K13) * 
        ('アイテム別限界値DB'!$H:$H = $N13), 
        0
      )
    ), 
    "再製作"
  )
)
</f>
        <v/>
      </c>
      <c r="P13" s="397" t="str">
        <f t="array" ref="P13">IF(
  $N13 = 0, 
  "", 
  IFERROR(
    INDEX(
      'アイテム別限界値DB'!$N:$N, 
      MATCH(
        1, 
        ('アイテム別限界値DB'!$B:$B = $K$4) * 
        ('アイテム別限界値DB'!$G:$G = $K13) * 
        ('アイテム別限界値DB'!$H:$H = $N13), 
        0
      )
    )*$M13, 
    "再製作"
  )
)
</f>
        <v/>
      </c>
      <c r="Q13" s="389"/>
      <c r="R13" s="429" t="s">
        <v>79</v>
      </c>
      <c r="S13" s="413" t="s">
        <v>79</v>
      </c>
      <c r="T13" s="406"/>
      <c r="U13" s="404"/>
      <c r="V13" s="405" t="str">
        <f t="array" ref="V13">IF(
  $U13 = 0, 
  "", 
  IFERROR(
    INDEX(
      'アイテム別限界値DB'!$K:$K, 
      MATCH(
        1, 
        ('アイテム別限界値DB'!$B:$B = $R$4) * 
        ('アイテム別限界値DB'!$G:$G = $R13) * 
        ('アイテム別限界値DB'!$H:$H = $U13), 
        0
      )
    ), 
    "再製作"
  )
)
</f>
        <v/>
      </c>
      <c r="W13" s="397" t="str">
        <f t="array" ref="W13">IF(
  $U13 = 0, 
  "", 
  IFERROR(
    INDEX(
      'アイテム別限界値DB'!$N:$N, 
      MATCH(
        1, 
        ('アイテム別限界値DB'!$B:$B = $R$4) * 
        ('アイテム別限界値DB'!$G:$G = $R13) * 
        ('アイテム別限界値DB'!$H:$H = $U13), 
        0
      )
    )*T13, 
    "再製作"
  )
)
</f>
        <v/>
      </c>
      <c r="X13" s="327"/>
      <c r="Y13" s="429" t="s">
        <v>78</v>
      </c>
      <c r="Z13" s="413" t="s">
        <v>211</v>
      </c>
      <c r="AA13" s="406"/>
      <c r="AB13" s="422"/>
      <c r="AC13" s="405" t="str">
        <f t="array" ref="AC13">IF(
  $AB13 = 0, 
  "", 
  IFERROR(
    INDEX(
      'アイテム別限界値DB'!$K:$K, 
      MATCH(
        1, 
        ('アイテム別限界値DB'!$B:$B = $Y$4) * 
        ('アイテム別限界値DB'!$G:$G = $Y13) * 
        ('アイテム別限界値DB'!$H:$H = $AB13), 
        0
      )
    ), 
    "再製作"
  )
)
</f>
        <v/>
      </c>
      <c r="AD13" s="397" t="str">
        <f t="array" ref="AD13">IF(
  $AB13 = 0, 
  "", 
  IFERROR(
    INDEX(
      'アイテム別限界値DB'!$N:$N, 
      MATCH(
        1, 
        ('アイテム別限界値DB'!$B:$B = $Y$4) * 
        ('アイテム別限界値DB'!$G:$G = $Y13) * 
        ('アイテム別限界値DB'!$H:$H = $AB13), 
        0
      )
    )*AA13, 
    "再製作"
  )
)
</f>
        <v/>
      </c>
      <c r="AE13" s="332"/>
      <c r="AF13" s="429" t="s">
        <v>76</v>
      </c>
      <c r="AG13" s="413" t="s">
        <v>76</v>
      </c>
      <c r="AH13" s="406"/>
      <c r="AI13" s="404"/>
      <c r="AJ13" s="405" t="str">
        <f t="array" ref="AJ13">IF(
  $AI13 = 0, 
  "", 
  IFERROR(
    INDEX(
      'アイテム別限界値DB'!$K:$K, 
      MATCH(
        1, 
        ('アイテム別限界値DB'!$B:$B = AF$4) * 
        ('アイテム別限界値DB'!$G:$G = $AF13) * 
        ('アイテム別限界値DB'!$H:$H = $AI13), 
        0
      )
    ), 
    "再製作"
  )
)
</f>
        <v/>
      </c>
      <c r="AK13" s="397" t="str">
        <f t="array" ref="AK13">IF(
  $AI13 = 0, 
  "", 
  IFERROR(
    INDEX(
      'アイテム別限界値DB'!$N:$N, 
      MATCH(
        1, 
        ('アイテム別限界値DB'!$B:$B = $AF$4) * 
        ('アイテム別限界値DB'!$G:$G = $AF13) * 
        ('アイテム別限界値DB'!$H:$H = $AI13), 
        0
      )
    )*AH13, 
    "再製作"
  )
)
</f>
        <v/>
      </c>
      <c r="AL13" s="327"/>
      <c r="AM13" s="429" t="s">
        <v>212</v>
      </c>
      <c r="AN13" s="432" t="s">
        <v>80</v>
      </c>
      <c r="AO13" s="406"/>
      <c r="AP13" s="404"/>
      <c r="AQ13" s="405" t="str">
        <f t="array" ref="AQ13">IF(
  $AP13 = 0, 
  "", 
  IFERROR(
    INDEX(
      'アイテム別限界値DB'!$K:$K, 
      MATCH(
        1, 
        ('アイテム別限界値DB'!$B:$B = $AM$4) * 
        ('アイテム別限界値DB'!$G:$G = $AM13) * 
        ('アイテム別限界値DB'!$H:$H = $AP13), 
        0
      )
    ), 
    "再製作"
  )
)
</f>
        <v/>
      </c>
      <c r="AR13" s="397" t="str">
        <f t="array" ref="AR13">IF(
  $AP13 = 0, 
  "", 
  IFERROR(
    INDEX(
      'アイテム別限界値DB'!$N:$N, 
      MATCH(
        1, 
        ('アイテム別限界値DB'!$B:$B = $AM$4) * 
        ('アイテム別限界値DB'!$G:$G = $AM13) * 
        ('アイテム別限界値DB'!$H:$H = $AP13), 
        0
      )
    )*AO13, 
    "再製作"
  )
)
</f>
        <v/>
      </c>
      <c r="AS13" s="327"/>
      <c r="AT13" s="432" t="s">
        <v>209</v>
      </c>
      <c r="AU13" s="406"/>
      <c r="AV13" s="417"/>
      <c r="AW13" s="405" t="str">
        <f t="array" ref="AW13">IF(
  $AV13 = 0, 
  "", 
  IFERROR(
    INDEX(
      'アイテム別限界値DB'!$K:$K, 
      MATCH(
        1, 
        ('アイテム別限界値DB'!$B:$B = $AT$4) * 
        ('アイテム別限界値DB'!$G:$G = $AT13) * 
        ('アイテム別限界値DB'!$H:$H = $AV13), 
        0
      )
    ), 
    "再製作"
  )
)
</f>
        <v/>
      </c>
      <c r="AX13" s="397" t="str">
        <f t="array" ref="AX13">IF(
  $AV13 = 0, 
  "", 
  IFERROR(
    INDEX(
      'アイテム別限界値DB'!$N:$N, 
      MATCH(
        1, 
        ('アイテム別限界値DB'!$B:$B = $AT$4) * 
        ('アイテム別限界値DB'!$G:$G = $AT13) * 
        ('アイテム別限界値DB'!$H:$H = $AV13), 
        0
      )
    )*AU13, 
    "再製作"
  )
)
</f>
        <v/>
      </c>
      <c r="AY13" s="327"/>
      <c r="AZ13" s="432" t="s">
        <v>213</v>
      </c>
      <c r="BA13" s="406"/>
      <c r="BB13" s="404"/>
      <c r="BC13" s="405" t="str">
        <f t="array" ref="BC13">IF(
  $BB13 = 0, 
  "", 
  IFERROR(
    INDEX(
      'アイテム別限界値DB'!$K:$K, 
      MATCH(
        1, 
        ('アイテム別限界値DB'!$B:$B = $AZ$4) * 
        ('アイテム別限界値DB'!$G:$G = $AZ13) * 
        ('アイテム別限界値DB'!$H:$H = $BB13), 
        0
      )
    ), 
    "再製作"
  )
)
</f>
        <v/>
      </c>
      <c r="BD13" s="397" t="str">
        <f t="array" ref="BD13">IF(
  $BB13 = 0, 
  "", 
  IFERROR(
    INDEX(
      'アイテム別限界値DB'!$N:$N, 
      MATCH(
        1, 
        ('アイテム別限界値DB'!$B:$B = $AZ$4) * 
        ('アイテム別限界値DB'!$G:$G = $AZ13) * 
        ('アイテム別限界値DB'!$H:$H = $BB13), 
        0
      )
    )*BA13, 
    "再製作"
  )
)
</f>
        <v/>
      </c>
      <c r="BE13" s="327"/>
      <c r="BF13" s="432" t="s">
        <v>204</v>
      </c>
      <c r="BG13" s="406"/>
      <c r="BH13" s="404"/>
      <c r="BI13" s="405" t="str">
        <f t="array" ref="BI13">IF(
  $BH13 = 0, 
  "", 
  IFERROR(
    INDEX(
      'アイテム別限界値DB'!$K:$K, 
      MATCH(
        1, 
        ('アイテム別限界値DB'!$B:$B = $BF$4) * 
        ('アイテム別限界値DB'!$G:$G = $BF13) * 
        ('アイテム別限界値DB'!$H:$H = $BH13), 
        0
      )
    ), 
    "再製作"
  )
)
</f>
        <v/>
      </c>
      <c r="BJ13" s="397" t="str">
        <f t="array" ref="BJ13">IF(
  $BH13 = 0, 
  "", 
  IFERROR(
    INDEX(
      'アイテム別限界値DB'!$N:$N, 
      MATCH(
        1, 
        ('アイテム別限界値DB'!$B:$B = $BF$4) * 
        ('アイテム別限界値DB'!$G:$G = $BF13) * 
        ('アイテム別限界値DB'!$H:$H = $BH13), 
        0
      )
    )*BG13, 
    "再製作"
  )
)
</f>
        <v/>
      </c>
      <c r="BK13" s="327"/>
      <c r="BL13" s="432" t="s">
        <v>204</v>
      </c>
      <c r="BM13" s="406"/>
      <c r="BN13" s="404"/>
      <c r="BO13" s="405" t="str">
        <f t="array" ref="BO13">IF(
  $BN13 = 0, 
  "", 
  IFERROR(
    INDEX(
      'アイテム別限界値DB'!$K:$K, 
      MATCH(
        1, 
        ('アイテム別限界値DB'!$B:$B = $BL$4) * 
        ('アイテム別限界値DB'!$G:$G = $BL13) * 
        ('アイテム別限界値DB'!$H:$H = $BN13), 
        0
      )
    ), 
    "再製作"
  )
)
</f>
        <v/>
      </c>
      <c r="BP13" s="397" t="str">
        <f t="array" ref="BP13">IF(
  $BN13 = 0, 
  "", 
  IFERROR(
    INDEX(
      'アイテム別限界値DB'!$N:$N, 
      MATCH(
        1, 
        ('アイテム別限界値DB'!$B:$B = $BL$4) * 
        ('アイテム別限界値DB'!$G:$G = $BL13) * 
        ('アイテム別限界値DB'!$H:$H = $BN13), 
        0
      )
    )*BM13, 
    "再製作"
  )
)
</f>
        <v/>
      </c>
      <c r="BQ13" s="327"/>
      <c r="BR13" s="432" t="s">
        <v>204</v>
      </c>
      <c r="BS13" s="406"/>
      <c r="BT13" s="404"/>
      <c r="BU13" s="405" t="str">
        <f t="array" ref="BU13">IF(
  $BT13 = 0, 
  "", 
  IFERROR(
    INDEX(
      'アイテム別限界値DB'!$K:$K, 
      MATCH(
        1, 
        ('アイテム別限界値DB'!$B:$B = $BR$4) * 
        ('アイテム別限界値DB'!$G:$G = $BR13) * 
        ('アイテム別限界値DB'!$H:$H = $BT13), 
        0
      )
    ), 
    "再製作"
  )
)
</f>
        <v/>
      </c>
      <c r="BV13" s="397" t="str">
        <f t="array" ref="BV13">IF(
  $BT13 = 0, 
  "", 
  IFERROR(
    INDEX(
      'アイテム別限界値DB'!$N:$N, 
      MATCH(
        1, 
        ('アイテム別限界値DB'!$B:$B = $BR$4) * 
        ('アイテム別限界値DB'!$G:$G = $BR13) * 
        ('アイテム別限界値DB'!$H:$H = $BT13), 
        0
      )
    )*BS13, 
    "再製作"
  )
)
</f>
        <v/>
      </c>
      <c r="BW13" s="327"/>
      <c r="BX13" s="432" t="s">
        <v>204</v>
      </c>
      <c r="BY13" s="406"/>
      <c r="BZ13" s="404"/>
      <c r="CA13" s="405" t="str">
        <f t="array" ref="CA13">IF(
  $BZ13 = 0, 
  "", 
  IFERROR(
    INDEX(
      'アイテム別限界値DB'!$K:$K, 
      MATCH(
        1, 
        ('アイテム別限界値DB'!$B:$B = $BX$4) * 
        ('アイテム別限界値DB'!$G:$G = $BX13) * 
        ('アイテム別限界値DB'!$H:$H = $BZ13), 
        0
      )
    ), 
    "再製作"
  )
)
</f>
        <v/>
      </c>
      <c r="CB13" s="397" t="str">
        <f t="array" ref="CB13">IF(
  $BZ13 = 0, 
  "", 
  IFERROR(
    INDEX(
      'アイテム別限界値DB'!$N:$N, 
      MATCH(
        1, 
        ('アイテム別限界値DB'!$B:$B = $BX$4) * 
        ('アイテム別限界値DB'!$G:$G = $BX13) * 
        ('アイテム別限界値DB'!$H:$H = $BZ13), 
        0
      )
    )*BY13, 
    "再製作"
  )
)
</f>
        <v/>
      </c>
      <c r="CC13" s="402"/>
      <c r="CD13" s="432"/>
      <c r="CE13" s="418" t="s">
        <v>59</v>
      </c>
      <c r="CF13" s="405" t="str">
        <f t="array" ref="CF13">IF(
  CE13 = 0, 
  "", 
  IFERROR(
    INDEX(
      'アイテム別限界値DB'!$K:$K, 
      MATCH(
        1, 
        ('アイテム別限界値DB'!$B:$B = CD$4) * 
        ('アイテム別限界値DB'!$G:$G = CD13) * 
        ('アイテム別限界値DB'!$H:$H = CE13), 
        0
      )
    ), 
    "再製作"
  )
)
</f>
        <v>再製作</v>
      </c>
      <c r="CG13" s="419" t="str">
        <f t="array" ref="CG13">IF(
  CE13 = 0, 
  "", 
  IFERROR(
    INDEX(
      'アイテム別限界値DB'!$N:$N, 
      MATCH(
        1, 
        ('アイテム別限界値DB'!$B:$B = CD$4) * 
        ('アイテム別限界値DB'!$G:$G = CD13) * 
        ('アイテム別限界値DB'!$H:$H = CE13), 
        0
      )
    ), 
    "再製作"
  )
)
</f>
        <v>再製作</v>
      </c>
      <c r="CH13" s="327"/>
      <c r="CI13" s="327"/>
    </row>
    <row r="14" ht="26.25" customHeight="1">
      <c r="A14" s="433"/>
      <c r="B14" s="305" t="s">
        <v>214</v>
      </c>
      <c r="C14" s="434"/>
      <c r="D14" s="434" t="s">
        <v>215</v>
      </c>
      <c r="E14" s="421" t="s">
        <v>74</v>
      </c>
      <c r="F14" s="403"/>
      <c r="G14" s="404"/>
      <c r="H14" s="405" t="str">
        <f t="array" ref="H14">IF(
  G14 = 0, 
  "", 
  IFERROR(
    INDEX(
      'アイテム別限界値DB'!$K:$K, 
      MATCH(
        1, 
        ('アイテム別限界値DB'!$B:$B = D$4) * 
        ('アイテム別限界値DB'!$G:$G = D14) * 
        ('アイテム別限界値DB'!$H:$H = G14), 
        0
      )
    ), 
    "再製作"
  )
)
</f>
        <v/>
      </c>
      <c r="I14" s="397" t="str">
        <f t="array" ref="I14">IF(
  $G14 = 0, 
  "", 
  IFERROR(
    INDEX(
      'アイテム別限界値DB'!$N:$N, 
      MATCH(
        1, 
        ('アイテム別限界値DB'!$B:$B = $D$4) * 
        ('アイテム別限界値DB'!$G:$G = $D14) * 
        ('アイテム別限界値DB'!$H:$H = $G14), 
        0
      )
    )*F14, 
    "再製作"
  )
)
</f>
        <v/>
      </c>
      <c r="J14" s="388"/>
      <c r="K14" s="434" t="s">
        <v>82</v>
      </c>
      <c r="L14" s="414" t="s">
        <v>95</v>
      </c>
      <c r="M14" s="406"/>
      <c r="N14" s="404"/>
      <c r="O14" s="405" t="str">
        <f t="array" ref="O14">IF(
  $N14 = 0, 
  "", 
  IFERROR(
    INDEX(
      'アイテム別限界値DB'!$K:$K, 
      MATCH(
        1, 
        ('アイテム別限界値DB'!$B:$B = $K$4) * 
        ('アイテム別限界値DB'!$G:$G = $K14) * 
        ('アイテム別限界値DB'!$H:$H = $N14), 
        0
      )
    ), 
    "再製作"
  )
)
</f>
        <v/>
      </c>
      <c r="P14" s="397" t="str">
        <f t="array" ref="P14">IF(
  $N14 = 0, 
  "", 
  IFERROR(
    INDEX(
      'アイテム別限界値DB'!$N:$N, 
      MATCH(
        1, 
        ('アイテム別限界値DB'!$B:$B = $K$4) * 
        ('アイテム別限界値DB'!$G:$G = $K14) * 
        ('アイテム別限界値DB'!$H:$H = $N14), 
        0
      )
    )*$M14, 
    "再製作"
  )
)
</f>
        <v/>
      </c>
      <c r="Q14" s="389"/>
      <c r="R14" s="434" t="s">
        <v>83</v>
      </c>
      <c r="S14" s="421" t="s">
        <v>83</v>
      </c>
      <c r="T14" s="423"/>
      <c r="U14" s="422"/>
      <c r="V14" s="405" t="str">
        <f t="array" ref="V14">IF(
  $U14 = 0, 
  "", 
  IFERROR(
    INDEX(
      'アイテム別限界値DB'!$K:$K, 
      MATCH(
        1, 
        ('アイテム別限界値DB'!$B:$B = $R$4) * 
        ('アイテム別限界値DB'!$G:$G = $R14) * 
        ('アイテム別限界値DB'!$H:$H = $U14), 
        0
      )
    ), 
    "再製作"
  )
)
</f>
        <v/>
      </c>
      <c r="W14" s="397" t="str">
        <f t="array" ref="W14">IF(
  $U14 = 0, 
  "", 
  IFERROR(
    INDEX(
      'アイテム別限界値DB'!$N:$N, 
      MATCH(
        1, 
        ('アイテム別限界値DB'!$B:$B = $R$4) * 
        ('アイテム別限界値DB'!$G:$G = $R14) * 
        ('アイテム別限界値DB'!$H:$H = $U14), 
        0
      )
    )*T14, 
    "再製作"
  )
)
</f>
        <v/>
      </c>
      <c r="X14" s="327"/>
      <c r="Y14" s="434" t="s">
        <v>82</v>
      </c>
      <c r="Z14" s="421" t="s">
        <v>100</v>
      </c>
      <c r="AA14" s="423"/>
      <c r="AB14" s="404"/>
      <c r="AC14" s="405" t="str">
        <f t="array" ref="AC14">IF(
  $AB14 = 0, 
  "", 
  IFERROR(
    INDEX(
      'アイテム別限界値DB'!$K:$K, 
      MATCH(
        1, 
        ('アイテム別限界値DB'!$B:$B = $Y$4) * 
        ('アイテム別限界値DB'!$G:$G = $Y14) * 
        ('アイテム別限界値DB'!$H:$H = $AB14), 
        0
      )
    ), 
    "再製作"
  )
)
</f>
        <v/>
      </c>
      <c r="AD14" s="397" t="str">
        <f t="array" ref="AD14">IF(
  $AB14 = 0, 
  "", 
  IFERROR(
    INDEX(
      'アイテム別限界値DB'!$N:$N, 
      MATCH(
        1, 
        ('アイテム別限界値DB'!$B:$B = $Y$4) * 
        ('アイテム別限界値DB'!$G:$G = $Y14) * 
        ('アイテム別限界値DB'!$H:$H = $AB14), 
        0
      )
    )*AA14, 
    "再製作"
  )
)
</f>
        <v/>
      </c>
      <c r="AE14" s="332"/>
      <c r="AF14" s="434" t="s">
        <v>216</v>
      </c>
      <c r="AG14" s="421" t="s">
        <v>84</v>
      </c>
      <c r="AH14" s="423"/>
      <c r="AI14" s="409"/>
      <c r="AJ14" s="435" t="str">
        <f t="array" ref="AJ14">IF(
  $BZ14 = 0, 
  "", 
  IFERROR(
    INDEX(
      'アイテム別限界値DB'!$K:$K, 
      MATCH(
        1, 
        ('アイテム別限界値DB'!$B:$B = $BX$4) * 
        ('アイテム別限界値DB'!$G:$G = $BX14) * 
        ('アイテム別限界値DB'!$H:$H = $BZ14), 
        0
      )
    ), 
    "再製作"
  )
)
</f>
        <v/>
      </c>
      <c r="AK14" s="397" t="str">
        <f t="array" ref="AK14">IF(
  $AI14 = 0, 
  "", 
  IFERROR(
    INDEX(
      'アイテム別限界値DB'!$N:$N, 
      MATCH(
        1, 
        ('アイテム別限界値DB'!$B:$B = $AF$4) * 
        ('アイテム別限界値DB'!$G:$G = $AF14) * 
        ('アイテム別限界値DB'!$H:$H = $AI14), 
        0
      )
    )*AH14, 
    "再製作"
  )
)
</f>
        <v/>
      </c>
      <c r="AL14" s="327"/>
      <c r="AM14" s="434" t="s">
        <v>217</v>
      </c>
      <c r="AN14" s="400" t="s">
        <v>85</v>
      </c>
      <c r="AO14" s="423"/>
      <c r="AP14" s="410"/>
      <c r="AQ14" s="435" t="str">
        <f t="array" ref="AQ14">IF(
  $BZ14 = 0, 
  "", 
  IFERROR(
    INDEX(
      'アイテム別限界値DB'!$K:$K, 
      MATCH(
        1, 
        ('アイテム別限界値DB'!$B:$B = $BX$4) * 
        ('アイテム別限界値DB'!$G:$G = $BX14) * 
        ('アイテム別限界値DB'!$H:$H = $BZ14), 
        0
      )
    ), 
    "再製作"
  )
)
</f>
        <v/>
      </c>
      <c r="AR14" s="397" t="str">
        <f t="array" ref="AR14">IF(
  $AP14 = 0, 
  "", 
  IFERROR(
    INDEX(
      'アイテム別限界値DB'!$N:$N, 
      MATCH(
        1, 
        ('アイテム別限界値DB'!$B:$B = $AM$4) * 
        ('アイテム別限界値DB'!$G:$G = $AM14) * 
        ('アイテム別限界値DB'!$H:$H = $AP14), 
        0
      )
    )*AO14, 
    "再製作"
  )
)
</f>
        <v/>
      </c>
      <c r="AS14" s="327"/>
      <c r="AT14" s="400"/>
      <c r="AU14" s="436"/>
      <c r="AV14" s="437"/>
      <c r="AW14" s="396"/>
      <c r="AX14" s="333"/>
      <c r="AY14" s="327"/>
      <c r="AZ14" s="400"/>
      <c r="BA14" s="436"/>
      <c r="BB14" s="436"/>
      <c r="BC14" s="438"/>
      <c r="BD14" s="333"/>
      <c r="BE14" s="327"/>
      <c r="BF14" s="400"/>
      <c r="BG14" s="436"/>
      <c r="BH14" s="436"/>
      <c r="BI14" s="438"/>
      <c r="BJ14" s="333"/>
      <c r="BK14" s="327"/>
      <c r="BL14" s="400"/>
      <c r="BM14" s="436"/>
      <c r="BN14" s="436"/>
      <c r="BO14" s="438"/>
      <c r="BP14" s="333"/>
      <c r="BQ14" s="327"/>
      <c r="BR14" s="400"/>
      <c r="BS14" s="436"/>
      <c r="BT14" s="436"/>
      <c r="BU14" s="438"/>
      <c r="BV14" s="333"/>
      <c r="BW14" s="327"/>
      <c r="BX14" s="400"/>
      <c r="BY14" s="436"/>
      <c r="BZ14" s="436"/>
      <c r="CA14" s="438"/>
      <c r="CB14" s="333"/>
      <c r="CC14" s="333"/>
      <c r="CE14" s="333"/>
      <c r="CF14" s="333"/>
      <c r="CG14" s="333"/>
      <c r="CH14" s="327"/>
      <c r="CI14" s="327"/>
    </row>
    <row r="15" ht="26.25" customHeight="1">
      <c r="A15" s="229"/>
      <c r="B15" s="228" t="str">
        <f>IFERROR(__xludf.DUMMYFUNCTION("TEXTJOIN(CHAR(10),TRUE,FILTER(ARRAYFORMULA(IF(AC$14:AC70&lt;&gt;"""", AB$14:AB70 &amp;"" : ""&amp; AC$14:AC70 &amp;"" cm"","""")), AB$14:AB70 &lt;&gt;""""))"),"お直し
↓箇所数↓ : ↓ 1箇所納期 ↓ cm")</f>
        <v>お直し
↓箇所数↓ : ↓ 1箇所納期 ↓ cm</v>
      </c>
      <c r="C15" s="429"/>
      <c r="D15" s="429" t="s">
        <v>86</v>
      </c>
      <c r="E15" s="413" t="s">
        <v>67</v>
      </c>
      <c r="F15" s="403"/>
      <c r="G15" s="404"/>
      <c r="H15" s="405" t="str">
        <f t="array" ref="H15">IF(
  G15 = 0, 
  "", 
  IFERROR(
    INDEX(
      'アイテム別限界値DB'!$K:$K, 
      MATCH(
        1, 
        ('アイテム別限界値DB'!$B:$B = D$4) * 
        ('アイテム別限界値DB'!$G:$G = D15) * 
        ('アイテム別限界値DB'!$H:$H = G15), 
        0
      )
    ), 
    "再製作"
  )
)
</f>
        <v/>
      </c>
      <c r="I15" s="397" t="str">
        <f t="array" ref="I15">IF(
  $G15 = 0, 
  "", 
  IFERROR(
    INDEX(
      'アイテム別限界値DB'!$N:$N, 
      MATCH(
        1, 
        ('アイテム別限界値DB'!$B:$B = $D$4) * 
        ('アイテム別限界値DB'!$G:$G = $D15) * 
        ('アイテム別限界値DB'!$H:$H = $G15), 
        0
      )
    )*F15, 
    "再製作"
  )
)
</f>
        <v/>
      </c>
      <c r="J15" s="388"/>
      <c r="K15" s="429" t="s">
        <v>87</v>
      </c>
      <c r="L15" s="414" t="s">
        <v>99</v>
      </c>
      <c r="M15" s="406"/>
      <c r="N15" s="404"/>
      <c r="O15" s="405" t="str">
        <f t="array" ref="O15">IF(
  $N15 = 0, 
  "", 
  IFERROR(
    INDEX(
      'アイテム別限界値DB'!$K:$K, 
      MATCH(
        1, 
        ('アイテム別限界値DB'!$B:$B = $K$4) * 
        ('アイテム別限界値DB'!$G:$G = $K15) * 
        ('アイテム別限界値DB'!$H:$H = $N15), 
        0
      )
    ), 
    "再製作"
  )
)
</f>
        <v/>
      </c>
      <c r="P15" s="397" t="str">
        <f t="array" ref="P15">IF(
  $N15 = 0, 
  "", 
  IFERROR(
    INDEX(
      'アイテム別限界値DB'!$N:$N, 
      MATCH(
        1, 
        ('アイテム別限界値DB'!$B:$B = $K$4) * 
        ('アイテム別限界値DB'!$G:$G = $K15) * 
        ('アイテム別限界値DB'!$H:$H = $N15), 
        0
      )
    )*$M15, 
    "再製作"
  )
)
</f>
        <v/>
      </c>
      <c r="Q15" s="424"/>
      <c r="R15" s="429"/>
      <c r="S15" s="413"/>
      <c r="T15" s="406"/>
      <c r="U15" s="404"/>
      <c r="V15" s="405" t="str">
        <f t="array" ref="V15">IF(
  $U15 = 0, 
  "", 
  IFERROR(
    INDEX(
      'アイテム別限界値DB'!$K:$K, 
      MATCH(
        1, 
        ('アイテム別限界値DB'!$B:$B = $R$4) * 
        ('アイテム別限界値DB'!$G:$G = $R15) * 
        ('アイテム別限界値DB'!$H:$H = $U15), 
        0
      )
    ), 
    "再製作"
  )
)
</f>
        <v/>
      </c>
      <c r="W15" s="397" t="str">
        <f t="array" ref="W15">IF(
  $U15 = 0, 
  "", 
  IFERROR(
    INDEX(
      'アイテム別限界値DB'!$N:$N, 
      MATCH(
        1, 
        ('アイテム別限界値DB'!$B:$B = $R$4) * 
        ('アイテム別限界値DB'!$G:$G = $R15) * 
        ('アイテム別限界値DB'!$H:$H = $U15), 
        0
      )
    )*T15, 
    "再製作"
  )
)
</f>
        <v/>
      </c>
      <c r="X15" s="327"/>
      <c r="Y15" s="429" t="s">
        <v>87</v>
      </c>
      <c r="Z15" s="413" t="s">
        <v>95</v>
      </c>
      <c r="AA15" s="406"/>
      <c r="AB15" s="422"/>
      <c r="AC15" s="405" t="str">
        <f t="array" ref="AC15">IF(
  $AB15 = 0, 
  "", 
  IFERROR(
    INDEX(
      'アイテム別限界値DB'!$K:$K, 
      MATCH(
        1, 
        ('アイテム別限界値DB'!$B:$B = $Y$4) * 
        ('アイテム別限界値DB'!$G:$G = $Y15) * 
        ('アイテム別限界値DB'!$H:$H = $AB15), 
        0
      )
    ), 
    "再製作"
  )
)
</f>
        <v/>
      </c>
      <c r="AD15" s="397" t="str">
        <f t="array" ref="AD15">IF(
  $AB15 = 0, 
  "", 
  IFERROR(
    INDEX(
      'アイテム別限界値DB'!$N:$N, 
      MATCH(
        1, 
        ('アイテム別限界値DB'!$B:$B = $Y$4) * 
        ('アイテム別限界値DB'!$G:$G = $Y15) * 
        ('アイテム別限界値DB'!$H:$H = $AB15), 
        0
      )
    )*AA15, 
    "再製作"
  )
)
</f>
        <v/>
      </c>
      <c r="AE15" s="332"/>
      <c r="AF15" s="429" t="s">
        <v>88</v>
      </c>
      <c r="AG15" s="413" t="s">
        <v>88</v>
      </c>
      <c r="AH15" s="406"/>
      <c r="AI15" s="409"/>
      <c r="AJ15" s="405" t="str">
        <f t="array" ref="AJ15">IF(
  $AI15 = 0, 
  "", 
  IFERROR(
    INDEX(
      'アイテム別限界値DB'!$K:$K, 
      MATCH(
        1, 
        ('アイテム別限界値DB'!$B:$B = AF$4) * 
        ('アイテム別限界値DB'!$G:$G = $AF15) * 
        ('アイテム別限界値DB'!$H:$H = $AI15), 
        0
      )
    ), 
    "再製作"
  )
)
</f>
        <v/>
      </c>
      <c r="AK15" s="397" t="str">
        <f t="array" ref="AK15">IF(
  $AI15 = 0, 
  "", 
  IFERROR(
    INDEX(
      'アイテム別限界値DB'!$N:$N, 
      MATCH(
        1, 
        ('アイテム別限界値DB'!$B:$B = $AF$4) * 
        ('アイテム別限界値DB'!$G:$G = $AF15) * 
        ('アイテム別限界値DB'!$H:$H = $AI15), 
        0
      )
    )*AH15, 
    "再製作"
  )
)
</f>
        <v/>
      </c>
      <c r="AL15" s="327"/>
      <c r="AM15" s="429" t="s">
        <v>89</v>
      </c>
      <c r="AN15" s="432" t="s">
        <v>89</v>
      </c>
      <c r="AO15" s="406"/>
      <c r="AP15" s="404"/>
      <c r="AQ15" s="405" t="str">
        <f t="array" ref="AQ15">IF(
  $AP15 = 0, 
  "", 
  IFERROR(
    INDEX(
      'アイテム別限界値DB'!$K:$K, 
      MATCH(
        1, 
        ('アイテム別限界値DB'!$B:$B = $AM$4) * 
        ('アイテム別限界値DB'!$G:$G = $AM15) * 
        ('アイテム別限界値DB'!$H:$H = $AP15), 
        0
      )
    ), 
    "再製作"
  )
)
</f>
        <v/>
      </c>
      <c r="AR15" s="397" t="str">
        <f t="array" ref="AR15">IF(
  $AP15 = 0, 
  "", 
  IFERROR(
    INDEX(
      'アイテム別限界値DB'!$N:$N, 
      MATCH(
        1, 
        ('アイテム別限界値DB'!$B:$B = $AM$4) * 
        ('アイテム別限界値DB'!$G:$G = $AM15) * 
        ('アイテム別限界値DB'!$H:$H = $AP15), 
        0
      )
    )*AO15, 
    "再製作"
  )
)
</f>
        <v/>
      </c>
      <c r="AS15" s="327"/>
      <c r="AT15" s="432"/>
      <c r="AU15" s="436"/>
      <c r="AV15" s="437"/>
      <c r="AW15" s="438"/>
      <c r="AX15" s="333"/>
      <c r="AY15" s="327"/>
      <c r="AZ15" s="432"/>
      <c r="BA15" s="439"/>
      <c r="BB15" s="439"/>
      <c r="BC15" s="438"/>
      <c r="BD15" s="333"/>
      <c r="BE15" s="327"/>
      <c r="BF15" s="432"/>
      <c r="BG15" s="439"/>
      <c r="BH15" s="439"/>
      <c r="BI15" s="438"/>
      <c r="BJ15" s="333"/>
      <c r="BK15" s="327"/>
      <c r="BL15" s="432"/>
      <c r="BM15" s="439"/>
      <c r="BN15" s="439"/>
      <c r="BO15" s="438"/>
      <c r="BP15" s="333"/>
      <c r="BQ15" s="327"/>
      <c r="BR15" s="432"/>
      <c r="BS15" s="439"/>
      <c r="BT15" s="439"/>
      <c r="BU15" s="438"/>
      <c r="BV15" s="333"/>
      <c r="BW15" s="327"/>
      <c r="BX15" s="432"/>
      <c r="BY15" s="439"/>
      <c r="BZ15" s="439"/>
      <c r="CA15" s="438"/>
      <c r="CB15" s="333"/>
      <c r="CC15" s="333"/>
      <c r="CD15" s="333"/>
      <c r="CE15" s="333"/>
      <c r="CF15" s="333"/>
      <c r="CG15" s="333"/>
      <c r="CH15" s="327"/>
      <c r="CI15" s="327"/>
    </row>
    <row r="16" ht="15.75" customHeight="1">
      <c r="A16" s="229"/>
      <c r="B16" s="308" t="s">
        <v>218</v>
      </c>
      <c r="C16" s="429"/>
      <c r="D16" s="429" t="s">
        <v>92</v>
      </c>
      <c r="E16" s="421" t="s">
        <v>79</v>
      </c>
      <c r="F16" s="403"/>
      <c r="G16" s="404"/>
      <c r="H16" s="405" t="str">
        <f t="array" ref="H16">IF(
  G16 = 0, 
  "", 
  IFERROR(
    INDEX(
      'アイテム別限界値DB'!$K:$K, 
      MATCH(
        1, 
        ('アイテム別限界値DB'!$B:$B = D$4) * 
        ('アイテム別限界値DB'!$G:$G = D16) * 
        ('アイテム別限界値DB'!$H:$H = G16), 
        0
      )
    ), 
    "再製作"
  )
)
</f>
        <v/>
      </c>
      <c r="I16" s="397" t="str">
        <f t="array" ref="I16">IF(
  $G16 = 0, 
  "", 
  IFERROR(
    INDEX(
      'アイテム別限界値DB'!$N:$N, 
      MATCH(
        1, 
        ('アイテム別限界値DB'!$B:$B = $D$4) * 
        ('アイテム別限界値DB'!$G:$G = $D16) * 
        ('アイテム別限界値DB'!$H:$H = $G16), 
        0
      )
    )*F16, 
    "再製作"
  )
)
</f>
        <v/>
      </c>
      <c r="J16" s="388"/>
      <c r="K16" s="429" t="s">
        <v>93</v>
      </c>
      <c r="L16" s="414" t="s">
        <v>100</v>
      </c>
      <c r="M16" s="406"/>
      <c r="N16" s="422"/>
      <c r="O16" s="405" t="str">
        <f t="array" ref="O16">IF(
  $N16 = 0, 
  "", 
  IFERROR(
    INDEX(
      'アイテム別限界値DB'!$K:$K, 
      MATCH(
        1, 
        ('アイテム別限界値DB'!$B:$B = $K$4) * 
        ('アイテム別限界値DB'!$G:$G = $K16) * 
        ('アイテム別限界値DB'!$H:$H = $N16), 
        0
      )
    ), 
    "再製作"
  )
)
</f>
        <v/>
      </c>
      <c r="P16" s="397" t="str">
        <f t="array" ref="P16">IF(
  $N16 = 0, 
  "", 
  IFERROR(
    INDEX(
      'アイテム別限界値DB'!$N:$N, 
      MATCH(
        1, 
        ('アイテム別限界値DB'!$B:$B = $K$4) * 
        ('アイテム別限界値DB'!$G:$G = $K16) * 
        ('アイテム別限界値DB'!$H:$H = $N16), 
        0
      )
    )*$M16, 
    "再製作"
  )
)
</f>
        <v/>
      </c>
      <c r="Q16" s="332"/>
      <c r="R16" s="429"/>
      <c r="S16" s="421"/>
      <c r="T16" s="436"/>
      <c r="U16" s="440"/>
      <c r="V16" s="438"/>
      <c r="W16" s="333"/>
      <c r="X16" s="327"/>
      <c r="Y16" s="429" t="s">
        <v>93</v>
      </c>
      <c r="Z16" s="421" t="s">
        <v>99</v>
      </c>
      <c r="AA16" s="406"/>
      <c r="AB16" s="404"/>
      <c r="AC16" s="405" t="str">
        <f t="array" ref="AC16">IF(
  $AB16 = 0, 
  "", 
  IFERROR(
    INDEX(
      'アイテム別限界値DB'!$K:$K, 
      MATCH(
        1, 
        ('アイテム別限界値DB'!$B:$B = $Y$4) * 
        ('アイテム別限界値DB'!$G:$G = $Y16) * 
        ('アイテム別限界値DB'!$H:$H = $AB16), 
        0
      )
    ), 
    "再製作"
  )
)
</f>
        <v/>
      </c>
      <c r="AD16" s="397" t="str">
        <f t="array" ref="AD16">IF(
  $AB16 = 0, 
  "", 
  IFERROR(
    INDEX(
      'アイテム別限界値DB'!$N:$N, 
      MATCH(
        1, 
        ('アイテム別限界値DB'!$B:$B = $Y$4) * 
        ('アイテム別限界値DB'!$G:$G = $Y16) * 
        ('アイテム別限界値DB'!$H:$H = $AB16), 
        0
      )
    )*AA16, 
    "再製作"
  )
)
</f>
        <v/>
      </c>
      <c r="AE16" s="332"/>
      <c r="AF16" s="429" t="s">
        <v>89</v>
      </c>
      <c r="AG16" s="421" t="s">
        <v>89</v>
      </c>
      <c r="AH16" s="406"/>
      <c r="AI16" s="422"/>
      <c r="AJ16" s="405" t="str">
        <f t="array" ref="AJ16">IF(
  $AI16 = 0, 
  "", 
  IFERROR(
    INDEX(
      'アイテム別限界値DB'!$K:$K, 
      MATCH(
        1, 
        ('アイテム別限界値DB'!$B:$B = AF$4) * 
        ('アイテム別限界値DB'!$G:$G = $AF16) * 
        ('アイテム別限界値DB'!$H:$H = $AI16), 
        0
      )
    ), 
    "再製作"
  )
)
</f>
        <v/>
      </c>
      <c r="AK16" s="397" t="str">
        <f t="array" ref="AK16">IF(
  $AI16 = 0, 
  "", 
  IFERROR(
    INDEX(
      'アイテム別限界値DB'!$N:$N, 
      MATCH(
        1, 
        ('アイテム別限界値DB'!$B:$B = $AF$4) * 
        ('アイテム別限界値DB'!$G:$G = $AF16) * 
        ('アイテム別限界値DB'!$H:$H = $AI16), 
        0
      )
    )*AH16, 
    "再製作"
  )
)
</f>
        <v/>
      </c>
      <c r="AL16" s="327"/>
      <c r="AM16" s="429" t="s">
        <v>90</v>
      </c>
      <c r="AN16" s="432" t="s">
        <v>90</v>
      </c>
      <c r="AO16" s="406"/>
      <c r="AP16" s="422"/>
      <c r="AQ16" s="405" t="str">
        <f t="array" ref="AQ16">IF(
  $AP16 = 0, 
  "", 
  IFERROR(
    INDEX(
      'アイテム別限界値DB'!$K:$K, 
      MATCH(
        1, 
        ('アイテム別限界値DB'!$B:$B = $AM$4) * 
        ('アイテム別限界値DB'!$G:$G = $AM16) * 
        ('アイテム別限界値DB'!$H:$H = $AP16), 
        0
      )
    ), 
    "再製作"
  )
)
</f>
        <v/>
      </c>
      <c r="AR16" s="397" t="str">
        <f t="array" ref="AR16">IF(
  $AP16 = 0, 
  "", 
  IFERROR(
    INDEX(
      'アイテム別限界値DB'!$N:$N, 
      MATCH(
        1, 
        ('アイテム別限界値DB'!$B:$B = $AM$4) * 
        ('アイテム別限界値DB'!$G:$G = $AM16) * 
        ('アイテム別限界値DB'!$H:$H = $AP16), 
        0
      )
    )*AO16, 
    "再製作"
  )
)
</f>
        <v/>
      </c>
      <c r="AS16" s="327"/>
      <c r="AT16" s="432"/>
      <c r="AU16" s="436"/>
      <c r="AV16" s="436"/>
      <c r="AW16" s="438"/>
      <c r="AX16" s="333"/>
      <c r="AY16" s="327"/>
      <c r="AZ16" s="432"/>
      <c r="BA16" s="436"/>
      <c r="BB16" s="436"/>
      <c r="BC16" s="438"/>
      <c r="BD16" s="333"/>
      <c r="BE16" s="327"/>
      <c r="BF16" s="432"/>
      <c r="BG16" s="436"/>
      <c r="BH16" s="436"/>
      <c r="BI16" s="438"/>
      <c r="BJ16" s="333"/>
      <c r="BK16" s="327"/>
      <c r="BL16" s="432"/>
      <c r="BM16" s="436"/>
      <c r="BN16" s="436"/>
      <c r="BO16" s="438"/>
      <c r="BP16" s="333"/>
      <c r="BQ16" s="327"/>
      <c r="BR16" s="432"/>
      <c r="BS16" s="436"/>
      <c r="BT16" s="436"/>
      <c r="BU16" s="438"/>
      <c r="BV16" s="333"/>
      <c r="BW16" s="327"/>
      <c r="BX16" s="432"/>
      <c r="BY16" s="436"/>
      <c r="BZ16" s="436"/>
      <c r="CA16" s="438"/>
      <c r="CB16" s="333"/>
      <c r="CC16" s="333"/>
      <c r="CD16" s="333"/>
      <c r="CE16" s="333"/>
      <c r="CF16" s="333"/>
      <c r="CG16" s="333"/>
      <c r="CH16" s="327"/>
      <c r="CI16" s="327"/>
    </row>
    <row r="17" ht="15.75" customHeight="1">
      <c r="A17" s="441"/>
      <c r="B17" s="228" t="str">
        <f>IFERROR(__xludf.DUMMYFUNCTION("TEXTJOIN(CHAR(10),TRUE,FILTER(ARRAYFORMULA(IF(AI$14:AI70&lt;&gt;"""",AG$14:AG70&amp;"" : ""&amp; AI$14:AI70 &amp;"" cm"","""")), AG$14:AG70 &lt;&gt;""""))"),"")</f>
        <v/>
      </c>
      <c r="C17" s="434"/>
      <c r="D17" s="434" t="s">
        <v>94</v>
      </c>
      <c r="E17" s="413" t="s">
        <v>83</v>
      </c>
      <c r="F17" s="403"/>
      <c r="G17" s="404"/>
      <c r="H17" s="405" t="str">
        <f t="array" ref="H17">IF(
  G17 = 0, 
  "", 
  IFERROR(
    INDEX(
      'アイテム別限界値DB'!$K:$K, 
      MATCH(
        1, 
        ('アイテム別限界値DB'!$B:$B = D$4) * 
        ('アイテム別限界値DB'!$G:$G = D17) * 
        ('アイテム別限界値DB'!$H:$H = G17), 
        0
      )
    ), 
    "再製作"
  )
)
</f>
        <v/>
      </c>
      <c r="I17" s="397" t="str">
        <f t="array" ref="I17">IF(
  $G17 = 0, 
  "", 
  IFERROR(
    INDEX(
      'アイテム別限界値DB'!$N:$N, 
      MATCH(
        1, 
        ('アイテム別限界値DB'!$B:$B = $D$4) * 
        ('アイテム別限界値DB'!$G:$G = $D17) * 
        ('アイテム別限界値DB'!$H:$H = $G17), 
        0
      )
    )*F17, 
    "再製作"
  )
)
</f>
        <v/>
      </c>
      <c r="J17" s="388"/>
      <c r="K17" s="434" t="s">
        <v>95</v>
      </c>
      <c r="L17" s="414" t="s">
        <v>103</v>
      </c>
      <c r="M17" s="406"/>
      <c r="N17" s="404"/>
      <c r="O17" s="405" t="str">
        <f t="array" ref="O17">IF(
  $N17 = 0, 
  "", 
  IFERROR(
    INDEX(
      'アイテム別限界値DB'!$K:$K, 
      MATCH(
        1, 
        ('アイテム別限界値DB'!$B:$B = $K$4) * 
        ('アイテム別限界値DB'!$G:$G = $K17) * 
        ('アイテム別限界値DB'!$H:$H = $N17), 
        0
      )
    ), 
    "再製作"
  )
)
</f>
        <v/>
      </c>
      <c r="P17" s="397" t="str">
        <f t="array" ref="P17">IF(
  $N17 = 0, 
  "", 
  IFERROR(
    INDEX(
      'アイテム別限界値DB'!$N:$N, 
      MATCH(
        1, 
        ('アイテム別限界値DB'!$B:$B = $K$4) * 
        ('アイテム別限界値DB'!$G:$G = $K17) * 
        ('アイテム別限界値DB'!$H:$H = $N17), 
        0
      )
    )*$M17, 
    "再製作"
  )
)
</f>
        <v/>
      </c>
      <c r="Q17" s="332"/>
      <c r="R17" s="434"/>
      <c r="S17" s="413"/>
      <c r="T17" s="439"/>
      <c r="U17" s="439"/>
      <c r="V17" s="438"/>
      <c r="W17" s="333"/>
      <c r="X17" s="327"/>
      <c r="Y17" s="434" t="s">
        <v>96</v>
      </c>
      <c r="Z17" s="413" t="s">
        <v>103</v>
      </c>
      <c r="AA17" s="406"/>
      <c r="AB17" s="404"/>
      <c r="AC17" s="405" t="str">
        <f t="array" ref="AC17">IF(
  $AB17 = 0, 
  "", 
  IFERROR(
    INDEX(
      'アイテム別限界値DB'!$K:$K, 
      MATCH(
        1, 
        ('アイテム別限界値DB'!$B:$B = $Y$4) * 
        ('アイテム別限界値DB'!$G:$G = $Y17) * 
        ('アイテム別限界値DB'!$H:$H = $AB17), 
        0
      )
    ), 
    "再製作"
  )
)
</f>
        <v/>
      </c>
      <c r="AD17" s="397" t="str">
        <f t="array" ref="AD17">IF(
  $AB17 = 0, 
  "", 
  IFERROR(
    INDEX(
      'アイテム別限界値DB'!$N:$N, 
      MATCH(
        1, 
        ('アイテム別限界値DB'!$B:$B = $Y$4) * 
        ('アイテム別限界値DB'!$G:$G = $Y17) * 
        ('アイテム別限界値DB'!$H:$H = $AB17), 
        0
      )
    )*AA17, 
    "再製作"
  )
)
</f>
        <v/>
      </c>
      <c r="AE17" s="332"/>
      <c r="AF17" s="434" t="s">
        <v>97</v>
      </c>
      <c r="AG17" s="413" t="s">
        <v>97</v>
      </c>
      <c r="AH17" s="406"/>
      <c r="AI17" s="404"/>
      <c r="AJ17" s="405" t="str">
        <f t="array" ref="AJ17">IF(
  $AI17 = 0, 
  "", 
  IFERROR(
    INDEX(
      'アイテム別限界値DB'!$K:$K, 
      MATCH(
        1, 
        ('アイテム別限界値DB'!$B:$B = AF$4) * 
        ('アイテム別限界値DB'!$G:$G = $AF17) * 
        ('アイテム別限界値DB'!$H:$H = $AI17), 
        0
      )
    ), 
    "再製作"
  )
)
</f>
        <v/>
      </c>
      <c r="AK17" s="397" t="str">
        <f t="array" ref="AK17">IF(
  $AI17 = 0, 
  "", 
  IFERROR(
    INDEX(
      'アイテム別限界値DB'!$N:$N, 
      MATCH(
        1, 
        ('アイテム別限界値DB'!$B:$B = $AF$4) * 
        ('アイテム別限界値DB'!$G:$G = $AF17) * 
        ('アイテム別限界値DB'!$H:$H = $AI17), 
        0
      )
    )*AH17, 
    "再製作"
  )
)
</f>
        <v/>
      </c>
      <c r="AL17" s="327"/>
      <c r="AM17" s="434" t="s">
        <v>62</v>
      </c>
      <c r="AN17" s="400" t="s">
        <v>62</v>
      </c>
      <c r="AO17" s="406"/>
      <c r="AP17" s="422"/>
      <c r="AQ17" s="405" t="str">
        <f t="array" ref="AQ17">IF(
  $AP17 = 0, 
  "", 
  IFERROR(
    INDEX(
      'アイテム別限界値DB'!$K:$K, 
      MATCH(
        1, 
        ('アイテム別限界値DB'!$B:$B = $AM$4) * 
        ('アイテム別限界値DB'!$G:$G = $AM17) * 
        ('アイテム別限界値DB'!$H:$H = $AP17), 
        0
      )
    ), 
    "再製作"
  )
)
</f>
        <v/>
      </c>
      <c r="AR17" s="397" t="str">
        <f t="array" ref="AR17">IF(
  $AP17 = 0, 
  "", 
  IFERROR(
    INDEX(
      'アイテム別限界値DB'!$N:$N, 
      MATCH(
        1, 
        ('アイテム別限界値DB'!$B:$B = $AM$4) * 
        ('アイテム別限界値DB'!$G:$G = $AM17) * 
        ('アイテム別限界値DB'!$H:$H = $AP17), 
        0
      )
    )*AO17, 
    "再製作"
  )
)
</f>
        <v/>
      </c>
      <c r="AS17" s="327"/>
      <c r="AT17" s="400"/>
      <c r="AU17" s="436"/>
      <c r="AV17" s="436"/>
      <c r="AW17" s="438"/>
      <c r="AX17" s="333"/>
      <c r="AY17" s="327"/>
      <c r="AZ17" s="400"/>
      <c r="BA17" s="439"/>
      <c r="BB17" s="439"/>
      <c r="BC17" s="438"/>
      <c r="BD17" s="333"/>
      <c r="BE17" s="327"/>
      <c r="BF17" s="400"/>
      <c r="BG17" s="439"/>
      <c r="BH17" s="439"/>
      <c r="BI17" s="438"/>
      <c r="BJ17" s="333"/>
      <c r="BK17" s="327"/>
      <c r="BL17" s="400"/>
      <c r="BM17" s="439"/>
      <c r="BN17" s="439"/>
      <c r="BO17" s="438"/>
      <c r="BP17" s="333"/>
      <c r="BQ17" s="327"/>
      <c r="BR17" s="400"/>
      <c r="BS17" s="439"/>
      <c r="BT17" s="439"/>
      <c r="BU17" s="438"/>
      <c r="BV17" s="333"/>
      <c r="BW17" s="327"/>
      <c r="BX17" s="400"/>
      <c r="BY17" s="439"/>
      <c r="BZ17" s="439"/>
      <c r="CA17" s="438"/>
      <c r="CB17" s="333"/>
      <c r="CC17" s="333"/>
      <c r="CD17" s="333"/>
      <c r="CE17" s="333"/>
      <c r="CF17" s="333"/>
      <c r="CG17" s="333"/>
      <c r="CH17" s="327"/>
      <c r="CI17" s="327"/>
    </row>
    <row r="18" ht="15.75" customHeight="1">
      <c r="A18" s="442"/>
      <c r="B18" s="309" t="s">
        <v>219</v>
      </c>
      <c r="C18" s="400"/>
      <c r="D18" s="400" t="s">
        <v>98</v>
      </c>
      <c r="E18" s="421" t="s">
        <v>106</v>
      </c>
      <c r="F18" s="403"/>
      <c r="G18" s="404"/>
      <c r="H18" s="405" t="str">
        <f t="array" ref="H18">IF(
  G18 = 0, 
  "", 
  IFERROR(
    INDEX(
      'アイテム別限界値DB'!$K:$K, 
      MATCH(
        1, 
        ('アイテム別限界値DB'!$B:$B = D$4) * 
        ('アイテム別限界値DB'!$G:$G = D18) * 
        ('アイテム別限界値DB'!$H:$H = G18), 
        0
      )
    ), 
    "再製作"
  )
)
</f>
        <v/>
      </c>
      <c r="I18" s="397" t="str">
        <f t="array" ref="I18">IF(
  $G18 = 0, 
  "", 
  IFERROR(
    INDEX(
      'アイテム別限界値DB'!$N:$N, 
      MATCH(
        1, 
        ('アイテム別限界値DB'!$B:$B = $D$4) * 
        ('アイテム別限界値DB'!$G:$G = $D18) * 
        ('アイテム別限界値DB'!$H:$H = $G18), 
        0
      )
    )*F18, 
    "再製作"
  )
)
</f>
        <v/>
      </c>
      <c r="J18" s="443"/>
      <c r="K18" s="400" t="s">
        <v>99</v>
      </c>
      <c r="L18" s="414"/>
      <c r="M18" s="406"/>
      <c r="N18" s="422"/>
      <c r="O18" s="405" t="str">
        <f t="array" ref="O18">IF(
  $N18 = 0, 
  "", 
  IFERROR(
    INDEX(
      'アイテム別限界値DB'!$K:$K, 
      MATCH(
        1, 
        ('アイテム別限界値DB'!$B:$B = $K$4) * 
        ('アイテム別限界値DB'!$G:$G = $K18) * 
        ('アイテム別限界値DB'!$H:$H = $N18), 
        0
      )
    ), 
    "再製作"
  )
)
</f>
        <v/>
      </c>
      <c r="P18" s="397" t="str">
        <f t="array" ref="P18">IF(
  $N18 = 0, 
  "", 
  IFERROR(
    INDEX(
      'アイテム別限界値DB'!$N:$N, 
      MATCH(
        1, 
        ('アイテム別限界値DB'!$B:$B = $K$4) * 
        ('アイテム別限界値DB'!$G:$G = $K18) * 
        ('アイテム別限界値DB'!$H:$H = $N18), 
        0
      )
    )*$M18, 
    "再製作"
  )
)
</f>
        <v/>
      </c>
      <c r="Q18" s="444"/>
      <c r="R18" s="400"/>
      <c r="S18" s="421"/>
      <c r="T18" s="436"/>
      <c r="U18" s="436"/>
      <c r="V18" s="438"/>
      <c r="W18" s="333"/>
      <c r="X18" s="445"/>
      <c r="Y18" s="400" t="s">
        <v>100</v>
      </c>
      <c r="Z18" s="421"/>
      <c r="AA18" s="406"/>
      <c r="AB18" s="422"/>
      <c r="AC18" s="405" t="str">
        <f t="array" ref="AC18">IF(
  $AB18 = 0, 
  "", 
  IFERROR(
    INDEX(
      'アイテム別限界値DB'!$K:$K, 
      MATCH(
        1, 
        ('アイテム別限界値DB'!$B:$B = $Y$4) * 
        ('アイテム別限界値DB'!$G:$G = $Y18) * 
        ('アイテム別限界値DB'!$H:$H = $AB18), 
        0
      )
    ), 
    "再製作"
  )
)
</f>
        <v/>
      </c>
      <c r="AD18" s="397" t="str">
        <f t="array" ref="AD18">IF(
  $AB18 = 0, 
  "", 
  IFERROR(
    INDEX(
      'アイテム別限界値DB'!$N:$N, 
      MATCH(
        1, 
        ('アイテム別限界値DB'!$B:$B = $Y$4) * 
        ('アイテム別限界値DB'!$G:$G = $Y18) * 
        ('アイテム別限界値DB'!$H:$H = $AB18), 
        0
      )
    )*AA18, 
    "再製作"
  )
)
</f>
        <v/>
      </c>
      <c r="AE18" s="444"/>
      <c r="AF18" s="400" t="s">
        <v>101</v>
      </c>
      <c r="AG18" s="421" t="s">
        <v>101</v>
      </c>
      <c r="AH18" s="406"/>
      <c r="AI18" s="422"/>
      <c r="AJ18" s="405" t="str">
        <f t="array" ref="AJ18">IF(
  $AI18 = 0, 
  "", 
  IFERROR(
    INDEX(
      'アイテム別限界値DB'!$K:$K, 
      MATCH(
        1, 
        ('アイテム別限界値DB'!$B:$B = AF$4) * 
        ('アイテム別限界値DB'!$G:$G = $AF18) * 
        ('アイテム別限界値DB'!$H:$H = $AI18), 
        0
      )
    ), 
    "再製作"
  )
)
</f>
        <v/>
      </c>
      <c r="AK18" s="397" t="str">
        <f t="array" ref="AK18">IF(
  $AI18 = 0, 
  "", 
  IFERROR(
    INDEX(
      'アイテム別限界値DB'!$N:$N, 
      MATCH(
        1, 
        ('アイテム別限界値DB'!$B:$B = $AF$4) * 
        ('アイテム別限界値DB'!$G:$G = $AF18) * 
        ('アイテム別限界値DB'!$H:$H = $AI18), 
        0
      )
    )*AH18, 
    "再製作"
  )
)
</f>
        <v/>
      </c>
      <c r="AL18" s="445"/>
      <c r="AM18" s="400" t="s">
        <v>74</v>
      </c>
      <c r="AN18" s="400" t="s">
        <v>74</v>
      </c>
      <c r="AO18" s="406"/>
      <c r="AP18" s="404"/>
      <c r="AQ18" s="405" t="str">
        <f t="array" ref="AQ18">IF(
  $AP18 = 0, 
  "", 
  IFERROR(
    INDEX(
      'アイテム別限界値DB'!$K:$K, 
      MATCH(
        1, 
        ('アイテム別限界値DB'!$B:$B = $AM$4) * 
        ('アイテム別限界値DB'!$G:$G = $AM18) * 
        ('アイテム別限界値DB'!$H:$H = $AP18), 
        0
      )
    ), 
    "再製作"
  )
)
</f>
        <v/>
      </c>
      <c r="AR18" s="397" t="str">
        <f t="array" ref="AR18">IF(
  $AP18 = 0, 
  "", 
  IFERROR(
    INDEX(
      'アイテム別限界値DB'!$N:$N, 
      MATCH(
        1, 
        ('アイテム別限界値DB'!$B:$B = $AM$4) * 
        ('アイテム別限界値DB'!$G:$G = $AM18) * 
        ('アイテム別限界値DB'!$H:$H = $AP18), 
        0
      )
    )*AO18, 
    "再製作"
  )
)
</f>
        <v/>
      </c>
      <c r="AS18" s="445"/>
      <c r="AT18" s="400"/>
      <c r="AU18" s="436"/>
      <c r="AV18" s="436"/>
      <c r="AW18" s="438"/>
      <c r="AX18" s="333"/>
      <c r="AY18" s="445"/>
      <c r="AZ18" s="400"/>
      <c r="BA18" s="436"/>
      <c r="BB18" s="436"/>
      <c r="BC18" s="438"/>
      <c r="BD18" s="333"/>
      <c r="BE18" s="445"/>
      <c r="BF18" s="400"/>
      <c r="BG18" s="436"/>
      <c r="BH18" s="436"/>
      <c r="BI18" s="438"/>
      <c r="BJ18" s="333"/>
      <c r="BK18" s="445"/>
      <c r="BL18" s="400"/>
      <c r="BM18" s="436"/>
      <c r="BN18" s="436"/>
      <c r="BO18" s="438"/>
      <c r="BP18" s="333"/>
      <c r="BQ18" s="445"/>
      <c r="BR18" s="400"/>
      <c r="BS18" s="436"/>
      <c r="BT18" s="436"/>
      <c r="BU18" s="438"/>
      <c r="BV18" s="333"/>
      <c r="BW18" s="445"/>
      <c r="BX18" s="400"/>
      <c r="BY18" s="436"/>
      <c r="BZ18" s="436"/>
      <c r="CA18" s="438"/>
      <c r="CB18" s="333"/>
      <c r="CC18" s="333"/>
      <c r="CD18" s="333"/>
      <c r="CE18" s="333"/>
      <c r="CF18" s="333"/>
      <c r="CG18" s="333"/>
      <c r="CH18" s="445"/>
      <c r="CI18" s="445"/>
    </row>
    <row r="19" ht="15.75" customHeight="1">
      <c r="A19" s="229"/>
      <c r="B19" s="228" t="str">
        <f>IFERROR(__xludf.DUMMYFUNCTION("TEXTJOIN(CHAR(10),TRUE,FILTER(ARRAYFORMULA(IF(AI$14:AI70&lt;&gt;"""",AG$14:AG70&amp;"" : ""&amp; AI$14:AI70 &amp;"" cm"","""")), AG$14:AG70 &lt;&gt;""""))"),"")</f>
        <v/>
      </c>
      <c r="C19" s="432"/>
      <c r="D19" s="432" t="s">
        <v>74</v>
      </c>
      <c r="E19" s="446" t="s">
        <v>107</v>
      </c>
      <c r="F19" s="403"/>
      <c r="G19" s="404"/>
      <c r="H19" s="405" t="str">
        <f t="array" ref="H19">IF(
  G19 = 0, 
  "", 
  IFERROR(
    INDEX(
      'アイテム別限界値DB'!$K:$K, 
      MATCH(
        1, 
        ('アイテム別限界値DB'!$B:$B = D$4) * 
        ('アイテム別限界値DB'!$G:$G = D19) * 
        ('アイテム別限界値DB'!$H:$H = G19), 
        0
      )
    ), 
    "再製作"
  )
)
</f>
        <v/>
      </c>
      <c r="I19" s="397" t="str">
        <f t="array" ref="I19">IF(
  $G19 = 0, 
  "", 
  IFERROR(
    INDEX(
      'アイテム別限界値DB'!$N:$N, 
      MATCH(
        1, 
        ('アイテム別限界値DB'!$B:$B = $D$4) * 
        ('アイテム別限界値DB'!$G:$G = $D19) * 
        ('アイテム別限界値DB'!$H:$H = $G19), 
        0
      )
    )*F19, 
    "再製作"
  )
)
</f>
        <v/>
      </c>
      <c r="J19" s="443"/>
      <c r="K19" s="425" t="s">
        <v>100</v>
      </c>
      <c r="L19" s="447"/>
      <c r="M19" s="406"/>
      <c r="N19" s="422"/>
      <c r="O19" s="405" t="str">
        <f t="array" ref="O19">IF(
  $N19 = 0, 
  "", 
  IFERROR(
    INDEX(
      'アイテム別限界値DB'!$K:$K, 
      MATCH(
        1, 
        ('アイテム別限界値DB'!$B:$B = $K$4) * 
        ('アイテム別限界値DB'!$G:$G = $K19) * 
        ('アイテム別限界値DB'!$H:$H = $N19), 
        0
      )
    ), 
    "再製作"
  )
)
</f>
        <v/>
      </c>
      <c r="P19" s="397" t="str">
        <f t="array" ref="P19">IF(
  $N19 = 0, 
  "", 
  IFERROR(
    INDEX(
      'アイテム別限界値DB'!$N:$N, 
      MATCH(
        1, 
        ('アイテム別限界値DB'!$B:$B = $K$4) * 
        ('アイテム別限界値DB'!$G:$G = $K19) * 
        ('アイテム別限界値DB'!$H:$H = $N19), 
        0
      )
    )*$M19, 
    "再製作"
  )
)
</f>
        <v/>
      </c>
      <c r="Q19" s="444"/>
      <c r="R19" s="445"/>
      <c r="S19" s="316"/>
      <c r="T19" s="317"/>
      <c r="U19" s="317"/>
      <c r="V19" s="317"/>
      <c r="W19" s="317"/>
      <c r="X19" s="445"/>
      <c r="Y19" s="443" t="s">
        <v>95</v>
      </c>
      <c r="Z19" s="448"/>
      <c r="AA19" s="406"/>
      <c r="AB19" s="404"/>
      <c r="AC19" s="405" t="str">
        <f t="array" ref="AC19">IF(
  $AB19 = 0, 
  "", 
  IFERROR(
    INDEX(
      'アイテム別限界値DB'!$K:$K, 
      MATCH(
        1, 
        ('アイテム別限界値DB'!$B:$B = $Y$4) * 
        ('アイテム別限界値DB'!$G:$G = $Y19) * 
        ('アイテム別限界値DB'!$H:$H = $AB19), 
        0
      )
    ), 
    "再製作"
  )
)
</f>
        <v/>
      </c>
      <c r="AD19" s="397" t="str">
        <f t="array" ref="AD19">IF(
  $AB19 = 0, 
  "", 
  IFERROR(
    INDEX(
      'アイテム別限界値DB'!$N:$N, 
      MATCH(
        1, 
        ('アイテム別限界値DB'!$B:$B = $Y$4) * 
        ('アイテム別限界値DB'!$G:$G = $Y19) * 
        ('アイテム別限界値DB'!$H:$H = $AB19), 
        0
      )
    )*AA19, 
    "再製作"
  )
)
</f>
        <v/>
      </c>
      <c r="AE19" s="444"/>
      <c r="AF19" s="449" t="s">
        <v>62</v>
      </c>
      <c r="AG19" s="450" t="s">
        <v>62</v>
      </c>
      <c r="AH19" s="406"/>
      <c r="AI19" s="404"/>
      <c r="AJ19" s="405" t="str">
        <f t="array" ref="AJ19">IF(
  $AI19 = 0, 
  "", 
  IFERROR(
    INDEX(
      'アイテム別限界値DB'!$K:$K, 
      MATCH(
        1, 
        ('アイテム別限界値DB'!$B:$B = AF$4) * 
        ('アイテム別限界値DB'!$G:$G = $AF19) * 
        ('アイテム別限界値DB'!$H:$H = $AI19), 
        0
      )
    ), 
    "再製作"
  )
)
</f>
        <v/>
      </c>
      <c r="AK19" s="397" t="str">
        <f t="array" ref="AK19">IF(
  $AI19 = 0, 
  "", 
  IFERROR(
    INDEX(
      'アイテム別限界値DB'!$N:$N, 
      MATCH(
        1, 
        ('アイテム別限界値DB'!$B:$B = $AF$4) * 
        ('アイテム別限界値DB'!$G:$G = $AF19) * 
        ('アイテム別限界値DB'!$H:$H = $AI19), 
        0
      )
    )*AH19, 
    "再製作"
  )
)
</f>
        <v/>
      </c>
      <c r="AL19" s="445"/>
      <c r="AM19" s="185" t="s">
        <v>67</v>
      </c>
      <c r="AN19" s="185" t="s">
        <v>67</v>
      </c>
      <c r="AO19" s="406"/>
      <c r="AP19" s="404"/>
      <c r="AQ19" s="405" t="str">
        <f t="array" ref="AQ19">IF(
  $AP19 = 0, 
  "", 
  IFERROR(
    INDEX(
      'アイテム別限界値DB'!$K:$K, 
      MATCH(
        1, 
        ('アイテム別限界値DB'!$B:$B = $AM$4) * 
        ('アイテム別限界値DB'!$G:$G = $AM19) * 
        ('アイテム別限界値DB'!$H:$H = $AP19), 
        0
      )
    ), 
    "再製作"
  )
)
</f>
        <v/>
      </c>
      <c r="AR19" s="397" t="str">
        <f t="array" ref="AR19">IF(
  $AP19 = 0, 
  "", 
  IFERROR(
    INDEX(
      'アイテム別限界値DB'!$N:$N, 
      MATCH(
        1, 
        ('アイテム別限界値DB'!$B:$B = $AM$4) * 
        ('アイテム別限界値DB'!$G:$G = $AM19) * 
        ('アイテム別限界値DB'!$H:$H = $AP19), 
        0
      )
    )*AO19, 
    "再製作"
  )
)
</f>
        <v/>
      </c>
      <c r="AS19" s="445"/>
      <c r="AT19" s="185"/>
      <c r="AU19" s="436"/>
      <c r="AV19" s="436"/>
      <c r="AW19" s="396" t="str">
        <f t="array" ref="AW19">IF(
  AV19 = 0, 
  "", 
  IFERROR(
    INDEX(
      'アイテム別限界値DB'!$I:$I, 
      MATCH(
        1, 
        ('アイテム別限界値DB'!$B:$B = AT$4) * 
        ('アイテム別限界値DB'!$C:$C = AT19) * 
        ('アイテム別限界値DB'!$F:$F = AV19), 
        0
      )
    ), 
    "再製作"
  )
)
</f>
        <v/>
      </c>
      <c r="AX19" s="451" t="str">
        <f t="array" ref="AX19">IF(
  AV19 = 0, 
  "", 
  IFERROR(
    INDEX(
      'アイテム別限界値DB'!$L:$L, 
      MATCH(
        1, 
        ('アイテム別限界値DB'!$B:$B = AT$4) * 
        ('アイテム別限界値DB'!$C:$C = AT19) * 
        ('アイテム別限界値DB'!$F:$F = AV19), 
        0
      )
    ), 
    ""
  )
)
</f>
        <v/>
      </c>
      <c r="AY19" s="445"/>
      <c r="AZ19" s="185"/>
      <c r="BA19" s="452"/>
      <c r="BB19" s="452"/>
      <c r="BC19" s="396" t="str">
        <f t="array" ref="BC19">IF(
  BB19 = 0, 
  "", 
  IFERROR(
    INDEX(
      'アイテム別限界値DB'!$I:$I, 
      MATCH(
        1, 
        ('アイテム別限界値DB'!$B:$B = AZ$4) * 
        ('アイテム別限界値DB'!$C:$C = AZ19) * 
        ('アイテム別限界値DB'!$F:$F = BB19), 
        0
      )
    ), 
    "再製作"
  )
)
</f>
        <v/>
      </c>
      <c r="BD19" s="451" t="str">
        <f t="array" ref="BD19">IF(
  BB19 = 0, 
  "", 
  IFERROR(
    INDEX(
      'アイテム別限界値DB'!$L:$L, 
      MATCH(
        1, 
        ('アイテム別限界値DB'!$B:$B = AZ$4) * 
        ('アイテム別限界値DB'!$C:$C = AZ19) * 
        ('アイテム別限界値DB'!$F:$F = BB19), 
        0
      )
    ), 
    ""
  )
)
</f>
        <v/>
      </c>
      <c r="BE19" s="445"/>
      <c r="BF19" s="185"/>
      <c r="BG19" s="452"/>
      <c r="BH19" s="452"/>
      <c r="BI19" s="396" t="str">
        <f t="array" ref="BI19">IF(
  BH19 = 0, 
  "", 
  IFERROR(
    INDEX(
      'アイテム別限界値DB'!$I:$I, 
      MATCH(
        1, 
        ('アイテム別限界値DB'!$B:$B = BF$4) * 
        ('アイテム別限界値DB'!$C:$C = BF19) * 
        ('アイテム別限界値DB'!$F:$F = BH19), 
        0
      )
    ), 
    "再製作"
  )
)
</f>
        <v/>
      </c>
      <c r="BJ19" s="451"/>
      <c r="BK19" s="445"/>
      <c r="BL19" s="185"/>
      <c r="BM19" s="452"/>
      <c r="BN19" s="452"/>
      <c r="BO19" s="396"/>
      <c r="BP19" s="451" t="str">
        <f t="array" ref="BP19">IF(
  BN19 = 0, 
  "", 
  IFERROR(
    INDEX(
      'アイテム別限界値DB'!$L:$L, 
      MATCH(
        1, 
        ('アイテム別限界値DB'!$B:$B = BL$4) * 
        ('アイテム別限界値DB'!$C:$C = BL19) * 
        ('アイテム別限界値DB'!$F:$F = BN19), 
        0
      )
    ), 
    ""
  )
)
</f>
        <v/>
      </c>
      <c r="BQ19" s="445"/>
      <c r="BR19" s="185"/>
      <c r="BS19" s="452"/>
      <c r="BT19" s="452"/>
      <c r="BU19" s="396" t="str">
        <f t="array" ref="BU19">IF(
  BT19 = 0, 
  "", 
  IFERROR(
    INDEX(
      'アイテム別限界値DB'!$I:$I, 
      MATCH(
        1, 
        ('アイテム別限界値DB'!$B:$B = BR$4) * 
        ('アイテム別限界値DB'!$C:$C = BR19) * 
        ('アイテム別限界値DB'!$F:$F = BT19), 
        0
      )
    ), 
    "再製作"
  )
)
</f>
        <v/>
      </c>
      <c r="BV19" s="451" t="str">
        <f t="array" ref="BV19">IF(
  BT19 = 0, 
  "", 
  IFERROR(
    INDEX(
      'アイテム別限界値DB'!$L:$L, 
      MATCH(
        1, 
        ('アイテム別限界値DB'!$B:$B = BR$4) * 
        ('アイテム別限界値DB'!$C:$C = BR19) * 
        ('アイテム別限界値DB'!$F:$F = BT19), 
        0
      )
    ), 
    ""
  )
)
</f>
        <v/>
      </c>
      <c r="BW19" s="445"/>
      <c r="BX19" s="185"/>
      <c r="BY19" s="452"/>
      <c r="BZ19" s="452"/>
      <c r="CA19" s="396" t="str">
        <f t="array" ref="CA19">IF(
  BZ19 = 0, 
  "", 
  IFERROR(
    INDEX(
      'アイテム別限界値DB'!$I:$I, 
      MATCH(
        1, 
        ('アイテム別限界値DB'!$B:$B = BX$4) * 
        ('アイテム別限界値DB'!$C:$C = BX19) * 
        ('アイテム別限界値DB'!$F:$F = BZ19), 
        0
      )
    ), 
    "再製作"
  )
)
</f>
        <v/>
      </c>
      <c r="CB19" s="451" t="str">
        <f t="array" ref="CB19">IF(
  BZ19 = 0, 
  "", 
  IFERROR(
    INDEX(
      'アイテム別限界値DB'!$L:$L, 
      MATCH(
        1, 
        ('アイテム別限界値DB'!$B:$B = BX$4) * 
        ('アイテム別限界値DB'!$C:$C = BX19) * 
        ('アイテム別限界値DB'!$F:$F = BZ19), 
        0
      )
    ), 
    ""
  )
)
</f>
        <v/>
      </c>
      <c r="CC19" s="451"/>
      <c r="CD19" s="451"/>
      <c r="CE19" s="451"/>
      <c r="CF19" s="451"/>
      <c r="CG19" s="451"/>
      <c r="CH19" s="445"/>
      <c r="CI19" s="445"/>
    </row>
    <row r="20" ht="15.75" customHeight="1">
      <c r="A20" s="441"/>
      <c r="B20" s="309" t="s">
        <v>220</v>
      </c>
      <c r="C20" s="432"/>
      <c r="D20" s="432" t="s">
        <v>67</v>
      </c>
      <c r="E20" s="446" t="s">
        <v>108</v>
      </c>
      <c r="F20" s="403"/>
      <c r="G20" s="404"/>
      <c r="H20" s="405" t="str">
        <f t="array" ref="H20">IF(
  G20 = 0, 
  "", 
  IFERROR(
    INDEX(
      'アイテム別限界値DB'!$K:$K, 
      MATCH(
        1, 
        ('アイテム別限界値DB'!$B:$B = D$4) * 
        ('アイテム別限界値DB'!$G:$G = D20) * 
        ('アイテム別限界値DB'!$H:$H = G20), 
        0
      )
    ), 
    "再製作"
  )
)
</f>
        <v/>
      </c>
      <c r="I20" s="397" t="str">
        <f t="array" ref="I20">IF(
  $G20 = 0, 
  "", 
  IFERROR(
    INDEX(
      'アイテム別限界値DB'!$N:$N, 
      MATCH(
        1, 
        ('アイテム別限界値DB'!$B:$B = $D$4) * 
        ('アイテム別限界値DB'!$G:$G = $D20) * 
        ('アイテム別限界値DB'!$H:$H = $G20), 
        0
      )
    )*F20, 
    "再製作"
  )
)
</f>
        <v/>
      </c>
      <c r="J20" s="443"/>
      <c r="K20" s="425" t="s">
        <v>103</v>
      </c>
      <c r="L20" s="425"/>
      <c r="M20" s="453"/>
      <c r="N20" s="453"/>
      <c r="O20" s="454"/>
      <c r="P20" s="454"/>
      <c r="Q20" s="444"/>
      <c r="R20" s="445"/>
      <c r="S20" s="316"/>
      <c r="T20" s="436"/>
      <c r="U20" s="436"/>
      <c r="V20" s="317"/>
      <c r="W20" s="317"/>
      <c r="X20" s="445"/>
      <c r="Y20" s="443" t="s">
        <v>99</v>
      </c>
      <c r="Z20" s="448"/>
      <c r="AA20" s="406"/>
      <c r="AB20" s="404"/>
      <c r="AC20" s="405" t="str">
        <f t="array" ref="AC20">IF(
  $AB20 = 0, 
  "", 
  IFERROR(
    INDEX(
      'アイテム別限界値DB'!$K:$K, 
      MATCH(
        1, 
        ('アイテム別限界値DB'!$B:$B = $Y$4) * 
        ('アイテム別限界値DB'!$G:$G = $Y20) * 
        ('アイテム別限界値DB'!$H:$H = $AB20), 
        0
      )
    ), 
    "再製作"
  )
)
</f>
        <v/>
      </c>
      <c r="AD20" s="397" t="str">
        <f t="array" ref="AD20">IF(
  $AB20 = 0, 
  "", 
  IFERROR(
    INDEX(
      'アイテム別限界値DB'!$N:$N, 
      MATCH(
        1, 
        ('アイテム別限界値DB'!$B:$B = $Y$4) * 
        ('アイテム別限界値DB'!$G:$G = $Y20) * 
        ('アイテム別限界値DB'!$H:$H = $AB20), 
        0
      )
    )*AA20, 
    "再製作"
  )
)
</f>
        <v/>
      </c>
      <c r="AE20" s="444"/>
      <c r="AF20" s="449" t="s">
        <v>74</v>
      </c>
      <c r="AG20" s="450" t="s">
        <v>74</v>
      </c>
      <c r="AH20" s="406"/>
      <c r="AI20" s="422"/>
      <c r="AJ20" s="405" t="str">
        <f t="array" ref="AJ20">IF(
  $AI20 = 0, 
  "", 
  IFERROR(
    INDEX(
      'アイテム別限界値DB'!$K:$K, 
      MATCH(
        1, 
        ('アイテム別限界値DB'!$B:$B = AF$4) * 
        ('アイテム別限界値DB'!$G:$G = $AF20) * 
        ('アイテム別限界値DB'!$H:$H = $AI20), 
        0
      )
    ), 
    "再製作"
  )
)
</f>
        <v/>
      </c>
      <c r="AK20" s="397" t="str">
        <f t="array" ref="AK20">IF(
  $AI20 = 0, 
  "", 
  IFERROR(
    INDEX(
      'アイテム別限界値DB'!$N:$N, 
      MATCH(
        1, 
        ('アイテム別限界値DB'!$B:$B = $AF$4) * 
        ('アイテム別限界値DB'!$G:$G = $AF20) * 
        ('アイテム別限界値DB'!$H:$H = $AI20), 
        0
      )
    )*AH20, 
    "再製作"
  )
)
</f>
        <v/>
      </c>
      <c r="AL20" s="445"/>
      <c r="AM20" s="185" t="s">
        <v>79</v>
      </c>
      <c r="AN20" s="185" t="s">
        <v>79</v>
      </c>
      <c r="AO20" s="406"/>
      <c r="AP20" s="404"/>
      <c r="AQ20" s="405" t="str">
        <f t="array" ref="AQ20">IF(
  $AP20 = 0, 
  "", 
  IFERROR(
    INDEX(
      'アイテム別限界値DB'!$K:$K, 
      MATCH(
        1, 
        ('アイテム別限界値DB'!$B:$B = $AM$4) * 
        ('アイテム別限界値DB'!$G:$G = $AM20) * 
        ('アイテム別限界値DB'!$H:$H = $AP20), 
        0
      )
    ), 
    "再製作"
  )
)
</f>
        <v/>
      </c>
      <c r="AR20" s="397" t="str">
        <f t="array" ref="AR20">IF(
  $AP20 = 0, 
  "", 
  IFERROR(
    INDEX(
      'アイテム別限界値DB'!$N:$N, 
      MATCH(
        1, 
        ('アイテム別限界値DB'!$B:$B = $AM$4) * 
        ('アイテム別限界値DB'!$G:$G = $AM20) * 
        ('アイテム別限界値DB'!$H:$H = $AP20), 
        0
      )
    )*AO20, 
    "再製作"
  )
)
</f>
        <v/>
      </c>
      <c r="AS20" s="445"/>
      <c r="AT20" s="185"/>
      <c r="AU20" s="436"/>
      <c r="AV20" s="436"/>
      <c r="AW20" s="396"/>
      <c r="AX20" s="451"/>
      <c r="AY20" s="445"/>
      <c r="AZ20" s="185"/>
      <c r="BA20" s="452"/>
      <c r="BB20" s="452"/>
      <c r="BC20" s="396"/>
      <c r="BD20" s="451"/>
      <c r="BE20" s="445"/>
      <c r="BF20" s="185"/>
      <c r="BG20" s="452"/>
      <c r="BH20" s="452"/>
      <c r="BI20" s="396"/>
      <c r="BJ20" s="451"/>
      <c r="BK20" s="445"/>
      <c r="BL20" s="185"/>
      <c r="BM20" s="452"/>
      <c r="BN20" s="452"/>
      <c r="BO20" s="396"/>
      <c r="BP20" s="451"/>
      <c r="BQ20" s="445"/>
      <c r="BR20" s="185"/>
      <c r="BS20" s="452"/>
      <c r="BT20" s="452"/>
      <c r="BU20" s="396"/>
      <c r="BV20" s="451"/>
      <c r="BW20" s="445"/>
      <c r="BX20" s="185"/>
      <c r="BY20" s="452"/>
      <c r="BZ20" s="452"/>
      <c r="CA20" s="396"/>
      <c r="CB20" s="451"/>
      <c r="CC20" s="451"/>
      <c r="CD20" s="451"/>
      <c r="CE20" s="451"/>
      <c r="CF20" s="451"/>
      <c r="CG20" s="451"/>
      <c r="CH20" s="445"/>
      <c r="CI20" s="445"/>
    </row>
    <row r="21" ht="15.75" customHeight="1">
      <c r="A21" s="229"/>
      <c r="B21" s="228" t="str">
        <f>IFERROR(__xludf.DUMMYFUNCTION("TEXTJOIN(CHAR(10),TRUE,FILTER(ARRAYFORMULA(IF(AI$14:AI70&lt;&gt;"""",AG$14:AG70&amp;"" : ""&amp; AI$14:AI70 &amp;"" cm"","""")), AG$14:AG70 &lt;&gt;""""))"),"")</f>
        <v/>
      </c>
      <c r="C21" s="432"/>
      <c r="D21" s="432" t="s">
        <v>79</v>
      </c>
      <c r="E21" s="446" t="s">
        <v>110</v>
      </c>
      <c r="F21" s="403"/>
      <c r="G21" s="404"/>
      <c r="H21" s="405" t="str">
        <f t="array" ref="H21">IF(
  G21 = 0, 
  "", 
  IFERROR(
    INDEX(
      'アイテム別限界値DB'!$K:$K, 
      MATCH(
        1, 
        ('アイテム別限界値DB'!$B:$B = D$4) * 
        ('アイテム別限界値DB'!$G:$G = D21) * 
        ('アイテム別限界値DB'!$H:$H = G21), 
        0
      )
    ), 
    "再製作"
  )
)
</f>
        <v/>
      </c>
      <c r="I21" s="397" t="str">
        <f t="array" ref="I21">IF(
  $G21 = 0, 
  "", 
  IFERROR(
    INDEX(
      'アイテム別限界値DB'!$N:$N, 
      MATCH(
        1, 
        ('アイテム別限界値DB'!$B:$B = $D$4) * 
        ('アイテム別限界値DB'!$G:$G = $D21) * 
        ('アイテム別限界値DB'!$H:$H = $G21), 
        0
      )
    )*F21, 
    "再製作"
  )
)
</f>
        <v/>
      </c>
      <c r="J21" s="443"/>
      <c r="K21" s="425"/>
      <c r="L21" s="447"/>
      <c r="M21" s="455"/>
      <c r="N21" s="386"/>
      <c r="O21" s="396"/>
      <c r="P21" s="451"/>
      <c r="Q21" s="444"/>
      <c r="R21" s="445"/>
      <c r="S21" s="316"/>
      <c r="T21" s="317"/>
      <c r="U21" s="439"/>
      <c r="V21" s="317"/>
      <c r="W21" s="317"/>
      <c r="X21" s="445"/>
      <c r="Y21" s="443" t="s">
        <v>103</v>
      </c>
      <c r="Z21" s="448"/>
      <c r="AA21" s="406"/>
      <c r="AB21" s="404"/>
      <c r="AC21" s="405" t="str">
        <f t="array" ref="AC21">IF(
  $AB21 = 0, 
  "", 
  IFERROR(
    INDEX(
      'アイテム別限界値DB'!$K:$K, 
      MATCH(
        1, 
        ('アイテム別限界値DB'!$B:$B = $Y$4) * 
        ('アイテム別限界値DB'!$G:$G = $Y21) * 
        ('アイテム別限界値DB'!$H:$H = $AB21), 
        0
      )
    ), 
    "再製作"
  )
)
</f>
        <v/>
      </c>
      <c r="AD21" s="397" t="str">
        <f t="array" ref="AD21">IF(
  $AB21 = 0, 
  "", 
  IFERROR(
    INDEX(
      'アイテム別限界値DB'!$N:$N, 
      MATCH(
        1, 
        ('アイテム別限界値DB'!$B:$B = $Y$4) * 
        ('アイテム別限界値DB'!$G:$G = $Y21) * 
        ('アイテム別限界値DB'!$H:$H = $AB21), 
        0
      )
    )*AA21, 
    "再製作"
  )
)
</f>
        <v/>
      </c>
      <c r="AE21" s="444"/>
      <c r="AF21" s="449" t="s">
        <v>67</v>
      </c>
      <c r="AG21" s="450" t="s">
        <v>67</v>
      </c>
      <c r="AH21" s="406"/>
      <c r="AI21" s="404"/>
      <c r="AJ21" s="405" t="str">
        <f t="array" ref="AJ21">IF(
  $AI21 = 0, 
  "", 
  IFERROR(
    INDEX(
      'アイテム別限界値DB'!$K:$K, 
      MATCH(
        1, 
        ('アイテム別限界値DB'!$B:$B = AF$4) * 
        ('アイテム別限界値DB'!$G:$G = $AF21) * 
        ('アイテム別限界値DB'!$H:$H = $AI21), 
        0
      )
    ), 
    "再製作"
  )
)
</f>
        <v/>
      </c>
      <c r="AK21" s="397" t="str">
        <f t="array" ref="AK21">IF(
  $AI21 = 0, 
  "", 
  IFERROR(
    INDEX(
      'アイテム別限界値DB'!$N:$N, 
      MATCH(
        1, 
        ('アイテム別限界値DB'!$B:$B = $AF$4) * 
        ('アイテム別限界値DB'!$G:$G = $AF21) * 
        ('アイテム別限界値DB'!$H:$H = $AI21), 
        0
      )
    )*AH21, 
    "再製作"
  )
)
</f>
        <v/>
      </c>
      <c r="AL21" s="445"/>
      <c r="AM21" s="185" t="s">
        <v>83</v>
      </c>
      <c r="AN21" s="185" t="s">
        <v>83</v>
      </c>
      <c r="AO21" s="406"/>
      <c r="AP21" s="422"/>
      <c r="AQ21" s="405" t="str">
        <f t="array" ref="AQ21">IF(
  $AP21 = 0, 
  "", 
  IFERROR(
    INDEX(
      'アイテム別限界値DB'!$K:$K, 
      MATCH(
        1, 
        ('アイテム別限界値DB'!$B:$B = $AM$4) * 
        ('アイテム別限界値DB'!$G:$G = $AM21) * 
        ('アイテム別限界値DB'!$H:$H = $AP21), 
        0
      )
    ), 
    "再製作"
  )
)
</f>
        <v/>
      </c>
      <c r="AR21" s="397" t="str">
        <f t="array" ref="AR21">IF(
  $AP21 = 0, 
  "", 
  IFERROR(
    INDEX(
      'アイテム別限界値DB'!$N:$N, 
      MATCH(
        1, 
        ('アイテム別限界値DB'!$B:$B = $AM$4) * 
        ('アイテム別限界値DB'!$G:$G = $AM21) * 
        ('アイテム別限界値DB'!$H:$H = $AP21), 
        0
      )
    )*AO21, 
    "再製作"
  )
)
</f>
        <v/>
      </c>
      <c r="AS21" s="445"/>
      <c r="AT21" s="185"/>
      <c r="AU21" s="436"/>
      <c r="AV21" s="436"/>
      <c r="AW21" s="396"/>
      <c r="AX21" s="451"/>
      <c r="AY21" s="445"/>
      <c r="AZ21" s="185"/>
      <c r="BA21" s="452"/>
      <c r="BB21" s="452"/>
      <c r="BC21" s="396"/>
      <c r="BD21" s="451"/>
      <c r="BE21" s="445"/>
      <c r="BF21" s="185"/>
      <c r="BG21" s="452"/>
      <c r="BH21" s="452"/>
      <c r="BI21" s="396"/>
      <c r="BJ21" s="451"/>
      <c r="BK21" s="445"/>
      <c r="BL21" s="185"/>
      <c r="BM21" s="452"/>
      <c r="BN21" s="452"/>
      <c r="BO21" s="396"/>
      <c r="BP21" s="451"/>
      <c r="BQ21" s="445"/>
      <c r="BR21" s="185"/>
      <c r="BS21" s="452"/>
      <c r="BT21" s="452"/>
      <c r="BU21" s="396"/>
      <c r="BV21" s="451"/>
      <c r="BW21" s="445"/>
      <c r="BX21" s="185"/>
      <c r="BY21" s="452"/>
      <c r="BZ21" s="452"/>
      <c r="CA21" s="396"/>
      <c r="CB21" s="451"/>
      <c r="CC21" s="451"/>
      <c r="CD21" s="451"/>
      <c r="CE21" s="451"/>
      <c r="CF21" s="451"/>
      <c r="CG21" s="451"/>
      <c r="CH21" s="445"/>
      <c r="CI21" s="445"/>
    </row>
    <row r="22" ht="15.75" customHeight="1">
      <c r="A22" s="229"/>
      <c r="B22" s="309" t="s">
        <v>221</v>
      </c>
      <c r="C22" s="432"/>
      <c r="D22" s="432" t="s">
        <v>83</v>
      </c>
      <c r="E22" s="446" t="s">
        <v>111</v>
      </c>
      <c r="F22" s="403"/>
      <c r="G22" s="404"/>
      <c r="H22" s="405" t="str">
        <f t="array" ref="H22">IF(
  G22 = 0, 
  "", 
  IFERROR(
    INDEX(
      'アイテム別限界値DB'!$K:$K, 
      MATCH(
        1, 
        ('アイテム別限界値DB'!$B:$B = D$4) * 
        ('アイテム別限界値DB'!$G:$G = D22) * 
        ('アイテム別限界値DB'!$H:$H = G22), 
        0
      )
    ), 
    "再製作"
  )
)
</f>
        <v/>
      </c>
      <c r="I22" s="397" t="str">
        <f t="array" ref="I22">IF(
  $G22 = 0, 
  "", 
  IFERROR(
    INDEX(
      'アイテム別限界値DB'!$N:$N, 
      MATCH(
        1, 
        ('アイテム別限界値DB'!$B:$B = $D$4) * 
        ('アイテム別限界値DB'!$G:$G = $D22) * 
        ('アイテム別限界値DB'!$H:$H = $G22), 
        0
      )
    )*F22, 
    "再製作"
  )
)
</f>
        <v/>
      </c>
      <c r="J22" s="443"/>
      <c r="K22" s="425"/>
      <c r="L22" s="447"/>
      <c r="M22" s="455"/>
      <c r="N22" s="386"/>
      <c r="O22" s="396"/>
      <c r="P22" s="451"/>
      <c r="Q22" s="444"/>
      <c r="R22" s="445"/>
      <c r="S22" s="316"/>
      <c r="T22" s="317"/>
      <c r="U22" s="317"/>
      <c r="V22" s="317"/>
      <c r="W22" s="317"/>
      <c r="X22" s="445"/>
      <c r="Y22" s="443"/>
      <c r="Z22" s="448"/>
      <c r="AA22" s="386"/>
      <c r="AB22" s="386"/>
      <c r="AC22" s="396"/>
      <c r="AD22" s="396"/>
      <c r="AE22" s="444"/>
      <c r="AF22" s="449" t="s">
        <v>79</v>
      </c>
      <c r="AG22" s="450" t="s">
        <v>79</v>
      </c>
      <c r="AH22" s="406"/>
      <c r="AI22" s="422"/>
      <c r="AJ22" s="405" t="str">
        <f t="array" ref="AJ22">IF(
  $AI22 = 0, 
  "", 
  IFERROR(
    INDEX(
      'アイテム別限界値DB'!$K:$K, 
      MATCH(
        1, 
        ('アイテム別限界値DB'!$B:$B = AF$4) * 
        ('アイテム別限界値DB'!$G:$G = $AF22) * 
        ('アイテム別限界値DB'!$H:$H = $AI22), 
        0
      )
    ), 
    "再製作"
  )
)
</f>
        <v/>
      </c>
      <c r="AK22" s="397" t="str">
        <f t="array" ref="AK22">IF(
  $AI22 = 0, 
  "", 
  IFERROR(
    INDEX(
      'アイテム別限界値DB'!$N:$N, 
      MATCH(
        1, 
        ('アイテム別限界値DB'!$B:$B = $AF$4) * 
        ('アイテム別限界値DB'!$G:$G = $AF22) * 
        ('アイテム別限界値DB'!$H:$H = $AI22), 
        0
      )
    )*AH22, 
    "再製作"
  )
)
</f>
        <v/>
      </c>
      <c r="AL22" s="445"/>
      <c r="AM22" s="185" t="s">
        <v>105</v>
      </c>
      <c r="AN22" s="185" t="s">
        <v>105</v>
      </c>
      <c r="AO22" s="406"/>
      <c r="AP22" s="404"/>
      <c r="AQ22" s="405" t="str">
        <f t="array" ref="AQ22">IF(
  $AP22 = 0, 
  "", 
  IFERROR(
    INDEX(
      'アイテム別限界値DB'!$K:$K, 
      MATCH(
        1, 
        ('アイテム別限界値DB'!$B:$B = $AM$4) * 
        ('アイテム別限界値DB'!$G:$G = $AM22) * 
        ('アイテム別限界値DB'!$H:$H = $AP22), 
        0
      )
    ), 
    "再製作"
  )
)
</f>
        <v/>
      </c>
      <c r="AR22" s="397" t="str">
        <f t="array" ref="AR22">IF(
  $AP22 = 0, 
  "", 
  IFERROR(
    INDEX(
      'アイテム別限界値DB'!$N:$N, 
      MATCH(
        1, 
        ('アイテム別限界値DB'!$B:$B = $AM$4) * 
        ('アイテム別限界値DB'!$G:$G = $AM22) * 
        ('アイテム別限界値DB'!$H:$H = $AP22), 
        0
      )
    )*AO22, 
    "再製作"
  )
)
</f>
        <v/>
      </c>
      <c r="AS22" s="445"/>
      <c r="AT22" s="185"/>
      <c r="AU22" s="436"/>
      <c r="AV22" s="436"/>
      <c r="AW22" s="396"/>
      <c r="AX22" s="451"/>
      <c r="AY22" s="445"/>
      <c r="AZ22" s="185"/>
      <c r="BA22" s="452"/>
      <c r="BB22" s="452"/>
      <c r="BC22" s="396"/>
      <c r="BD22" s="451"/>
      <c r="BE22" s="445"/>
      <c r="BF22" s="185"/>
      <c r="BG22" s="452"/>
      <c r="BH22" s="452"/>
      <c r="BI22" s="396"/>
      <c r="BJ22" s="451"/>
      <c r="BK22" s="445"/>
      <c r="BL22" s="185"/>
      <c r="BM22" s="452"/>
      <c r="BN22" s="452"/>
      <c r="BO22" s="396"/>
      <c r="BP22" s="451"/>
      <c r="BQ22" s="445"/>
      <c r="BR22" s="185"/>
      <c r="BS22" s="452"/>
      <c r="BT22" s="452"/>
      <c r="BU22" s="396"/>
      <c r="BV22" s="451"/>
      <c r="BW22" s="445"/>
      <c r="BX22" s="185"/>
      <c r="BY22" s="452"/>
      <c r="BZ22" s="452"/>
      <c r="CA22" s="396"/>
      <c r="CB22" s="451"/>
      <c r="CC22" s="451"/>
      <c r="CD22" s="451"/>
      <c r="CE22" s="451"/>
      <c r="CF22" s="451"/>
      <c r="CG22" s="451"/>
      <c r="CH22" s="445"/>
      <c r="CI22" s="445"/>
    </row>
    <row r="23" ht="15.75" customHeight="1">
      <c r="A23" s="441"/>
      <c r="B23" s="228" t="str">
        <f>IFERROR(__xludf.DUMMYFUNCTION("TEXTJOIN(CHAR(10),TRUE,FILTER(ARRAYFORMULA(IF(AI$14:AI70&lt;&gt;"""",AG$14:AG70&amp;"" : ""&amp; AI$14:AI70 &amp;"" cm"","""")), AG$14:AG70 &lt;&gt;""""))"),"")</f>
        <v/>
      </c>
      <c r="C23" s="432"/>
      <c r="D23" s="432" t="s">
        <v>106</v>
      </c>
      <c r="E23" s="446" t="s">
        <v>112</v>
      </c>
      <c r="F23" s="403"/>
      <c r="G23" s="404"/>
      <c r="H23" s="405" t="str">
        <f t="array" ref="H23">IF(
  G23 = 0, 
  "", 
  IFERROR(
    INDEX(
      'アイテム別限界値DB'!$K:$K, 
      MATCH(
        1, 
        ('アイテム別限界値DB'!$B:$B = D$4) * 
        ('アイテム別限界値DB'!$G:$G = D23) * 
        ('アイテム別限界値DB'!$H:$H = G23), 
        0
      )
    ), 
    "再製作"
  )
)
</f>
        <v/>
      </c>
      <c r="I23" s="397" t="str">
        <f t="array" ref="I23">IF(
  $G23 = 0, 
  "", 
  IFERROR(
    INDEX(
      'アイテム別限界値DB'!$N:$N, 
      MATCH(
        1, 
        ('アイテム別限界値DB'!$B:$B = $D$4) * 
        ('アイテム別限界値DB'!$G:$G = $D23) * 
        ('アイテム別限界値DB'!$H:$H = $G23), 
        0
      )
    )*F23, 
    "再製作"
  )
)
</f>
        <v/>
      </c>
      <c r="J23" s="443"/>
      <c r="K23" s="425"/>
      <c r="L23" s="447"/>
      <c r="M23" s="455"/>
      <c r="N23" s="386"/>
      <c r="O23" s="396"/>
      <c r="P23" s="451"/>
      <c r="Q23" s="444"/>
      <c r="R23" s="445"/>
      <c r="S23" s="316"/>
      <c r="T23" s="317"/>
      <c r="U23" s="317"/>
      <c r="V23" s="317"/>
      <c r="W23" s="317"/>
      <c r="X23" s="445"/>
      <c r="Y23" s="443"/>
      <c r="Z23" s="448"/>
      <c r="AA23" s="386"/>
      <c r="AB23" s="386"/>
      <c r="AC23" s="396"/>
      <c r="AD23" s="396"/>
      <c r="AE23" s="444"/>
      <c r="AF23" s="449" t="s">
        <v>83</v>
      </c>
      <c r="AG23" s="450" t="s">
        <v>83</v>
      </c>
      <c r="AH23" s="450"/>
      <c r="AI23" s="450"/>
      <c r="AJ23" s="396"/>
      <c r="AK23" s="451"/>
      <c r="AL23" s="445"/>
      <c r="AM23" s="185"/>
      <c r="AN23" s="185"/>
      <c r="AO23" s="452"/>
      <c r="AP23" s="452"/>
      <c r="AQ23" s="396"/>
      <c r="AR23" s="451"/>
      <c r="AS23" s="445"/>
      <c r="AT23" s="185"/>
      <c r="AU23" s="452"/>
      <c r="AV23" s="452"/>
      <c r="AW23" s="396"/>
      <c r="AX23" s="451"/>
      <c r="AY23" s="445"/>
      <c r="AZ23" s="185"/>
      <c r="BA23" s="452"/>
      <c r="BB23" s="452"/>
      <c r="BC23" s="396"/>
      <c r="BD23" s="451"/>
      <c r="BE23" s="445"/>
      <c r="BF23" s="185"/>
      <c r="BG23" s="452"/>
      <c r="BH23" s="452"/>
      <c r="BI23" s="396"/>
      <c r="BJ23" s="451"/>
      <c r="BK23" s="445"/>
      <c r="BL23" s="185"/>
      <c r="BM23" s="452"/>
      <c r="BN23" s="452"/>
      <c r="BO23" s="396"/>
      <c r="BP23" s="451"/>
      <c r="BQ23" s="445"/>
      <c r="BR23" s="185"/>
      <c r="BS23" s="452"/>
      <c r="BT23" s="452"/>
      <c r="BU23" s="396"/>
      <c r="BV23" s="451"/>
      <c r="BW23" s="445"/>
      <c r="BX23" s="185"/>
      <c r="BY23" s="452"/>
      <c r="BZ23" s="452"/>
      <c r="CA23" s="396"/>
      <c r="CB23" s="451"/>
      <c r="CC23" s="451"/>
      <c r="CD23" s="451"/>
      <c r="CE23" s="451"/>
      <c r="CF23" s="451"/>
      <c r="CG23" s="451"/>
      <c r="CH23" s="445"/>
      <c r="CI23" s="445"/>
    </row>
    <row r="24" ht="15.75" customHeight="1">
      <c r="A24" s="229"/>
      <c r="B24" s="309" t="s">
        <v>222</v>
      </c>
      <c r="C24" s="432"/>
      <c r="D24" s="432" t="s">
        <v>107</v>
      </c>
      <c r="E24" s="446" t="s">
        <v>113</v>
      </c>
      <c r="F24" s="403"/>
      <c r="G24" s="404"/>
      <c r="H24" s="405" t="str">
        <f t="array" ref="H24">IF(
  G24 = 0, 
  "", 
  IFERROR(
    INDEX(
      'アイテム別限界値DB'!$K:$K, 
      MATCH(
        1, 
        ('アイテム別限界値DB'!$B:$B = D$4) * 
        ('アイテム別限界値DB'!$G:$G = D24) * 
        ('アイテム別限界値DB'!$H:$H = G24), 
        0
      )
    ), 
    "再製作"
  )
)
</f>
        <v/>
      </c>
      <c r="I24" s="397" t="str">
        <f t="array" ref="I24">IF(
  $G24 = 0, 
  "", 
  IFERROR(
    INDEX(
      'アイテム別限界値DB'!$N:$N, 
      MATCH(
        1, 
        ('アイテム別限界値DB'!$B:$B = $D$4) * 
        ('アイテム別限界値DB'!$G:$G = $D24) * 
        ('アイテム別限界値DB'!$H:$H = $G24), 
        0
      )
    )*F24, 
    "再製作"
  )
)
</f>
        <v/>
      </c>
      <c r="J24" s="443"/>
      <c r="K24" s="425"/>
      <c r="L24" s="447"/>
      <c r="M24" s="455"/>
      <c r="N24" s="386"/>
      <c r="O24" s="396"/>
      <c r="P24" s="451"/>
      <c r="Q24" s="444"/>
      <c r="R24" s="445"/>
      <c r="S24" s="316"/>
      <c r="T24" s="317"/>
      <c r="U24" s="317"/>
      <c r="V24" s="317"/>
      <c r="W24" s="317"/>
      <c r="X24" s="445"/>
      <c r="Y24" s="443"/>
      <c r="Z24" s="448"/>
      <c r="AA24" s="386"/>
      <c r="AB24" s="386"/>
      <c r="AC24" s="396"/>
      <c r="AD24" s="396"/>
      <c r="AE24" s="444"/>
      <c r="AF24" s="449" t="s">
        <v>105</v>
      </c>
      <c r="AG24" s="450" t="s">
        <v>105</v>
      </c>
      <c r="AH24" s="450"/>
      <c r="AI24" s="450"/>
      <c r="AJ24" s="396"/>
      <c r="AK24" s="451"/>
      <c r="AL24" s="445"/>
      <c r="AM24" s="185"/>
      <c r="AN24" s="185"/>
      <c r="AO24" s="452"/>
      <c r="AP24" s="452"/>
      <c r="AQ24" s="396"/>
      <c r="AR24" s="451"/>
      <c r="AS24" s="445"/>
      <c r="AT24" s="185"/>
      <c r="AU24" s="452"/>
      <c r="AV24" s="452"/>
      <c r="AW24" s="396"/>
      <c r="AX24" s="451"/>
      <c r="AY24" s="445"/>
      <c r="AZ24" s="185"/>
      <c r="BA24" s="452"/>
      <c r="BB24" s="452"/>
      <c r="BC24" s="396"/>
      <c r="BD24" s="451"/>
      <c r="BE24" s="445"/>
      <c r="BF24" s="185"/>
      <c r="BG24" s="452"/>
      <c r="BH24" s="452"/>
      <c r="BI24" s="396"/>
      <c r="BJ24" s="451"/>
      <c r="BK24" s="445"/>
      <c r="BL24" s="185"/>
      <c r="BM24" s="452"/>
      <c r="BN24" s="452"/>
      <c r="BO24" s="396"/>
      <c r="BP24" s="451"/>
      <c r="BQ24" s="445"/>
      <c r="BR24" s="185"/>
      <c r="BS24" s="452"/>
      <c r="BT24" s="452"/>
      <c r="BU24" s="396"/>
      <c r="BV24" s="451"/>
      <c r="BW24" s="445"/>
      <c r="BX24" s="185"/>
      <c r="BY24" s="452"/>
      <c r="BZ24" s="452"/>
      <c r="CA24" s="396"/>
      <c r="CB24" s="451"/>
      <c r="CC24" s="451"/>
      <c r="CD24" s="451"/>
      <c r="CE24" s="451"/>
      <c r="CF24" s="451"/>
      <c r="CG24" s="451"/>
      <c r="CH24" s="445"/>
      <c r="CI24" s="445"/>
    </row>
    <row r="25" ht="15.75" customHeight="1">
      <c r="A25" s="229"/>
      <c r="B25" s="228" t="str">
        <f>IFERROR(__xludf.DUMMYFUNCTION("TEXTJOIN(CHAR(10),TRUE,FILTER(ARRAYFORMULA(IF(AI$14:AI70&lt;&gt;"""",AG$14:AG70&amp;"" : ""&amp; AI$14:AI70 &amp;"" cm"","""")), AG$14:AG70 &lt;&gt;""""))"),"")</f>
        <v/>
      </c>
      <c r="C25" s="432"/>
      <c r="D25" s="432" t="s">
        <v>108</v>
      </c>
      <c r="E25" s="446" t="s">
        <v>114</v>
      </c>
      <c r="F25" s="403"/>
      <c r="G25" s="404"/>
      <c r="H25" s="405" t="str">
        <f t="array" ref="H25">IF(
  G25 = 0, 
  "", 
  IFERROR(
    INDEX(
      'アイテム別限界値DB'!$K:$K, 
      MATCH(
        1, 
        ('アイテム別限界値DB'!$B:$B = D$4) * 
        ('アイテム別限界値DB'!$G:$G = D25) * 
        ('アイテム別限界値DB'!$H:$H = G25), 
        0
      )
    ), 
    "再製作"
  )
)
</f>
        <v/>
      </c>
      <c r="I25" s="397" t="str">
        <f t="array" ref="I25">IF(
  $G25 = 0, 
  "", 
  IFERROR(
    INDEX(
      'アイテム別限界値DB'!$N:$N, 
      MATCH(
        1, 
        ('アイテム別限界値DB'!$B:$B = $D$4) * 
        ('アイテム別限界値DB'!$G:$G = $D25) * 
        ('アイテム別限界値DB'!$H:$H = $G25), 
        0
      )
    )*F25, 
    "再製作"
  )
)
</f>
        <v/>
      </c>
      <c r="J25" s="443"/>
      <c r="K25" s="425"/>
      <c r="L25" s="447"/>
      <c r="M25" s="455"/>
      <c r="N25" s="386"/>
      <c r="O25" s="396"/>
      <c r="P25" s="451"/>
      <c r="Q25" s="444"/>
      <c r="R25" s="445"/>
      <c r="S25" s="316"/>
      <c r="T25" s="317"/>
      <c r="U25" s="317"/>
      <c r="V25" s="317"/>
      <c r="W25" s="317"/>
      <c r="X25" s="445"/>
      <c r="Y25" s="443"/>
      <c r="Z25" s="448"/>
      <c r="AA25" s="386"/>
      <c r="AB25" s="386"/>
      <c r="AC25" s="396"/>
      <c r="AD25" s="396"/>
      <c r="AE25" s="444"/>
      <c r="AF25" s="449"/>
      <c r="AG25" s="450"/>
      <c r="AH25" s="450"/>
      <c r="AI25" s="450"/>
      <c r="AJ25" s="396"/>
      <c r="AK25" s="451"/>
      <c r="AL25" s="445"/>
      <c r="AM25" s="185"/>
      <c r="AN25" s="185"/>
      <c r="AO25" s="452"/>
      <c r="AP25" s="452"/>
      <c r="AQ25" s="396"/>
      <c r="AR25" s="451"/>
      <c r="AS25" s="445"/>
      <c r="AT25" s="185"/>
      <c r="AU25" s="452"/>
      <c r="AV25" s="452"/>
      <c r="AW25" s="396"/>
      <c r="AX25" s="451"/>
      <c r="AY25" s="445"/>
      <c r="AZ25" s="185"/>
      <c r="BA25" s="452"/>
      <c r="BB25" s="452"/>
      <c r="BC25" s="396"/>
      <c r="BD25" s="451"/>
      <c r="BE25" s="445"/>
      <c r="BF25" s="185"/>
      <c r="BG25" s="452"/>
      <c r="BH25" s="452"/>
      <c r="BI25" s="396"/>
      <c r="BJ25" s="451"/>
      <c r="BK25" s="445"/>
      <c r="BL25" s="185"/>
      <c r="BM25" s="452"/>
      <c r="BN25" s="452"/>
      <c r="BO25" s="396"/>
      <c r="BP25" s="451"/>
      <c r="BQ25" s="445"/>
      <c r="BR25" s="185"/>
      <c r="BS25" s="452"/>
      <c r="BT25" s="452"/>
      <c r="BU25" s="396"/>
      <c r="BV25" s="451"/>
      <c r="BW25" s="445"/>
      <c r="BX25" s="185"/>
      <c r="BY25" s="452"/>
      <c r="BZ25" s="452"/>
      <c r="CA25" s="396"/>
      <c r="CB25" s="451"/>
      <c r="CC25" s="451"/>
      <c r="CD25" s="451"/>
      <c r="CE25" s="451"/>
      <c r="CF25" s="451"/>
      <c r="CG25" s="451"/>
      <c r="CH25" s="445"/>
      <c r="CI25" s="445"/>
    </row>
    <row r="26" ht="15.75" customHeight="1">
      <c r="A26" s="441"/>
      <c r="B26" s="309" t="s">
        <v>223</v>
      </c>
      <c r="C26" s="432"/>
      <c r="D26" s="432" t="s">
        <v>224</v>
      </c>
      <c r="E26" s="446" t="s">
        <v>116</v>
      </c>
      <c r="F26" s="403"/>
      <c r="G26" s="404"/>
      <c r="H26" s="405" t="str">
        <f t="array" ref="H26">IF(
  G26 = 0, 
  "", 
  IFERROR(
    INDEX(
      'アイテム別限界値DB'!$K:$K, 
      MATCH(
        1, 
        ('アイテム別限界値DB'!$B:$B = D$4) * 
        ('アイテム別限界値DB'!$G:$G = D26) * 
        ('アイテム別限界値DB'!$H:$H = G26), 
        0
      )
    ), 
    "再製作"
  )
)
</f>
        <v/>
      </c>
      <c r="I26" s="397" t="str">
        <f t="array" ref="I26">IF(
  $G26 = 0, 
  "", 
  IFERROR(
    INDEX(
      'アイテム別限界値DB'!$N:$N, 
      MATCH(
        1, 
        ('アイテム別限界値DB'!$B:$B = $D$4) * 
        ('アイテム別限界値DB'!$G:$G = $D26) * 
        ('アイテム別限界値DB'!$H:$H = $G26), 
        0
      )
    )*F26, 
    "再製作"
  )
)
</f>
        <v/>
      </c>
      <c r="J26" s="443"/>
      <c r="K26" s="425"/>
      <c r="L26" s="447"/>
      <c r="M26" s="455"/>
      <c r="N26" s="386"/>
      <c r="O26" s="396"/>
      <c r="P26" s="451"/>
      <c r="Q26" s="444"/>
      <c r="R26" s="445"/>
      <c r="S26" s="316"/>
      <c r="T26" s="317"/>
      <c r="U26" s="317"/>
      <c r="V26" s="317"/>
      <c r="W26" s="317"/>
      <c r="X26" s="445"/>
      <c r="Y26" s="443"/>
      <c r="Z26" s="448"/>
      <c r="AA26" s="386"/>
      <c r="AB26" s="386"/>
      <c r="AC26" s="396"/>
      <c r="AD26" s="396"/>
      <c r="AE26" s="444"/>
      <c r="AF26" s="449"/>
      <c r="AG26" s="450"/>
      <c r="AH26" s="450"/>
      <c r="AI26" s="450"/>
      <c r="AJ26" s="396"/>
      <c r="AK26" s="451"/>
      <c r="AL26" s="445"/>
      <c r="AM26" s="185"/>
      <c r="AN26" s="185"/>
      <c r="AO26" s="452"/>
      <c r="AP26" s="452"/>
      <c r="AQ26" s="396"/>
      <c r="AR26" s="451"/>
      <c r="AS26" s="445"/>
      <c r="AT26" s="185"/>
      <c r="AU26" s="452"/>
      <c r="AV26" s="452"/>
      <c r="AW26" s="396"/>
      <c r="AX26" s="451"/>
      <c r="AY26" s="445"/>
      <c r="AZ26" s="185"/>
      <c r="BA26" s="452"/>
      <c r="BB26" s="452"/>
      <c r="BC26" s="396"/>
      <c r="BD26" s="451"/>
      <c r="BE26" s="445"/>
      <c r="BF26" s="185"/>
      <c r="BG26" s="452"/>
      <c r="BH26" s="452"/>
      <c r="BI26" s="396"/>
      <c r="BJ26" s="451"/>
      <c r="BK26" s="445"/>
      <c r="BL26" s="185"/>
      <c r="BM26" s="452"/>
      <c r="BN26" s="452"/>
      <c r="BO26" s="396"/>
      <c r="BP26" s="451"/>
      <c r="BQ26" s="445"/>
      <c r="BR26" s="185"/>
      <c r="BS26" s="452"/>
      <c r="BT26" s="452"/>
      <c r="BU26" s="396"/>
      <c r="BV26" s="451"/>
      <c r="BW26" s="445"/>
      <c r="BX26" s="185"/>
      <c r="BY26" s="452"/>
      <c r="BZ26" s="452"/>
      <c r="CA26" s="396"/>
      <c r="CB26" s="451"/>
      <c r="CC26" s="451"/>
      <c r="CD26" s="451"/>
      <c r="CE26" s="451"/>
      <c r="CF26" s="451"/>
      <c r="CG26" s="451"/>
      <c r="CH26" s="445"/>
      <c r="CI26" s="445"/>
    </row>
    <row r="27" ht="15.75" customHeight="1">
      <c r="A27" s="229"/>
      <c r="B27" s="228" t="str">
        <f>IFERROR(__xludf.DUMMYFUNCTION("TEXTJOIN(CHAR(10),TRUE,FILTER(ARRAYFORMULA(IF(AI$14:AI70&lt;&gt;"""",AG$14:AG70&amp;"" : ""&amp; AI$14:AI70 &amp;"" cm"","""")), AG$14:AG70 &lt;&gt;""""))"),"")</f>
        <v/>
      </c>
      <c r="C27" s="432"/>
      <c r="D27" s="432" t="s">
        <v>111</v>
      </c>
      <c r="E27" s="446" t="s">
        <v>117</v>
      </c>
      <c r="F27" s="403"/>
      <c r="G27" s="404"/>
      <c r="H27" s="405" t="str">
        <f t="array" ref="H27">IF(
  G27 = 0, 
  "", 
  IFERROR(
    INDEX(
      'アイテム別限界値DB'!$K:$K, 
      MATCH(
        1, 
        ('アイテム別限界値DB'!$B:$B = D$4) * 
        ('アイテム別限界値DB'!$G:$G = D27) * 
        ('アイテム別限界値DB'!$H:$H = G27), 
        0
      )
    ), 
    "再製作"
  )
)
</f>
        <v/>
      </c>
      <c r="I27" s="397" t="str">
        <f t="array" ref="I27">IF(
  $G27 = 0, 
  "", 
  IFERROR(
    INDEX(
      'アイテム別限界値DB'!$N:$N, 
      MATCH(
        1, 
        ('アイテム別限界値DB'!$B:$B = $D$4) * 
        ('アイテム別限界値DB'!$G:$G = $D27) * 
        ('アイテム別限界値DB'!$H:$H = $G27), 
        0
      )
    )*F27, 
    "再製作"
  )
)
</f>
        <v/>
      </c>
      <c r="J27" s="443"/>
      <c r="K27" s="425"/>
      <c r="L27" s="447"/>
      <c r="M27" s="455"/>
      <c r="N27" s="386"/>
      <c r="O27" s="396"/>
      <c r="P27" s="451"/>
      <c r="Q27" s="444"/>
      <c r="R27" s="445"/>
      <c r="S27" s="316"/>
      <c r="T27" s="317"/>
      <c r="U27" s="317"/>
      <c r="V27" s="317"/>
      <c r="W27" s="317"/>
      <c r="X27" s="445"/>
      <c r="Y27" s="443"/>
      <c r="Z27" s="448"/>
      <c r="AA27" s="386"/>
      <c r="AB27" s="386"/>
      <c r="AC27" s="396"/>
      <c r="AD27" s="396"/>
      <c r="AE27" s="444"/>
      <c r="AF27" s="449"/>
      <c r="AG27" s="450"/>
      <c r="AH27" s="450"/>
      <c r="AI27" s="450"/>
      <c r="AJ27" s="396"/>
      <c r="AK27" s="451"/>
      <c r="AL27" s="445"/>
      <c r="AM27" s="185"/>
      <c r="AN27" s="185"/>
      <c r="AO27" s="452"/>
      <c r="AP27" s="452"/>
      <c r="AQ27" s="396"/>
      <c r="AR27" s="451"/>
      <c r="AS27" s="445"/>
      <c r="AT27" s="185"/>
      <c r="AU27" s="452"/>
      <c r="AV27" s="452"/>
      <c r="AW27" s="396"/>
      <c r="AX27" s="451"/>
      <c r="AY27" s="445"/>
      <c r="AZ27" s="185"/>
      <c r="BA27" s="452"/>
      <c r="BB27" s="452"/>
      <c r="BC27" s="396"/>
      <c r="BD27" s="451"/>
      <c r="BE27" s="445"/>
      <c r="BF27" s="185"/>
      <c r="BG27" s="452"/>
      <c r="BH27" s="452"/>
      <c r="BI27" s="396"/>
      <c r="BJ27" s="451"/>
      <c r="BK27" s="445"/>
      <c r="BL27" s="185"/>
      <c r="BM27" s="452"/>
      <c r="BN27" s="452"/>
      <c r="BO27" s="396"/>
      <c r="BP27" s="451"/>
      <c r="BQ27" s="445"/>
      <c r="BR27" s="185"/>
      <c r="BS27" s="452"/>
      <c r="BT27" s="452"/>
      <c r="BU27" s="396"/>
      <c r="BV27" s="451"/>
      <c r="BW27" s="445"/>
      <c r="BX27" s="185"/>
      <c r="BY27" s="452"/>
      <c r="BZ27" s="452"/>
      <c r="CA27" s="396"/>
      <c r="CB27" s="451"/>
      <c r="CC27" s="451"/>
      <c r="CD27" s="451"/>
      <c r="CE27" s="451"/>
      <c r="CF27" s="451"/>
      <c r="CG27" s="451"/>
      <c r="CH27" s="445"/>
      <c r="CI27" s="445"/>
    </row>
    <row r="28" ht="15.75" customHeight="1">
      <c r="A28" s="229"/>
      <c r="C28" s="432"/>
      <c r="D28" s="432" t="s">
        <v>112</v>
      </c>
      <c r="E28" s="446" t="s">
        <v>118</v>
      </c>
      <c r="F28" s="403"/>
      <c r="G28" s="404"/>
      <c r="H28" s="405" t="str">
        <f t="array" ref="H28">IF(
  G28 = 0, 
  "", 
  IFERROR(
    INDEX(
      'アイテム別限界値DB'!$K:$K, 
      MATCH(
        1, 
        ('アイテム別限界値DB'!$B:$B = D$4) * 
        ('アイテム別限界値DB'!$G:$G = D28) * 
        ('アイテム別限界値DB'!$H:$H = G28), 
        0
      )
    ), 
    "再製作"
  )
)
</f>
        <v/>
      </c>
      <c r="I28" s="397" t="str">
        <f t="array" ref="I28">IF(
  $G28 = 0, 
  "", 
  IFERROR(
    INDEX(
      'アイテム別限界値DB'!$N:$N, 
      MATCH(
        1, 
        ('アイテム別限界値DB'!$B:$B = $D$4) * 
        ('アイテム別限界値DB'!$G:$G = $D28) * 
        ('アイテム別限界値DB'!$H:$H = $G28), 
        0
      )
    )*F28, 
    "再製作"
  )
)
</f>
        <v/>
      </c>
      <c r="J28" s="443"/>
      <c r="K28" s="425"/>
      <c r="L28" s="447"/>
      <c r="M28" s="455"/>
      <c r="N28" s="386"/>
      <c r="O28" s="396"/>
      <c r="P28" s="451"/>
      <c r="Q28" s="444"/>
      <c r="R28" s="445"/>
      <c r="S28" s="316"/>
      <c r="T28" s="317"/>
      <c r="U28" s="317"/>
      <c r="V28" s="317"/>
      <c r="W28" s="317"/>
      <c r="X28" s="445"/>
      <c r="Y28" s="443"/>
      <c r="Z28" s="448"/>
      <c r="AA28" s="386"/>
      <c r="AB28" s="386"/>
      <c r="AC28" s="396"/>
      <c r="AD28" s="396"/>
      <c r="AE28" s="444"/>
      <c r="AF28" s="449"/>
      <c r="AG28" s="450"/>
      <c r="AH28" s="450"/>
      <c r="AI28" s="450"/>
      <c r="AJ28" s="396"/>
      <c r="AK28" s="451"/>
      <c r="AL28" s="445"/>
      <c r="AM28" s="185"/>
      <c r="AN28" s="185"/>
      <c r="AO28" s="452"/>
      <c r="AP28" s="452"/>
      <c r="AQ28" s="396"/>
      <c r="AR28" s="451"/>
      <c r="AS28" s="445"/>
      <c r="AT28" s="185"/>
      <c r="AU28" s="452"/>
      <c r="AV28" s="452"/>
      <c r="AW28" s="396"/>
      <c r="AX28" s="451"/>
      <c r="AY28" s="445"/>
      <c r="AZ28" s="185"/>
      <c r="BA28" s="452"/>
      <c r="BB28" s="452"/>
      <c r="BC28" s="396"/>
      <c r="BD28" s="451"/>
      <c r="BE28" s="445"/>
      <c r="BF28" s="185"/>
      <c r="BG28" s="452"/>
      <c r="BH28" s="452"/>
      <c r="BI28" s="396"/>
      <c r="BJ28" s="451"/>
      <c r="BK28" s="445"/>
      <c r="BL28" s="185"/>
      <c r="BM28" s="452"/>
      <c r="BN28" s="452"/>
      <c r="BO28" s="396"/>
      <c r="BP28" s="451"/>
      <c r="BQ28" s="445"/>
      <c r="BR28" s="185"/>
      <c r="BS28" s="452"/>
      <c r="BT28" s="452"/>
      <c r="BU28" s="396"/>
      <c r="BV28" s="451"/>
      <c r="BW28" s="445"/>
      <c r="BX28" s="185"/>
      <c r="BY28" s="452"/>
      <c r="BZ28" s="452"/>
      <c r="CA28" s="396"/>
      <c r="CB28" s="451"/>
      <c r="CC28" s="451"/>
      <c r="CD28" s="451"/>
      <c r="CE28" s="451"/>
      <c r="CF28" s="451"/>
      <c r="CG28" s="451"/>
      <c r="CH28" s="445"/>
      <c r="CI28" s="445"/>
    </row>
    <row r="29" ht="15.75" customHeight="1">
      <c r="A29" s="456"/>
      <c r="C29" s="432"/>
      <c r="D29" s="432" t="s">
        <v>113</v>
      </c>
      <c r="E29" s="446" t="s">
        <v>119</v>
      </c>
      <c r="F29" s="403"/>
      <c r="G29" s="404"/>
      <c r="H29" s="405" t="str">
        <f t="array" ref="H29">IF(
  G29 = 0, 
  "", 
  IFERROR(
    INDEX(
      'アイテム別限界値DB'!$K:$K, 
      MATCH(
        1, 
        ('アイテム別限界値DB'!$B:$B = D$4) * 
        ('アイテム別限界値DB'!$G:$G = D29) * 
        ('アイテム別限界値DB'!$H:$H = G29), 
        0
      )
    ), 
    "再製作"
  )
)
</f>
        <v/>
      </c>
      <c r="I29" s="397" t="str">
        <f t="array" ref="I29">IF(
  $G29 = 0, 
  "", 
  IFERROR(
    INDEX(
      'アイテム別限界値DB'!$N:$N, 
      MATCH(
        1, 
        ('アイテム別限界値DB'!$B:$B = $D$4) * 
        ('アイテム別限界値DB'!$G:$G = $D29) * 
        ('アイテム別限界値DB'!$H:$H = $G29), 
        0
      )
    )*F29, 
    "再製作"
  )
)
</f>
        <v/>
      </c>
      <c r="J29" s="443"/>
      <c r="K29" s="425"/>
      <c r="L29" s="447"/>
      <c r="M29" s="455"/>
      <c r="N29" s="386"/>
      <c r="O29" s="396"/>
      <c r="P29" s="451"/>
      <c r="Q29" s="444"/>
      <c r="R29" s="445"/>
      <c r="S29" s="316"/>
      <c r="T29" s="317"/>
      <c r="U29" s="317"/>
      <c r="V29" s="317"/>
      <c r="W29" s="317"/>
      <c r="X29" s="445"/>
      <c r="Y29" s="443"/>
      <c r="Z29" s="448"/>
      <c r="AA29" s="386"/>
      <c r="AB29" s="386"/>
      <c r="AC29" s="396"/>
      <c r="AD29" s="396"/>
      <c r="AE29" s="444"/>
      <c r="AF29" s="449"/>
      <c r="AG29" s="450"/>
      <c r="AH29" s="450"/>
      <c r="AI29" s="450"/>
      <c r="AJ29" s="396"/>
      <c r="AK29" s="451"/>
      <c r="AL29" s="445"/>
      <c r="AM29" s="185"/>
      <c r="AN29" s="185"/>
      <c r="AO29" s="452"/>
      <c r="AP29" s="452"/>
      <c r="AQ29" s="396"/>
      <c r="AR29" s="451"/>
      <c r="AS29" s="445"/>
      <c r="AT29" s="185"/>
      <c r="AU29" s="452"/>
      <c r="AV29" s="452"/>
      <c r="AW29" s="396"/>
      <c r="AX29" s="451"/>
      <c r="AY29" s="445"/>
      <c r="AZ29" s="185"/>
      <c r="BA29" s="452"/>
      <c r="BB29" s="452"/>
      <c r="BC29" s="396"/>
      <c r="BD29" s="451"/>
      <c r="BE29" s="445"/>
      <c r="BF29" s="185"/>
      <c r="BG29" s="452"/>
      <c r="BH29" s="452"/>
      <c r="BI29" s="396"/>
      <c r="BJ29" s="451"/>
      <c r="BK29" s="445"/>
      <c r="BL29" s="185"/>
      <c r="BM29" s="452"/>
      <c r="BN29" s="452"/>
      <c r="BO29" s="396"/>
      <c r="BP29" s="451"/>
      <c r="BQ29" s="445"/>
      <c r="BR29" s="185"/>
      <c r="BS29" s="452"/>
      <c r="BT29" s="452"/>
      <c r="BU29" s="396"/>
      <c r="BV29" s="451"/>
      <c r="BW29" s="445"/>
      <c r="BX29" s="185"/>
      <c r="BY29" s="452"/>
      <c r="BZ29" s="452"/>
      <c r="CA29" s="396"/>
      <c r="CB29" s="451"/>
      <c r="CC29" s="451"/>
      <c r="CD29" s="451"/>
      <c r="CE29" s="451"/>
      <c r="CF29" s="451"/>
      <c r="CG29" s="451"/>
      <c r="CH29" s="445"/>
      <c r="CI29" s="445"/>
    </row>
    <row r="30" ht="15.75" customHeight="1">
      <c r="A30" s="160"/>
      <c r="C30" s="432"/>
      <c r="D30" s="432" t="s">
        <v>114</v>
      </c>
      <c r="E30" s="446" t="s">
        <v>120</v>
      </c>
      <c r="F30" s="403"/>
      <c r="G30" s="404"/>
      <c r="H30" s="405" t="str">
        <f t="array" ref="H30">IF(
  G30 = 0, 
  "", 
  IFERROR(
    INDEX(
      'アイテム別限界値DB'!$K:$K, 
      MATCH(
        1, 
        ('アイテム別限界値DB'!$B:$B = D$4) * 
        ('アイテム別限界値DB'!$G:$G = D30) * 
        ('アイテム別限界値DB'!$H:$H = G30), 
        0
      )
    ), 
    "再製作"
  )
)
</f>
        <v/>
      </c>
      <c r="I30" s="397" t="str">
        <f t="array" ref="I30">IF(
  $G30 = 0, 
  "", 
  IFERROR(
    INDEX(
      'アイテム別限界値DB'!$N:$N, 
      MATCH(
        1, 
        ('アイテム別限界値DB'!$B:$B = $D$4) * 
        ('アイテム別限界値DB'!$G:$G = $D30) * 
        ('アイテム別限界値DB'!$H:$H = $G30), 
        0
      )
    )*F30, 
    "再製作"
  )
)
</f>
        <v/>
      </c>
      <c r="J30" s="443"/>
      <c r="K30" s="425"/>
      <c r="L30" s="447"/>
      <c r="M30" s="455"/>
      <c r="N30" s="386"/>
      <c r="O30" s="396"/>
      <c r="P30" s="451"/>
      <c r="Q30" s="444"/>
      <c r="R30" s="445"/>
      <c r="S30" s="316"/>
      <c r="T30" s="317"/>
      <c r="U30" s="317"/>
      <c r="V30" s="317"/>
      <c r="W30" s="317"/>
      <c r="X30" s="445"/>
      <c r="Y30" s="443"/>
      <c r="Z30" s="448"/>
      <c r="AA30" s="386"/>
      <c r="AB30" s="386"/>
      <c r="AC30" s="396"/>
      <c r="AD30" s="396"/>
      <c r="AE30" s="444"/>
      <c r="AF30" s="449"/>
      <c r="AG30" s="450"/>
      <c r="AH30" s="450"/>
      <c r="AI30" s="450"/>
      <c r="AJ30" s="396"/>
      <c r="AK30" s="451"/>
      <c r="AL30" s="445"/>
      <c r="AM30" s="185"/>
      <c r="AN30" s="185"/>
      <c r="AO30" s="452"/>
      <c r="AP30" s="452"/>
      <c r="AQ30" s="396"/>
      <c r="AR30" s="451"/>
      <c r="AS30" s="445"/>
      <c r="AT30" s="185"/>
      <c r="AU30" s="452"/>
      <c r="AV30" s="452"/>
      <c r="AW30" s="396"/>
      <c r="AX30" s="451"/>
      <c r="AY30" s="445"/>
      <c r="AZ30" s="185"/>
      <c r="BA30" s="452"/>
      <c r="BB30" s="452"/>
      <c r="BC30" s="396"/>
      <c r="BD30" s="451"/>
      <c r="BE30" s="445"/>
      <c r="BF30" s="185"/>
      <c r="BG30" s="452"/>
      <c r="BH30" s="452"/>
      <c r="BI30" s="396"/>
      <c r="BJ30" s="451"/>
      <c r="BK30" s="445"/>
      <c r="BL30" s="185"/>
      <c r="BM30" s="452"/>
      <c r="BN30" s="452"/>
      <c r="BO30" s="396"/>
      <c r="BP30" s="451"/>
      <c r="BQ30" s="445"/>
      <c r="BR30" s="185"/>
      <c r="BS30" s="452"/>
      <c r="BT30" s="452"/>
      <c r="BU30" s="396"/>
      <c r="BV30" s="451"/>
      <c r="BW30" s="445"/>
      <c r="BX30" s="185"/>
      <c r="BY30" s="452"/>
      <c r="BZ30" s="452"/>
      <c r="CA30" s="396"/>
      <c r="CB30" s="451"/>
      <c r="CC30" s="451"/>
      <c r="CD30" s="451"/>
      <c r="CE30" s="451"/>
      <c r="CF30" s="451"/>
      <c r="CG30" s="451"/>
      <c r="CH30" s="445"/>
      <c r="CI30" s="445"/>
    </row>
    <row r="31" ht="15.75" customHeight="1">
      <c r="A31" s="229"/>
      <c r="C31" s="432"/>
      <c r="D31" s="432" t="s">
        <v>225</v>
      </c>
      <c r="E31" s="446"/>
      <c r="F31" s="403"/>
      <c r="G31" s="404"/>
      <c r="H31" s="405" t="str">
        <f t="array" ref="H31">IF(
  G31 = 0, 
  "", 
  IFERROR(
    INDEX(
      'アイテム別限界値DB'!$K:$K, 
      MATCH(
        1, 
        ('アイテム別限界値DB'!$B:$B = D$4) * 
        ('アイテム別限界値DB'!$G:$G = D31) * 
        ('アイテム別限界値DB'!$H:$H = G31), 
        0
      )
    ), 
    "再製作"
  )
)
</f>
        <v/>
      </c>
      <c r="I31" s="397" t="str">
        <f t="array" ref="I31">IF(
  $G31 = 0, 
  "", 
  IFERROR(
    INDEX(
      'アイテム別限界値DB'!$N:$N, 
      MATCH(
        1, 
        ('アイテム別限界値DB'!$B:$B = $D$4) * 
        ('アイテム別限界値DB'!$G:$G = $D31) * 
        ('アイテム別限界値DB'!$H:$H = $G31), 
        0
      )
    )*F31, 
    "再製作"
  )
)
</f>
        <v/>
      </c>
      <c r="J31" s="443"/>
      <c r="K31" s="425"/>
      <c r="L31" s="447"/>
      <c r="M31" s="455"/>
      <c r="N31" s="386"/>
      <c r="O31" s="396"/>
      <c r="P31" s="451"/>
      <c r="Q31" s="444"/>
      <c r="R31" s="445"/>
      <c r="S31" s="316"/>
      <c r="T31" s="317"/>
      <c r="U31" s="317"/>
      <c r="V31" s="317"/>
      <c r="W31" s="317"/>
      <c r="X31" s="445"/>
      <c r="Y31" s="443"/>
      <c r="Z31" s="448"/>
      <c r="AA31" s="386"/>
      <c r="AB31" s="386"/>
      <c r="AC31" s="396"/>
      <c r="AD31" s="396"/>
      <c r="AE31" s="444"/>
      <c r="AF31" s="449"/>
      <c r="AG31" s="450"/>
      <c r="AH31" s="450"/>
      <c r="AI31" s="450"/>
      <c r="AJ31" s="396"/>
      <c r="AK31" s="451"/>
      <c r="AL31" s="445"/>
      <c r="AM31" s="185"/>
      <c r="AN31" s="185"/>
      <c r="AO31" s="452"/>
      <c r="AP31" s="452"/>
      <c r="AQ31" s="396"/>
      <c r="AR31" s="451"/>
      <c r="AS31" s="445"/>
      <c r="AT31" s="185"/>
      <c r="AU31" s="452"/>
      <c r="AV31" s="452"/>
      <c r="AW31" s="396"/>
      <c r="AX31" s="451"/>
      <c r="AY31" s="445"/>
      <c r="AZ31" s="185"/>
      <c r="BA31" s="452"/>
      <c r="BB31" s="452"/>
      <c r="BC31" s="396"/>
      <c r="BD31" s="451"/>
      <c r="BE31" s="445"/>
      <c r="BF31" s="185"/>
      <c r="BG31" s="452"/>
      <c r="BH31" s="452"/>
      <c r="BI31" s="396"/>
      <c r="BJ31" s="451"/>
      <c r="BK31" s="445"/>
      <c r="BL31" s="185"/>
      <c r="BM31" s="452"/>
      <c r="BN31" s="452"/>
      <c r="BO31" s="396"/>
      <c r="BP31" s="451"/>
      <c r="BQ31" s="445"/>
      <c r="BR31" s="185"/>
      <c r="BS31" s="452"/>
      <c r="BT31" s="452"/>
      <c r="BU31" s="396"/>
      <c r="BV31" s="451"/>
      <c r="BW31" s="445"/>
      <c r="BX31" s="185"/>
      <c r="BY31" s="452"/>
      <c r="BZ31" s="452"/>
      <c r="CA31" s="396"/>
      <c r="CB31" s="451"/>
      <c r="CC31" s="451"/>
      <c r="CD31" s="451"/>
      <c r="CE31" s="451"/>
      <c r="CF31" s="451"/>
      <c r="CG31" s="451"/>
      <c r="CH31" s="445"/>
      <c r="CI31" s="445"/>
    </row>
    <row r="32" ht="15.75" customHeight="1">
      <c r="A32" s="457"/>
      <c r="C32" s="432"/>
      <c r="D32" s="432" t="s">
        <v>226</v>
      </c>
      <c r="E32" s="446"/>
      <c r="F32" s="403"/>
      <c r="G32" s="404"/>
      <c r="H32" s="405" t="str">
        <f t="array" ref="H32">IF(
  G32 = 0, 
  "", 
  IFERROR(
    INDEX(
      'アイテム別限界値DB'!$K:$K, 
      MATCH(
        1, 
        ('アイテム別限界値DB'!$B:$B = D$4) * 
        ('アイテム別限界値DB'!$G:$G = D32) * 
        ('アイテム別限界値DB'!$H:$H = G32), 
        0
      )
    ), 
    "再製作"
  )
)
</f>
        <v/>
      </c>
      <c r="I32" s="397" t="str">
        <f t="array" ref="I32">IF(
  $G32 = 0, 
  "", 
  IFERROR(
    INDEX(
      'アイテム別限界値DB'!$N:$N, 
      MATCH(
        1, 
        ('アイテム別限界値DB'!$B:$B = $D$4) * 
        ('アイテム別限界値DB'!$G:$G = $D32) * 
        ('アイテム別限界値DB'!$H:$H = $G32), 
        0
      )
    )*F32, 
    "再製作"
  )
)
</f>
        <v/>
      </c>
      <c r="J32" s="443"/>
      <c r="K32" s="425"/>
      <c r="L32" s="447"/>
      <c r="M32" s="455"/>
      <c r="N32" s="386"/>
      <c r="O32" s="396"/>
      <c r="P32" s="451"/>
      <c r="Q32" s="444"/>
      <c r="R32" s="445"/>
      <c r="S32" s="316"/>
      <c r="T32" s="317"/>
      <c r="U32" s="317"/>
      <c r="V32" s="317"/>
      <c r="W32" s="317"/>
      <c r="X32" s="445"/>
      <c r="Y32" s="443"/>
      <c r="Z32" s="448"/>
      <c r="AA32" s="386"/>
      <c r="AB32" s="386"/>
      <c r="AC32" s="396"/>
      <c r="AD32" s="396"/>
      <c r="AE32" s="444"/>
      <c r="AF32" s="449"/>
      <c r="AG32" s="450"/>
      <c r="AH32" s="450"/>
      <c r="AI32" s="450"/>
      <c r="AJ32" s="396"/>
      <c r="AK32" s="451"/>
      <c r="AL32" s="445"/>
      <c r="AM32" s="185"/>
      <c r="AN32" s="185"/>
      <c r="AO32" s="452"/>
      <c r="AP32" s="452"/>
      <c r="AQ32" s="396"/>
      <c r="AR32" s="451"/>
      <c r="AS32" s="445"/>
      <c r="AT32" s="185"/>
      <c r="AU32" s="452"/>
      <c r="AV32" s="452"/>
      <c r="AW32" s="396"/>
      <c r="AX32" s="451"/>
      <c r="AY32" s="445"/>
      <c r="AZ32" s="185"/>
      <c r="BA32" s="452"/>
      <c r="BB32" s="452"/>
      <c r="BC32" s="396"/>
      <c r="BD32" s="451"/>
      <c r="BE32" s="445"/>
      <c r="BF32" s="185"/>
      <c r="BG32" s="452"/>
      <c r="BH32" s="452"/>
      <c r="BI32" s="396"/>
      <c r="BJ32" s="451"/>
      <c r="BK32" s="445"/>
      <c r="BL32" s="185"/>
      <c r="BM32" s="452"/>
      <c r="BN32" s="452"/>
      <c r="BO32" s="396"/>
      <c r="BP32" s="451"/>
      <c r="BQ32" s="445"/>
      <c r="BR32" s="185"/>
      <c r="BS32" s="452"/>
      <c r="BT32" s="452"/>
      <c r="BU32" s="396"/>
      <c r="BV32" s="451"/>
      <c r="BW32" s="445"/>
      <c r="BX32" s="185"/>
      <c r="BY32" s="452"/>
      <c r="BZ32" s="452"/>
      <c r="CA32" s="396"/>
      <c r="CB32" s="451"/>
      <c r="CC32" s="451"/>
      <c r="CD32" s="451"/>
      <c r="CE32" s="451"/>
      <c r="CF32" s="451"/>
      <c r="CG32" s="451"/>
      <c r="CH32" s="445"/>
      <c r="CI32" s="445"/>
    </row>
    <row r="33" ht="15.75" customHeight="1">
      <c r="A33" s="160"/>
      <c r="C33" s="432"/>
      <c r="D33" s="432" t="s">
        <v>118</v>
      </c>
      <c r="E33" s="446"/>
      <c r="F33" s="403"/>
      <c r="G33" s="404"/>
      <c r="H33" s="405" t="str">
        <f t="array" ref="H33">IF(
  G33 = 0, 
  "", 
  IFERROR(
    INDEX(
      'アイテム別限界値DB'!$K:$K, 
      MATCH(
        1, 
        ('アイテム別限界値DB'!$B:$B = D$4) * 
        ('アイテム別限界値DB'!$G:$G = D33) * 
        ('アイテム別限界値DB'!$H:$H = G33), 
        0
      )
    ), 
    "再製作"
  )
)
</f>
        <v/>
      </c>
      <c r="I33" s="397" t="str">
        <f t="array" ref="I33">IF(
  $G33 = 0, 
  "", 
  IFERROR(
    INDEX(
      'アイテム別限界値DB'!$N:$N, 
      MATCH(
        1, 
        ('アイテム別限界値DB'!$B:$B = $D$4) * 
        ('アイテム別限界値DB'!$G:$G = $D33) * 
        ('アイテム別限界値DB'!$H:$H = $G33), 
        0
      )
    )*F33, 
    "再製作"
  )
)
</f>
        <v/>
      </c>
      <c r="J33" s="443"/>
      <c r="K33" s="425"/>
      <c r="L33" s="447"/>
      <c r="M33" s="455"/>
      <c r="N33" s="386"/>
      <c r="O33" s="396"/>
      <c r="P33" s="451"/>
      <c r="Q33" s="444"/>
      <c r="R33" s="445"/>
      <c r="S33" s="316"/>
      <c r="T33" s="317"/>
      <c r="U33" s="317"/>
      <c r="V33" s="317"/>
      <c r="W33" s="317"/>
      <c r="X33" s="445"/>
      <c r="Y33" s="443"/>
      <c r="Z33" s="448"/>
      <c r="AA33" s="386"/>
      <c r="AB33" s="386"/>
      <c r="AC33" s="396"/>
      <c r="AD33" s="396"/>
      <c r="AE33" s="444"/>
      <c r="AF33" s="449"/>
      <c r="AG33" s="450"/>
      <c r="AH33" s="450"/>
      <c r="AI33" s="450"/>
      <c r="AJ33" s="396"/>
      <c r="AK33" s="451"/>
      <c r="AL33" s="445"/>
      <c r="AM33" s="185"/>
      <c r="AN33" s="185"/>
      <c r="AO33" s="452"/>
      <c r="AP33" s="452"/>
      <c r="AQ33" s="396"/>
      <c r="AR33" s="451"/>
      <c r="AS33" s="445"/>
      <c r="AT33" s="185"/>
      <c r="AU33" s="452"/>
      <c r="AV33" s="452"/>
      <c r="AW33" s="396"/>
      <c r="AX33" s="451"/>
      <c r="AY33" s="445"/>
      <c r="AZ33" s="185"/>
      <c r="BA33" s="452"/>
      <c r="BB33" s="452"/>
      <c r="BC33" s="396"/>
      <c r="BD33" s="451"/>
      <c r="BE33" s="445"/>
      <c r="BF33" s="185"/>
      <c r="BG33" s="452"/>
      <c r="BH33" s="452"/>
      <c r="BI33" s="396"/>
      <c r="BJ33" s="451"/>
      <c r="BK33" s="445"/>
      <c r="BL33" s="185"/>
      <c r="BM33" s="452"/>
      <c r="BN33" s="452"/>
      <c r="BO33" s="396"/>
      <c r="BP33" s="451"/>
      <c r="BQ33" s="445"/>
      <c r="BR33" s="185"/>
      <c r="BS33" s="452"/>
      <c r="BT33" s="452"/>
      <c r="BU33" s="396"/>
      <c r="BV33" s="451"/>
      <c r="BW33" s="445"/>
      <c r="BX33" s="185"/>
      <c r="BY33" s="452"/>
      <c r="BZ33" s="452"/>
      <c r="CA33" s="396"/>
      <c r="CB33" s="451"/>
      <c r="CC33" s="451"/>
      <c r="CD33" s="451"/>
      <c r="CE33" s="451"/>
      <c r="CF33" s="451"/>
      <c r="CG33" s="451"/>
      <c r="CH33" s="445"/>
      <c r="CI33" s="445"/>
    </row>
    <row r="34" ht="15.75" customHeight="1">
      <c r="A34" s="229"/>
      <c r="C34" s="432"/>
      <c r="D34" s="432" t="s">
        <v>119</v>
      </c>
      <c r="E34" s="446"/>
      <c r="F34" s="403"/>
      <c r="G34" s="404"/>
      <c r="H34" s="458" t="str">
        <f t="array" ref="H34">IF(
  G34 = 0, 
  "", 
  IFERROR(
    INDEX(
      'アイテム別限界値DB'!$I:$I, 
      MATCH(
        1, 
        ('アイテム別限界値DB'!$B:$B = D$4) * 
        ('アイテム別限界値DB'!$E:$E = D34) * 
        ('アイテム別限界値DB'!$F:$F = G34), 
        0
      )
    ), 
    "再製作"
  )
)
</f>
        <v/>
      </c>
      <c r="I34" s="397" t="str">
        <f t="array" ref="I34">IF(
  $G34 = 0, 
  "", 
  IFERROR(
    INDEX(
      'アイテム別限界値DB'!$N:$N, 
      MATCH(
        1, 
        ('アイテム別限界値DB'!$B:$B = $D$4) * 
        ('アイテム別限界値DB'!$G:$G = $D34) * 
        ('アイテム別限界値DB'!$H:$H = $G34), 
        0
      )
    )*F34, 
    "再製作"
  )
)
</f>
        <v/>
      </c>
      <c r="J34" s="443"/>
      <c r="K34" s="425"/>
      <c r="L34" s="447"/>
      <c r="M34" s="455"/>
      <c r="N34" s="386"/>
      <c r="O34" s="396"/>
      <c r="P34" s="451"/>
      <c r="Q34" s="444"/>
      <c r="R34" s="445"/>
      <c r="S34" s="316"/>
      <c r="T34" s="317"/>
      <c r="U34" s="317"/>
      <c r="V34" s="317"/>
      <c r="W34" s="317"/>
      <c r="X34" s="445"/>
      <c r="Y34" s="443"/>
      <c r="Z34" s="448"/>
      <c r="AA34" s="386"/>
      <c r="AB34" s="386"/>
      <c r="AC34" s="396"/>
      <c r="AD34" s="396"/>
      <c r="AE34" s="444"/>
      <c r="AF34" s="449"/>
      <c r="AG34" s="450"/>
      <c r="AH34" s="450"/>
      <c r="AI34" s="450"/>
      <c r="AJ34" s="396"/>
      <c r="AK34" s="451"/>
      <c r="AL34" s="445"/>
      <c r="AM34" s="185"/>
      <c r="AN34" s="185"/>
      <c r="AO34" s="452"/>
      <c r="AP34" s="452"/>
      <c r="AQ34" s="396"/>
      <c r="AR34" s="451"/>
      <c r="AS34" s="445"/>
      <c r="AT34" s="185"/>
      <c r="AU34" s="452"/>
      <c r="AV34" s="452"/>
      <c r="AW34" s="396"/>
      <c r="AX34" s="451"/>
      <c r="AY34" s="445"/>
      <c r="AZ34" s="185"/>
      <c r="BA34" s="452"/>
      <c r="BB34" s="452"/>
      <c r="BC34" s="396"/>
      <c r="BD34" s="451"/>
      <c r="BE34" s="445"/>
      <c r="BF34" s="185"/>
      <c r="BG34" s="452"/>
      <c r="BH34" s="452"/>
      <c r="BI34" s="396"/>
      <c r="BJ34" s="451"/>
      <c r="BK34" s="445"/>
      <c r="BL34" s="185"/>
      <c r="BM34" s="452"/>
      <c r="BN34" s="452"/>
      <c r="BO34" s="396"/>
      <c r="BP34" s="451"/>
      <c r="BQ34" s="445"/>
      <c r="BR34" s="185"/>
      <c r="BS34" s="452"/>
      <c r="BT34" s="452"/>
      <c r="BU34" s="396"/>
      <c r="BV34" s="451"/>
      <c r="BW34" s="445"/>
      <c r="BX34" s="185"/>
      <c r="BY34" s="452"/>
      <c r="BZ34" s="452"/>
      <c r="CA34" s="396"/>
      <c r="CB34" s="451"/>
      <c r="CC34" s="451"/>
      <c r="CD34" s="451"/>
      <c r="CE34" s="451"/>
      <c r="CF34" s="451"/>
      <c r="CG34" s="451"/>
      <c r="CH34" s="445"/>
      <c r="CI34" s="445"/>
    </row>
    <row r="35">
      <c r="A35" s="457"/>
      <c r="C35" s="432"/>
      <c r="D35" s="432" t="s">
        <v>227</v>
      </c>
      <c r="E35" s="446"/>
      <c r="F35" s="403"/>
      <c r="G35" s="404"/>
      <c r="H35" s="458" t="str">
        <f t="array" ref="H35">IF(
  G35 = 0, 
  "", 
  IFERROR(
    INDEX(
      'アイテム別限界値DB'!$I:$I, 
      MATCH(
        1, 
        ('アイテム別限界値DB'!$B:$B = D$4) * 
        ('アイテム別限界値DB'!$E:$E = D35) * 
        ('アイテム別限界値DB'!$F:$F = G35), 
        0
      )
    ), 
    "再製作"
  )
)
</f>
        <v/>
      </c>
      <c r="I35" s="397" t="str">
        <f t="array" ref="I35">IF(
  $G35 = 0, 
  "", 
  IFERROR(
    INDEX(
      'アイテム別限界値DB'!$N:$N, 
      MATCH(
        1, 
        ('アイテム別限界値DB'!$B:$B = $D$4) * 
        ('アイテム別限界値DB'!$G:$G = $D35) * 
        ('アイテム別限界値DB'!$H:$H = $G35), 
        0
      )
    )*F35, 
    "再製作"
  )
)
</f>
        <v/>
      </c>
      <c r="J35" s="443"/>
      <c r="K35" s="425"/>
      <c r="L35" s="447"/>
      <c r="M35" s="455"/>
      <c r="N35" s="386"/>
      <c r="O35" s="396"/>
      <c r="P35" s="396"/>
      <c r="Q35" s="444"/>
      <c r="R35" s="445"/>
      <c r="S35" s="316"/>
      <c r="T35" s="317"/>
      <c r="U35" s="317"/>
      <c r="V35" s="317"/>
      <c r="W35" s="317"/>
      <c r="X35" s="445"/>
      <c r="Y35" s="443"/>
      <c r="Z35" s="448"/>
      <c r="AA35" s="386"/>
      <c r="AB35" s="386"/>
      <c r="AC35" s="396"/>
      <c r="AD35" s="396"/>
      <c r="AE35" s="444"/>
      <c r="AF35" s="449"/>
      <c r="AG35" s="450"/>
      <c r="AH35" s="450"/>
      <c r="AI35" s="450"/>
      <c r="AJ35" s="396"/>
      <c r="AK35" s="396"/>
      <c r="AL35" s="445"/>
      <c r="AM35" s="185"/>
      <c r="AN35" s="185"/>
      <c r="AO35" s="452"/>
      <c r="AP35" s="452"/>
      <c r="AQ35" s="396"/>
      <c r="AR35" s="396"/>
      <c r="AS35" s="445"/>
      <c r="AT35" s="185"/>
      <c r="AU35" s="452"/>
      <c r="AV35" s="452"/>
      <c r="AW35" s="396"/>
      <c r="AX35" s="396"/>
      <c r="AY35" s="445"/>
      <c r="AZ35" s="185"/>
      <c r="BA35" s="452"/>
      <c r="BB35" s="452"/>
      <c r="BC35" s="396"/>
      <c r="BD35" s="396"/>
      <c r="BE35" s="445"/>
      <c r="BF35" s="185"/>
      <c r="BG35" s="452"/>
      <c r="BH35" s="452"/>
      <c r="BI35" s="396"/>
      <c r="BJ35" s="396"/>
      <c r="BK35" s="445"/>
      <c r="BL35" s="185"/>
      <c r="BM35" s="452"/>
      <c r="BN35" s="452"/>
      <c r="BO35" s="396"/>
      <c r="BP35" s="396"/>
      <c r="BQ35" s="445"/>
      <c r="BR35" s="185"/>
      <c r="BS35" s="452"/>
      <c r="BT35" s="452"/>
      <c r="BU35" s="396"/>
      <c r="BV35" s="396"/>
      <c r="BW35" s="445"/>
      <c r="BX35" s="185"/>
      <c r="BY35" s="452"/>
      <c r="BZ35" s="452"/>
      <c r="CA35" s="396"/>
      <c r="CB35" s="396"/>
      <c r="CC35" s="396"/>
      <c r="CD35" s="396"/>
      <c r="CE35" s="396"/>
      <c r="CF35" s="396"/>
      <c r="CG35" s="396"/>
      <c r="CH35" s="445"/>
      <c r="CI35" s="445"/>
    </row>
    <row r="36">
      <c r="A36" s="160"/>
      <c r="C36" s="360"/>
      <c r="D36" s="459" t="s">
        <v>34</v>
      </c>
      <c r="E36" s="362"/>
      <c r="F36" s="362"/>
      <c r="G36" s="362"/>
      <c r="H36" s="363"/>
      <c r="I36" s="363"/>
      <c r="J36" s="364"/>
      <c r="K36" s="365" t="s">
        <v>36</v>
      </c>
      <c r="L36" s="460"/>
      <c r="M36" s="461"/>
      <c r="N36" s="363"/>
      <c r="O36" s="363"/>
      <c r="P36" s="363"/>
      <c r="Q36" s="332"/>
      <c r="R36" s="367" t="s">
        <v>37</v>
      </c>
      <c r="S36" s="366"/>
      <c r="T36" s="363"/>
      <c r="U36" s="363"/>
      <c r="V36" s="363"/>
      <c r="W36" s="363"/>
      <c r="X36" s="327"/>
      <c r="Y36" s="368" t="s">
        <v>38</v>
      </c>
      <c r="Z36" s="366"/>
      <c r="AA36" s="363"/>
      <c r="AB36" s="363"/>
      <c r="AC36" s="363"/>
      <c r="AD36" s="363"/>
      <c r="AE36" s="332"/>
      <c r="AF36" s="299" t="s">
        <v>39</v>
      </c>
      <c r="AG36" s="369"/>
      <c r="AH36" s="363"/>
      <c r="AI36" s="363"/>
      <c r="AJ36" s="363"/>
      <c r="AK36" s="363"/>
      <c r="AL36" s="332"/>
      <c r="AM36" s="299" t="s">
        <v>40</v>
      </c>
      <c r="AN36" s="365"/>
      <c r="AO36" s="363"/>
      <c r="AP36" s="363"/>
      <c r="AQ36" s="363"/>
      <c r="AR36" s="363"/>
      <c r="AS36" s="332"/>
      <c r="AT36" s="365" t="s">
        <v>41</v>
      </c>
      <c r="AU36" s="363"/>
      <c r="AV36" s="363"/>
      <c r="AW36" s="363"/>
      <c r="AX36" s="363"/>
      <c r="AY36" s="332"/>
      <c r="AZ36" s="365" t="s">
        <v>42</v>
      </c>
      <c r="BA36" s="363"/>
      <c r="BB36" s="363"/>
      <c r="BC36" s="363"/>
      <c r="BD36" s="363"/>
      <c r="BE36" s="332"/>
      <c r="BF36" s="365" t="s">
        <v>43</v>
      </c>
      <c r="BG36" s="363"/>
      <c r="BH36" s="363"/>
      <c r="BI36" s="363"/>
      <c r="BJ36" s="363"/>
      <c r="BK36" s="332"/>
      <c r="BL36" s="365" t="s">
        <v>44</v>
      </c>
      <c r="BM36" s="363"/>
      <c r="BN36" s="363"/>
      <c r="BO36" s="363"/>
      <c r="BP36" s="363"/>
      <c r="BQ36" s="332"/>
      <c r="BR36" s="365" t="s">
        <v>45</v>
      </c>
      <c r="BS36" s="363"/>
      <c r="BT36" s="363"/>
      <c r="BU36" s="363"/>
      <c r="BV36" s="363"/>
      <c r="BW36" s="332"/>
      <c r="BX36" s="365" t="s">
        <v>46</v>
      </c>
      <c r="BY36" s="363"/>
      <c r="BZ36" s="363"/>
      <c r="CA36" s="363"/>
      <c r="CB36" s="363"/>
      <c r="CC36" s="330"/>
      <c r="CD36" s="365" t="s">
        <v>188</v>
      </c>
      <c r="CE36" s="363"/>
      <c r="CF36" s="363"/>
      <c r="CG36" s="363"/>
      <c r="CH36" s="332"/>
      <c r="CI36" s="332"/>
    </row>
    <row r="37" ht="37.5" customHeight="1">
      <c r="A37" s="229"/>
      <c r="C37" s="370"/>
      <c r="D37" s="371">
        <f>round(sum(I39:I70),0)</f>
        <v>1240</v>
      </c>
      <c r="E37" s="462"/>
      <c r="F37" s="373" t="s">
        <v>189</v>
      </c>
      <c r="G37" s="373" t="s">
        <v>228</v>
      </c>
      <c r="H37" s="463" t="s">
        <v>190</v>
      </c>
      <c r="I37" s="463" t="s">
        <v>191</v>
      </c>
      <c r="J37" s="376"/>
      <c r="K37" s="371">
        <f>round(sum(P39:P70),0)</f>
        <v>0</v>
      </c>
      <c r="L37" s="377"/>
      <c r="M37" s="373" t="s">
        <v>189</v>
      </c>
      <c r="N37" s="373" t="s">
        <v>228</v>
      </c>
      <c r="O37" s="463" t="s">
        <v>190</v>
      </c>
      <c r="P37" s="463" t="s">
        <v>191</v>
      </c>
      <c r="Q37" s="378"/>
      <c r="R37" s="371">
        <f>round(sum(W39:W70),0)</f>
        <v>0</v>
      </c>
      <c r="S37" s="377"/>
      <c r="T37" s="373" t="s">
        <v>189</v>
      </c>
      <c r="U37" s="373" t="s">
        <v>229</v>
      </c>
      <c r="V37" s="463" t="s">
        <v>190</v>
      </c>
      <c r="W37" s="463" t="s">
        <v>191</v>
      </c>
      <c r="X37" s="327"/>
      <c r="Y37" s="371">
        <f>round(sum(AD39:AD70),0)</f>
        <v>0</v>
      </c>
      <c r="Z37" s="377"/>
      <c r="AA37" s="373" t="s">
        <v>189</v>
      </c>
      <c r="AB37" s="373" t="s">
        <v>229</v>
      </c>
      <c r="AC37" s="463" t="s">
        <v>190</v>
      </c>
      <c r="AD37" s="463" t="s">
        <v>191</v>
      </c>
      <c r="AE37" s="380"/>
      <c r="AF37" s="371">
        <f>round(sum(AK39:AK70),0)</f>
        <v>0</v>
      </c>
      <c r="AG37" s="462"/>
      <c r="AH37" s="373" t="s">
        <v>189</v>
      </c>
      <c r="AI37" s="373" t="s">
        <v>229</v>
      </c>
      <c r="AJ37" s="463" t="s">
        <v>190</v>
      </c>
      <c r="AK37" s="463" t="s">
        <v>191</v>
      </c>
      <c r="AL37" s="327"/>
      <c r="AM37" s="371">
        <f>round(sum(AR39:AR70),0)</f>
        <v>0</v>
      </c>
      <c r="AN37" s="371"/>
      <c r="AO37" s="373" t="s">
        <v>189</v>
      </c>
      <c r="AP37" s="373" t="s">
        <v>229</v>
      </c>
      <c r="AQ37" s="463" t="s">
        <v>190</v>
      </c>
      <c r="AR37" s="463" t="s">
        <v>191</v>
      </c>
      <c r="AS37" s="327"/>
      <c r="AT37" s="371">
        <f>round(sum(AX39:AX70),0)</f>
        <v>0</v>
      </c>
      <c r="AU37" s="373" t="s">
        <v>189</v>
      </c>
      <c r="AV37" s="373" t="s">
        <v>229</v>
      </c>
      <c r="AW37" s="463" t="s">
        <v>190</v>
      </c>
      <c r="AX37" s="463" t="s">
        <v>191</v>
      </c>
      <c r="AY37" s="327"/>
      <c r="AZ37" s="371">
        <f>round(sum(BD39:BD70),0)</f>
        <v>0</v>
      </c>
      <c r="BA37" s="373" t="s">
        <v>189</v>
      </c>
      <c r="BB37" s="373" t="s">
        <v>229</v>
      </c>
      <c r="BC37" s="463" t="s">
        <v>190</v>
      </c>
      <c r="BD37" s="463" t="s">
        <v>191</v>
      </c>
      <c r="BE37" s="327"/>
      <c r="BF37" s="371">
        <f>round(sum(BJ39:BJ70),0)</f>
        <v>0</v>
      </c>
      <c r="BG37" s="373" t="s">
        <v>189</v>
      </c>
      <c r="BH37" s="373" t="s">
        <v>229</v>
      </c>
      <c r="BI37" s="463" t="s">
        <v>190</v>
      </c>
      <c r="BJ37" s="463" t="s">
        <v>191</v>
      </c>
      <c r="BK37" s="327"/>
      <c r="BL37" s="371">
        <f>round(sum(BP39:BP70),0)</f>
        <v>0</v>
      </c>
      <c r="BM37" s="373" t="s">
        <v>189</v>
      </c>
      <c r="BN37" s="373" t="s">
        <v>229</v>
      </c>
      <c r="BO37" s="463" t="s">
        <v>190</v>
      </c>
      <c r="BP37" s="463" t="s">
        <v>191</v>
      </c>
      <c r="BQ37" s="327"/>
      <c r="BR37" s="371">
        <f>round(sum(BV39:BV70),0)</f>
        <v>0</v>
      </c>
      <c r="BS37" s="373" t="s">
        <v>189</v>
      </c>
      <c r="BT37" s="373" t="s">
        <v>229</v>
      </c>
      <c r="BU37" s="463" t="s">
        <v>190</v>
      </c>
      <c r="BV37" s="463" t="s">
        <v>191</v>
      </c>
      <c r="BW37" s="327"/>
      <c r="BX37" s="371">
        <f>round(sum(CB39:CB70),0)</f>
        <v>0</v>
      </c>
      <c r="BY37" s="373" t="s">
        <v>189</v>
      </c>
      <c r="BZ37" s="373" t="s">
        <v>229</v>
      </c>
      <c r="CA37" s="463" t="s">
        <v>190</v>
      </c>
      <c r="CB37" s="463" t="s">
        <v>191</v>
      </c>
      <c r="CC37" s="464"/>
      <c r="CD37" s="371">
        <f>round(sum(CG39:CG70),0)</f>
        <v>0</v>
      </c>
      <c r="CE37" s="373" t="s">
        <v>229</v>
      </c>
      <c r="CF37" s="463" t="s">
        <v>190</v>
      </c>
      <c r="CG37" s="463" t="s">
        <v>191</v>
      </c>
      <c r="CH37" s="327"/>
      <c r="CI37" s="327"/>
    </row>
    <row r="38" ht="21.75" hidden="1" customHeight="1">
      <c r="A38" s="457"/>
      <c r="B38" s="465"/>
      <c r="C38" s="93"/>
      <c r="D38" s="466" t="b">
        <f t="array" ref="D38:D48">UNIQUE(IF( ('アイテム別限界値DB'!$B:$B = D$4) * ('アイテム別限界値DB'!$A:$A = "縫製"),  IF('アイテム別限界値DB'!$B:$B = D$4, 'アイテム別限界値DB'!$G:$G, "") ))</f>
        <v>0</v>
      </c>
      <c r="E38" s="466" t="b">
        <f t="array" ref="E38:E48">UNIQUE(IF( ('アイテム別限界値DB'!$B:$B = D$4) * ('アイテム別限界値DB'!$A:$A = "縫製"),  IF('アイテム別限界値DB'!$B:$B = D$4, 'アイテム別限界値DB'!$C:$C, "") ))</f>
        <v>0</v>
      </c>
      <c r="F38" s="224"/>
      <c r="G38" s="224"/>
      <c r="H38" s="12"/>
      <c r="I38" s="12"/>
      <c r="J38" s="93"/>
      <c r="K38" s="466" t="b">
        <f t="array" ref="K38:K56">UNIQUE(IF( ('アイテム別限界値DB'!$B:$B = K$4) * ('アイテム別限界値DB'!$A:$A = "縫製"),  IF('アイテム別限界値DB'!$B:$B = K$4, 'アイテム別限界値DB'!$G:$G, "") ))</f>
        <v>0</v>
      </c>
      <c r="L38" s="466" t="b">
        <f t="array" ref="L38:L56">UNIQUE(IF( ('アイテム別限界値DB'!$B:$B = K$4) * ('アイテム別限界値DB'!$A:$A = "縫製"),  IF('アイテム別限界値DB'!$B:$B = K$4, 'アイテム別限界値DB'!$C:$C, "") ))</f>
        <v>0</v>
      </c>
      <c r="M38" s="12"/>
      <c r="N38" s="226"/>
      <c r="O38" s="12"/>
      <c r="P38" s="12"/>
      <c r="Q38" s="93"/>
      <c r="R38" s="466" t="b">
        <f t="array" ref="R38:R49">UNIQUE(IF( ('アイテム別限界値DB'!$B:$B = R$4) * ('アイテム別限界値DB'!$A:$A = "縫製"),  IF('アイテム別限界値DB'!$B:$B = R$4, 'アイテム別限界値DB'!$G:$G, "") ))</f>
        <v>0</v>
      </c>
      <c r="S38" s="466" t="b">
        <f t="array" ref="S38:S49">UNIQUE(IF( ('アイテム別限界値DB'!$B:$B = R$4) * ('アイテム別限界値DB'!$A:$A = "縫製"),  IF('アイテム別限界値DB'!$B:$B = R$4, 'アイテム別限界値DB'!$C:$C, "") ))</f>
        <v>0</v>
      </c>
      <c r="T38" s="12"/>
      <c r="U38" s="12"/>
      <c r="V38" s="12"/>
      <c r="W38" s="12"/>
      <c r="X38" s="160"/>
      <c r="Y38" s="466" t="b">
        <f t="array" ref="Y38:Y49">UNIQUE(IF( ('アイテム別限界値DB'!$B:$B = Y$4) * ('アイテム別限界値DB'!$A:$A = "縫製"),  IF('アイテム別限界値DB'!$B:$B = Y$4, 'アイテム別限界値DB'!$G:$G, "") ))</f>
        <v>0</v>
      </c>
      <c r="Z38" s="466" t="b">
        <f t="array" ref="Z38:Z49">UNIQUE(IF( ('アイテム別限界値DB'!$B:$B = Y$4) * ('アイテム別限界値DB'!$A:$A = "縫製"),  IF('アイテム別限界値DB'!$B:$B = Y$4, 'アイテム別限界値DB'!$C:$C, "") ))</f>
        <v>0</v>
      </c>
      <c r="AA38" s="12"/>
      <c r="AB38" s="12"/>
      <c r="AC38" s="12"/>
      <c r="AD38" s="12"/>
      <c r="AE38" s="93"/>
      <c r="AF38" s="466" t="b">
        <f t="array" ref="AF38:AF43">UNIQUE(IF( ('アイテム別限界値DB'!$B:$B = AF$4) * ('アイテム別限界値DB'!$A:$A = "縫製"),  IF('アイテム別限界値DB'!$B:$B = AF$4, 'アイテム別限界値DB'!$G:$G, "") ))</f>
        <v>0</v>
      </c>
      <c r="AG38" s="466" t="b">
        <f t="array" ref="AG38:AG43">UNIQUE(IF( ('アイテム別限界値DB'!$B:$B = AF$4) * ('アイテム別限界値DB'!$A:$A = "縫製"),  IF('アイテム別限界値DB'!$B:$B = AF$4, 'アイテム別限界値DB'!$C:$C, "") ))</f>
        <v>0</v>
      </c>
      <c r="AH38" s="12"/>
      <c r="AI38" s="12"/>
      <c r="AJ38" s="12"/>
      <c r="AK38" s="12"/>
      <c r="AL38" s="160"/>
      <c r="AM38" s="466" t="b">
        <f t="array" ref="AM38:AM43">UNIQUE(IF( ('アイテム別限界値DB'!$B:$B = AM$4) * ('アイテム別限界値DB'!$A:$A = "縫製"),  IF('アイテム別限界値DB'!$B:$B = AM$4, 'アイテム別限界値DB'!$G:$G, "") ))</f>
        <v>0</v>
      </c>
      <c r="AN38" s="466" t="b">
        <f t="array" ref="AN38:AN43">UNIQUE(IF( ('アイテム別限界値DB'!$B:$B = AM$4) * ('アイテム別限界値DB'!$A:$A = "縫製"),  IF('アイテム別限界値DB'!$B:$B = AM$4, 'アイテム別限界値DB'!$C:$C, "") ))</f>
        <v>0</v>
      </c>
      <c r="AO38" s="12"/>
      <c r="AP38" s="12"/>
      <c r="AQ38" s="12"/>
      <c r="AR38" s="12"/>
      <c r="AS38" s="160"/>
      <c r="AT38" s="467" t="b">
        <f t="array" ref="AT38:AT39">UNIQUE(IF( ('アイテム別限界値DB'!$B:$B = AT$4) * ('アイテム別限界値DB'!$A:$A = "縫製"),  IF('アイテム別限界値DB'!$B:$B = AT$4, 'アイテム別限界値DB'!$G:$G, "") ))</f>
        <v>0</v>
      </c>
      <c r="AU38" s="12"/>
      <c r="AV38" s="12"/>
      <c r="AW38" s="12"/>
      <c r="AX38" s="12"/>
      <c r="AY38" s="160"/>
      <c r="AZ38" s="467" t="b">
        <f t="array" ref="AZ38:AZ39">UNIQUE(IF( ('アイテム別限界値DB'!$B:$B = AZ$4) * ('アイテム別限界値DB'!$A:$A = "縫製"),  IF('アイテム別限界値DB'!$B:$B = AZ$4, 'アイテム別限界値DB'!$G:$G, "") ))</f>
        <v>0</v>
      </c>
      <c r="BA38" s="12"/>
      <c r="BB38" s="12"/>
      <c r="BC38" s="12"/>
      <c r="BD38" s="12"/>
      <c r="BE38" s="160"/>
      <c r="BF38" s="467" t="b">
        <f t="array" ref="BF38:BF39">UNIQUE(IF( ('アイテム別限界値DB'!$B:$B = BF$4) * ('アイテム別限界値DB'!$A:$A = "縫製"),  IF('アイテム別限界値DB'!$B:$B = BF$4, 'アイテム別限界値DB'!$G:$G, "") ))</f>
        <v>0</v>
      </c>
      <c r="BG38" s="12"/>
      <c r="BH38" s="12"/>
      <c r="BI38" s="12"/>
      <c r="BJ38" s="12"/>
      <c r="BK38" s="160"/>
      <c r="BL38" s="467" t="b">
        <f t="array" ref="BL38:BL39">UNIQUE(IF( ('アイテム別限界値DB'!$B:$B = BL$4) * ('アイテム別限界値DB'!$A:$A = "縫製"),  IF('アイテム別限界値DB'!$B:$B = BL$4, 'アイテム別限界値DB'!$G:$G, "") ))</f>
        <v>0</v>
      </c>
      <c r="BM38" s="12"/>
      <c r="BN38" s="12"/>
      <c r="BO38" s="12"/>
      <c r="BP38" s="12"/>
      <c r="BQ38" s="160"/>
      <c r="BR38" s="467" t="b">
        <f t="array" ref="BR38:BR39">UNIQUE(IF( ('アイテム別限界値DB'!$B:$B = BR$4) * ('アイテム別限界値DB'!$A:$A = "縫製"),  IF('アイテム別限界値DB'!$B:$B = BR$4, 'アイテム別限界値DB'!$G:$G, "") ))</f>
        <v>0</v>
      </c>
      <c r="BS38" s="12"/>
      <c r="BT38" s="12"/>
      <c r="BU38" s="12"/>
      <c r="BV38" s="12"/>
      <c r="BW38" s="160"/>
      <c r="BX38" s="467" t="b">
        <f t="array" ref="BX38:BX39">UNIQUE(IF( ('アイテム別限界値DB'!$B:$B = BX$4) * ('アイテム別限界値DB'!$A:$A = "縫製"),  IF('アイテム別限界値DB'!$B:$B = BX$4, 'アイテム別限界値DB'!$G:$G, "") ))</f>
        <v>0</v>
      </c>
      <c r="BY38" s="12"/>
      <c r="BZ38" s="12"/>
      <c r="CA38" s="12"/>
      <c r="CB38" s="12"/>
      <c r="CC38" s="93"/>
      <c r="CD38" s="468" t="b">
        <f t="array" ref="CD38">UNIQUE(IF( ('アイテム別限界値DB'!$B:$B = CD$4) * ('アイテム別限界値DB'!$A:$A = "縫製"),  IF('アイテム別限界値DB'!$B:$B = CD$4, 'アイテム別限界値DB'!$E:$E, "") ))</f>
        <v>0</v>
      </c>
      <c r="CE38" s="392" t="s">
        <v>230</v>
      </c>
      <c r="CG38" s="387"/>
      <c r="CH38" s="469"/>
      <c r="CI38" s="469"/>
    </row>
    <row r="39" ht="18.75" hidden="1" customHeight="1">
      <c r="A39" s="160"/>
      <c r="B39" s="470"/>
      <c r="C39" s="229"/>
      <c r="D39" s="246" t="s">
        <v>51</v>
      </c>
      <c r="E39" s="303" t="s">
        <v>51</v>
      </c>
      <c r="F39" s="471"/>
      <c r="G39" s="471" t="str">
        <f>IF(COUNTA(G40:G70)&gt;0, "プレスあり", "")</f>
        <v>プレスあり</v>
      </c>
      <c r="H39" s="195"/>
      <c r="I39" s="227">
        <f t="array" ref="I39">IF(
  G39 = "", 
  "", 
  IFERROR(
    INDEX(
      'アイテム別限界値DB'!$N:$N, 
      MATCH(
        1, 
        ('アイテム別限界値DB'!$B:$B = D$4) * 
        ('アイテム別限界値DB'!$G:$G = D39), 
        0
      )
    ), 
    "再製作"
  )
)
</f>
        <v>580</v>
      </c>
      <c r="J39" s="472"/>
      <c r="K39" s="246" t="s">
        <v>51</v>
      </c>
      <c r="L39" s="303" t="s">
        <v>51</v>
      </c>
      <c r="M39" s="224"/>
      <c r="N39" s="219" t="str">
        <f>IF(COUNTA(N40:N70)&gt;0, "プレスあり", "")</f>
        <v/>
      </c>
      <c r="O39" s="195"/>
      <c r="P39" s="473" t="str">
        <f t="array" ref="P39">IF(
  N39 = "", 
  "", 
  IFERROR(
    INDEX(
      'アイテム別限界値DB'!$N:$N, 
      MATCH(
        1, 
        ('アイテム別限界値DB'!$B:$B = K$4) * 
        ('アイテム別限界値DB'!$G:$G = K39), 
        0
      )
    ) * MAX(M40:M70), 
    "再製作"
  )
)
</f>
        <v/>
      </c>
      <c r="Q39" s="93"/>
      <c r="R39" s="474" t="s">
        <v>51</v>
      </c>
      <c r="S39" s="303" t="s">
        <v>51</v>
      </c>
      <c r="T39" s="217"/>
      <c r="U39" s="217" t="str">
        <f>IF(COUNTA(U40:U70)&gt;0, "プレスあり", "")</f>
        <v/>
      </c>
      <c r="V39" s="195"/>
      <c r="W39" s="218" t="str">
        <f t="array" ref="W39">IF(
  U39 = "", 
  "", 
  IFERROR(
    INDEX(
      'アイテム別限界値DB'!$N:$N, 
      MATCH(
        1, 
        ('アイテム別限界値DB'!$B:$B = R$4) * 
        ('アイテム別限界値DB'!$G:$G = R39), 
        0
      )
    ), 
    "再製作"
  )
)
</f>
        <v/>
      </c>
      <c r="X39" s="93"/>
      <c r="Y39" s="474" t="s">
        <v>51</v>
      </c>
      <c r="Z39" s="303" t="s">
        <v>51</v>
      </c>
      <c r="AA39" s="217"/>
      <c r="AB39" s="217" t="str">
        <f>IF(COUNTA(AB40:AB70)&gt;0, "プレスあり", "")</f>
        <v/>
      </c>
      <c r="AC39" s="195"/>
      <c r="AD39" s="218" t="str">
        <f t="array" ref="AD39">IF(
  AB39 = "", 
  "", 
  IFERROR(
    INDEX(
      'アイテム別限界値DB'!$N:$N, 
      MATCH(
        1, 
        ('アイテム別限界値DB'!$B:$B = Y$4) * 
        ('アイテム別限界値DB'!$G:$G = Y39), 
        0
      )
    ), 
    "再製作"
  )
)
</f>
        <v/>
      </c>
      <c r="AE39" s="93"/>
      <c r="AF39" s="93" t="s">
        <v>51</v>
      </c>
      <c r="AG39" s="303" t="s">
        <v>51</v>
      </c>
      <c r="AH39" s="217"/>
      <c r="AI39" s="217" t="str">
        <f>IF(COUNTA(AI40:AI70)&gt;0, "プレスあり", "")</f>
        <v/>
      </c>
      <c r="AJ39" s="195"/>
      <c r="AK39" s="218" t="str">
        <f t="array" ref="AK39">IF(
  AI39 = "", 
  "", 
  IFERROR(
    INDEX(
      'アイテム別限界値DB'!$N:$N, 
      MATCH(
        1, 
        ('アイテム別限界値DB'!$B:$B = AF$4) * 
        ('アイテム別限界値DB'!$G:$G = AF39), 
        0
      )
    ), 
    "再製作"
  )
)
</f>
        <v/>
      </c>
      <c r="AL39" s="160"/>
      <c r="AM39" s="93" t="s">
        <v>51</v>
      </c>
      <c r="AN39" s="474" t="s">
        <v>51</v>
      </c>
      <c r="AO39" s="217"/>
      <c r="AP39" s="217" t="str">
        <f>IF(COUNTA(AP40:AP70)&gt;0, "プレスあり", "")</f>
        <v/>
      </c>
      <c r="AQ39" s="195"/>
      <c r="AR39" s="218" t="str">
        <f t="array" ref="AR39">IF(
  AP39 = "", 
  "", 
  IFERROR(
    INDEX(
      'アイテム別限界値DB'!$N:$N, 
      MATCH(
        1, 
        ('アイテム別限界値DB'!$B:$B = AM$4) * 
        ('アイテム別限界値DB'!$G:$G = AM39), 
        0
      )
    ), 
    "再製作"
  )
)
</f>
        <v/>
      </c>
      <c r="AS39" s="160"/>
      <c r="AT39" s="93" t="s">
        <v>51</v>
      </c>
      <c r="AU39" s="217"/>
      <c r="AV39" s="217" t="str">
        <f>IF(COUNTA(AV40:AV70)&gt;0, "プレスあり", "")</f>
        <v/>
      </c>
      <c r="AW39" s="195"/>
      <c r="AX39" s="218" t="str">
        <f t="array" ref="AX39">IF(
  AV39 = "", 
  "", 
  IFERROR(
    INDEX(
      'アイテム別限界値DB'!$N:$N, 
      MATCH(
        1, 
        ('アイテム別限界値DB'!$B:$B = AT$4) * 
        ('アイテム別限界値DB'!$G:$G = AT39), 
        0
      )
    ), 
    "再製作"
  )
)
</f>
        <v/>
      </c>
      <c r="AY39" s="160"/>
      <c r="AZ39" s="93" t="s">
        <v>51</v>
      </c>
      <c r="BA39" s="217"/>
      <c r="BB39" s="217" t="str">
        <f>IF(COUNTA(BB40:BB70)&gt;0, "プレスあり", "")</f>
        <v/>
      </c>
      <c r="BC39" s="195"/>
      <c r="BD39" s="218" t="str">
        <f t="array" ref="BD39">IF(
  BB39 = "", 
  "", 
  IFERROR(
    INDEX(
      'アイテム別限界値DB'!$N:$N, 
      MATCH(
        1, 
        ('アイテム別限界値DB'!$B:$B = AZ$4) * 
        ('アイテム別限界値DB'!$G:$G = AZ39), 
        0
      )
    ), 
    "再製作"
  )
)
</f>
        <v/>
      </c>
      <c r="BE39" s="160"/>
      <c r="BF39" s="93" t="s">
        <v>51</v>
      </c>
      <c r="BG39" s="217"/>
      <c r="BH39" s="217" t="str">
        <f>IF(COUNTA(BH40:BH70)&gt;0, "プレスあり", "")</f>
        <v/>
      </c>
      <c r="BI39" s="195"/>
      <c r="BJ39" s="218" t="str">
        <f t="array" ref="BJ39">IF(
  BH39 = "", 
  "", 
  IFERROR(
    INDEX(
      'アイテム別限界値DB'!$N:$N, 
      MATCH(
        1, 
        ('アイテム別限界値DB'!$B:$B = BF$4) * 
        ('アイテム別限界値DB'!$G:$G = BF39), 
        0
      )
    ), 
    "再製作"
  )
)
</f>
        <v/>
      </c>
      <c r="BK39" s="160"/>
      <c r="BL39" s="93" t="s">
        <v>51</v>
      </c>
      <c r="BM39" s="217"/>
      <c r="BN39" s="217" t="str">
        <f>IF(COUNTA(BN40:BN70)&gt;0, "プレスあり", "")</f>
        <v/>
      </c>
      <c r="BO39" s="195"/>
      <c r="BP39" s="218" t="str">
        <f t="array" ref="BP39">IF(
  BN39 = "", 
  "", 
  IFERROR(
    INDEX(
      'アイテム別限界値DB'!$N:$N, 
      MATCH(
        1, 
        ('アイテム別限界値DB'!$B:$B = BL$4) * 
        ('アイテム別限界値DB'!$G:$G = BL39), 
        0
      )
    ), 
    "再製作"
  )
)
</f>
        <v/>
      </c>
      <c r="BQ39" s="160"/>
      <c r="BR39" s="93" t="s">
        <v>51</v>
      </c>
      <c r="BS39" s="217"/>
      <c r="BT39" s="217" t="str">
        <f>IF(COUNTA(BT40:BT70)&gt;0, "プレスあり", "")</f>
        <v/>
      </c>
      <c r="BU39" s="195"/>
      <c r="BV39" s="218" t="str">
        <f t="array" ref="BV39">IF(
  BT39 = "", 
  "", 
  IFERROR(
    INDEX(
      'アイテム別限界値DB'!$N:$N, 
      MATCH(
        1, 
        ('アイテム別限界値DB'!$B:$B = BR$4) * 
        ('アイテム別限界値DB'!$G:$G = BR39), 
        0
      )
    ), 
    "再製作"
  )
)
</f>
        <v/>
      </c>
      <c r="BW39" s="160"/>
      <c r="BX39" s="93" t="s">
        <v>51</v>
      </c>
      <c r="BY39" s="217"/>
      <c r="BZ39" s="217" t="str">
        <f>IF(COUNTA(BZ40:BZ70)&gt;0, "プレスあり", "")</f>
        <v/>
      </c>
      <c r="CA39" s="195"/>
      <c r="CB39" s="218" t="str">
        <f t="array" ref="CB39">IF(
  BZ39 = "", 
  "", 
  IFERROR(
    INDEX(
      'アイテム別限界値DB'!$N:$N, 
      MATCH(
        1, 
        ('アイテム別限界値DB'!$B:$B = BX$4) * 
        ('アイテム別限界値DB'!$G:$G = BX39), 
        0
      )
    ), 
    "再製作"
  )
)
</f>
        <v/>
      </c>
      <c r="CC39" s="475"/>
      <c r="CD39" s="474"/>
      <c r="CE39" s="476" t="str">
        <f>IF(COUNTA(CE42:CE70)&gt;0, "プレスあり", "")</f>
        <v/>
      </c>
      <c r="CF39" s="396"/>
      <c r="CG39" s="397" t="str">
        <f t="array" ref="CG39">IF(
  CE39 = "", 
  "", 
  IFERROR(
    INDEX(
      'アイテム別限界値DB'!$N:$N, 
      MATCH(
        1, 
        ('アイテム別限界値DB'!$B:$B = CD$4) * 
        ('アイテム別限界値DB'!$G:$G = CD39), 
        0
      )
    ), 
    "再製作"
  )
)
</f>
        <v/>
      </c>
      <c r="CH39" s="469"/>
      <c r="CI39" s="469"/>
    </row>
    <row r="40">
      <c r="A40" s="229"/>
      <c r="B40" s="470"/>
      <c r="C40" s="470"/>
      <c r="D40" s="477" t="s">
        <v>231</v>
      </c>
      <c r="E40" s="478" t="s">
        <v>231</v>
      </c>
      <c r="F40" s="423"/>
      <c r="G40" s="423"/>
      <c r="H40" s="405" t="str">
        <f t="array" ref="H40">IF(
  G40 = 0, 
  "", 
  IFERROR(
    INDEX(
      'アイテム別限界値DB'!$K:$K, 
      MATCH(
        1, 
        ('アイテム別限界値DB'!$B:$B = D$4) * 
        ('アイテム別限界値DB'!$G:$G = D40) , 
        0
      )
    ), 
    "再製作"
  )
)
</f>
        <v/>
      </c>
      <c r="I40" s="397" t="str">
        <f t="array" ref="I40">IF(
  G40 = "", 
  "", 
  IFERROR(
    INDEX(
      'アイテム別限界値DB'!$N:$N, 
      MATCH(
        1, 
        ('アイテム別限界値DB'!$B:$B = D$4) * 
        ('アイテム別限界値DB'!$G:$G = D40), 
        0
      )
    )*$G40*F40, 
    "再製作"
  )
)
</f>
        <v/>
      </c>
      <c r="J40" s="479"/>
      <c r="K40" s="246" t="s">
        <v>231</v>
      </c>
      <c r="L40" s="478" t="s">
        <v>231</v>
      </c>
      <c r="M40" s="423"/>
      <c r="N40" s="423"/>
      <c r="O40" s="405" t="str">
        <f t="array" ref="O40">IF(
  N40 = 0, 
  "", 
  IFERROR(
    INDEX(
      'アイテム別限界値DB'!$K:$K, 
      MATCH(
        1, 
        ('アイテム別限界値DB'!$B:$B = K$4) * 
        ('アイテム別限界値DB'!$G:$G = K40) , 
        0
      )
    ), 
    "再製作"
  )
)
</f>
        <v/>
      </c>
      <c r="P40" s="397" t="str">
        <f t="array" ref="P40">IF(
  N40 = "", 
  "", 
  IFERROR(
    INDEX(
      'アイテム別限界値DB'!$N:$N, 
      MATCH(
        1, 
        ('アイテム別限界値DB'!$B:$B = K$4) * 
        ('アイテム別限界値DB'!$G:$G = K40), 
        0
      )
    )*$N40*M40, 
    "再製作"
  )
)
</f>
        <v/>
      </c>
      <c r="Q40" s="480"/>
      <c r="R40" s="468" t="s">
        <v>231</v>
      </c>
      <c r="S40" s="478" t="s">
        <v>231</v>
      </c>
      <c r="T40" s="423"/>
      <c r="U40" s="423"/>
      <c r="V40" s="405" t="str">
        <f t="array" ref="V40">IF(
  U40 = 0, 
  "", 
  IFERROR(
    INDEX(
      'アイテム別限界値DB'!$K:$K, 
      MATCH(
        1, 
        ('アイテム別限界値DB'!$B:$B = R$4) * 
        ('アイテム別限界値DB'!$G:$G = R40) , 
        0
      )
    ), 
    "再製作"
  )
)
</f>
        <v/>
      </c>
      <c r="W40" s="397" t="str">
        <f t="array" ref="W40">IF(
  U40 = "", 
  "", 
  IFERROR(
    INDEX(
      'アイテム別限界値DB'!$N:$N, 
      MATCH(
        1, 
        ('アイテム別限界値DB'!$B:$B = R$4) * 
        ('アイテム別限界値DB'!$G:$G = R40), 
        0
      )
    )*U40*T40, 
    "再製作"
  )
)
</f>
        <v/>
      </c>
      <c r="X40" s="480"/>
      <c r="Y40" s="481" t="s">
        <v>231</v>
      </c>
      <c r="Z40" s="478" t="s">
        <v>231</v>
      </c>
      <c r="AA40" s="423"/>
      <c r="AB40" s="423"/>
      <c r="AC40" s="405" t="str">
        <f t="array" ref="AC40">IF(
  AB40 = 0, 
  "", 
  IFERROR(
    INDEX(
      'アイテム別限界値DB'!$K:$K, 
      MATCH(
        1, 
        ('アイテム別限界値DB'!$B:$B = Y$4) * 
        ('アイテム別限界値DB'!$G:$G = Y40) , 
        0
      )
    ), 
    "再製作"
  )
)
</f>
        <v/>
      </c>
      <c r="AD40" s="397" t="str">
        <f t="array" ref="AD40">IF(
  AB40 = "", 
  "", 
  IFERROR(
    INDEX(
      'アイテム別限界値DB'!$N:$N, 
      MATCH(
        1, 
        ('アイテム別限界値DB'!$B:$B = Y$4) * 
        ('アイテム別限界値DB'!$G:$G = Y40), 
        0
      )
    )*AB40*AA40, 
    "再製作"
  )
)
</f>
        <v/>
      </c>
      <c r="AE40" s="480"/>
      <c r="AF40" s="93" t="s">
        <v>231</v>
      </c>
      <c r="AG40" s="478" t="s">
        <v>231</v>
      </c>
      <c r="AH40" s="423"/>
      <c r="AI40" s="423"/>
      <c r="AJ40" s="405" t="str">
        <f t="array" ref="AJ40">IF(
  AI40 = 0, 
  "", 
  IFERROR(
    INDEX(
      'アイテム別限界値DB'!$K:$K, 
      MATCH(
        1, 
        ('アイテム別限界値DB'!$B:$B = AF$4) * 
        ('アイテム別限界値DB'!$G:$G = AF40) , 
        0
      )
    ), 
    "再製作"
  )
)
</f>
        <v/>
      </c>
      <c r="AK40" s="397"/>
      <c r="AL40" s="469"/>
      <c r="AM40" s="93" t="s">
        <v>231</v>
      </c>
      <c r="AN40" s="474" t="s">
        <v>231</v>
      </c>
      <c r="AO40" s="423"/>
      <c r="AP40" s="423"/>
      <c r="AQ40" s="405" t="str">
        <f t="array" ref="AQ40">IF(
  AP40 = 0, 
  "", 
  IFERROR(
    INDEX(
      'アイテム別限界値DB'!$K:$K, 
      MATCH(
        1, 
        ('アイテム別限界値DB'!$B:$B = AM$4) * 
        ('アイテム別限界値DB'!$G:$G = AM40) , 
        0
      )
    ), 
    "再製作"
  )
)
</f>
        <v/>
      </c>
      <c r="AR40" s="397" t="str">
        <f t="array" ref="AR40">IF(
  AP40 = "", 
  "", 
  IFERROR(
    INDEX(
      'アイテム別限界値DB'!$N:$N, 
      MATCH(
        1, 
        ('アイテム別限界値DB'!$B:$B = AM$4) * 
        ('アイテム別限界値DB'!$G:$G = AM40), 
        0
      )
    )*AP40*AO40, 
    "再製作"
  )
)
</f>
        <v/>
      </c>
      <c r="AS40" s="469"/>
      <c r="AT40" s="474"/>
      <c r="AU40" s="423"/>
      <c r="AV40" s="423"/>
      <c r="AW40" s="405" t="str">
        <f t="array" ref="AW40">IF(
  AV40 = 0, 
  "", 
  IFERROR(
    INDEX(
      'アイテム別限界値DB'!$K:$K, 
      MATCH(
        1, 
        ('アイテム別限界値DB'!$B:$B = AS$4) * 
        ('アイテム別限界値DB'!$G:$G = AS40) , 
        0
      )
    ), 
    "再製作"
  )
)
</f>
        <v/>
      </c>
      <c r="AX40" s="397" t="str">
        <f t="array" ref="AX40">IF(
  AV40 = "", 
  "", 
  IFERROR(
    INDEX(
      'アイテム別限界値DB'!$N:$N, 
      MATCH(
        1, 
        ('アイテム別限界値DB'!$B:$B = AS$4) * 
        ('アイテム別限界値DB'!$G:$G = AS40), 
        0
      )
    )*AV40*AU40, 
    "再製作"
  )
)
</f>
        <v/>
      </c>
      <c r="AY40" s="469"/>
      <c r="AZ40" s="474"/>
      <c r="BA40" s="423"/>
      <c r="BB40" s="423"/>
      <c r="BC40" s="405" t="str">
        <f t="array" ref="BC40">IF(
  BB40 = 0, 
  "", 
  IFERROR(
    INDEX(
      'アイテム別限界値DB'!$K:$K, 
      MATCH(
        1, 
        ('アイテム別限界値DB'!$B:$B = AY$4) * 
        ('アイテム別限界値DB'!$G:$G = AY40) , 
        0
      )
    ), 
    "再製作"
  )
)
</f>
        <v/>
      </c>
      <c r="BD40" s="397" t="str">
        <f t="array" ref="BD40">IF(
  BB40 = "", 
  "", 
  IFERROR(
    INDEX(
      'アイテム別限界値DB'!$N:$N, 
      MATCH(
        1, 
        ('アイテム別限界値DB'!$B:$B = AZ$4) * 
        ('アイテム別限界値DB'!$G:$G = BB40), 
        0
      )
    )*BB40*BA40, 
    "再製作"
  )
)
</f>
        <v/>
      </c>
      <c r="BE40" s="469"/>
      <c r="BF40" s="474"/>
      <c r="BG40" s="423"/>
      <c r="BH40" s="423"/>
      <c r="BI40" s="405" t="str">
        <f t="array" ref="BI40">IF(
  BH40 = 0, 
  "", 
  IFERROR(
    INDEX(
      'アイテム別限界値DB'!$K:$K, 
      MATCH(
        1, 
        ('アイテム別限界値DB'!$B:$B = BE$4) * 
        ('アイテム別限界値DB'!$G:$G = BE40) , 
        0
      )
    ), 
    "再製作"
  )
)
</f>
        <v/>
      </c>
      <c r="BJ40" s="397"/>
      <c r="BK40" s="469"/>
      <c r="BL40" s="474"/>
      <c r="BM40" s="423"/>
      <c r="BN40" s="423"/>
      <c r="BO40" s="405"/>
      <c r="BP40" s="397" t="str">
        <f t="array" ref="BP40">IF(
  BN40 = "", 
  "", 
  IFERROR(
    INDEX(
      'アイテム別限界値DB'!$N:$N, 
      MATCH(
        1, 
        ('アイテム別限界値DB'!$B:$B = BL$4) * 
        ('アイテム別限界値DB'!$G:$G = BL40), 
        0
      )
    )*BN40, 
    "再製作"
  )
)
</f>
        <v/>
      </c>
      <c r="BQ40" s="469"/>
      <c r="BR40" s="474"/>
      <c r="BS40" s="423"/>
      <c r="BT40" s="423"/>
      <c r="BU40" s="405" t="str">
        <f t="array" ref="BU40">IF(
  BT40 = 0, 
  "", 
  IFERROR(
    INDEX(
      'アイテム別限界値DB'!$K:$K, 
      MATCH(
        1, 
        ('アイテム別限界値DB'!$B:$B = BQ$4) * 
        ('アイテム別限界値DB'!$G:$G = BQ40) , 
        0
      )
    ), 
    "再製作"
  )
)
</f>
        <v/>
      </c>
      <c r="BV40" s="397" t="str">
        <f t="array" ref="BV40">IF(
  BT40 = "", 
  "", 
  IFERROR(
    INDEX(
      'アイテム別限界値DB'!$N:$N, 
      MATCH(
        1, 
        ('アイテム別限界値DB'!$B:$B = BR$4) * 
        ('アイテム別限界値DB'!$G:$G = BR40), 
        0
      )
    )*BT40*BS40, 
    "再製作"
  )
)
</f>
        <v/>
      </c>
      <c r="BW40" s="469"/>
      <c r="BX40" s="474"/>
      <c r="BY40" s="423"/>
      <c r="BZ40" s="423"/>
      <c r="CA40" s="405" t="str">
        <f t="array" ref="CA40">IF(
  BZ40 = 0, 
  "", 
  IFERROR(
    INDEX(
      'アイテム別限界値DB'!$K:$K, 
      MATCH(
        1, 
        ('アイテム別限界値DB'!$B:$B = BW$4) * 
        ('アイテム別限界値DB'!$G:$G = BW40) , 
        0
      )
    ), 
    "再製作"
  )
)
</f>
        <v/>
      </c>
      <c r="CB40" s="397" t="str">
        <f t="array" ref="CB40">IF(
  BZ40 = "", 
  "", 
  IFERROR(
    INDEX(
      'アイテム別限界値DB'!$N:$N, 
      MATCH(
        1, 
        ('アイテム別限界値DB'!$B:$B = BX$4) * 
        ('アイテム別限界値DB'!$G:$G = BX40), 
        0
      )
    )*BZ40*BY40, 
    "再製作"
  )
)
</f>
        <v/>
      </c>
      <c r="CC40" s="402"/>
      <c r="CD40" s="397"/>
      <c r="CE40" s="397"/>
      <c r="CF40" s="397"/>
      <c r="CG40" s="397"/>
      <c r="CH40" s="469"/>
      <c r="CI40" s="469"/>
    </row>
    <row r="41">
      <c r="A41" s="457"/>
      <c r="B41" s="482"/>
      <c r="C41" s="482"/>
      <c r="D41" s="483" t="s">
        <v>232</v>
      </c>
      <c r="E41" s="484" t="s">
        <v>233</v>
      </c>
      <c r="F41" s="403"/>
      <c r="G41" s="485"/>
      <c r="H41" s="405" t="str">
        <f t="array" ref="H41">IF(
  G41 = 0, 
  "", 
  IFERROR(
    INDEX(
      'アイテム別限界値DB'!$K:$K, 
      MATCH(
        1, 
        ('アイテム別限界値DB'!$B:$B = D$4) * 
        ('アイテム別限界値DB'!$G:$G = D41) , 
        0
      )
    ), 
    "再製作"
  )
)
</f>
        <v/>
      </c>
      <c r="I41" s="397" t="str">
        <f t="array" ref="I41">IF(
  G41 = "", 
  "", 
  IFERROR(
    INDEX(
      'アイテム別限界値DB'!$N:$N, 
      MATCH(
        1, 
        ('アイテム別限界値DB'!$B:$B = D$4) * 
        ('アイテム別限界値DB'!$G:$G = D41), 
        0
      )
    )*$G41*F41, 
    "再製作"
  )
)
</f>
        <v/>
      </c>
      <c r="J41" s="479"/>
      <c r="K41" s="246" t="s">
        <v>232</v>
      </c>
      <c r="L41" s="414" t="s">
        <v>233</v>
      </c>
      <c r="M41" s="423"/>
      <c r="N41" s="485"/>
      <c r="O41" s="405" t="str">
        <f t="array" ref="O41">IF(
  N41 = 0, 
  "", 
  IFERROR(
    INDEX(
      'アイテム別限界値DB'!$K:$K, 
      MATCH(
        1, 
        ('アイテム別限界値DB'!$B:$B = K$4) * 
        ('アイテム別限界値DB'!$G:$G = K41) , 
        0
      )
    ), 
    "再製作"
  )
)
</f>
        <v/>
      </c>
      <c r="P41" s="397" t="str">
        <f t="array" ref="P41">IF(
  N41 = "", 
  "", 
  IFERROR(
    INDEX(
      'アイテム別限界値DB'!$N:$N, 
      MATCH(
        1, 
        ('アイテム別限界値DB'!$B:$B = K$4) * 
        ('アイテム別限界値DB'!$G:$G = K41), 
        0
      )
    )*$N41*M41, 
    "再製作"
  )
)
</f>
        <v/>
      </c>
      <c r="Q41" s="480"/>
      <c r="R41" s="481" t="s">
        <v>232</v>
      </c>
      <c r="S41" s="484" t="s">
        <v>233</v>
      </c>
      <c r="T41" s="423"/>
      <c r="U41" s="485"/>
      <c r="V41" s="405" t="str">
        <f t="array" ref="V41">IF(
  U41 = 0, 
  "", 
  IFERROR(
    INDEX(
      'アイテム別限界値DB'!$K:$K, 
      MATCH(
        1, 
        ('アイテム別限界値DB'!$B:$B = R$4) * 
        ('アイテム別限界値DB'!$G:$G = R41) , 
        0
      )
    ), 
    "再製作"
  )
)
</f>
        <v/>
      </c>
      <c r="W41" s="397" t="str">
        <f t="array" ref="W41">IF(
  U41 = "", 
  "", 
  IFERROR(
    INDEX(
      'アイテム別限界値DB'!$N:$N, 
      MATCH(
        1, 
        ('アイテム別限界値DB'!$B:$B = R$4) * 
        ('アイテム別限界値DB'!$G:$G = R41), 
        0
      )
    )*U41*T41, 
    "再製作"
  )
)
</f>
        <v/>
      </c>
      <c r="X41" s="480"/>
      <c r="Y41" s="481" t="s">
        <v>232</v>
      </c>
      <c r="Z41" s="484" t="s">
        <v>233</v>
      </c>
      <c r="AA41" s="423"/>
      <c r="AB41" s="485"/>
      <c r="AC41" s="405" t="str">
        <f t="array" ref="AC41">IF(
  AB41 = 0, 
  "", 
  IFERROR(
    INDEX(
      'アイテム別限界値DB'!$K:$K, 
      MATCH(
        1, 
        ('アイテム別限界値DB'!$B:$B = Y$4) * 
        ('アイテム別限界値DB'!$G:$G = Y41) , 
        0
      )
    ), 
    "再製作"
  )
)
</f>
        <v/>
      </c>
      <c r="AD41" s="397" t="str">
        <f t="array" ref="AD41">IF(
  AB41 = "", 
  "", 
  IFERROR(
    INDEX(
      'アイテム別限界値DB'!$N:$N, 
      MATCH(
        1, 
        ('アイテム別限界値DB'!$B:$B = Y$4) * 
        ('アイテム別限界値DB'!$G:$G = Y41), 
        0
      )
    )*AB41*AA41, 
    "再製作"
  )
)
</f>
        <v/>
      </c>
      <c r="AE41" s="486"/>
      <c r="AF41" s="487" t="s">
        <v>232</v>
      </c>
      <c r="AG41" s="484" t="s">
        <v>233</v>
      </c>
      <c r="AH41" s="423"/>
      <c r="AI41" s="485"/>
      <c r="AJ41" s="405" t="str">
        <f t="array" ref="AJ41">IF(
  AI41 = 0, 
  "", 
  IFERROR(
    INDEX(
      'アイテム別限界値DB'!$K:$K, 
      MATCH(
        1, 
        ('アイテム別限界値DB'!$B:$B = AF$4) * 
        ('アイテム別限界値DB'!$G:$G = AF41) , 
        0
      )
    ), 
    "再製作"
  )
)
</f>
        <v/>
      </c>
      <c r="AK41" s="397"/>
      <c r="AL41" s="469"/>
      <c r="AM41" s="487" t="s">
        <v>232</v>
      </c>
      <c r="AN41" s="488" t="s">
        <v>233</v>
      </c>
      <c r="AO41" s="423"/>
      <c r="AP41" s="485"/>
      <c r="AQ41" s="405" t="str">
        <f t="array" ref="AQ41">IF(
  AP41 = 0, 
  "", 
  IFERROR(
    INDEX(
      'アイテム別限界値DB'!$K:$K, 
      MATCH(
        1, 
        ('アイテム別限界値DB'!$B:$B = AM$4) * 
        ('アイテム別限界値DB'!$G:$G = AM41) , 
        0
      )
    ), 
    "再製作"
  )
)
</f>
        <v/>
      </c>
      <c r="AR41" s="397" t="str">
        <f t="array" ref="AR41">IF(
  AP41 = "", 
  "", 
  IFERROR(
    INDEX(
      'アイテム別限界値DB'!$N:$N, 
      MATCH(
        1, 
        ('アイテム別限界値DB'!$B:$B = AM$4) * 
        ('アイテム別限界値DB'!$G:$G = AM41), 
        0
      )
    )*AP41*AO41, 
    "再製作"
  )
)
</f>
        <v/>
      </c>
      <c r="AS41" s="469"/>
      <c r="AT41" s="488"/>
      <c r="AU41" s="423"/>
      <c r="AV41" s="485"/>
      <c r="AW41" s="405" t="str">
        <f t="array" ref="AW41">IF(
  AV41 = 0, 
  "", 
  IFERROR(
    INDEX(
      'アイテム別限界値DB'!$K:$K, 
      MATCH(
        1, 
        ('アイテム別限界値DB'!$B:$B = AS$4) * 
        ('アイテム別限界値DB'!$G:$G = AS41) , 
        0
      )
    ), 
    "再製作"
  )
)
</f>
        <v/>
      </c>
      <c r="AX41" s="397" t="str">
        <f t="array" ref="AX41">IF(
  AV41 = "", 
  "", 
  IFERROR(
    INDEX(
      'アイテム別限界値DB'!$N:$N, 
      MATCH(
        1, 
        ('アイテム別限界値DB'!$B:$B = AS$4) * 
        ('アイテム別限界値DB'!$G:$G = AS41), 
        0
      )
    )*AV41*AU41, 
    "再製作"
  )
)
</f>
        <v/>
      </c>
      <c r="AY41" s="469"/>
      <c r="AZ41" s="488"/>
      <c r="BA41" s="423"/>
      <c r="BB41" s="485"/>
      <c r="BC41" s="405" t="str">
        <f t="array" ref="BC41">IF(
  BB41 = 0, 
  "", 
  IFERROR(
    INDEX(
      'アイテム別限界値DB'!$K:$K, 
      MATCH(
        1, 
        ('アイテム別限界値DB'!$B:$B = AY$4) * 
        ('アイテム別限界値DB'!$G:$G = AY41) , 
        0
      )
    ), 
    "再製作"
  )
)
</f>
        <v/>
      </c>
      <c r="BD41" s="397" t="str">
        <f t="array" ref="BD41">IF(
  BB41 = "", 
  "", 
  IFERROR(
    INDEX(
      'アイテム別限界値DB'!$N:$N, 
      MATCH(
        1, 
        ('アイテム別限界値DB'!$B:$B = AZ$4) * 
        ('アイテム別限界値DB'!$G:$G = BB41), 
        0
      )
    )*BB41*BA41, 
    "再製作"
  )
)
</f>
        <v/>
      </c>
      <c r="BE41" s="469"/>
      <c r="BF41" s="488"/>
      <c r="BG41" s="423"/>
      <c r="BH41" s="485"/>
      <c r="BI41" s="405" t="str">
        <f t="array" ref="BI41">IF(
  BH41 = 0, 
  "", 
  IFERROR(
    INDEX(
      'アイテム別限界値DB'!$K:$K, 
      MATCH(
        1, 
        ('アイテム別限界値DB'!$B:$B = BE$4) * 
        ('アイテム別限界値DB'!$G:$G = BE41) , 
        0
      )
    ), 
    "再製作"
  )
)
</f>
        <v/>
      </c>
      <c r="BJ41" s="397"/>
      <c r="BK41" s="469"/>
      <c r="BL41" s="488"/>
      <c r="BM41" s="423"/>
      <c r="BN41" s="485"/>
      <c r="BO41" s="405"/>
      <c r="BP41" s="397" t="str">
        <f t="array" ref="BP41">IF(
  BN41 = "", 
  "", 
  IFERROR(
    INDEX(
      'アイテム別限界値DB'!$N:$N, 
      MATCH(
        1, 
        ('アイテム別限界値DB'!$B:$B = BL$4) * 
        ('アイテム別限界値DB'!$G:$G = BL41), 
        0
      )
    )*BN41, 
    "再製作"
  )
)
</f>
        <v/>
      </c>
      <c r="BQ41" s="469"/>
      <c r="BR41" s="488"/>
      <c r="BS41" s="423"/>
      <c r="BT41" s="485"/>
      <c r="BU41" s="405" t="str">
        <f t="array" ref="BU41">IF(
  BT41 = 0, 
  "", 
  IFERROR(
    INDEX(
      'アイテム別限界値DB'!$K:$K, 
      MATCH(
        1, 
        ('アイテム別限界値DB'!$B:$B = BQ$4) * 
        ('アイテム別限界値DB'!$G:$G = BQ41) , 
        0
      )
    ), 
    "再製作"
  )
)
</f>
        <v/>
      </c>
      <c r="BV41" s="397" t="str">
        <f t="array" ref="BV41">IF(
  BT41 = "", 
  "", 
  IFERROR(
    INDEX(
      'アイテム別限界値DB'!$N:$N, 
      MATCH(
        1, 
        ('アイテム別限界値DB'!$B:$B = BR$4) * 
        ('アイテム別限界値DB'!$G:$G = BR41), 
        0
      )
    )*BT41*BS41, 
    "再製作"
  )
)
</f>
        <v/>
      </c>
      <c r="BW41" s="469"/>
      <c r="BX41" s="488"/>
      <c r="BY41" s="423"/>
      <c r="BZ41" s="485"/>
      <c r="CA41" s="405" t="str">
        <f t="array" ref="CA41">IF(
  BZ41 = 0, 
  "", 
  IFERROR(
    INDEX(
      'アイテム別限界値DB'!$K:$K, 
      MATCH(
        1, 
        ('アイテム別限界値DB'!$B:$B = BW$4) * 
        ('アイテム別限界値DB'!$G:$G = BW41) , 
        0
      )
    ), 
    "再製作"
  )
)
</f>
        <v/>
      </c>
      <c r="CB41" s="397" t="str">
        <f t="array" ref="CB41">IF(
  BZ41 = "", 
  "", 
  IFERROR(
    INDEX(
      'アイテム別限界値DB'!$N:$N, 
      MATCH(
        1, 
        ('アイテム別限界値DB'!$B:$B = BX$4) * 
        ('アイテム別限界値DB'!$G:$G = BX41), 
        0
      )
    )*BZ41*BY41, 
    "再製作"
  )
)
</f>
        <v/>
      </c>
      <c r="CC41" s="402"/>
      <c r="CD41" s="397"/>
      <c r="CE41" s="397"/>
      <c r="CF41" s="397"/>
      <c r="CG41" s="397"/>
      <c r="CH41" s="469"/>
      <c r="CI41" s="469"/>
    </row>
    <row r="42">
      <c r="A42" s="160"/>
      <c r="B42" s="470"/>
      <c r="C42" s="470"/>
      <c r="D42" s="477" t="s">
        <v>234</v>
      </c>
      <c r="E42" s="489" t="s">
        <v>235</v>
      </c>
      <c r="F42" s="403"/>
      <c r="G42" s="490"/>
      <c r="H42" s="405" t="str">
        <f t="array" ref="H42">IF(
  G42 = 0, 
  "", 
  IFERROR(
    INDEX(
      'アイテム別限界値DB'!$K:$K, 
      MATCH(
        1, 
        ('アイテム別限界値DB'!$B:$B = D$4) * 
        ('アイテム別限界値DB'!$G:$G = D42) , 
        0
      )
    ), 
    "再製作"
  )
)
</f>
        <v/>
      </c>
      <c r="I42" s="397" t="str">
        <f t="array" ref="I42">IF(
  G42 = "", 
  "", 
  IFERROR(
    INDEX(
      'アイテム別限界値DB'!$N:$N, 
      MATCH(
        1, 
        ('アイテム別限界値DB'!$B:$B = D$4) * 
        ('アイテム別限界値DB'!$G:$G = D42), 
        0
      )
    )*$G42*F42, 
    "再製作"
  )
)
</f>
        <v/>
      </c>
      <c r="J42" s="479"/>
      <c r="K42" s="491" t="s">
        <v>235</v>
      </c>
      <c r="L42" s="414" t="s">
        <v>235</v>
      </c>
      <c r="M42" s="423"/>
      <c r="N42" s="490"/>
      <c r="O42" s="405" t="str">
        <f t="array" ref="O42">IF(
  N42 = 0, 
  "", 
  IFERROR(
    INDEX(
      'アイテム別限界値DB'!$K:$K, 
      MATCH(
        1, 
        ('アイテム別限界値DB'!$B:$B = K$4) * 
        ('アイテム別限界値DB'!$G:$G = K42) , 
        0
      )
    ), 
    "再製作"
  )
)
</f>
        <v/>
      </c>
      <c r="P42" s="397" t="str">
        <f t="array" ref="P42">IF(
  N42 = "", 
  "", 
  IFERROR(
    INDEX(
      'アイテム別限界値DB'!$N:$N, 
      MATCH(
        1, 
        ('アイテム別限界値DB'!$B:$B = K$4) * 
        ('アイテム別限界値DB'!$G:$G = K42), 
        0
      )
    )*$N42*M42, 
    "再製作"
  )
)
</f>
        <v/>
      </c>
      <c r="Q42" s="480"/>
      <c r="R42" s="481" t="s">
        <v>235</v>
      </c>
      <c r="S42" s="484" t="s">
        <v>235</v>
      </c>
      <c r="T42" s="423"/>
      <c r="U42" s="490"/>
      <c r="V42" s="405" t="str">
        <f t="array" ref="V42">IF(
  U42 = 0, 
  "", 
  IFERROR(
    INDEX(
      'アイテム別限界値DB'!$K:$K, 
      MATCH(
        1, 
        ('アイテム別限界値DB'!$B:$B = R$4) * 
        ('アイテム別限界値DB'!$G:$G = R42) , 
        0
      )
    ), 
    "再製作"
  )
)
</f>
        <v/>
      </c>
      <c r="W42" s="397" t="str">
        <f t="array" ref="W42">IF(
  U42 = "", 
  "", 
  IFERROR(
    INDEX(
      'アイテム別限界値DB'!$N:$N, 
      MATCH(
        1, 
        ('アイテム別限界値DB'!$B:$B = R$4) * 
        ('アイテム別限界値DB'!$G:$G = R42), 
        0
      )
    )*U42*T42, 
    "再製作"
  )
)
</f>
        <v/>
      </c>
      <c r="X42" s="469"/>
      <c r="Y42" s="492" t="s">
        <v>235</v>
      </c>
      <c r="Z42" s="484" t="s">
        <v>235</v>
      </c>
      <c r="AA42" s="423"/>
      <c r="AB42" s="490"/>
      <c r="AC42" s="405" t="str">
        <f t="array" ref="AC42">IF(
  AB42 = 0, 
  "", 
  IFERROR(
    INDEX(
      'アイテム別限界値DB'!$K:$K, 
      MATCH(
        1, 
        ('アイテム別限界値DB'!$B:$B = Y$4) * 
        ('アイテム別限界値DB'!$G:$G = Y42) , 
        0
      )
    ), 
    "再製作"
  )
)
</f>
        <v/>
      </c>
      <c r="AD42" s="397" t="str">
        <f t="array" ref="AD42">IF(
  AB42 = "", 
  "", 
  IFERROR(
    INDEX(
      'アイテム別限界値DB'!$N:$N, 
      MATCH(
        1, 
        ('アイテム別限界値DB'!$B:$B = Y$4) * 
        ('アイテム別限界値DB'!$G:$G = Y42), 
        0
      )
    )*AB42*AA42, 
    "再製作"
  )
)
</f>
        <v/>
      </c>
      <c r="AE42" s="486"/>
      <c r="AF42" s="487" t="s">
        <v>235</v>
      </c>
      <c r="AG42" s="484" t="s">
        <v>235</v>
      </c>
      <c r="AH42" s="423"/>
      <c r="AI42" s="485"/>
      <c r="AJ42" s="405" t="str">
        <f t="array" ref="AJ42">IF(
  AI42 = 0, 
  "", 
  IFERROR(
    INDEX(
      'アイテム別限界値DB'!$K:$K, 
      MATCH(
        1, 
        ('アイテム別限界値DB'!$B:$B = AF$4) * 
        ('アイテム別限界値DB'!$G:$G = AF42) , 
        0
      )
    ), 
    "再製作"
  )
)
</f>
        <v/>
      </c>
      <c r="AK42" s="397"/>
      <c r="AL42" s="469"/>
      <c r="AM42" s="469" t="s">
        <v>235</v>
      </c>
      <c r="AN42" s="493" t="s">
        <v>235</v>
      </c>
      <c r="AO42" s="423"/>
      <c r="AP42" s="485"/>
      <c r="AQ42" s="405" t="str">
        <f t="array" ref="AQ42">IF(
  AP42 = 0, 
  "", 
  IFERROR(
    INDEX(
      'アイテム別限界値DB'!$K:$K, 
      MATCH(
        1, 
        ('アイテム別限界値DB'!$B:$B = AM$4) * 
        ('アイテム別限界値DB'!$G:$G = AM42) , 
        0
      )
    ), 
    "再製作"
  )
)
</f>
        <v/>
      </c>
      <c r="AR42" s="397" t="str">
        <f t="array" ref="AR42">IF(
  AP42 = "", 
  "", 
  IFERROR(
    INDEX(
      'アイテム別限界値DB'!$N:$N, 
      MATCH(
        1, 
        ('アイテム別限界値DB'!$B:$B = AM$4) * 
        ('アイテム別限界値DB'!$G:$G = AM42), 
        0
      )
    )*AP42*AO42, 
    "再製作"
  )
)
</f>
        <v/>
      </c>
      <c r="AS42" s="469"/>
      <c r="AT42" s="493"/>
      <c r="AU42" s="423"/>
      <c r="AV42" s="485"/>
      <c r="AW42" s="405" t="str">
        <f t="array" ref="AW42">IF(
  AV42 = 0, 
  "", 
  IFERROR(
    INDEX(
      'アイテム別限界値DB'!$K:$K, 
      MATCH(
        1, 
        ('アイテム別限界値DB'!$B:$B = AS$4) * 
        ('アイテム別限界値DB'!$G:$G = AS42) , 
        0
      )
    ), 
    "再製作"
  )
)
</f>
        <v/>
      </c>
      <c r="AX42" s="397" t="str">
        <f t="array" ref="AX42">IF(
  AV42 = "", 
  "", 
  IFERROR(
    INDEX(
      'アイテム別限界値DB'!$N:$N, 
      MATCH(
        1, 
        ('アイテム別限界値DB'!$B:$B = AS$4) * 
        ('アイテム別限界値DB'!$G:$G = AS42), 
        0
      )
    )*AV42*AU42, 
    "再製作"
  )
)
</f>
        <v/>
      </c>
      <c r="AY42" s="469"/>
      <c r="AZ42" s="493"/>
      <c r="BA42" s="423"/>
      <c r="BB42" s="485"/>
      <c r="BC42" s="405" t="str">
        <f t="array" ref="BC42">IF(
  BB42 = 0, 
  "", 
  IFERROR(
    INDEX(
      'アイテム別限界値DB'!$K:$K, 
      MATCH(
        1, 
        ('アイテム別限界値DB'!$B:$B = AY$4) * 
        ('アイテム別限界値DB'!$G:$G = AY42) , 
        0
      )
    ), 
    "再製作"
  )
)
</f>
        <v/>
      </c>
      <c r="BD42" s="397" t="str">
        <f t="array" ref="BD42">IF(
  BB42 = "", 
  "", 
  IFERROR(
    INDEX(
      'アイテム別限界値DB'!$N:$N, 
      MATCH(
        1, 
        ('アイテム別限界値DB'!$B:$B = AZ$4) * 
        ('アイテム別限界値DB'!$G:$G = BB42), 
        0
      )
    )*BB42*BA42, 
    "再製作"
  )
)
</f>
        <v/>
      </c>
      <c r="BE42" s="469"/>
      <c r="BF42" s="493"/>
      <c r="BG42" s="423"/>
      <c r="BH42" s="485"/>
      <c r="BI42" s="405" t="str">
        <f t="array" ref="BI42">IF(
  BH42 = 0, 
  "", 
  IFERROR(
    INDEX(
      'アイテム別限界値DB'!$K:$K, 
      MATCH(
        1, 
        ('アイテム別限界値DB'!$B:$B = BE$4) * 
        ('アイテム別限界値DB'!$G:$G = BE42) , 
        0
      )
    ), 
    "再製作"
  )
)
</f>
        <v/>
      </c>
      <c r="BJ42" s="397"/>
      <c r="BK42" s="469"/>
      <c r="BL42" s="493"/>
      <c r="BM42" s="423"/>
      <c r="BN42" s="485"/>
      <c r="BO42" s="405"/>
      <c r="BP42" s="397" t="str">
        <f t="array" ref="BP42">IF(
  BN42 = "", 
  "", 
  IFERROR(
    INDEX(
      'アイテム別限界値DB'!$N:$N, 
      MATCH(
        1, 
        ('アイテム別限界値DB'!$B:$B = BL$4) * 
        ('アイテム別限界値DB'!$G:$G = BL42), 
        0
      )
    )*BN42, 
    "再製作"
  )
)
</f>
        <v/>
      </c>
      <c r="BQ42" s="469"/>
      <c r="BR42" s="493"/>
      <c r="BS42" s="423"/>
      <c r="BT42" s="485"/>
      <c r="BU42" s="405" t="str">
        <f t="array" ref="BU42">IF(
  BT42 = 0, 
  "", 
  IFERROR(
    INDEX(
      'アイテム別限界値DB'!$K:$K, 
      MATCH(
        1, 
        ('アイテム別限界値DB'!$B:$B = BQ$4) * 
        ('アイテム別限界値DB'!$G:$G = BQ42) , 
        0
      )
    ), 
    "再製作"
  )
)
</f>
        <v/>
      </c>
      <c r="BV42" s="397" t="str">
        <f t="array" ref="BV42">IF(
  BT42 = "", 
  "", 
  IFERROR(
    INDEX(
      'アイテム別限界値DB'!$N:$N, 
      MATCH(
        1, 
        ('アイテム別限界値DB'!$B:$B = BR$4) * 
        ('アイテム別限界値DB'!$G:$G = BR42), 
        0
      )
    )*BT42*BS42, 
    "再製作"
  )
)
</f>
        <v/>
      </c>
      <c r="BW42" s="469"/>
      <c r="BX42" s="493"/>
      <c r="BY42" s="423"/>
      <c r="BZ42" s="485"/>
      <c r="CA42" s="405" t="str">
        <f t="array" ref="CA42">IF(
  BZ42 = 0, 
  "", 
  IFERROR(
    INDEX(
      'アイテム別限界値DB'!$K:$K, 
      MATCH(
        1, 
        ('アイテム別限界値DB'!$B:$B = BW$4) * 
        ('アイテム別限界値DB'!$G:$G = BW42) , 
        0
      )
    ), 
    "再製作"
  )
)
</f>
        <v/>
      </c>
      <c r="CB42" s="397" t="str">
        <f t="array" ref="CB42">IF(
  BZ42 = "", 
  "", 
  IFERROR(
    INDEX(
      'アイテム別限界値DB'!$N:$N, 
      MATCH(
        1, 
        ('アイテム別限界値DB'!$B:$B = BX$4) * 
        ('アイテム別限界値DB'!$G:$G = BX42), 
        0
      )
    )*BZ42*BY42, 
    "再製作"
  )
)
</f>
        <v/>
      </c>
      <c r="CC42" s="402"/>
      <c r="CD42" s="397"/>
      <c r="CE42" s="397"/>
      <c r="CF42" s="397"/>
      <c r="CG42" s="397"/>
      <c r="CH42" s="469"/>
      <c r="CI42" s="469"/>
    </row>
    <row r="43">
      <c r="A43" s="229"/>
      <c r="B43" s="494"/>
      <c r="C43" s="494"/>
      <c r="D43" s="495" t="s">
        <v>236</v>
      </c>
      <c r="E43" s="484" t="s">
        <v>236</v>
      </c>
      <c r="F43" s="403">
        <v>1.0</v>
      </c>
      <c r="G43" s="485">
        <v>1.0</v>
      </c>
      <c r="H43" s="405" t="str">
        <f t="array" ref="H43">IF(
  G43 = 0, 
  "", 
  IFERROR(
    INDEX(
      'アイテム別限界値DB'!$K:$K, 
      MATCH(
        1, 
        ('アイテム別限界値DB'!$B:$B = D$4) * 
        ('アイテム別限界値DB'!$G:$G = D43) , 
        0
      )
    ), 
    "再製作"
  )
)
</f>
        <v>約2週間</v>
      </c>
      <c r="I43" s="397">
        <f t="array" ref="I43">IF(
  G43 = "", 
  "", 
  IFERROR(
    INDEX(
      'アイテム別限界値DB'!$N:$N, 
      MATCH(
        1, 
        ('アイテム別限界値DB'!$B:$B = D$4) * 
        ('アイテム別限界値DB'!$G:$G = D43), 
        0
      )
    )*$G43*F43, 
    "再製作"
  )
)
</f>
        <v>660</v>
      </c>
      <c r="J43" s="479"/>
      <c r="K43" s="491" t="s">
        <v>236</v>
      </c>
      <c r="L43" s="414" t="s">
        <v>236</v>
      </c>
      <c r="M43" s="423"/>
      <c r="N43" s="496"/>
      <c r="O43" s="405" t="str">
        <f t="array" ref="O43">IF(
  N43 = 0, 
  "", 
  IFERROR(
    INDEX(
      'アイテム別限界値DB'!$K:$K, 
      MATCH(
        1, 
        ('アイテム別限界値DB'!$B:$B = K$4) * 
        ('アイテム別限界値DB'!$G:$G = K43) , 
        0
      )
    ), 
    "再製作"
  )
)
</f>
        <v/>
      </c>
      <c r="P43" s="397" t="str">
        <f t="array" ref="P43">IF(
  N43 = "", 
  "", 
  IFERROR(
    INDEX(
      'アイテム別限界値DB'!$N:$N, 
      MATCH(
        1, 
        ('アイテム別限界値DB'!$B:$B = K$4) * 
        ('アイテム別限界値DB'!$G:$G = K43), 
        0
      )
    )*$N43*M43, 
    "再製作"
  )
)
</f>
        <v/>
      </c>
      <c r="Q43" s="480"/>
      <c r="R43" s="497" t="s">
        <v>236</v>
      </c>
      <c r="S43" s="484" t="s">
        <v>236</v>
      </c>
      <c r="T43" s="423"/>
      <c r="U43" s="485"/>
      <c r="V43" s="405" t="str">
        <f t="array" ref="V43">IF(
  U43 = 0, 
  "", 
  IFERROR(
    INDEX(
      'アイテム別限界値DB'!$K:$K, 
      MATCH(
        1, 
        ('アイテム別限界値DB'!$B:$B = R$4) * 
        ('アイテム別限界値DB'!$G:$G = R43) , 
        0
      )
    ), 
    "再製作"
  )
)
</f>
        <v/>
      </c>
      <c r="W43" s="397" t="str">
        <f t="array" ref="W43">IF(
  U43 = "", 
  "", 
  IFERROR(
    INDEX(
      'アイテム別限界値DB'!$N:$N, 
      MATCH(
        1, 
        ('アイテム別限界値DB'!$B:$B = R$4) * 
        ('アイテム別限界値DB'!$G:$G = R43), 
        0
      )
    )*U43*T43, 
    "再製作"
  )
)
</f>
        <v/>
      </c>
      <c r="X43" s="469"/>
      <c r="Y43" s="492" t="s">
        <v>236</v>
      </c>
      <c r="Z43" s="484" t="s">
        <v>236</v>
      </c>
      <c r="AA43" s="423"/>
      <c r="AB43" s="485"/>
      <c r="AC43" s="405" t="str">
        <f t="array" ref="AC43">IF(
  AB43 = 0, 
  "", 
  IFERROR(
    INDEX(
      'アイテム別限界値DB'!$K:$K, 
      MATCH(
        1, 
        ('アイテム別限界値DB'!$B:$B = Y$4) * 
        ('アイテム別限界値DB'!$G:$G = Y43) , 
        0
      )
    ), 
    "再製作"
  )
)
</f>
        <v/>
      </c>
      <c r="AD43" s="397" t="str">
        <f t="array" ref="AD43">IF(
  AB43 = "", 
  "", 
  IFERROR(
    INDEX(
      'アイテム別限界値DB'!$N:$N, 
      MATCH(
        1, 
        ('アイテム別限界値DB'!$B:$B = Y$4) * 
        ('アイテム別限界値DB'!$G:$G = Y43), 
        0
      )
    )*AB43*AA43, 
    "再製作"
  )
)
</f>
        <v/>
      </c>
      <c r="AE43" s="498"/>
      <c r="AF43" s="487" t="s">
        <v>236</v>
      </c>
      <c r="AG43" s="484" t="s">
        <v>236</v>
      </c>
      <c r="AH43" s="423"/>
      <c r="AI43" s="485"/>
      <c r="AJ43" s="405" t="str">
        <f t="array" ref="AJ43">IF(
  AI43 = 0, 
  "", 
  IFERROR(
    INDEX(
      'アイテム別限界値DB'!$K:$K, 
      MATCH(
        1, 
        ('アイテム別限界値DB'!$B:$B = AF$4) * 
        ('アイテム別限界値DB'!$G:$G = AF43) , 
        0
      )
    ), 
    "再製作"
  )
)
</f>
        <v/>
      </c>
      <c r="AK43" s="397"/>
      <c r="AL43" s="469"/>
      <c r="AM43" s="487" t="s">
        <v>236</v>
      </c>
      <c r="AN43" s="488" t="s">
        <v>236</v>
      </c>
      <c r="AO43" s="423"/>
      <c r="AP43" s="485"/>
      <c r="AQ43" s="405" t="str">
        <f t="array" ref="AQ43">IF(
  AP43 = 0, 
  "", 
  IFERROR(
    INDEX(
      'アイテム別限界値DB'!$K:$K, 
      MATCH(
        1, 
        ('アイテム別限界値DB'!$B:$B = AM$4) * 
        ('アイテム別限界値DB'!$G:$G = AM43) , 
        0
      )
    ), 
    "再製作"
  )
)
</f>
        <v/>
      </c>
      <c r="AR43" s="397" t="str">
        <f t="array" ref="AR43">IF(
  AP43 = "", 
  "", 
  IFERROR(
    INDEX(
      'アイテム別限界値DB'!$N:$N, 
      MATCH(
        1, 
        ('アイテム別限界値DB'!$B:$B = AM$4) * 
        ('アイテム別限界値DB'!$G:$G = AM43), 
        0
      )
    )*AP43*AO43, 
    "再製作"
  )
)
</f>
        <v/>
      </c>
      <c r="AS43" s="469"/>
      <c r="AT43" s="488"/>
      <c r="AU43" s="423"/>
      <c r="AV43" s="485"/>
      <c r="AW43" s="405" t="str">
        <f t="array" ref="AW43">IF(
  AV43 = 0, 
  "", 
  IFERROR(
    INDEX(
      'アイテム別限界値DB'!$K:$K, 
      MATCH(
        1, 
        ('アイテム別限界値DB'!$B:$B = AS$4) * 
        ('アイテム別限界値DB'!$G:$G = AS43) , 
        0
      )
    ), 
    "再製作"
  )
)
</f>
        <v/>
      </c>
      <c r="AX43" s="397" t="str">
        <f t="array" ref="AX43">IF(
  AV43 = "", 
  "", 
  IFERROR(
    INDEX(
      'アイテム別限界値DB'!$N:$N, 
      MATCH(
        1, 
        ('アイテム別限界値DB'!$B:$B = AS$4) * 
        ('アイテム別限界値DB'!$G:$G = AS43), 
        0
      )
    )*AV43*AU43, 
    "再製作"
  )
)
</f>
        <v/>
      </c>
      <c r="AY43" s="469"/>
      <c r="AZ43" s="488"/>
      <c r="BA43" s="423"/>
      <c r="BB43" s="485"/>
      <c r="BC43" s="405" t="str">
        <f t="array" ref="BC43">IF(
  BB43 = 0, 
  "", 
  IFERROR(
    INDEX(
      'アイテム別限界値DB'!$K:$K, 
      MATCH(
        1, 
        ('アイテム別限界値DB'!$B:$B = AY$4) * 
        ('アイテム別限界値DB'!$G:$G = AY43) , 
        0
      )
    ), 
    "再製作"
  )
)
</f>
        <v/>
      </c>
      <c r="BD43" s="397" t="str">
        <f t="array" ref="BD43">IF(
  BB43 = "", 
  "", 
  IFERROR(
    INDEX(
      'アイテム別限界値DB'!$N:$N, 
      MATCH(
        1, 
        ('アイテム別限界値DB'!$B:$B = AZ$4) * 
        ('アイテム別限界値DB'!$G:$G = BB43), 
        0
      )
    )*BB43*BA43, 
    "再製作"
  )
)
</f>
        <v/>
      </c>
      <c r="BE43" s="469"/>
      <c r="BF43" s="488"/>
      <c r="BG43" s="423"/>
      <c r="BH43" s="485"/>
      <c r="BI43" s="405" t="str">
        <f t="array" ref="BI43">IF(
  BH43 = 0, 
  "", 
  IFERROR(
    INDEX(
      'アイテム別限界値DB'!$K:$K, 
      MATCH(
        1, 
        ('アイテム別限界値DB'!$B:$B = BE$4) * 
        ('アイテム別限界値DB'!$G:$G = BE43) , 
        0
      )
    ), 
    "再製作"
  )
)
</f>
        <v/>
      </c>
      <c r="BJ43" s="397"/>
      <c r="BK43" s="469"/>
      <c r="BL43" s="488"/>
      <c r="BM43" s="423"/>
      <c r="BN43" s="485"/>
      <c r="BO43" s="405"/>
      <c r="BP43" s="397" t="str">
        <f t="array" ref="BP43">IF(
  BN43 = "", 
  "", 
  IFERROR(
    INDEX(
      'アイテム別限界値DB'!$N:$N, 
      MATCH(
        1, 
        ('アイテム別限界値DB'!$B:$B = BL$4) * 
        ('アイテム別限界値DB'!$G:$G = BL43), 
        0
      )
    )*BN43, 
    "再製作"
  )
)
</f>
        <v/>
      </c>
      <c r="BQ43" s="469"/>
      <c r="BR43" s="488"/>
      <c r="BS43" s="423"/>
      <c r="BT43" s="485"/>
      <c r="BU43" s="405" t="str">
        <f t="array" ref="BU43">IF(
  BT43 = 0, 
  "", 
  IFERROR(
    INDEX(
      'アイテム別限界値DB'!$K:$K, 
      MATCH(
        1, 
        ('アイテム別限界値DB'!$B:$B = BQ$4) * 
        ('アイテム別限界値DB'!$G:$G = BQ43) , 
        0
      )
    ), 
    "再製作"
  )
)
</f>
        <v/>
      </c>
      <c r="BV43" s="397" t="str">
        <f t="array" ref="BV43">IF(
  BT43 = "", 
  "", 
  IFERROR(
    INDEX(
      'アイテム別限界値DB'!$N:$N, 
      MATCH(
        1, 
        ('アイテム別限界値DB'!$B:$B = BR$4) * 
        ('アイテム別限界値DB'!$G:$G = BR43), 
        0
      )
    )*BT43*BS43, 
    "再製作"
  )
)
</f>
        <v/>
      </c>
      <c r="BW43" s="469"/>
      <c r="BX43" s="488"/>
      <c r="BY43" s="423"/>
      <c r="BZ43" s="485"/>
      <c r="CA43" s="405" t="str">
        <f t="array" ref="CA43">IF(
  BZ43 = 0, 
  "", 
  IFERROR(
    INDEX(
      'アイテム別限界値DB'!$K:$K, 
      MATCH(
        1, 
        ('アイテム別限界値DB'!$B:$B = BW$4) * 
        ('アイテム別限界値DB'!$G:$G = BW43) , 
        0
      )
    ), 
    "再製作"
  )
)
</f>
        <v/>
      </c>
      <c r="CB43" s="397" t="str">
        <f t="array" ref="CB43">IF(
  BZ43 = "", 
  "", 
  IFERROR(
    INDEX(
      'アイテム別限界値DB'!$N:$N, 
      MATCH(
        1, 
        ('アイテム別限界値DB'!$B:$B = BX$4) * 
        ('アイテム別限界値DB'!$G:$G = BX43), 
        0
      )
    )*BZ43*BY43, 
    "再製作"
  )
)
</f>
        <v/>
      </c>
      <c r="CC43" s="402"/>
      <c r="CD43" s="397"/>
      <c r="CE43" s="397"/>
      <c r="CF43" s="397"/>
      <c r="CG43" s="397"/>
      <c r="CH43" s="469"/>
      <c r="CI43" s="469"/>
    </row>
    <row r="44">
      <c r="A44" s="457"/>
      <c r="B44" s="499"/>
      <c r="C44" s="499"/>
      <c r="D44" s="500" t="s">
        <v>237</v>
      </c>
      <c r="E44" s="489" t="s">
        <v>238</v>
      </c>
      <c r="F44" s="403"/>
      <c r="G44" s="490"/>
      <c r="H44" s="405" t="str">
        <f t="array" ref="H44">IF(
  G44 = 0, 
  "", 
  IFERROR(
    INDEX(
      'アイテム別限界値DB'!$K:$K, 
      MATCH(
        1, 
        ('アイテム別限界値DB'!$B:$B = D$4) * 
        ('アイテム別限界値DB'!$G:$G = D44) , 
        0
      )
    ), 
    "再製作"
  )
)
</f>
        <v/>
      </c>
      <c r="I44" s="397" t="str">
        <f t="array" ref="I44">IF(
  G44 = "", 
  "", 
  IFERROR(
    INDEX(
      'アイテム別限界値DB'!$N:$N, 
      MATCH(
        1, 
        ('アイテム別限界値DB'!$B:$B = D$4) * 
        ('アイテム別限界値DB'!$G:$G = D44), 
        0
      )
    )*$G44*F44, 
    "再製作"
  )
)
</f>
        <v/>
      </c>
      <c r="J44" s="479"/>
      <c r="K44" s="246" t="s">
        <v>239</v>
      </c>
      <c r="L44" s="414" t="s">
        <v>239</v>
      </c>
      <c r="M44" s="423"/>
      <c r="N44" s="490"/>
      <c r="O44" s="405" t="str">
        <f t="array" ref="O44">IF(
  N44 = 0, 
  "", 
  IFERROR(
    INDEX(
      'アイテム別限界値DB'!$K:$K, 
      MATCH(
        1, 
        ('アイテム別限界値DB'!$B:$B = K$4) * 
        ('アイテム別限界値DB'!$G:$G = K44) , 
        0
      )
    ), 
    "再製作"
  )
)
</f>
        <v/>
      </c>
      <c r="P44" s="397" t="str">
        <f t="array" ref="P44">IF(
  N44 = "", 
  "", 
  IFERROR(
    INDEX(
      'アイテム別限界値DB'!$N:$N, 
      MATCH(
        1, 
        ('アイテム別限界値DB'!$B:$B = K$4) * 
        ('アイテム別限界値DB'!$G:$G = K44), 
        0
      )
    )*$N44*M44, 
    "再製作"
  )
)
</f>
        <v/>
      </c>
      <c r="Q44" s="480"/>
      <c r="R44" s="501" t="s">
        <v>238</v>
      </c>
      <c r="S44" s="484" t="s">
        <v>238</v>
      </c>
      <c r="T44" s="423"/>
      <c r="U44" s="490"/>
      <c r="V44" s="405" t="str">
        <f t="array" ref="V44">IF(
  U44 = 0, 
  "", 
  IFERROR(
    INDEX(
      'アイテム別限界値DB'!$K:$K, 
      MATCH(
        1, 
        ('アイテム別限界値DB'!$B:$B = R$4) * 
        ('アイテム別限界値DB'!$G:$G = R44) , 
        0
      )
    ), 
    "再製作"
  )
)
</f>
        <v/>
      </c>
      <c r="W44" s="397" t="str">
        <f t="array" ref="W44">IF(
  U44 = "", 
  "", 
  IFERROR(
    INDEX(
      'アイテム別限界値DB'!$N:$N, 
      MATCH(
        1, 
        ('アイテム別限界値DB'!$B:$B = R$4) * 
        ('アイテム別限界値DB'!$G:$G = R44), 
        0
      )
    )*U44*T44, 
    "再製作"
  )
)
</f>
        <v/>
      </c>
      <c r="X44" s="469"/>
      <c r="Y44" s="481" t="s">
        <v>240</v>
      </c>
      <c r="Z44" s="484" t="s">
        <v>240</v>
      </c>
      <c r="AA44" s="423"/>
      <c r="AB44" s="490"/>
      <c r="AC44" s="405" t="str">
        <f t="array" ref="AC44">IF(
  AB44 = 0, 
  "", 
  IFERROR(
    INDEX(
      'アイテム別限界値DB'!$K:$K, 
      MATCH(
        1, 
        ('アイテム別限界値DB'!$B:$B = Y$4) * 
        ('アイテム別限界値DB'!$G:$G = Y44) , 
        0
      )
    ), 
    "再製作"
  )
)
</f>
        <v/>
      </c>
      <c r="AD44" s="397" t="str">
        <f t="array" ref="AD44">IF(
  AB44 = "", 
  "", 
  IFERROR(
    INDEX(
      'アイテム別限界値DB'!$N:$N, 
      MATCH(
        1, 
        ('アイテム別限界値DB'!$B:$B = Y$4) * 
        ('アイテム別限界値DB'!$G:$G = Y44), 
        0
      )
    )*AB44*AA44, 
    "再製作"
  )
)
</f>
        <v/>
      </c>
      <c r="AE44" s="498"/>
      <c r="AF44" s="487"/>
      <c r="AG44" s="437"/>
      <c r="AH44" s="440"/>
      <c r="AI44" s="440"/>
      <c r="AJ44" s="396" t="str">
        <f t="array" ref="AJ44">IF(
  AI44 = 0, 
  "", 
  IFERROR(
    INDEX(
      'アイテム別限界値DB'!$I:$I, 
      MATCH(
        1, 
        ('アイテム別限界値DB'!$B:$B = AF$4) * 
        ('アイテム別限界値DB'!$C:$C = AF44) * 
        ('アイテム別限界値DB'!$F:$F = AI44), 
        0
      )
    ), 
    "再製作"
  )
)
</f>
        <v/>
      </c>
      <c r="AK44" s="396"/>
      <c r="AL44" s="469"/>
      <c r="AM44" s="487"/>
      <c r="AN44" s="488"/>
      <c r="AO44" s="440"/>
      <c r="AP44" s="440"/>
      <c r="AQ44" s="396" t="str">
        <f t="array" ref="AQ44">IFS(
  AP44 = "", "", 
  AP44 = "バスト連動値", "", 
  AP44&lt;&gt;0,
  IFERROR(
    INDEX(
      'アイテム別限界値DB'!$I:$I, 
      MATCH(
        1, 
        ('アイテム別限界値DB'!$B:$B = AM$4) * 
        ('アイテム別限界値DB'!$C:$C = AM44) * 
        ('アイテム別限界値DB'!$F:$F = AP44), 
        0
      )
    ), 
    "再製作"
  )
)
</f>
        <v/>
      </c>
      <c r="AR44" s="396"/>
      <c r="AS44" s="469"/>
      <c r="AT44" s="488"/>
      <c r="AU44" s="440"/>
      <c r="AV44" s="440"/>
      <c r="AW44" s="396" t="str">
        <f t="array" ref="AW44">IFS(
  AV44 = "", "", 
  AV44 = "バスト連動値", "", 
  AV44&lt;&gt;0,
  IFERROR(
    INDEX(
      'アイテム別限界値DB'!$I:$I, 
      MATCH(
        1, 
        ('アイテム別限界値DB'!$B:$B = AT$4) * 
        ('アイテム別限界値DB'!$C:$C = AT44) * 
        ('アイテム別限界値DB'!$F:$F = AV44), 
        0
      )
    ), 
    "再製作"
  )
)
</f>
        <v/>
      </c>
      <c r="AX44" s="396"/>
      <c r="AY44" s="469"/>
      <c r="AZ44" s="488"/>
      <c r="BA44" s="440"/>
      <c r="BB44" s="440"/>
      <c r="BC44" s="396" t="str">
        <f t="array" ref="BC44">IFS(
  BB44 = "", "", 
  BB44 = "バスト連動値", "", 
  BB44&lt;&gt;0,
  IFERROR(
    INDEX(
      'アイテム別限界値DB'!$I:$I, 
      MATCH(
        1, 
        ('アイテム別限界値DB'!$B:$B = AZ$4) * 
        ('アイテム別限界値DB'!$C:$C = AZ44) * 
        ('アイテム別限界値DB'!$F:$F = BB44), 
        0
      )
    ), 
    "再製作"
  )
)
</f>
        <v/>
      </c>
      <c r="BD44" s="396"/>
      <c r="BE44" s="469"/>
      <c r="BF44" s="488"/>
      <c r="BG44" s="440"/>
      <c r="BH44" s="440"/>
      <c r="BI44" s="396" t="str">
        <f t="array" ref="BI44">IFS(
  BH44 = "", "", 
  BH44 = "バスト連動値", "", 
  BH44&lt;&gt;0,
  IFERROR(
    INDEX(
      'アイテム別限界値DB'!$I:$I, 
      MATCH(
        1, 
        ('アイテム別限界値DB'!$B:$B = BF$4) * 
        ('アイテム別限界値DB'!$C:$C = BF44) * 
        ('アイテム別限界値DB'!$F:$F = BH44), 
        0
      )
    ), 
    "再製作"
  )
)
</f>
        <v/>
      </c>
      <c r="BJ44" s="396"/>
      <c r="BK44" s="469"/>
      <c r="BL44" s="488"/>
      <c r="BM44" s="440"/>
      <c r="BN44" s="440"/>
      <c r="BO44" s="396"/>
      <c r="BP44" s="396"/>
      <c r="BQ44" s="469"/>
      <c r="BR44" s="488"/>
      <c r="BS44" s="440"/>
      <c r="BT44" s="440"/>
      <c r="BU44" s="396" t="str">
        <f t="array" ref="BU44">IFS(
  BT44 = "", "", 
  BT44 = "バスト連動値", "", 
  BT44&lt;&gt;0,
  IFERROR(
    INDEX(
      'アイテム別限界値DB'!$I:$I, 
      MATCH(
        1, 
        ('アイテム別限界値DB'!$B:$B = BR$4) * 
        ('アイテム別限界値DB'!$C:$C = BR44) * 
        ('アイテム別限界値DB'!$F:$F = BT44), 
        0
      )
    ), 
    "再製作"
  )
)
</f>
        <v/>
      </c>
      <c r="BV44" s="396"/>
      <c r="BW44" s="469"/>
      <c r="BX44" s="488"/>
      <c r="BY44" s="440"/>
      <c r="BZ44" s="440"/>
      <c r="CA44" s="396" t="str">
        <f t="array" ref="CA44">IFS(
  BZ44 = "", "", 
  BZ44 = "バスト連動値", "", 
  BZ44&lt;&gt;0,
  IFERROR(
    INDEX(
      'アイテム別限界値DB'!$I:$I, 
      MATCH(
        1, 
        ('アイテム別限界値DB'!$B:$B = BX$4) * 
        ('アイテム別限界値DB'!$C:$C = BX44) * 
        ('アイテム別限界値DB'!$F:$F = BZ44), 
        0
      )
    ), 
    "再製作"
  )
)
</f>
        <v/>
      </c>
      <c r="CB44" s="396"/>
      <c r="CC44" s="396"/>
      <c r="CD44" s="396"/>
      <c r="CE44" s="396"/>
      <c r="CF44" s="396"/>
      <c r="CG44" s="396"/>
      <c r="CH44" s="469"/>
      <c r="CI44" s="469"/>
    </row>
    <row r="45">
      <c r="A45" s="160"/>
      <c r="B45" s="502"/>
      <c r="C45" s="502"/>
      <c r="D45" s="503" t="s">
        <v>241</v>
      </c>
      <c r="E45" s="484" t="s">
        <v>242</v>
      </c>
      <c r="F45" s="403"/>
      <c r="G45" s="485"/>
      <c r="H45" s="405" t="str">
        <f t="array" ref="H45">IF(
  G45 = 0, 
  "", 
  IFERROR(
    INDEX(
      'アイテム別限界値DB'!$K:$K, 
      MATCH(
        1, 
        ('アイテム別限界値DB'!$B:$B = D$4) * 
        ('アイテム別限界値DB'!$G:$G = D45) , 
        0
      )
    ), 
    "再製作"
  )
)
</f>
        <v/>
      </c>
      <c r="I45" s="397" t="str">
        <f t="array" ref="I45">IF(
  G45 = "", 
  "", 
  IFERROR(
    INDEX(
      'アイテム別限界値DB'!$N:$N, 
      MATCH(
        1, 
        ('アイテム別限界値DB'!$B:$B = D$4) * 
        ('アイテム別限界値DB'!$G:$G = D45), 
        0
      )
    )*$G45*F45, 
    "再製作"
  )
)
</f>
        <v/>
      </c>
      <c r="J45" s="479"/>
      <c r="K45" s="246" t="s">
        <v>243</v>
      </c>
      <c r="L45" s="414" t="s">
        <v>244</v>
      </c>
      <c r="M45" s="423"/>
      <c r="N45" s="485"/>
      <c r="O45" s="405" t="str">
        <f t="array" ref="O45">IF(
  N45 = 0, 
  "", 
  IFERROR(
    INDEX(
      'アイテム別限界値DB'!$K:$K, 
      MATCH(
        1, 
        ('アイテム別限界値DB'!$B:$B = K$4) * 
        ('アイテム別限界値DB'!$G:$G = K45) , 
        0
      )
    ), 
    "再製作"
  )
)
</f>
        <v/>
      </c>
      <c r="P45" s="397" t="str">
        <f t="array" ref="P45">IF(
  N45 = "", 
  "", 
  IFERROR(
    INDEX(
      'アイテム別限界値DB'!$N:$N, 
      MATCH(
        1, 
        ('アイテム別限界値DB'!$B:$B = K$4) * 
        ('アイテム別限界値DB'!$G:$G = K45), 
        0
      )
    )*$N45*M45, 
    "再製作"
  )
)
</f>
        <v/>
      </c>
      <c r="Q45" s="480"/>
      <c r="R45" s="501" t="s">
        <v>245</v>
      </c>
      <c r="S45" s="484" t="s">
        <v>245</v>
      </c>
      <c r="T45" s="423"/>
      <c r="U45" s="485"/>
      <c r="V45" s="405" t="str">
        <f t="array" ref="V45">IF(
  U45 = 0, 
  "", 
  IFERROR(
    INDEX(
      'アイテム別限界値DB'!$K:$K, 
      MATCH(
        1, 
        ('アイテム別限界値DB'!$B:$B = R$4) * 
        ('アイテム別限界値DB'!$G:$G = R45) , 
        0
      )
    ), 
    "再製作"
  )
)
</f>
        <v/>
      </c>
      <c r="W45" s="397" t="str">
        <f t="array" ref="W45">IF(
  U45 = "", 
  "", 
  IFERROR(
    INDEX(
      'アイテム別限界値DB'!$N:$N, 
      MATCH(
        1, 
        ('アイテム別限界値DB'!$B:$B = R$4) * 
        ('アイテム別限界値DB'!$G:$G = R45), 
        0
      )
    )*U45*T45, 
    "再製作"
  )
)
</f>
        <v/>
      </c>
      <c r="X45" s="469"/>
      <c r="Y45" s="468" t="s">
        <v>246</v>
      </c>
      <c r="Z45" s="484" t="s">
        <v>247</v>
      </c>
      <c r="AA45" s="423"/>
      <c r="AB45" s="485"/>
      <c r="AC45" s="405" t="str">
        <f t="array" ref="AC45">IF(
  AB45 = 0, 
  "", 
  IFERROR(
    INDEX(
      'アイテム別限界値DB'!$K:$K, 
      MATCH(
        1, 
        ('アイテム別限界値DB'!$B:$B = Y$4) * 
        ('アイテム別限界値DB'!$G:$G = Y45) , 
        0
      )
    ), 
    "再製作"
  )
)
</f>
        <v/>
      </c>
      <c r="AD45" s="397" t="str">
        <f t="array" ref="AD45">IF(
  AB45 = "", 
  "", 
  IFERROR(
    INDEX(
      'アイテム別限界値DB'!$N:$N, 
      MATCH(
        1, 
        ('アイテム別限界値DB'!$B:$B = Y$4) * 
        ('アイテム別限界値DB'!$G:$G = Y45), 
        0
      )
    )*AB45*AA45, 
    "再製作"
  )
)
</f>
        <v/>
      </c>
      <c r="AE45" s="498"/>
      <c r="AF45" s="487"/>
      <c r="AG45" s="437"/>
      <c r="AH45" s="440"/>
      <c r="AI45" s="440"/>
      <c r="AJ45" s="396" t="str">
        <f t="array" ref="AJ45">IFS(
  AI45 = "", "", 
  AI45 = "バスト連動値", "", 
  AI45&lt;&gt;0,
  IFERROR(
    INDEX(
      'アイテム別限界値DB'!$I:$I, 
      MATCH(
        1, 
        ('アイテム別限界値DB'!$B:$B = AF$4) * 
        ('アイテム別限界値DB'!$C:$C = AF45) * 
        ('アイテム別限界値DB'!$F:$F = AI45), 
        0
      )
    ), 
    "再製作"
  )
)
</f>
        <v/>
      </c>
      <c r="AK45" s="396"/>
      <c r="AL45" s="469"/>
      <c r="AM45" s="487"/>
      <c r="AN45" s="488"/>
      <c r="AO45" s="504"/>
      <c r="AP45" s="504"/>
      <c r="AQ45" s="396" t="str">
        <f t="array" ref="AQ45">IF(
  AP45 = 0, 
  "", 
  IFERROR(
    INDEX(
      'アイテム別限界値DB'!$I:$I, 
      MATCH(
        1, 
        ('アイテム別限界値DB'!$B:$B = AM$4) * 
        ('アイテム別限界値DB'!$C:$C = AM45) * 
        ('アイテム別限界値DB'!$F:$F = AP45), 
        0
      )
    ), 
    "再製作"
  )
)
</f>
        <v/>
      </c>
      <c r="AR45" s="396"/>
      <c r="AS45" s="469"/>
      <c r="AT45" s="488"/>
      <c r="AU45" s="504"/>
      <c r="AV45" s="504"/>
      <c r="AW45" s="396" t="str">
        <f t="array" ref="AW45">IF(
  AV45 = 0, 
  "", 
  IFERROR(
    INDEX(
      'アイテム別限界値DB'!$I:$I, 
      MATCH(
        1, 
        ('アイテム別限界値DB'!$B:$B = AT$4) * 
        ('アイテム別限界値DB'!$C:$C = AT45) * 
        ('アイテム別限界値DB'!$F:$F = AV45), 
        0
      )
    ), 
    "再製作"
  )
)
</f>
        <v/>
      </c>
      <c r="AX45" s="396"/>
      <c r="AY45" s="469"/>
      <c r="AZ45" s="488"/>
      <c r="BA45" s="504"/>
      <c r="BB45" s="504"/>
      <c r="BC45" s="396" t="str">
        <f t="array" ref="BC45">IF(
  BB45 = 0, 
  "", 
  IFERROR(
    INDEX(
      'アイテム別限界値DB'!$I:$I, 
      MATCH(
        1, 
        ('アイテム別限界値DB'!$B:$B = AZ$4) * 
        ('アイテム別限界値DB'!$C:$C = AZ45) * 
        ('アイテム別限界値DB'!$F:$F = BB45), 
        0
      )
    ), 
    "再製作"
  )
)
</f>
        <v/>
      </c>
      <c r="BD45" s="396"/>
      <c r="BE45" s="469"/>
      <c r="BF45" s="488"/>
      <c r="BG45" s="504"/>
      <c r="BH45" s="504"/>
      <c r="BI45" s="396" t="str">
        <f t="array" ref="BI45">IF(
  BH45 = 0, 
  "", 
  IFERROR(
    INDEX(
      'アイテム別限界値DB'!$I:$I, 
      MATCH(
        1, 
        ('アイテム別限界値DB'!$B:$B = BF$4) * 
        ('アイテム別限界値DB'!$C:$C = BF45) * 
        ('アイテム別限界値DB'!$F:$F = BH45), 
        0
      )
    ), 
    "再製作"
  )
)
</f>
        <v/>
      </c>
      <c r="BJ45" s="396"/>
      <c r="BK45" s="469"/>
      <c r="BL45" s="488"/>
      <c r="BM45" s="504"/>
      <c r="BN45" s="504"/>
      <c r="BO45" s="396"/>
      <c r="BP45" s="396"/>
      <c r="BQ45" s="469"/>
      <c r="BR45" s="488"/>
      <c r="BS45" s="504"/>
      <c r="BT45" s="504"/>
      <c r="BU45" s="396" t="str">
        <f t="array" ref="BU45">IF(
  BT45 = 0, 
  "", 
  IFERROR(
    INDEX(
      'アイテム別限界値DB'!$I:$I, 
      MATCH(
        1, 
        ('アイテム別限界値DB'!$B:$B = BR$4) * 
        ('アイテム別限界値DB'!$C:$C = BR45) * 
        ('アイテム別限界値DB'!$F:$F = BT45), 
        0
      )
    ), 
    "再製作"
  )
)
</f>
        <v/>
      </c>
      <c r="BV45" s="396"/>
      <c r="BW45" s="469"/>
      <c r="BX45" s="488"/>
      <c r="BY45" s="504"/>
      <c r="BZ45" s="504"/>
      <c r="CA45" s="396" t="str">
        <f t="array" ref="CA45">IF(
  BZ45 = 0, 
  "", 
  IFERROR(
    INDEX(
      'アイテム別限界値DB'!$I:$I, 
      MATCH(
        1, 
        ('アイテム別限界値DB'!$B:$B = BX$4) * 
        ('アイテム別限界値DB'!$C:$C = BX45) * 
        ('アイテム別限界値DB'!$F:$F = BZ45), 
        0
      )
    ), 
    "再製作"
  )
)
</f>
        <v/>
      </c>
      <c r="CB45" s="396"/>
      <c r="CC45" s="396"/>
      <c r="CD45" s="396"/>
      <c r="CE45" s="396"/>
      <c r="CF45" s="396"/>
      <c r="CG45" s="396"/>
      <c r="CH45" s="469"/>
      <c r="CI45" s="469"/>
    </row>
    <row r="46">
      <c r="A46" s="229"/>
      <c r="B46" s="499"/>
      <c r="C46" s="499"/>
      <c r="D46" s="500" t="s">
        <v>248</v>
      </c>
      <c r="E46" s="489" t="s">
        <v>249</v>
      </c>
      <c r="F46" s="403"/>
      <c r="G46" s="490"/>
      <c r="H46" s="405" t="str">
        <f t="array" ref="H46">IF(
  G46 = 0, 
  "", 
  IFERROR(
    INDEX(
      'アイテム別限界値DB'!$K:$K, 
      MATCH(
        1, 
        ('アイテム別限界値DB'!$B:$B = D$4) * 
        ('アイテム別限界値DB'!$G:$G = D46) , 
        0
      )
    ), 
    "再製作"
  )
)
</f>
        <v/>
      </c>
      <c r="I46" s="397" t="str">
        <f t="array" ref="I46">IF(
  G46 = "", 
  "", 
  IFERROR(
    INDEX(
      'アイテム別限界値DB'!$N:$N, 
      MATCH(
        1, 
        ('アイテム別限界値DB'!$B:$B = D$4) * 
        ('アイテム別限界値DB'!$G:$G = D46), 
        0
      )
    )*$G46*F46, 
    "再製作"
  )
)
</f>
        <v/>
      </c>
      <c r="J46" s="479"/>
      <c r="K46" s="491" t="s">
        <v>238</v>
      </c>
      <c r="L46" s="414" t="s">
        <v>238</v>
      </c>
      <c r="M46" s="423"/>
      <c r="N46" s="490"/>
      <c r="O46" s="405" t="str">
        <f t="array" ref="O46">IF(
  N46 = 0, 
  "", 
  IFERROR(
    INDEX(
      'アイテム別限界値DB'!$K:$K, 
      MATCH(
        1, 
        ('アイテム別限界値DB'!$B:$B = K$4) * 
        ('アイテム別限界値DB'!$G:$G = K46) , 
        0
      )
    ), 
    "再製作"
  )
)
</f>
        <v/>
      </c>
      <c r="P46" s="397" t="str">
        <f t="array" ref="P46">IF(
  N46 = "", 
  "", 
  IFERROR(
    INDEX(
      'アイテム別限界値DB'!$N:$N, 
      MATCH(
        1, 
        ('アイテム別限界値DB'!$B:$B = K$4) * 
        ('アイテム別限界値DB'!$G:$G = K46), 
        0
      )
    )*$N46*M46, 
    "再製作"
  )
)
</f>
        <v/>
      </c>
      <c r="Q46" s="486"/>
      <c r="R46" s="493" t="s">
        <v>250</v>
      </c>
      <c r="S46" s="484" t="s">
        <v>251</v>
      </c>
      <c r="T46" s="423"/>
      <c r="U46" s="485"/>
      <c r="V46" s="405" t="str">
        <f t="array" ref="V46">IF(
  U46 = 0, 
  "", 
  IFERROR(
    INDEX(
      'アイテム別限界値DB'!$K:$K, 
      MATCH(
        1, 
        ('アイテム別限界値DB'!$B:$B = R$4) * 
        ('アイテム別限界値DB'!$G:$G = R46) , 
        0
      )
    ), 
    "再製作"
  )
)
</f>
        <v/>
      </c>
      <c r="W46" s="397" t="str">
        <f t="array" ref="W46">IF(
  U46 = "", 
  "", 
  IFERROR(
    INDEX(
      'アイテム別限界値DB'!$N:$N, 
      MATCH(
        1, 
        ('アイテム別限界値DB'!$B:$B = R$4) * 
        ('アイテム別限界値DB'!$G:$G = R46), 
        0
      )
    )*U46*T46, 
    "再製作"
  )
)
</f>
        <v/>
      </c>
      <c r="X46" s="469"/>
      <c r="Y46" s="481" t="s">
        <v>243</v>
      </c>
      <c r="Z46" s="484" t="s">
        <v>244</v>
      </c>
      <c r="AA46" s="423"/>
      <c r="AB46" s="490"/>
      <c r="AC46" s="405" t="str">
        <f t="array" ref="AC46">IF(
  AB46 = 0, 
  "", 
  IFERROR(
    INDEX(
      'アイテム別限界値DB'!$K:$K, 
      MATCH(
        1, 
        ('アイテム別限界値DB'!$B:$B = Y$4) * 
        ('アイテム別限界値DB'!$G:$G = Y46) , 
        0
      )
    ), 
    "再製作"
  )
)
</f>
        <v/>
      </c>
      <c r="AD46" s="397" t="str">
        <f t="array" ref="AD46">IF(
  AB46 = "", 
  "", 
  IFERROR(
    INDEX(
      'アイテム別限界値DB'!$N:$N, 
      MATCH(
        1, 
        ('アイテム別限界値DB'!$B:$B = Y$4) * 
        ('アイテム別限界値DB'!$G:$G = Y46), 
        0
      )
    )*AB46*AA46, 
    "再製作"
  )
)
</f>
        <v/>
      </c>
      <c r="AE46" s="498"/>
      <c r="AF46" s="93"/>
      <c r="AG46" s="437"/>
      <c r="AH46" s="440"/>
      <c r="AI46" s="440"/>
      <c r="AJ46" s="396" t="str">
        <f t="array" ref="AJ46">IF(
  AI46 = 0, 
  "", 
  IFERROR(
    INDEX(
      'アイテム別限界値DB'!$I:$I, 
      MATCH(
        1, 
        ('アイテム別限界値DB'!$B:$B = AF$4) * 
        ('アイテム別限界値DB'!$C:$C = AF46) * 
        ('アイテム別限界値DB'!$F:$F = AI46), 
        0
      )
    ), 
    "再製作"
  )
)
</f>
        <v/>
      </c>
      <c r="AK46" s="396"/>
      <c r="AL46" s="469"/>
      <c r="AM46" s="487"/>
      <c r="AN46" s="488"/>
      <c r="AO46" s="504"/>
      <c r="AP46" s="504"/>
      <c r="AQ46" s="396" t="str">
        <f t="array" ref="AQ46">IF(
  AP46 = 0, 
  "", 
  IFERROR(
    INDEX(
      'アイテム別限界値DB'!$I:$I, 
      MATCH(
        1, 
        ('アイテム別限界値DB'!$B:$B = AM$4) * 
        ('アイテム別限界値DB'!$C:$C = AM46) * 
        ('アイテム別限界値DB'!$F:$F = AP46), 
        0
      )
    ), 
    "再製作"
  )
)
</f>
        <v/>
      </c>
      <c r="AR46" s="396"/>
      <c r="AS46" s="469"/>
      <c r="AT46" s="488"/>
      <c r="AU46" s="504"/>
      <c r="AV46" s="504"/>
      <c r="AW46" s="396" t="str">
        <f t="array" ref="AW46">IF(
  AV46 = 0, 
  "", 
  IFERROR(
    INDEX(
      'アイテム別限界値DB'!$I:$I, 
      MATCH(
        1, 
        ('アイテム別限界値DB'!$B:$B = AT$4) * 
        ('アイテム別限界値DB'!$C:$C = AT46) * 
        ('アイテム別限界値DB'!$F:$F = AV46), 
        0
      )
    ), 
    "再製作"
  )
)
</f>
        <v/>
      </c>
      <c r="AX46" s="396"/>
      <c r="AY46" s="469"/>
      <c r="AZ46" s="488"/>
      <c r="BA46" s="504"/>
      <c r="BB46" s="504"/>
      <c r="BC46" s="396" t="str">
        <f t="array" ref="BC46">IF(
  BB46 = 0, 
  "", 
  IFERROR(
    INDEX(
      'アイテム別限界値DB'!$I:$I, 
      MATCH(
        1, 
        ('アイテム別限界値DB'!$B:$B = AZ$4) * 
        ('アイテム別限界値DB'!$C:$C = AZ46) * 
        ('アイテム別限界値DB'!$F:$F = BB46), 
        0
      )
    ), 
    "再製作"
  )
)
</f>
        <v/>
      </c>
      <c r="BD46" s="396"/>
      <c r="BE46" s="469"/>
      <c r="BF46" s="488"/>
      <c r="BG46" s="504"/>
      <c r="BH46" s="504"/>
      <c r="BI46" s="396" t="str">
        <f t="array" ref="BI46">IF(
  BH46 = 0, 
  "", 
  IFERROR(
    INDEX(
      'アイテム別限界値DB'!$I:$I, 
      MATCH(
        1, 
        ('アイテム別限界値DB'!$B:$B = BF$4) * 
        ('アイテム別限界値DB'!$C:$C = BF46) * 
        ('アイテム別限界値DB'!$F:$F = BH46), 
        0
      )
    ), 
    "再製作"
  )
)
</f>
        <v/>
      </c>
      <c r="BJ46" s="396"/>
      <c r="BK46" s="469"/>
      <c r="BL46" s="488"/>
      <c r="BM46" s="504"/>
      <c r="BN46" s="504"/>
      <c r="BO46" s="396"/>
      <c r="BP46" s="396"/>
      <c r="BQ46" s="469"/>
      <c r="BR46" s="488"/>
      <c r="BS46" s="504"/>
      <c r="BT46" s="504"/>
      <c r="BU46" s="396" t="str">
        <f t="array" ref="BU46">IF(
  BT46 = 0, 
  "", 
  IFERROR(
    INDEX(
      'アイテム別限界値DB'!$I:$I, 
      MATCH(
        1, 
        ('アイテム別限界値DB'!$B:$B = BR$4) * 
        ('アイテム別限界値DB'!$C:$C = BR46) * 
        ('アイテム別限界値DB'!$F:$F = BT46), 
        0
      )
    ), 
    "再製作"
  )
)
</f>
        <v/>
      </c>
      <c r="BV46" s="396"/>
      <c r="BW46" s="469"/>
      <c r="BX46" s="488"/>
      <c r="BY46" s="504"/>
      <c r="BZ46" s="504"/>
      <c r="CA46" s="396" t="str">
        <f t="array" ref="CA46">IF(
  BZ46 = 0, 
  "", 
  IFERROR(
    INDEX(
      'アイテム別限界値DB'!$I:$I, 
      MATCH(
        1, 
        ('アイテム別限界値DB'!$B:$B = BX$4) * 
        ('アイテム別限界値DB'!$C:$C = BX46) * 
        ('アイテム別限界値DB'!$F:$F = BZ46), 
        0
      )
    ), 
    "再製作"
  )
)
</f>
        <v/>
      </c>
      <c r="CB46" s="396"/>
      <c r="CC46" s="396"/>
      <c r="CD46" s="396"/>
      <c r="CE46" s="396"/>
      <c r="CF46" s="396"/>
      <c r="CG46" s="396"/>
      <c r="CH46" s="469"/>
      <c r="CI46" s="469"/>
    </row>
    <row r="47">
      <c r="A47" s="499"/>
      <c r="B47" s="499"/>
      <c r="C47" s="499"/>
      <c r="D47" s="500" t="s">
        <v>252</v>
      </c>
      <c r="E47" s="489" t="s">
        <v>253</v>
      </c>
      <c r="F47" s="403"/>
      <c r="G47" s="490"/>
      <c r="H47" s="405" t="str">
        <f t="array" ref="H47">IF(
  G47 = 0, 
  "", 
  IFERROR(
    INDEX(
      'アイテム別限界値DB'!$K:$K, 
      MATCH(
        1, 
        ('アイテム別限界値DB'!$B:$B = D$4) * 
        ('アイテム別限界値DB'!$G:$G = D47) , 
        0
      )
    ), 
    "再製作"
  )
)
</f>
        <v/>
      </c>
      <c r="I47" s="397" t="str">
        <f t="array" ref="I47">IF(
  G47 = "", 
  "", 
  IFERROR(
    INDEX(
      'アイテム別限界値DB'!$N:$N, 
      MATCH(
        1, 
        ('アイテム別限界値DB'!$B:$B = D$4) * 
        ('アイテム別限界値DB'!$G:$G = D47), 
        0
      )
    )*$G47*F47, 
    "再製作"
  )
)
</f>
        <v/>
      </c>
      <c r="J47" s="479"/>
      <c r="K47" s="505" t="s">
        <v>254</v>
      </c>
      <c r="L47" s="414" t="s">
        <v>251</v>
      </c>
      <c r="M47" s="423"/>
      <c r="N47" s="485"/>
      <c r="O47" s="405" t="str">
        <f t="array" ref="O47">IF(
  N47 = 0, 
  "", 
  IFERROR(
    INDEX(
      'アイテム別限界値DB'!$K:$K, 
      MATCH(
        1, 
        ('アイテム別限界値DB'!$B:$B = K$4) * 
        ('アイテム別限界値DB'!$G:$G = K47) , 
        0
      )
    ), 
    "再製作"
  )
)
</f>
        <v/>
      </c>
      <c r="P47" s="397" t="str">
        <f t="array" ref="P47">IF(
  N47 = "", 
  "", 
  IFERROR(
    INDEX(
      'アイテム別限界値DB'!$N:$N, 
      MATCH(
        1, 
        ('アイテム別限界値DB'!$B:$B = K$4) * 
        ('アイテム別限界値DB'!$G:$G = K47), 
        0
      )
    )*$N47*M47, 
    "再製作"
  )
)
</f>
        <v/>
      </c>
      <c r="Q47" s="498"/>
      <c r="R47" s="493" t="s">
        <v>255</v>
      </c>
      <c r="S47" s="484" t="s">
        <v>249</v>
      </c>
      <c r="T47" s="423"/>
      <c r="U47" s="490"/>
      <c r="V47" s="405" t="str">
        <f t="array" ref="V47">IF(
  U47 = 0, 
  "", 
  IFERROR(
    INDEX(
      'アイテム別限界値DB'!$K:$K, 
      MATCH(
        1, 
        ('アイテム別限界値DB'!$B:$B = R$4) * 
        ('アイテム別限界値DB'!$G:$G = R47) , 
        0
      )
    ), 
    "再製作"
  )
)
</f>
        <v/>
      </c>
      <c r="W47" s="397" t="str">
        <f t="array" ref="W47">IF(
  U47 = "", 
  "", 
  IFERROR(
    INDEX(
      'アイテム別限界値DB'!$N:$N, 
      MATCH(
        1, 
        ('アイテム別限界値DB'!$B:$B = R$4) * 
        ('アイテム別限界値DB'!$G:$G = R47), 
        0
      )
    )*U47*T47, 
    "再製作"
  )
)
</f>
        <v/>
      </c>
      <c r="X47" s="469"/>
      <c r="Y47" s="468" t="s">
        <v>256</v>
      </c>
      <c r="Z47" s="484" t="s">
        <v>249</v>
      </c>
      <c r="AA47" s="423"/>
      <c r="AB47" s="485"/>
      <c r="AC47" s="405" t="str">
        <f t="array" ref="AC47">IF(
  AB47 = 0, 
  "", 
  IFERROR(
    INDEX(
      'アイテム別限界値DB'!$K:$K, 
      MATCH(
        1, 
        ('アイテム別限界値DB'!$B:$B = Y$4) * 
        ('アイテム別限界値DB'!$G:$G = Y47) , 
        0
      )
    ), 
    "再製作"
  )
)
</f>
        <v/>
      </c>
      <c r="AD47" s="397" t="str">
        <f t="array" ref="AD47">IF(
  AB47 = "", 
  "", 
  IFERROR(
    INDEX(
      'アイテム別限界値DB'!$N:$N, 
      MATCH(
        1, 
        ('アイテム別限界値DB'!$B:$B = Y$4) * 
        ('アイテム別限界値DB'!$G:$G = Y47), 
        0
      )
    )*AB47*AA47, 
    "再製作"
  )
)
</f>
        <v/>
      </c>
      <c r="AE47" s="498"/>
      <c r="AF47" s="93"/>
      <c r="AG47" s="437"/>
      <c r="AH47" s="440"/>
      <c r="AI47" s="440"/>
      <c r="AJ47" s="396" t="str">
        <f t="array" ref="AJ47">IF(
  AI47 = 0, 
  "", 
  IFERROR(
    INDEX(
      'アイテム別限界値DB'!$I:$I, 
      MATCH(
        1, 
        ('アイテム別限界値DB'!$B:$B = AF$4) * 
        ('アイテム別限界値DB'!$C:$C = AF47) * 
        ('アイテム別限界値DB'!$F:$F = AI47), 
        0
      )
    ), 
    "再製作"
  )
)
</f>
        <v/>
      </c>
      <c r="AK47" s="396"/>
      <c r="AL47" s="469"/>
      <c r="AM47" s="93"/>
      <c r="AN47" s="474"/>
      <c r="AO47" s="504"/>
      <c r="AP47" s="504"/>
      <c r="AQ47" s="396" t="str">
        <f t="array" ref="AQ47">IF(
  AP47 = 0, 
  "", 
  IFERROR(
    INDEX(
      'アイテム別限界値DB'!$I:$I, 
      MATCH(
        1, 
        ('アイテム別限界値DB'!$B:$B = AM$4) * 
        ('アイテム別限界値DB'!$C:$C = AM47) * 
        ('アイテム別限界値DB'!$F:$F = AP47), 
        0
      )
    ), 
    "再製作"
  )
)
</f>
        <v/>
      </c>
      <c r="AR47" s="396"/>
      <c r="AS47" s="469"/>
      <c r="AT47" s="474"/>
      <c r="AU47" s="504"/>
      <c r="AV47" s="504"/>
      <c r="AW47" s="396" t="str">
        <f t="array" ref="AW47">IF(
  AV47 = 0, 
  "", 
  IFERROR(
    INDEX(
      'アイテム別限界値DB'!$I:$I, 
      MATCH(
        1, 
        ('アイテム別限界値DB'!$B:$B = AT$4) * 
        ('アイテム別限界値DB'!$C:$C = AT47) * 
        ('アイテム別限界値DB'!$F:$F = AV47), 
        0
      )
    ), 
    "再製作"
  )
)
</f>
        <v/>
      </c>
      <c r="AX47" s="396"/>
      <c r="AY47" s="469"/>
      <c r="AZ47" s="474"/>
      <c r="BA47" s="504"/>
      <c r="BB47" s="504"/>
      <c r="BC47" s="396" t="str">
        <f t="array" ref="BC47">IF(
  BB47 = 0, 
  "", 
  IFERROR(
    INDEX(
      'アイテム別限界値DB'!$I:$I, 
      MATCH(
        1, 
        ('アイテム別限界値DB'!$B:$B = AZ$4) * 
        ('アイテム別限界値DB'!$C:$C = AZ47) * 
        ('アイテム別限界値DB'!$F:$F = BB47), 
        0
      )
    ), 
    "再製作"
  )
)
</f>
        <v/>
      </c>
      <c r="BD47" s="396"/>
      <c r="BE47" s="469"/>
      <c r="BF47" s="474"/>
      <c r="BG47" s="504"/>
      <c r="BH47" s="504"/>
      <c r="BI47" s="396" t="str">
        <f t="array" ref="BI47">IF(
  BH47 = 0, 
  "", 
  IFERROR(
    INDEX(
      'アイテム別限界値DB'!$I:$I, 
      MATCH(
        1, 
        ('アイテム別限界値DB'!$B:$B = BF$4) * 
        ('アイテム別限界値DB'!$C:$C = BF47) * 
        ('アイテム別限界値DB'!$F:$F = BH47), 
        0
      )
    ), 
    "再製作"
  )
)
</f>
        <v/>
      </c>
      <c r="BJ47" s="396"/>
      <c r="BK47" s="469"/>
      <c r="BL47" s="474"/>
      <c r="BM47" s="504"/>
      <c r="BN47" s="504"/>
      <c r="BO47" s="396"/>
      <c r="BP47" s="396"/>
      <c r="BQ47" s="469"/>
      <c r="BR47" s="474"/>
      <c r="BS47" s="504"/>
      <c r="BT47" s="504"/>
      <c r="BU47" s="396" t="str">
        <f t="array" ref="BU47">IF(
  BT47 = 0, 
  "", 
  IFERROR(
    INDEX(
      'アイテム別限界値DB'!$I:$I, 
      MATCH(
        1, 
        ('アイテム別限界値DB'!$B:$B = BR$4) * 
        ('アイテム別限界値DB'!$C:$C = BR47) * 
        ('アイテム別限界値DB'!$F:$F = BT47), 
        0
      )
    ), 
    "再製作"
  )
)
</f>
        <v/>
      </c>
      <c r="BV47" s="396"/>
      <c r="BW47" s="469"/>
      <c r="BX47" s="474"/>
      <c r="BY47" s="504"/>
      <c r="BZ47" s="504"/>
      <c r="CA47" s="396" t="str">
        <f t="array" ref="CA47">IF(
  BZ47 = 0, 
  "", 
  IFERROR(
    INDEX(
      'アイテム別限界値DB'!$I:$I, 
      MATCH(
        1, 
        ('アイテム別限界値DB'!$B:$B = BX$4) * 
        ('アイテム別限界値DB'!$C:$C = BX47) * 
        ('アイテム別限界値DB'!$F:$F = BZ47), 
        0
      )
    ), 
    "再製作"
  )
)
</f>
        <v/>
      </c>
      <c r="CB47" s="396"/>
      <c r="CC47" s="396"/>
      <c r="CD47" s="396"/>
      <c r="CE47" s="396"/>
      <c r="CF47" s="396"/>
      <c r="CG47" s="396"/>
      <c r="CH47" s="469"/>
      <c r="CI47" s="469"/>
    </row>
    <row r="48">
      <c r="A48" s="502"/>
      <c r="B48" s="502"/>
      <c r="C48" s="502"/>
      <c r="D48" s="503" t="s">
        <v>257</v>
      </c>
      <c r="E48" s="489" t="s">
        <v>258</v>
      </c>
      <c r="F48" s="403"/>
      <c r="G48" s="490"/>
      <c r="H48" s="405" t="str">
        <f t="array" ref="H48">IF(
  G48 = 0, 
  "", 
  IFERROR(
    INDEX(
      'アイテム別限界値DB'!$K:$K, 
      MATCH(
        1, 
        ('アイテム別限界値DB'!$B:$B = D$4) * 
        ('アイテム別限界値DB'!$G:$G = D48) , 
        0
      )
    ), 
    "再製作"
  )
)
</f>
        <v/>
      </c>
      <c r="I48" s="397" t="str">
        <f t="array" ref="I48">IF(
  G48 = "", 
  "", 
  IFERROR(
    INDEX(
      'アイテム別限界値DB'!$N:$N, 
      MATCH(
        1, 
        ('アイテム別限界値DB'!$B:$B = D$4) * 
        ('アイテム別限界値DB'!$G:$G = D48), 
        0
      )
    )*$G48*F48, 
    "再製作"
  )
)
</f>
        <v/>
      </c>
      <c r="J48" s="479"/>
      <c r="K48" s="483" t="s">
        <v>259</v>
      </c>
      <c r="L48" s="414" t="s">
        <v>259</v>
      </c>
      <c r="M48" s="423"/>
      <c r="N48" s="485"/>
      <c r="O48" s="405" t="str">
        <f t="array" ref="O48">IF(
  N48 = 0, 
  "", 
  IFERROR(
    INDEX(
      'アイテム別限界値DB'!$K:$K, 
      MATCH(
        1, 
        ('アイテム別限界値DB'!$B:$B = K$4) * 
        ('アイテム別限界値DB'!$G:$G = K48) , 
        0
      )
    ), 
    "再製作"
  )
)
</f>
        <v/>
      </c>
      <c r="P48" s="397" t="str">
        <f t="array" ref="P48">IF(
  N48 = "", 
  "", 
  IFERROR(
    INDEX(
      'アイテム別限界値DB'!$N:$N, 
      MATCH(
        1, 
        ('アイテム別限界値DB'!$B:$B = K$4) * 
        ('アイテム別限界値DB'!$G:$G = K48), 
        0
      )
    )*$N48*M48, 
    "再製作"
  )
)
</f>
        <v/>
      </c>
      <c r="Q48" s="498"/>
      <c r="R48" s="493" t="s">
        <v>260</v>
      </c>
      <c r="S48" s="484" t="s">
        <v>253</v>
      </c>
      <c r="T48" s="423"/>
      <c r="U48" s="485"/>
      <c r="V48" s="405" t="str">
        <f t="array" ref="V48">IF(
  U48 = 0, 
  "", 
  IFERROR(
    INDEX(
      'アイテム別限界値DB'!$K:$K, 
      MATCH(
        1, 
        ('アイテム別限界値DB'!$B:$B = R$4) * 
        ('アイテム別限界値DB'!$G:$G = R48) , 
        0
      )
    ), 
    "再製作"
  )
)
</f>
        <v/>
      </c>
      <c r="W48" s="397" t="str">
        <f t="array" ref="W48">IF(
  U48 = "", 
  "", 
  IFERROR(
    INDEX(
      'アイテム別限界値DB'!$N:$N, 
      MATCH(
        1, 
        ('アイテム別限界値DB'!$B:$B = R$4) * 
        ('アイテム別限界値DB'!$G:$G = R48), 
        0
      )
    )*U48*T48, 
    "再製作"
  )
)
</f>
        <v/>
      </c>
      <c r="X48" s="469"/>
      <c r="Y48" s="468" t="s">
        <v>260</v>
      </c>
      <c r="Z48" s="484" t="s">
        <v>253</v>
      </c>
      <c r="AA48" s="423"/>
      <c r="AB48" s="490"/>
      <c r="AC48" s="405" t="str">
        <f t="array" ref="AC48">IF(
  AB48 = 0, 
  "", 
  IFERROR(
    INDEX(
      'アイテム別限界値DB'!$K:$K, 
      MATCH(
        1, 
        ('アイテム別限界値DB'!$B:$B = Y$4) * 
        ('アイテム別限界値DB'!$G:$G = Y48) , 
        0
      )
    ), 
    "再製作"
  )
)
</f>
        <v/>
      </c>
      <c r="AD48" s="397" t="str">
        <f t="array" ref="AD48">IF(
  AB48 = "", 
  "", 
  IFERROR(
    INDEX(
      'アイテム別限界値DB'!$N:$N, 
      MATCH(
        1, 
        ('アイテム別限界値DB'!$B:$B = Y$4) * 
        ('アイテム別限界値DB'!$G:$G = Y48), 
        0
      )
    )*AB48*AA48, 
    "再製作"
  )
)
</f>
        <v/>
      </c>
      <c r="AE48" s="498"/>
      <c r="AF48" s="487"/>
      <c r="AG48" s="506"/>
      <c r="AH48" s="507"/>
      <c r="AI48" s="507"/>
      <c r="AJ48" s="396" t="str">
        <f t="array" ref="AJ48">IF(
  AI48 = 0, 
  "", 
  IFERROR(
    INDEX(
      'アイテム別限界値DB'!$I:$I, 
      MATCH(
        1, 
        ('アイテム別限界値DB'!$B:$B = AF$4) * 
        ('アイテム別限界値DB'!$C:$C = AF48) * 
        ('アイテム別限界値DB'!$F:$F = AI48), 
        0
      )
    ), 
    "再製作"
  )
)
</f>
        <v/>
      </c>
      <c r="AK48" s="396"/>
      <c r="AL48" s="469"/>
      <c r="AM48" s="93"/>
      <c r="AN48" s="474"/>
      <c r="AO48" s="504"/>
      <c r="AP48" s="504"/>
      <c r="AQ48" s="396" t="str">
        <f t="array" ref="AQ48">IF(
  AP48 = 0, 
  "", 
  IFERROR(
    INDEX(
      'アイテム別限界値DB'!$I:$I, 
      MATCH(
        1, 
        ('アイテム別限界値DB'!$B:$B = AM$4) * 
        ('アイテム別限界値DB'!$C:$C = AM48) * 
        ('アイテム別限界値DB'!$F:$F = AP48), 
        0
      )
    ), 
    "再製作"
  )
)
</f>
        <v/>
      </c>
      <c r="AR48" s="396"/>
      <c r="AS48" s="469"/>
      <c r="AT48" s="474"/>
      <c r="AU48" s="504"/>
      <c r="AV48" s="504"/>
      <c r="AW48" s="396" t="str">
        <f t="array" ref="AW48">IF(
  AV48 = 0, 
  "", 
  IFERROR(
    INDEX(
      'アイテム別限界値DB'!$I:$I, 
      MATCH(
        1, 
        ('アイテム別限界値DB'!$B:$B = AT$4) * 
        ('アイテム別限界値DB'!$C:$C = AT48) * 
        ('アイテム別限界値DB'!$F:$F = AV48), 
        0
      )
    ), 
    "再製作"
  )
)
</f>
        <v/>
      </c>
      <c r="AX48" s="396"/>
      <c r="AY48" s="469"/>
      <c r="AZ48" s="474"/>
      <c r="BA48" s="504"/>
      <c r="BB48" s="504"/>
      <c r="BC48" s="396" t="str">
        <f t="array" ref="BC48">IF(
  BB48 = 0, 
  "", 
  IFERROR(
    INDEX(
      'アイテム別限界値DB'!$I:$I, 
      MATCH(
        1, 
        ('アイテム別限界値DB'!$B:$B = AZ$4) * 
        ('アイテム別限界値DB'!$C:$C = AZ48) * 
        ('アイテム別限界値DB'!$F:$F = BB48), 
        0
      )
    ), 
    "再製作"
  )
)
</f>
        <v/>
      </c>
      <c r="BD48" s="396"/>
      <c r="BE48" s="469"/>
      <c r="BF48" s="474"/>
      <c r="BG48" s="504"/>
      <c r="BH48" s="504"/>
      <c r="BI48" s="396" t="str">
        <f t="array" ref="BI48">IF(
  BH48 = 0, 
  "", 
  IFERROR(
    INDEX(
      'アイテム別限界値DB'!$I:$I, 
      MATCH(
        1, 
        ('アイテム別限界値DB'!$B:$B = BF$4) * 
        ('アイテム別限界値DB'!$C:$C = BF48) * 
        ('アイテム別限界値DB'!$F:$F = BH48), 
        0
      )
    ), 
    "再製作"
  )
)
</f>
        <v/>
      </c>
      <c r="BJ48" s="396"/>
      <c r="BK48" s="469"/>
      <c r="BL48" s="474"/>
      <c r="BM48" s="504"/>
      <c r="BN48" s="504"/>
      <c r="BO48" s="396"/>
      <c r="BP48" s="396"/>
      <c r="BQ48" s="469"/>
      <c r="BR48" s="474"/>
      <c r="BS48" s="504"/>
      <c r="BT48" s="504"/>
      <c r="BU48" s="396" t="str">
        <f t="array" ref="BU48">IF(
  BT48 = 0, 
  "", 
  IFERROR(
    INDEX(
      'アイテム別限界値DB'!$I:$I, 
      MATCH(
        1, 
        ('アイテム別限界値DB'!$B:$B = BR$4) * 
        ('アイテム別限界値DB'!$C:$C = BR48) * 
        ('アイテム別限界値DB'!$F:$F = BT48), 
        0
      )
    ), 
    "再製作"
  )
)
</f>
        <v/>
      </c>
      <c r="BV48" s="396"/>
      <c r="BW48" s="469"/>
      <c r="BX48" s="474"/>
      <c r="BY48" s="504"/>
      <c r="BZ48" s="504"/>
      <c r="CA48" s="396" t="str">
        <f t="array" ref="CA48">IF(
  BZ48 = 0, 
  "", 
  IFERROR(
    INDEX(
      'アイテム別限界値DB'!$I:$I, 
      MATCH(
        1, 
        ('アイテム別限界値DB'!$B:$B = BX$4) * 
        ('アイテム別限界値DB'!$C:$C = BX48) * 
        ('アイテム別限界値DB'!$F:$F = BZ48), 
        0
      )
    ), 
    "再製作"
  )
)
</f>
        <v/>
      </c>
      <c r="CB48" s="396"/>
      <c r="CC48" s="396"/>
      <c r="CD48" s="396"/>
      <c r="CE48" s="396"/>
      <c r="CF48" s="396"/>
      <c r="CG48" s="396"/>
      <c r="CH48" s="469"/>
      <c r="CI48" s="469"/>
    </row>
    <row r="49">
      <c r="A49" s="503"/>
      <c r="B49" s="503"/>
      <c r="C49" s="503"/>
      <c r="D49" s="503"/>
      <c r="E49" s="508"/>
      <c r="F49" s="509"/>
      <c r="G49" s="509"/>
      <c r="H49" s="396"/>
      <c r="I49" s="402"/>
      <c r="J49" s="468"/>
      <c r="K49" s="483" t="s">
        <v>261</v>
      </c>
      <c r="L49" s="414" t="s">
        <v>262</v>
      </c>
      <c r="M49" s="423"/>
      <c r="N49" s="485"/>
      <c r="O49" s="405" t="str">
        <f t="array" ref="O49">IF(
  N49 = 0, 
  "", 
  IFERROR(
    INDEX(
      'アイテム別限界値DB'!$K:$K, 
      MATCH(
        1, 
        ('アイテム別限界値DB'!$B:$B = K$4) * 
        ('アイテム別限界値DB'!$G:$G = K49) , 
        0
      )
    ), 
    "再製作"
  )
)
</f>
        <v/>
      </c>
      <c r="P49" s="397" t="str">
        <f t="array" ref="P49">IF(
  N49 = "", 
  "", 
  IFERROR(
    INDEX(
      'アイテム別限界値DB'!$N:$N, 
      MATCH(
        1, 
        ('アイテム別限界値DB'!$B:$B = K$4) * 
        ('アイテム別限界値DB'!$G:$G = K49), 
        0
      )
    )*$N49*M49, 
    "再製作"
  )
)
</f>
        <v/>
      </c>
      <c r="Q49" s="501"/>
      <c r="R49" s="493" t="s">
        <v>263</v>
      </c>
      <c r="S49" s="484" t="s">
        <v>258</v>
      </c>
      <c r="T49" s="423"/>
      <c r="U49" s="490"/>
      <c r="V49" s="405" t="str">
        <f t="array" ref="V49">IF(
  U49 = 0, 
  "", 
  IFERROR(
    INDEX(
      'アイテム別限界値DB'!$K:$K, 
      MATCH(
        1, 
        ('アイテム別限界値DB'!$B:$B = R$4) * 
        ('アイテム別限界値DB'!$G:$G = R49) , 
        0
      )
    ), 
    "再製作"
  )
)
</f>
        <v/>
      </c>
      <c r="W49" s="397" t="str">
        <f t="array" ref="W49">IF(
  U49 = "", 
  "", 
  IFERROR(
    INDEX(
      'アイテム別限界値DB'!$N:$N, 
      MATCH(
        1, 
        ('アイテム別限界値DB'!$B:$B = R$4) * 
        ('アイテム別限界値DB'!$G:$G = R49), 
        0
      )
    )*U49*T49, 
    "再製作"
  )
)
</f>
        <v/>
      </c>
      <c r="X49" s="493"/>
      <c r="Y49" s="468" t="s">
        <v>264</v>
      </c>
      <c r="Z49" s="484" t="s">
        <v>265</v>
      </c>
      <c r="AA49" s="423"/>
      <c r="AB49" s="485"/>
      <c r="AC49" s="405" t="str">
        <f t="array" ref="AC49">IF(
  AB49 = 0, 
  "", 
  IFERROR(
    INDEX(
      'アイテム別限界値DB'!$K:$K, 
      MATCH(
        1, 
        ('アイテム別限界値DB'!$B:$B = Y$4) * 
        ('アイテム別限界値DB'!$G:$G = Y49) , 
        0
      )
    ), 
    "再製作"
  )
)
</f>
        <v/>
      </c>
      <c r="AD49" s="397" t="str">
        <f t="array" ref="AD49">IF(
  AB49 = "", 
  "", 
  IFERROR(
    INDEX(
      'アイテム別限界値DB'!$N:$N, 
      MATCH(
        1, 
        ('アイテム別限界値DB'!$B:$B = Y$4) * 
        ('アイテム別限界値DB'!$G:$G = Y49), 
        0
      )
    )*AB49*AA49, 
    "再製作"
  )
)
</f>
        <v/>
      </c>
      <c r="AE49" s="501"/>
      <c r="AF49" s="497"/>
      <c r="AG49" s="510"/>
      <c r="AH49" s="386"/>
      <c r="AI49" s="386"/>
      <c r="AJ49" s="396" t="str">
        <f t="array" ref="AJ49">IF(
  AI49 = 0, 
  "", 
  IFERROR(
    INDEX(
      'アイテム別限界値DB'!$I:$I, 
      MATCH(
        1, 
        ('アイテム別限界値DB'!$B:$B = AF$4) * 
        ('アイテム別限界値DB'!$C:$C = AF49) * 
        ('アイテム別限界値DB'!$F:$F = AI49), 
        0
      )
    ), 
    "再製作"
  )
)
</f>
        <v/>
      </c>
      <c r="AK49" s="396"/>
      <c r="AL49" s="493"/>
      <c r="AM49" s="487"/>
      <c r="AN49" s="488"/>
      <c r="AO49" s="511"/>
      <c r="AP49" s="511"/>
      <c r="AQ49" s="396" t="str">
        <f t="array" ref="AQ49">IF(
  AP49 = 0, 
  "", 
  IFERROR(
    INDEX(
      'アイテム別限界値DB'!$I:$I, 
      MATCH(
        1, 
        ('アイテム別限界値DB'!$B:$B = AM$4) * 
        ('アイテム別限界値DB'!$C:$C = AM49) * 
        ('アイテム別限界値DB'!$F:$F = AP49), 
        0
      )
    ), 
    "再製作"
  )
)
</f>
        <v/>
      </c>
      <c r="AR49" s="396"/>
      <c r="AS49" s="493"/>
      <c r="AT49" s="488"/>
      <c r="AU49" s="511"/>
      <c r="AV49" s="511"/>
      <c r="AW49" s="396" t="str">
        <f t="array" ref="AW49">IF(
  AV49 = 0, 
  "", 
  IFERROR(
    INDEX(
      'アイテム別限界値DB'!$I:$I, 
      MATCH(
        1, 
        ('アイテム別限界値DB'!$B:$B = AT$4) * 
        ('アイテム別限界値DB'!$C:$C = AT49) * 
        ('アイテム別限界値DB'!$F:$F = AV49), 
        0
      )
    ), 
    "再製作"
  )
)
</f>
        <v/>
      </c>
      <c r="AX49" s="396"/>
      <c r="AY49" s="493"/>
      <c r="AZ49" s="488"/>
      <c r="BA49" s="511"/>
      <c r="BB49" s="511"/>
      <c r="BC49" s="396" t="str">
        <f t="array" ref="BC49">IF(
  BB49 = 0, 
  "", 
  IFERROR(
    INDEX(
      'アイテム別限界値DB'!$I:$I, 
      MATCH(
        1, 
        ('アイテム別限界値DB'!$B:$B = AZ$4) * 
        ('アイテム別限界値DB'!$C:$C = AZ49) * 
        ('アイテム別限界値DB'!$F:$F = BB49), 
        0
      )
    ), 
    "再製作"
  )
)
</f>
        <v/>
      </c>
      <c r="BD49" s="396"/>
      <c r="BE49" s="493"/>
      <c r="BF49" s="488"/>
      <c r="BG49" s="511"/>
      <c r="BH49" s="511"/>
      <c r="BI49" s="396" t="str">
        <f t="array" ref="BI49">IF(
  BH49 = 0, 
  "", 
  IFERROR(
    INDEX(
      'アイテム別限界値DB'!$I:$I, 
      MATCH(
        1, 
        ('アイテム別限界値DB'!$B:$B = BF$4) * 
        ('アイテム別限界値DB'!$C:$C = BF49) * 
        ('アイテム別限界値DB'!$F:$F = BH49), 
        0
      )
    ), 
    "再製作"
  )
)
</f>
        <v/>
      </c>
      <c r="BJ49" s="396"/>
      <c r="BK49" s="493"/>
      <c r="BL49" s="488"/>
      <c r="BM49" s="511"/>
      <c r="BN49" s="511"/>
      <c r="BO49" s="396"/>
      <c r="BP49" s="396"/>
      <c r="BQ49" s="493"/>
      <c r="BR49" s="488"/>
      <c r="BS49" s="511"/>
      <c r="BT49" s="511"/>
      <c r="BU49" s="396" t="str">
        <f t="array" ref="BU49">IF(
  BT49 = 0, 
  "", 
  IFERROR(
    INDEX(
      'アイテム別限界値DB'!$I:$I, 
      MATCH(
        1, 
        ('アイテム別限界値DB'!$B:$B = BR$4) * 
        ('アイテム別限界値DB'!$C:$C = BR49) * 
        ('アイテム別限界値DB'!$F:$F = BT49), 
        0
      )
    ), 
    "再製作"
  )
)
</f>
        <v/>
      </c>
      <c r="BV49" s="396"/>
      <c r="BW49" s="493"/>
      <c r="BX49" s="488"/>
      <c r="BY49" s="511"/>
      <c r="BZ49" s="511"/>
      <c r="CA49" s="396" t="str">
        <f t="array" ref="CA49">IF(
  BZ49 = 0, 
  "", 
  IFERROR(
    INDEX(
      'アイテム別限界値DB'!$I:$I, 
      MATCH(
        1, 
        ('アイテム別限界値DB'!$B:$B = BX$4) * 
        ('アイテム別限界値DB'!$C:$C = BX49) * 
        ('アイテム別限界値DB'!$F:$F = BZ49), 
        0
      )
    ), 
    "再製作"
  )
)
</f>
        <v/>
      </c>
      <c r="CB49" s="396"/>
      <c r="CC49" s="396"/>
      <c r="CD49" s="396"/>
      <c r="CE49" s="396"/>
      <c r="CF49" s="396"/>
      <c r="CG49" s="396"/>
      <c r="CH49" s="493"/>
      <c r="CI49" s="493"/>
    </row>
    <row r="50">
      <c r="A50" s="503"/>
      <c r="B50" s="503"/>
      <c r="C50" s="503"/>
      <c r="D50" s="503"/>
      <c r="E50" s="509"/>
      <c r="F50" s="509"/>
      <c r="G50" s="509"/>
      <c r="H50" s="396"/>
      <c r="I50" s="402"/>
      <c r="J50" s="468"/>
      <c r="K50" s="483" t="s">
        <v>266</v>
      </c>
      <c r="L50" s="414" t="s">
        <v>240</v>
      </c>
      <c r="M50" s="423"/>
      <c r="N50" s="485"/>
      <c r="O50" s="405" t="str">
        <f t="array" ref="O50">IF(
  N50 = 0, 
  "", 
  IFERROR(
    INDEX(
      'アイテム別限界値DB'!$K:$K, 
      MATCH(
        1, 
        ('アイテム別限界値DB'!$B:$B = K$4) * 
        ('アイテム別限界値DB'!$G:$G = K50) , 
        0
      )
    ), 
    "再製作"
  )
)
</f>
        <v/>
      </c>
      <c r="P50" s="397" t="str">
        <f t="array" ref="P50">IF(
  N50 = "", 
  "", 
  IFERROR(
    INDEX(
      'アイテム別限界値DB'!$N:$N, 
      MATCH(
        1, 
        ('アイテム別限界値DB'!$B:$B = K$4) * 
        ('アイテム別限界値DB'!$G:$G = K50), 
        0
      )
    )*$N50*M50, 
    "再製作"
  )
)
</f>
        <v/>
      </c>
      <c r="Q50" s="501"/>
      <c r="R50" s="493"/>
      <c r="S50" s="493"/>
      <c r="T50" s="493"/>
      <c r="U50" s="493"/>
      <c r="V50" s="317"/>
      <c r="W50" s="317"/>
      <c r="X50" s="493"/>
      <c r="Y50" s="468"/>
      <c r="Z50" s="448"/>
      <c r="AA50" s="386"/>
      <c r="AB50" s="386"/>
      <c r="AC50" s="396"/>
      <c r="AD50" s="396"/>
      <c r="AE50" s="501"/>
      <c r="AF50" s="497"/>
      <c r="AG50" s="510"/>
      <c r="AH50" s="386"/>
      <c r="AI50" s="386"/>
      <c r="AJ50" s="396"/>
      <c r="AK50" s="396"/>
      <c r="AL50" s="493"/>
      <c r="AM50" s="487"/>
      <c r="AN50" s="488"/>
      <c r="AO50" s="511"/>
      <c r="AP50" s="511"/>
      <c r="AQ50" s="396"/>
      <c r="AR50" s="396"/>
      <c r="AS50" s="493"/>
      <c r="AT50" s="488"/>
      <c r="AU50" s="511"/>
      <c r="AV50" s="511"/>
      <c r="AW50" s="396"/>
      <c r="AX50" s="396"/>
      <c r="AY50" s="493"/>
      <c r="AZ50" s="488"/>
      <c r="BA50" s="511"/>
      <c r="BB50" s="511"/>
      <c r="BC50" s="396"/>
      <c r="BD50" s="396"/>
      <c r="BE50" s="493"/>
      <c r="BF50" s="488"/>
      <c r="BG50" s="511"/>
      <c r="BH50" s="511"/>
      <c r="BI50" s="396"/>
      <c r="BJ50" s="396"/>
      <c r="BK50" s="493"/>
      <c r="BL50" s="488"/>
      <c r="BM50" s="511"/>
      <c r="BN50" s="511"/>
      <c r="BO50" s="396"/>
      <c r="BP50" s="396"/>
      <c r="BQ50" s="493"/>
      <c r="BR50" s="488"/>
      <c r="BS50" s="511"/>
      <c r="BT50" s="511"/>
      <c r="BU50" s="396"/>
      <c r="BV50" s="396"/>
      <c r="BW50" s="493"/>
      <c r="BX50" s="488"/>
      <c r="BY50" s="511"/>
      <c r="BZ50" s="511"/>
      <c r="CA50" s="396"/>
      <c r="CB50" s="396"/>
      <c r="CC50" s="396"/>
      <c r="CD50" s="396"/>
      <c r="CE50" s="396"/>
      <c r="CF50" s="396"/>
      <c r="CG50" s="396"/>
      <c r="CH50" s="493"/>
      <c r="CI50" s="493"/>
    </row>
    <row r="51">
      <c r="A51" s="503"/>
      <c r="B51" s="503"/>
      <c r="C51" s="503"/>
      <c r="D51" s="503"/>
      <c r="E51" s="509"/>
      <c r="F51" s="509"/>
      <c r="G51" s="509"/>
      <c r="H51" s="396"/>
      <c r="I51" s="402"/>
      <c r="J51" s="468"/>
      <c r="K51" s="483" t="s">
        <v>267</v>
      </c>
      <c r="L51" s="414" t="s">
        <v>247</v>
      </c>
      <c r="M51" s="423"/>
      <c r="N51" s="485"/>
      <c r="O51" s="405" t="str">
        <f t="array" ref="O51">IF(
  N51 = 0, 
  "", 
  IFERROR(
    INDEX(
      'アイテム別限界値DB'!$K:$K, 
      MATCH(
        1, 
        ('アイテム別限界値DB'!$B:$B = K$4) * 
        ('アイテム別限界値DB'!$G:$G = K51) , 
        0
      )
    ), 
    "再製作"
  )
)
</f>
        <v/>
      </c>
      <c r="P51" s="397" t="str">
        <f t="array" ref="P51">IF(
  N51 = "", 
  "", 
  IFERROR(
    INDEX(
      'アイテム別限界値DB'!$N:$N, 
      MATCH(
        1, 
        ('アイテム別限界値DB'!$B:$B = K$4) * 
        ('アイテム別限界値DB'!$G:$G = K51), 
        0
      )
    )*$N51*M51, 
    "再製作"
  )
)
</f>
        <v/>
      </c>
      <c r="Q51" s="501"/>
      <c r="R51" s="493"/>
      <c r="S51" s="316"/>
      <c r="T51" s="317"/>
      <c r="U51" s="317"/>
      <c r="V51" s="317"/>
      <c r="W51" s="317"/>
      <c r="X51" s="493"/>
      <c r="Y51" s="468"/>
      <c r="Z51" s="448"/>
      <c r="AA51" s="386"/>
      <c r="AB51" s="386"/>
      <c r="AC51" s="396"/>
      <c r="AD51" s="396"/>
      <c r="AE51" s="501"/>
      <c r="AF51" s="497"/>
      <c r="AG51" s="510"/>
      <c r="AH51" s="386"/>
      <c r="AI51" s="386"/>
      <c r="AJ51" s="396"/>
      <c r="AK51" s="396"/>
      <c r="AL51" s="493"/>
      <c r="AM51" s="487"/>
      <c r="AN51" s="488"/>
      <c r="AO51" s="511"/>
      <c r="AP51" s="511"/>
      <c r="AQ51" s="396"/>
      <c r="AR51" s="396"/>
      <c r="AS51" s="493"/>
      <c r="AT51" s="488"/>
      <c r="AU51" s="511"/>
      <c r="AV51" s="511"/>
      <c r="AW51" s="396"/>
      <c r="AX51" s="396"/>
      <c r="AY51" s="493"/>
      <c r="AZ51" s="488"/>
      <c r="BA51" s="511"/>
      <c r="BB51" s="511"/>
      <c r="BC51" s="396"/>
      <c r="BD51" s="396"/>
      <c r="BE51" s="493"/>
      <c r="BF51" s="488"/>
      <c r="BG51" s="511"/>
      <c r="BH51" s="511"/>
      <c r="BI51" s="396"/>
      <c r="BJ51" s="396"/>
      <c r="BK51" s="493"/>
      <c r="BL51" s="488"/>
      <c r="BM51" s="511"/>
      <c r="BN51" s="511"/>
      <c r="BO51" s="396"/>
      <c r="BP51" s="396"/>
      <c r="BQ51" s="493"/>
      <c r="BR51" s="488"/>
      <c r="BS51" s="511"/>
      <c r="BT51" s="511"/>
      <c r="BU51" s="396"/>
      <c r="BV51" s="396"/>
      <c r="BW51" s="493"/>
      <c r="BX51" s="488"/>
      <c r="BY51" s="511"/>
      <c r="BZ51" s="511"/>
      <c r="CA51" s="396"/>
      <c r="CB51" s="396"/>
      <c r="CC51" s="396"/>
      <c r="CD51" s="396"/>
      <c r="CE51" s="396"/>
      <c r="CF51" s="396"/>
      <c r="CG51" s="396"/>
      <c r="CH51" s="493"/>
      <c r="CI51" s="493"/>
    </row>
    <row r="52">
      <c r="A52" s="503"/>
      <c r="B52" s="503"/>
      <c r="C52" s="503"/>
      <c r="D52" s="503"/>
      <c r="E52" s="509"/>
      <c r="F52" s="509"/>
      <c r="G52" s="509"/>
      <c r="H52" s="396"/>
      <c r="I52" s="402"/>
      <c r="J52" s="468"/>
      <c r="K52" s="483" t="s">
        <v>256</v>
      </c>
      <c r="L52" s="414" t="s">
        <v>249</v>
      </c>
      <c r="M52" s="423"/>
      <c r="N52" s="485"/>
      <c r="O52" s="405" t="str">
        <f t="array" ref="O52">IF(
  N52 = 0, 
  "", 
  IFERROR(
    INDEX(
      'アイテム別限界値DB'!$K:$K, 
      MATCH(
        1, 
        ('アイテム別限界値DB'!$B:$B = K$4) * 
        ('アイテム別限界値DB'!$G:$G = K52) , 
        0
      )
    ), 
    "再製作"
  )
)
</f>
        <v/>
      </c>
      <c r="P52" s="397" t="str">
        <f t="array" ref="P52">IF(
  N52 = "", 
  "", 
  IFERROR(
    INDEX(
      'アイテム別限界値DB'!$N:$N, 
      MATCH(
        1, 
        ('アイテム別限界値DB'!$B:$B = K$4) * 
        ('アイテム別限界値DB'!$G:$G = K52), 
        0
      )
    )*$N52*M52, 
    "再製作"
  )
)
</f>
        <v/>
      </c>
      <c r="Q52" s="501"/>
      <c r="R52" s="493"/>
      <c r="S52" s="316"/>
      <c r="T52" s="317"/>
      <c r="U52" s="317"/>
      <c r="V52" s="317"/>
      <c r="W52" s="317"/>
      <c r="X52" s="493"/>
      <c r="Y52" s="468"/>
      <c r="Z52" s="448"/>
      <c r="AA52" s="386"/>
      <c r="AB52" s="386"/>
      <c r="AC52" s="396"/>
      <c r="AD52" s="396"/>
      <c r="AE52" s="501"/>
      <c r="AF52" s="497"/>
      <c r="AG52" s="510"/>
      <c r="AH52" s="386"/>
      <c r="AI52" s="386"/>
      <c r="AJ52" s="396"/>
      <c r="AK52" s="396"/>
      <c r="AL52" s="493"/>
      <c r="AM52" s="487"/>
      <c r="AN52" s="488"/>
      <c r="AO52" s="511"/>
      <c r="AP52" s="511"/>
      <c r="AQ52" s="396"/>
      <c r="AR52" s="396"/>
      <c r="AS52" s="493"/>
      <c r="AT52" s="488"/>
      <c r="AU52" s="511"/>
      <c r="AV52" s="511"/>
      <c r="AW52" s="396"/>
      <c r="AX52" s="396"/>
      <c r="AY52" s="493"/>
      <c r="AZ52" s="488"/>
      <c r="BA52" s="511"/>
      <c r="BB52" s="511"/>
      <c r="BC52" s="396"/>
      <c r="BD52" s="396"/>
      <c r="BE52" s="493"/>
      <c r="BF52" s="488"/>
      <c r="BG52" s="511"/>
      <c r="BH52" s="511"/>
      <c r="BI52" s="396"/>
      <c r="BJ52" s="396"/>
      <c r="BK52" s="493"/>
      <c r="BL52" s="488"/>
      <c r="BM52" s="511"/>
      <c r="BN52" s="511"/>
      <c r="BO52" s="396"/>
      <c r="BP52" s="396"/>
      <c r="BQ52" s="493"/>
      <c r="BR52" s="488"/>
      <c r="BS52" s="511"/>
      <c r="BT52" s="511"/>
      <c r="BU52" s="396"/>
      <c r="BV52" s="396"/>
      <c r="BW52" s="493"/>
      <c r="BX52" s="488"/>
      <c r="BY52" s="511"/>
      <c r="BZ52" s="511"/>
      <c r="CA52" s="396"/>
      <c r="CB52" s="396"/>
      <c r="CC52" s="396"/>
      <c r="CD52" s="396"/>
      <c r="CE52" s="396"/>
      <c r="CF52" s="396"/>
      <c r="CG52" s="396"/>
      <c r="CH52" s="493"/>
      <c r="CI52" s="493"/>
    </row>
    <row r="53">
      <c r="A53" s="503"/>
      <c r="B53" s="503"/>
      <c r="C53" s="503"/>
      <c r="D53" s="503"/>
      <c r="E53" s="509"/>
      <c r="F53" s="509"/>
      <c r="G53" s="509"/>
      <c r="H53" s="396"/>
      <c r="I53" s="402"/>
      <c r="J53" s="468"/>
      <c r="K53" s="483" t="s">
        <v>260</v>
      </c>
      <c r="L53" s="414" t="s">
        <v>253</v>
      </c>
      <c r="M53" s="423"/>
      <c r="N53" s="485"/>
      <c r="O53" s="405" t="str">
        <f t="array" ref="O53">IF(
  N53 = 0, 
  "", 
  IFERROR(
    INDEX(
      'アイテム別限界値DB'!$K:$K, 
      MATCH(
        1, 
        ('アイテム別限界値DB'!$B:$B = K$4) * 
        ('アイテム別限界値DB'!$G:$G = K53) , 
        0
      )
    ), 
    "再製作"
  )
)
</f>
        <v/>
      </c>
      <c r="P53" s="397" t="str">
        <f t="array" ref="P53">IF(
  N53 = "", 
  "", 
  IFERROR(
    INDEX(
      'アイテム別限界値DB'!$N:$N, 
      MATCH(
        1, 
        ('アイテム別限界値DB'!$B:$B = K$4) * 
        ('アイテム別限界値DB'!$G:$G = K53), 
        0
      )
    )*$N53*M53, 
    "再製作"
  )
)
</f>
        <v/>
      </c>
      <c r="Q53" s="501"/>
      <c r="R53" s="493"/>
      <c r="S53" s="316"/>
      <c r="T53" s="317"/>
      <c r="U53" s="317"/>
      <c r="V53" s="317"/>
      <c r="W53" s="317"/>
      <c r="X53" s="493"/>
      <c r="Y53" s="468"/>
      <c r="Z53" s="448"/>
      <c r="AA53" s="386"/>
      <c r="AB53" s="386"/>
      <c r="AC53" s="396"/>
      <c r="AD53" s="396"/>
      <c r="AE53" s="501"/>
      <c r="AF53" s="497"/>
      <c r="AG53" s="510"/>
      <c r="AH53" s="386"/>
      <c r="AI53" s="386"/>
      <c r="AJ53" s="396"/>
      <c r="AK53" s="396"/>
      <c r="AL53" s="493"/>
      <c r="AM53" s="487"/>
      <c r="AN53" s="488"/>
      <c r="AO53" s="511"/>
      <c r="AP53" s="511"/>
      <c r="AQ53" s="396"/>
      <c r="AR53" s="396"/>
      <c r="AS53" s="493"/>
      <c r="AT53" s="488"/>
      <c r="AU53" s="511"/>
      <c r="AV53" s="511"/>
      <c r="AW53" s="396"/>
      <c r="AX53" s="396"/>
      <c r="AY53" s="493"/>
      <c r="AZ53" s="488"/>
      <c r="BA53" s="511"/>
      <c r="BB53" s="511"/>
      <c r="BC53" s="396"/>
      <c r="BD53" s="396"/>
      <c r="BE53" s="493"/>
      <c r="BF53" s="488"/>
      <c r="BG53" s="511"/>
      <c r="BH53" s="511"/>
      <c r="BI53" s="396"/>
      <c r="BJ53" s="396"/>
      <c r="BK53" s="493"/>
      <c r="BL53" s="488"/>
      <c r="BM53" s="511"/>
      <c r="BN53" s="511"/>
      <c r="BO53" s="396"/>
      <c r="BP53" s="396"/>
      <c r="BQ53" s="493"/>
      <c r="BR53" s="488"/>
      <c r="BS53" s="511"/>
      <c r="BT53" s="511"/>
      <c r="BU53" s="396"/>
      <c r="BV53" s="396"/>
      <c r="BW53" s="493"/>
      <c r="BX53" s="488"/>
      <c r="BY53" s="511"/>
      <c r="BZ53" s="511"/>
      <c r="CA53" s="396"/>
      <c r="CB53" s="396"/>
      <c r="CC53" s="396"/>
      <c r="CD53" s="396"/>
      <c r="CE53" s="396"/>
      <c r="CF53" s="396"/>
      <c r="CG53" s="396"/>
      <c r="CH53" s="493"/>
      <c r="CI53" s="493"/>
    </row>
    <row r="54">
      <c r="A54" s="503"/>
      <c r="B54" s="503"/>
      <c r="C54" s="503"/>
      <c r="D54" s="503"/>
      <c r="E54" s="509"/>
      <c r="F54" s="509"/>
      <c r="G54" s="509"/>
      <c r="H54" s="396"/>
      <c r="I54" s="402"/>
      <c r="J54" s="468"/>
      <c r="K54" s="483" t="s">
        <v>263</v>
      </c>
      <c r="L54" s="414" t="s">
        <v>258</v>
      </c>
      <c r="M54" s="423"/>
      <c r="N54" s="485"/>
      <c r="O54" s="405" t="str">
        <f t="array" ref="O54">IF(
  N54 = 0, 
  "", 
  IFERROR(
    INDEX(
      'アイテム別限界値DB'!$K:$K, 
      MATCH(
        1, 
        ('アイテム別限界値DB'!$B:$B = K$4) * 
        ('アイテム別限界値DB'!$G:$G = K54) , 
        0
      )
    ), 
    "再製作"
  )
)
</f>
        <v/>
      </c>
      <c r="P54" s="397" t="str">
        <f t="array" ref="P54">IF(
  N54 = "", 
  "", 
  IFERROR(
    INDEX(
      'アイテム別限界値DB'!$N:$N, 
      MATCH(
        1, 
        ('アイテム別限界値DB'!$B:$B = K$4) * 
        ('アイテム別限界値DB'!$G:$G = K54), 
        0
      )
    )*$N54*M54, 
    "再製作"
  )
)
</f>
        <v/>
      </c>
      <c r="Q54" s="501"/>
      <c r="R54" s="493"/>
      <c r="S54" s="316"/>
      <c r="T54" s="317"/>
      <c r="U54" s="317"/>
      <c r="V54" s="317"/>
      <c r="W54" s="317"/>
      <c r="X54" s="493"/>
      <c r="Y54" s="468"/>
      <c r="Z54" s="448"/>
      <c r="AA54" s="386"/>
      <c r="AB54" s="386"/>
      <c r="AC54" s="396"/>
      <c r="AD54" s="396"/>
      <c r="AE54" s="501"/>
      <c r="AF54" s="497"/>
      <c r="AG54" s="510"/>
      <c r="AH54" s="386"/>
      <c r="AI54" s="386"/>
      <c r="AJ54" s="396"/>
      <c r="AK54" s="396"/>
      <c r="AL54" s="493"/>
      <c r="AM54" s="487"/>
      <c r="AN54" s="488"/>
      <c r="AO54" s="511"/>
      <c r="AP54" s="511"/>
      <c r="AQ54" s="396"/>
      <c r="AR54" s="396"/>
      <c r="AS54" s="493"/>
      <c r="AT54" s="488"/>
      <c r="AU54" s="511"/>
      <c r="AV54" s="511"/>
      <c r="AW54" s="396"/>
      <c r="AX54" s="396"/>
      <c r="AY54" s="493"/>
      <c r="AZ54" s="488"/>
      <c r="BA54" s="511"/>
      <c r="BB54" s="511"/>
      <c r="BC54" s="396"/>
      <c r="BD54" s="396"/>
      <c r="BE54" s="493"/>
      <c r="BF54" s="488"/>
      <c r="BG54" s="511"/>
      <c r="BH54" s="511"/>
      <c r="BI54" s="396"/>
      <c r="BJ54" s="396"/>
      <c r="BK54" s="493"/>
      <c r="BL54" s="488"/>
      <c r="BM54" s="511"/>
      <c r="BN54" s="511"/>
      <c r="BO54" s="396"/>
      <c r="BP54" s="396"/>
      <c r="BQ54" s="493"/>
      <c r="BR54" s="488"/>
      <c r="BS54" s="511"/>
      <c r="BT54" s="511"/>
      <c r="BU54" s="396"/>
      <c r="BV54" s="396"/>
      <c r="BW54" s="493"/>
      <c r="BX54" s="488"/>
      <c r="BY54" s="511"/>
      <c r="BZ54" s="511"/>
      <c r="CA54" s="396"/>
      <c r="CB54" s="396"/>
      <c r="CC54" s="396"/>
      <c r="CD54" s="396"/>
      <c r="CE54" s="396"/>
      <c r="CF54" s="396"/>
      <c r="CG54" s="396"/>
      <c r="CH54" s="493"/>
      <c r="CI54" s="493"/>
    </row>
    <row r="55">
      <c r="A55" s="503"/>
      <c r="B55" s="503"/>
      <c r="C55" s="503"/>
      <c r="D55" s="503"/>
      <c r="E55" s="509"/>
      <c r="F55" s="509"/>
      <c r="G55" s="509"/>
      <c r="H55" s="396"/>
      <c r="I55" s="402"/>
      <c r="J55" s="468"/>
      <c r="K55" s="483" t="s">
        <v>268</v>
      </c>
      <c r="L55" s="414" t="s">
        <v>269</v>
      </c>
      <c r="M55" s="423"/>
      <c r="N55" s="485"/>
      <c r="O55" s="405" t="str">
        <f t="array" ref="O55">IF(
  N55 = 0, 
  "", 
  IFERROR(
    INDEX(
      'アイテム別限界値DB'!$K:$K, 
      MATCH(
        1, 
        ('アイテム別限界値DB'!$B:$B = K$4) * 
        ('アイテム別限界値DB'!$G:$G = K55) , 
        0
      )
    ), 
    "再製作"
  )
)
</f>
        <v/>
      </c>
      <c r="P55" s="397" t="str">
        <f t="array" ref="P55">IF(
  N55 = "", 
  "", 
  IFERROR(
    INDEX(
      'アイテム別限界値DB'!$N:$N, 
      MATCH(
        1, 
        ('アイテム別限界値DB'!$B:$B = K$4) * 
        ('アイテム別限界値DB'!$G:$G = K55), 
        0
      )
    )*$N55*M55, 
    "再製作"
  )
)
</f>
        <v/>
      </c>
      <c r="Q55" s="501"/>
      <c r="R55" s="493"/>
      <c r="S55" s="316"/>
      <c r="T55" s="317"/>
      <c r="U55" s="317"/>
      <c r="V55" s="317"/>
      <c r="W55" s="317"/>
      <c r="X55" s="493"/>
      <c r="Y55" s="468"/>
      <c r="Z55" s="448"/>
      <c r="AA55" s="386"/>
      <c r="AB55" s="386"/>
      <c r="AC55" s="396"/>
      <c r="AD55" s="396"/>
      <c r="AE55" s="501"/>
      <c r="AF55" s="497"/>
      <c r="AG55" s="510"/>
      <c r="AH55" s="386"/>
      <c r="AI55" s="386"/>
      <c r="AJ55" s="396"/>
      <c r="AK55" s="396"/>
      <c r="AL55" s="493"/>
      <c r="AM55" s="487"/>
      <c r="AN55" s="488"/>
      <c r="AO55" s="511"/>
      <c r="AP55" s="511"/>
      <c r="AQ55" s="396"/>
      <c r="AR55" s="396"/>
      <c r="AS55" s="493"/>
      <c r="AT55" s="488"/>
      <c r="AU55" s="511"/>
      <c r="AV55" s="511"/>
      <c r="AW55" s="396"/>
      <c r="AX55" s="396"/>
      <c r="AY55" s="493"/>
      <c r="AZ55" s="488"/>
      <c r="BA55" s="511"/>
      <c r="BB55" s="511"/>
      <c r="BC55" s="396"/>
      <c r="BD55" s="396"/>
      <c r="BE55" s="493"/>
      <c r="BF55" s="488"/>
      <c r="BG55" s="511"/>
      <c r="BH55" s="511"/>
      <c r="BI55" s="396"/>
      <c r="BJ55" s="396"/>
      <c r="BK55" s="493"/>
      <c r="BL55" s="488"/>
      <c r="BM55" s="511"/>
      <c r="BN55" s="511"/>
      <c r="BO55" s="396"/>
      <c r="BP55" s="396"/>
      <c r="BQ55" s="493"/>
      <c r="BR55" s="488"/>
      <c r="BS55" s="511"/>
      <c r="BT55" s="511"/>
      <c r="BU55" s="396"/>
      <c r="BV55" s="396"/>
      <c r="BW55" s="493"/>
      <c r="BX55" s="488"/>
      <c r="BY55" s="511"/>
      <c r="BZ55" s="511"/>
      <c r="CA55" s="396"/>
      <c r="CB55" s="396"/>
      <c r="CC55" s="396"/>
      <c r="CD55" s="396"/>
      <c r="CE55" s="396"/>
      <c r="CF55" s="396"/>
      <c r="CG55" s="396"/>
      <c r="CH55" s="493"/>
      <c r="CI55" s="493"/>
    </row>
    <row r="56">
      <c r="A56" s="503"/>
      <c r="B56" s="503"/>
      <c r="C56" s="503"/>
      <c r="D56" s="503"/>
      <c r="E56" s="509"/>
      <c r="F56" s="509"/>
      <c r="G56" s="509"/>
      <c r="H56" s="396"/>
      <c r="I56" s="402"/>
      <c r="J56" s="468"/>
      <c r="K56" s="483" t="s">
        <v>270</v>
      </c>
      <c r="L56" s="448" t="s">
        <v>271</v>
      </c>
      <c r="M56" s="423"/>
      <c r="N56" s="485"/>
      <c r="O56" s="405" t="str">
        <f t="array" ref="O56">IF(
  N56 = 0, 
  "", 
  IFERROR(
    INDEX(
      'アイテム別限界値DB'!$K:$K, 
      MATCH(
        1, 
        ('アイテム別限界値DB'!$B:$B = K$4) * 
        ('アイテム別限界値DB'!$G:$G = K56) , 
        0
      )
    ), 
    "再製作"
  )
)
</f>
        <v/>
      </c>
      <c r="P56" s="397" t="str">
        <f t="array" ref="P56">IF(
  N56 = "", 
  "", 
  IFERROR(
    INDEX(
      'アイテム別限界値DB'!$N:$N, 
      MATCH(
        1, 
        ('アイテム別限界値DB'!$B:$B = K$4) * 
        ('アイテム別限界値DB'!$G:$G = K56), 
        0
      )
    )*$N56*M56, 
    "再製作"
  )
)
</f>
        <v/>
      </c>
      <c r="Q56" s="501"/>
      <c r="R56" s="493"/>
      <c r="S56" s="316"/>
      <c r="T56" s="317"/>
      <c r="U56" s="317"/>
      <c r="V56" s="317"/>
      <c r="W56" s="317"/>
      <c r="X56" s="493"/>
      <c r="Y56" s="468"/>
      <c r="Z56" s="448"/>
      <c r="AA56" s="386"/>
      <c r="AB56" s="386"/>
      <c r="AC56" s="396"/>
      <c r="AD56" s="396"/>
      <c r="AE56" s="501"/>
      <c r="AF56" s="497"/>
      <c r="AG56" s="510"/>
      <c r="AH56" s="386"/>
      <c r="AI56" s="386"/>
      <c r="AJ56" s="396"/>
      <c r="AK56" s="396"/>
      <c r="AL56" s="493"/>
      <c r="AM56" s="487"/>
      <c r="AN56" s="488"/>
      <c r="AO56" s="511"/>
      <c r="AP56" s="511"/>
      <c r="AQ56" s="396"/>
      <c r="AR56" s="396"/>
      <c r="AS56" s="493"/>
      <c r="AT56" s="488"/>
      <c r="AU56" s="511"/>
      <c r="AV56" s="511"/>
      <c r="AW56" s="396"/>
      <c r="AX56" s="396"/>
      <c r="AY56" s="493"/>
      <c r="AZ56" s="488"/>
      <c r="BA56" s="511"/>
      <c r="BB56" s="511"/>
      <c r="BC56" s="396"/>
      <c r="BD56" s="396"/>
      <c r="BE56" s="493"/>
      <c r="BF56" s="488"/>
      <c r="BG56" s="511"/>
      <c r="BH56" s="511"/>
      <c r="BI56" s="396"/>
      <c r="BJ56" s="396"/>
      <c r="BK56" s="493"/>
      <c r="BL56" s="488"/>
      <c r="BM56" s="511"/>
      <c r="BN56" s="511"/>
      <c r="BO56" s="396"/>
      <c r="BP56" s="396"/>
      <c r="BQ56" s="493"/>
      <c r="BR56" s="488"/>
      <c r="BS56" s="511"/>
      <c r="BT56" s="511"/>
      <c r="BU56" s="396"/>
      <c r="BV56" s="396"/>
      <c r="BW56" s="493"/>
      <c r="BX56" s="488"/>
      <c r="BY56" s="511"/>
      <c r="BZ56" s="511"/>
      <c r="CA56" s="396"/>
      <c r="CB56" s="396"/>
      <c r="CC56" s="396"/>
      <c r="CD56" s="396"/>
      <c r="CE56" s="396"/>
      <c r="CF56" s="396"/>
      <c r="CG56" s="396"/>
      <c r="CH56" s="493"/>
      <c r="CI56" s="493"/>
    </row>
    <row r="57">
      <c r="A57" s="503"/>
      <c r="B57" s="503"/>
      <c r="C57" s="503"/>
      <c r="D57" s="503"/>
      <c r="E57" s="509"/>
      <c r="F57" s="509"/>
      <c r="G57" s="509"/>
      <c r="H57" s="396"/>
      <c r="I57" s="402"/>
      <c r="J57" s="468"/>
      <c r="K57" s="483"/>
      <c r="L57" s="448"/>
      <c r="M57" s="386"/>
      <c r="N57" s="512"/>
      <c r="O57" s="396"/>
      <c r="P57" s="396"/>
      <c r="Q57" s="501"/>
      <c r="R57" s="493"/>
      <c r="S57" s="316"/>
      <c r="T57" s="317"/>
      <c r="U57" s="317"/>
      <c r="V57" s="317"/>
      <c r="W57" s="317"/>
      <c r="X57" s="493"/>
      <c r="Y57" s="468"/>
      <c r="Z57" s="448"/>
      <c r="AA57" s="386"/>
      <c r="AB57" s="386"/>
      <c r="AC57" s="396"/>
      <c r="AD57" s="396"/>
      <c r="AE57" s="501"/>
      <c r="AF57" s="497"/>
      <c r="AG57" s="510"/>
      <c r="AH57" s="386"/>
      <c r="AI57" s="386"/>
      <c r="AJ57" s="396"/>
      <c r="AK57" s="396"/>
      <c r="AL57" s="493"/>
      <c r="AM57" s="487"/>
      <c r="AN57" s="488"/>
      <c r="AO57" s="511"/>
      <c r="AP57" s="511"/>
      <c r="AQ57" s="396"/>
      <c r="AR57" s="396"/>
      <c r="AS57" s="493"/>
      <c r="AT57" s="488"/>
      <c r="AU57" s="511"/>
      <c r="AV57" s="511"/>
      <c r="AW57" s="396"/>
      <c r="AX57" s="396"/>
      <c r="AY57" s="493"/>
      <c r="AZ57" s="488"/>
      <c r="BA57" s="511"/>
      <c r="BB57" s="511"/>
      <c r="BC57" s="396"/>
      <c r="BD57" s="396"/>
      <c r="BE57" s="493"/>
      <c r="BF57" s="488"/>
      <c r="BG57" s="511"/>
      <c r="BH57" s="511"/>
      <c r="BI57" s="396"/>
      <c r="BJ57" s="396"/>
      <c r="BK57" s="493"/>
      <c r="BL57" s="488"/>
      <c r="BM57" s="511"/>
      <c r="BN57" s="511"/>
      <c r="BO57" s="396"/>
      <c r="BP57" s="396"/>
      <c r="BQ57" s="493"/>
      <c r="BR57" s="488"/>
      <c r="BS57" s="511"/>
      <c r="BT57" s="511"/>
      <c r="BU57" s="396"/>
      <c r="BV57" s="396"/>
      <c r="BW57" s="493"/>
      <c r="BX57" s="488"/>
      <c r="BY57" s="511"/>
      <c r="BZ57" s="511"/>
      <c r="CA57" s="396"/>
      <c r="CB57" s="396"/>
      <c r="CC57" s="396"/>
      <c r="CD57" s="396"/>
      <c r="CE57" s="396"/>
      <c r="CF57" s="396"/>
      <c r="CG57" s="396"/>
      <c r="CH57" s="493"/>
      <c r="CI57" s="493"/>
    </row>
    <row r="58">
      <c r="A58" s="503"/>
      <c r="B58" s="503"/>
      <c r="C58" s="503"/>
      <c r="D58" s="503"/>
      <c r="E58" s="509"/>
      <c r="F58" s="509"/>
      <c r="G58" s="509"/>
      <c r="H58" s="396"/>
      <c r="I58" s="402"/>
      <c r="J58" s="468"/>
      <c r="K58" s="483"/>
      <c r="L58" s="448"/>
      <c r="M58" s="386"/>
      <c r="N58" s="512"/>
      <c r="O58" s="396"/>
      <c r="P58" s="396"/>
      <c r="Q58" s="501"/>
      <c r="R58" s="493"/>
      <c r="S58" s="316"/>
      <c r="T58" s="317"/>
      <c r="U58" s="317"/>
      <c r="V58" s="317"/>
      <c r="W58" s="317"/>
      <c r="X58" s="493"/>
      <c r="Y58" s="468"/>
      <c r="Z58" s="448"/>
      <c r="AA58" s="386"/>
      <c r="AB58" s="386"/>
      <c r="AC58" s="396"/>
      <c r="AD58" s="396"/>
      <c r="AE58" s="501"/>
      <c r="AF58" s="497"/>
      <c r="AG58" s="510"/>
      <c r="AH58" s="386"/>
      <c r="AI58" s="386"/>
      <c r="AJ58" s="396"/>
      <c r="AK58" s="396"/>
      <c r="AL58" s="493"/>
      <c r="AM58" s="487"/>
      <c r="AN58" s="488"/>
      <c r="AO58" s="511"/>
      <c r="AP58" s="511"/>
      <c r="AQ58" s="396"/>
      <c r="AR58" s="396"/>
      <c r="AS58" s="493"/>
      <c r="AT58" s="488"/>
      <c r="AU58" s="511"/>
      <c r="AV58" s="511"/>
      <c r="AW58" s="396"/>
      <c r="AX58" s="396"/>
      <c r="AY58" s="493"/>
      <c r="AZ58" s="488"/>
      <c r="BA58" s="511"/>
      <c r="BB58" s="511"/>
      <c r="BC58" s="396"/>
      <c r="BD58" s="396"/>
      <c r="BE58" s="493"/>
      <c r="BF58" s="488"/>
      <c r="BG58" s="511"/>
      <c r="BH58" s="511"/>
      <c r="BI58" s="396"/>
      <c r="BJ58" s="396"/>
      <c r="BK58" s="493"/>
      <c r="BL58" s="488"/>
      <c r="BM58" s="511"/>
      <c r="BN58" s="511"/>
      <c r="BO58" s="396"/>
      <c r="BP58" s="396"/>
      <c r="BQ58" s="493"/>
      <c r="BR58" s="488"/>
      <c r="BS58" s="511"/>
      <c r="BT58" s="511"/>
      <c r="BU58" s="396"/>
      <c r="BV58" s="396"/>
      <c r="BW58" s="493"/>
      <c r="BX58" s="488"/>
      <c r="BY58" s="511"/>
      <c r="BZ58" s="511"/>
      <c r="CA58" s="396"/>
      <c r="CB58" s="396"/>
      <c r="CC58" s="396"/>
      <c r="CD58" s="396"/>
      <c r="CE58" s="396"/>
      <c r="CF58" s="396"/>
      <c r="CG58" s="396"/>
      <c r="CH58" s="493"/>
      <c r="CI58" s="493"/>
    </row>
    <row r="59">
      <c r="A59" s="503"/>
      <c r="B59" s="503"/>
      <c r="C59" s="503"/>
      <c r="D59" s="503"/>
      <c r="E59" s="509"/>
      <c r="F59" s="509"/>
      <c r="G59" s="509"/>
      <c r="H59" s="396"/>
      <c r="I59" s="402"/>
      <c r="J59" s="468"/>
      <c r="K59" s="483"/>
      <c r="L59" s="448"/>
      <c r="M59" s="386"/>
      <c r="N59" s="512"/>
      <c r="O59" s="396"/>
      <c r="P59" s="396"/>
      <c r="Q59" s="501"/>
      <c r="R59" s="493"/>
      <c r="S59" s="316"/>
      <c r="T59" s="317"/>
      <c r="U59" s="317"/>
      <c r="V59" s="317"/>
      <c r="W59" s="317"/>
      <c r="X59" s="493"/>
      <c r="Y59" s="468"/>
      <c r="Z59" s="448"/>
      <c r="AA59" s="386"/>
      <c r="AB59" s="386"/>
      <c r="AC59" s="396"/>
      <c r="AD59" s="396"/>
      <c r="AE59" s="501"/>
      <c r="AF59" s="497"/>
      <c r="AG59" s="510"/>
      <c r="AH59" s="386"/>
      <c r="AI59" s="386"/>
      <c r="AJ59" s="396"/>
      <c r="AK59" s="396"/>
      <c r="AL59" s="493"/>
      <c r="AM59" s="487"/>
      <c r="AN59" s="488"/>
      <c r="AO59" s="511"/>
      <c r="AP59" s="511"/>
      <c r="AQ59" s="396"/>
      <c r="AR59" s="396"/>
      <c r="AS59" s="493"/>
      <c r="AT59" s="488"/>
      <c r="AU59" s="511"/>
      <c r="AV59" s="511"/>
      <c r="AW59" s="396"/>
      <c r="AX59" s="396"/>
      <c r="AY59" s="493"/>
      <c r="AZ59" s="488"/>
      <c r="BA59" s="511"/>
      <c r="BB59" s="511"/>
      <c r="BC59" s="396"/>
      <c r="BD59" s="396"/>
      <c r="BE59" s="493"/>
      <c r="BF59" s="488"/>
      <c r="BG59" s="511"/>
      <c r="BH59" s="511"/>
      <c r="BI59" s="396"/>
      <c r="BJ59" s="396"/>
      <c r="BK59" s="493"/>
      <c r="BL59" s="488"/>
      <c r="BM59" s="511"/>
      <c r="BN59" s="511"/>
      <c r="BO59" s="396"/>
      <c r="BP59" s="396"/>
      <c r="BQ59" s="493"/>
      <c r="BR59" s="488"/>
      <c r="BS59" s="511"/>
      <c r="BT59" s="511"/>
      <c r="BU59" s="396"/>
      <c r="BV59" s="396"/>
      <c r="BW59" s="493"/>
      <c r="BX59" s="488"/>
      <c r="BY59" s="511"/>
      <c r="BZ59" s="511"/>
      <c r="CA59" s="396"/>
      <c r="CB59" s="396"/>
      <c r="CC59" s="396"/>
      <c r="CD59" s="396"/>
      <c r="CE59" s="396"/>
      <c r="CF59" s="396"/>
      <c r="CG59" s="396"/>
      <c r="CH59" s="493"/>
      <c r="CI59" s="493"/>
    </row>
    <row r="60">
      <c r="A60" s="503"/>
      <c r="B60" s="503"/>
      <c r="C60" s="503"/>
      <c r="D60" s="503"/>
      <c r="E60" s="509"/>
      <c r="F60" s="509"/>
      <c r="G60" s="509"/>
      <c r="H60" s="396"/>
      <c r="I60" s="402"/>
      <c r="J60" s="468"/>
      <c r="K60" s="483"/>
      <c r="L60" s="448"/>
      <c r="M60" s="386"/>
      <c r="N60" s="512"/>
      <c r="O60" s="396"/>
      <c r="P60" s="396"/>
      <c r="Q60" s="501"/>
      <c r="R60" s="493"/>
      <c r="S60" s="316"/>
      <c r="T60" s="317"/>
      <c r="U60" s="317"/>
      <c r="V60" s="317"/>
      <c r="W60" s="317"/>
      <c r="X60" s="493"/>
      <c r="Y60" s="468"/>
      <c r="Z60" s="448"/>
      <c r="AA60" s="386"/>
      <c r="AB60" s="386"/>
      <c r="AC60" s="396"/>
      <c r="AD60" s="396"/>
      <c r="AE60" s="501"/>
      <c r="AF60" s="497"/>
      <c r="AG60" s="510"/>
      <c r="AH60" s="386"/>
      <c r="AI60" s="386"/>
      <c r="AJ60" s="396"/>
      <c r="AK60" s="396"/>
      <c r="AL60" s="493"/>
      <c r="AM60" s="487"/>
      <c r="AN60" s="488"/>
      <c r="AO60" s="511"/>
      <c r="AP60" s="511"/>
      <c r="AQ60" s="396"/>
      <c r="AR60" s="396"/>
      <c r="AS60" s="493"/>
      <c r="AT60" s="488"/>
      <c r="AU60" s="511"/>
      <c r="AV60" s="511"/>
      <c r="AW60" s="396"/>
      <c r="AX60" s="396"/>
      <c r="AY60" s="493"/>
      <c r="AZ60" s="488"/>
      <c r="BA60" s="511"/>
      <c r="BB60" s="511"/>
      <c r="BC60" s="396"/>
      <c r="BD60" s="396"/>
      <c r="BE60" s="493"/>
      <c r="BF60" s="488"/>
      <c r="BG60" s="511"/>
      <c r="BH60" s="511"/>
      <c r="BI60" s="396"/>
      <c r="BJ60" s="396"/>
      <c r="BK60" s="493"/>
      <c r="BL60" s="488"/>
      <c r="BM60" s="511"/>
      <c r="BN60" s="511"/>
      <c r="BO60" s="396"/>
      <c r="BP60" s="396"/>
      <c r="BQ60" s="493"/>
      <c r="BR60" s="488"/>
      <c r="BS60" s="511"/>
      <c r="BT60" s="511"/>
      <c r="BU60" s="396"/>
      <c r="BV60" s="396"/>
      <c r="BW60" s="493"/>
      <c r="BX60" s="488"/>
      <c r="BY60" s="511"/>
      <c r="BZ60" s="511"/>
      <c r="CA60" s="396"/>
      <c r="CB60" s="396"/>
      <c r="CC60" s="396"/>
      <c r="CD60" s="396"/>
      <c r="CE60" s="396"/>
      <c r="CF60" s="396"/>
      <c r="CG60" s="396"/>
      <c r="CH60" s="493"/>
      <c r="CI60" s="493"/>
    </row>
    <row r="61">
      <c r="A61" s="503"/>
      <c r="B61" s="503"/>
      <c r="C61" s="503"/>
      <c r="D61" s="503"/>
      <c r="E61" s="509"/>
      <c r="F61" s="509"/>
      <c r="G61" s="509"/>
      <c r="H61" s="396"/>
      <c r="I61" s="402"/>
      <c r="J61" s="468"/>
      <c r="K61" s="483"/>
      <c r="L61" s="448"/>
      <c r="M61" s="386"/>
      <c r="N61" s="512"/>
      <c r="O61" s="396"/>
      <c r="P61" s="396"/>
      <c r="Q61" s="501"/>
      <c r="R61" s="493"/>
      <c r="S61" s="316"/>
      <c r="T61" s="317"/>
      <c r="U61" s="317"/>
      <c r="V61" s="317"/>
      <c r="W61" s="317"/>
      <c r="X61" s="493"/>
      <c r="Y61" s="468"/>
      <c r="Z61" s="448"/>
      <c r="AA61" s="386"/>
      <c r="AB61" s="386"/>
      <c r="AC61" s="396"/>
      <c r="AD61" s="396"/>
      <c r="AE61" s="501"/>
      <c r="AF61" s="497"/>
      <c r="AG61" s="510"/>
      <c r="AH61" s="386"/>
      <c r="AI61" s="386"/>
      <c r="AJ61" s="396"/>
      <c r="AK61" s="396"/>
      <c r="AL61" s="493"/>
      <c r="AM61" s="487"/>
      <c r="AN61" s="488"/>
      <c r="AO61" s="511"/>
      <c r="AP61" s="511"/>
      <c r="AQ61" s="396"/>
      <c r="AR61" s="396"/>
      <c r="AS61" s="493"/>
      <c r="AT61" s="488"/>
      <c r="AU61" s="511"/>
      <c r="AV61" s="511"/>
      <c r="AW61" s="396"/>
      <c r="AX61" s="396"/>
      <c r="AY61" s="493"/>
      <c r="AZ61" s="488"/>
      <c r="BA61" s="511"/>
      <c r="BB61" s="511"/>
      <c r="BC61" s="396"/>
      <c r="BD61" s="396"/>
      <c r="BE61" s="493"/>
      <c r="BF61" s="488"/>
      <c r="BG61" s="511"/>
      <c r="BH61" s="511"/>
      <c r="BI61" s="396"/>
      <c r="BJ61" s="396"/>
      <c r="BK61" s="493"/>
      <c r="BL61" s="488"/>
      <c r="BM61" s="511"/>
      <c r="BN61" s="511"/>
      <c r="BO61" s="396"/>
      <c r="BP61" s="396"/>
      <c r="BQ61" s="493"/>
      <c r="BR61" s="488"/>
      <c r="BS61" s="511"/>
      <c r="BT61" s="511"/>
      <c r="BU61" s="396"/>
      <c r="BV61" s="396"/>
      <c r="BW61" s="493"/>
      <c r="BX61" s="488"/>
      <c r="BY61" s="511"/>
      <c r="BZ61" s="511"/>
      <c r="CA61" s="396"/>
      <c r="CB61" s="396"/>
      <c r="CC61" s="396"/>
      <c r="CD61" s="396"/>
      <c r="CE61" s="396"/>
      <c r="CF61" s="396"/>
      <c r="CG61" s="396"/>
      <c r="CH61" s="493"/>
      <c r="CI61" s="493"/>
    </row>
    <row r="62">
      <c r="A62" s="503"/>
      <c r="B62" s="503"/>
      <c r="C62" s="503"/>
      <c r="D62" s="503"/>
      <c r="E62" s="509"/>
      <c r="F62" s="509"/>
      <c r="G62" s="509"/>
      <c r="H62" s="396"/>
      <c r="I62" s="402"/>
      <c r="J62" s="468"/>
      <c r="K62" s="483"/>
      <c r="L62" s="448"/>
      <c r="M62" s="386"/>
      <c r="N62" s="512"/>
      <c r="O62" s="396"/>
      <c r="P62" s="396"/>
      <c r="Q62" s="501"/>
      <c r="R62" s="493"/>
      <c r="S62" s="316"/>
      <c r="T62" s="317"/>
      <c r="U62" s="317"/>
      <c r="V62" s="317"/>
      <c r="W62" s="317"/>
      <c r="X62" s="493"/>
      <c r="Y62" s="468"/>
      <c r="Z62" s="448"/>
      <c r="AA62" s="386"/>
      <c r="AB62" s="386"/>
      <c r="AC62" s="396"/>
      <c r="AD62" s="396"/>
      <c r="AE62" s="501"/>
      <c r="AF62" s="497"/>
      <c r="AG62" s="510"/>
      <c r="AH62" s="386"/>
      <c r="AI62" s="386"/>
      <c r="AJ62" s="396"/>
      <c r="AK62" s="396"/>
      <c r="AL62" s="493"/>
      <c r="AM62" s="487"/>
      <c r="AN62" s="488"/>
      <c r="AO62" s="511"/>
      <c r="AP62" s="511"/>
      <c r="AQ62" s="396"/>
      <c r="AR62" s="396"/>
      <c r="AS62" s="493"/>
      <c r="AT62" s="488"/>
      <c r="AU62" s="511"/>
      <c r="AV62" s="511"/>
      <c r="AW62" s="396"/>
      <c r="AX62" s="396"/>
      <c r="AY62" s="493"/>
      <c r="AZ62" s="488"/>
      <c r="BA62" s="511"/>
      <c r="BB62" s="511"/>
      <c r="BC62" s="396"/>
      <c r="BD62" s="396"/>
      <c r="BE62" s="493"/>
      <c r="BF62" s="488"/>
      <c r="BG62" s="511"/>
      <c r="BH62" s="511"/>
      <c r="BI62" s="396"/>
      <c r="BJ62" s="396"/>
      <c r="BK62" s="493"/>
      <c r="BL62" s="488"/>
      <c r="BM62" s="511"/>
      <c r="BN62" s="511"/>
      <c r="BO62" s="396"/>
      <c r="BP62" s="396"/>
      <c r="BQ62" s="493"/>
      <c r="BR62" s="488"/>
      <c r="BS62" s="511"/>
      <c r="BT62" s="511"/>
      <c r="BU62" s="396"/>
      <c r="BV62" s="396"/>
      <c r="BW62" s="493"/>
      <c r="BX62" s="488"/>
      <c r="BY62" s="511"/>
      <c r="BZ62" s="511"/>
      <c r="CA62" s="396"/>
      <c r="CB62" s="396"/>
      <c r="CC62" s="396"/>
      <c r="CD62" s="396"/>
      <c r="CE62" s="396"/>
      <c r="CF62" s="396"/>
      <c r="CG62" s="396"/>
      <c r="CH62" s="493"/>
      <c r="CI62" s="493"/>
    </row>
    <row r="63">
      <c r="A63" s="503"/>
      <c r="B63" s="503"/>
      <c r="C63" s="503"/>
      <c r="D63" s="503"/>
      <c r="E63" s="509"/>
      <c r="F63" s="509"/>
      <c r="G63" s="509"/>
      <c r="H63" s="396"/>
      <c r="I63" s="402"/>
      <c r="J63" s="468"/>
      <c r="K63" s="483"/>
      <c r="L63" s="448"/>
      <c r="M63" s="386"/>
      <c r="N63" s="512"/>
      <c r="O63" s="396"/>
      <c r="P63" s="396"/>
      <c r="Q63" s="501"/>
      <c r="R63" s="493"/>
      <c r="S63" s="316"/>
      <c r="T63" s="317"/>
      <c r="U63" s="317"/>
      <c r="V63" s="317"/>
      <c r="W63" s="317"/>
      <c r="X63" s="493"/>
      <c r="Y63" s="468"/>
      <c r="Z63" s="448"/>
      <c r="AA63" s="386"/>
      <c r="AB63" s="386"/>
      <c r="AC63" s="396"/>
      <c r="AD63" s="396"/>
      <c r="AE63" s="501"/>
      <c r="AF63" s="497"/>
      <c r="AG63" s="510"/>
      <c r="AH63" s="386"/>
      <c r="AI63" s="386"/>
      <c r="AJ63" s="396"/>
      <c r="AK63" s="396"/>
      <c r="AL63" s="493"/>
      <c r="AM63" s="487"/>
      <c r="AN63" s="488"/>
      <c r="AO63" s="511"/>
      <c r="AP63" s="511"/>
      <c r="AQ63" s="396"/>
      <c r="AR63" s="396"/>
      <c r="AS63" s="493"/>
      <c r="AT63" s="488"/>
      <c r="AU63" s="511"/>
      <c r="AV63" s="511"/>
      <c r="AW63" s="396"/>
      <c r="AX63" s="396"/>
      <c r="AY63" s="493"/>
      <c r="AZ63" s="488"/>
      <c r="BA63" s="511"/>
      <c r="BB63" s="511"/>
      <c r="BC63" s="396"/>
      <c r="BD63" s="396"/>
      <c r="BE63" s="493"/>
      <c r="BF63" s="488"/>
      <c r="BG63" s="511"/>
      <c r="BH63" s="511"/>
      <c r="BI63" s="396"/>
      <c r="BJ63" s="396"/>
      <c r="BK63" s="493"/>
      <c r="BL63" s="488"/>
      <c r="BM63" s="511"/>
      <c r="BN63" s="511"/>
      <c r="BO63" s="396"/>
      <c r="BP63" s="396"/>
      <c r="BQ63" s="493"/>
      <c r="BR63" s="488"/>
      <c r="BS63" s="511"/>
      <c r="BT63" s="511"/>
      <c r="BU63" s="396"/>
      <c r="BV63" s="396"/>
      <c r="BW63" s="493"/>
      <c r="BX63" s="488"/>
      <c r="BY63" s="511"/>
      <c r="BZ63" s="511"/>
      <c r="CA63" s="396"/>
      <c r="CB63" s="396"/>
      <c r="CC63" s="396"/>
      <c r="CD63" s="396"/>
      <c r="CE63" s="396"/>
      <c r="CF63" s="396"/>
      <c r="CG63" s="396"/>
      <c r="CH63" s="493"/>
      <c r="CI63" s="493"/>
    </row>
    <row r="64">
      <c r="A64" s="503"/>
      <c r="B64" s="503"/>
      <c r="C64" s="503"/>
      <c r="D64" s="503"/>
      <c r="E64" s="509"/>
      <c r="F64" s="509"/>
      <c r="G64" s="509"/>
      <c r="H64" s="396"/>
      <c r="I64" s="402"/>
      <c r="J64" s="468"/>
      <c r="K64" s="483"/>
      <c r="L64" s="448"/>
      <c r="M64" s="386"/>
      <c r="N64" s="512"/>
      <c r="O64" s="396"/>
      <c r="P64" s="396"/>
      <c r="Q64" s="501"/>
      <c r="R64" s="493"/>
      <c r="S64" s="316"/>
      <c r="T64" s="317"/>
      <c r="U64" s="317"/>
      <c r="V64" s="317"/>
      <c r="W64" s="317"/>
      <c r="X64" s="493"/>
      <c r="Y64" s="468"/>
      <c r="Z64" s="448"/>
      <c r="AA64" s="386"/>
      <c r="AB64" s="386"/>
      <c r="AC64" s="396"/>
      <c r="AD64" s="396"/>
      <c r="AE64" s="501"/>
      <c r="AF64" s="497"/>
      <c r="AG64" s="510"/>
      <c r="AH64" s="386"/>
      <c r="AI64" s="386"/>
      <c r="AJ64" s="396"/>
      <c r="AK64" s="396"/>
      <c r="AL64" s="493"/>
      <c r="AM64" s="487"/>
      <c r="AN64" s="488"/>
      <c r="AO64" s="511"/>
      <c r="AP64" s="511"/>
      <c r="AQ64" s="396"/>
      <c r="AR64" s="396"/>
      <c r="AS64" s="493"/>
      <c r="AT64" s="488"/>
      <c r="AU64" s="511"/>
      <c r="AV64" s="511"/>
      <c r="AW64" s="396"/>
      <c r="AX64" s="396"/>
      <c r="AY64" s="493"/>
      <c r="AZ64" s="488"/>
      <c r="BA64" s="511"/>
      <c r="BB64" s="511"/>
      <c r="BC64" s="396"/>
      <c r="BD64" s="396"/>
      <c r="BE64" s="493"/>
      <c r="BF64" s="488"/>
      <c r="BG64" s="511"/>
      <c r="BH64" s="511"/>
      <c r="BI64" s="396"/>
      <c r="BJ64" s="396"/>
      <c r="BK64" s="493"/>
      <c r="BL64" s="488"/>
      <c r="BM64" s="511"/>
      <c r="BN64" s="511"/>
      <c r="BO64" s="396"/>
      <c r="BP64" s="396"/>
      <c r="BQ64" s="493"/>
      <c r="BR64" s="488"/>
      <c r="BS64" s="511"/>
      <c r="BT64" s="511"/>
      <c r="BU64" s="396"/>
      <c r="BV64" s="396"/>
      <c r="BW64" s="493"/>
      <c r="BX64" s="488"/>
      <c r="BY64" s="511"/>
      <c r="BZ64" s="511"/>
      <c r="CA64" s="396"/>
      <c r="CB64" s="396"/>
      <c r="CC64" s="396"/>
      <c r="CD64" s="396"/>
      <c r="CE64" s="396"/>
      <c r="CF64" s="396"/>
      <c r="CG64" s="396"/>
      <c r="CH64" s="493"/>
      <c r="CI64" s="493"/>
    </row>
    <row r="65">
      <c r="A65" s="503"/>
      <c r="B65" s="503"/>
      <c r="C65" s="503"/>
      <c r="D65" s="503"/>
      <c r="E65" s="509"/>
      <c r="F65" s="509"/>
      <c r="G65" s="509"/>
      <c r="H65" s="396"/>
      <c r="I65" s="402"/>
      <c r="J65" s="468"/>
      <c r="K65" s="483"/>
      <c r="L65" s="448"/>
      <c r="M65" s="386"/>
      <c r="N65" s="512"/>
      <c r="O65" s="396"/>
      <c r="P65" s="396"/>
      <c r="Q65" s="501"/>
      <c r="R65" s="493"/>
      <c r="S65" s="316"/>
      <c r="T65" s="317"/>
      <c r="U65" s="317"/>
      <c r="V65" s="317"/>
      <c r="W65" s="317"/>
      <c r="X65" s="493"/>
      <c r="Y65" s="468"/>
      <c r="Z65" s="448"/>
      <c r="AA65" s="386"/>
      <c r="AB65" s="386"/>
      <c r="AC65" s="396"/>
      <c r="AD65" s="396"/>
      <c r="AE65" s="501"/>
      <c r="AF65" s="497"/>
      <c r="AG65" s="510"/>
      <c r="AH65" s="386"/>
      <c r="AI65" s="386"/>
      <c r="AJ65" s="396"/>
      <c r="AK65" s="396"/>
      <c r="AL65" s="493"/>
      <c r="AM65" s="487"/>
      <c r="AN65" s="488"/>
      <c r="AO65" s="511"/>
      <c r="AP65" s="511"/>
      <c r="AQ65" s="396"/>
      <c r="AR65" s="396"/>
      <c r="AS65" s="493"/>
      <c r="AT65" s="488"/>
      <c r="AU65" s="511"/>
      <c r="AV65" s="511"/>
      <c r="AW65" s="396"/>
      <c r="AX65" s="396"/>
      <c r="AY65" s="493"/>
      <c r="AZ65" s="488"/>
      <c r="BA65" s="511"/>
      <c r="BB65" s="511"/>
      <c r="BC65" s="396"/>
      <c r="BD65" s="396"/>
      <c r="BE65" s="493"/>
      <c r="BF65" s="488"/>
      <c r="BG65" s="511"/>
      <c r="BH65" s="511"/>
      <c r="BI65" s="396"/>
      <c r="BJ65" s="396"/>
      <c r="BK65" s="493"/>
      <c r="BL65" s="488"/>
      <c r="BM65" s="511"/>
      <c r="BN65" s="511"/>
      <c r="BO65" s="396"/>
      <c r="BP65" s="396"/>
      <c r="BQ65" s="493"/>
      <c r="BR65" s="488"/>
      <c r="BS65" s="511"/>
      <c r="BT65" s="511"/>
      <c r="BU65" s="396"/>
      <c r="BV65" s="396"/>
      <c r="BW65" s="493"/>
      <c r="BX65" s="488"/>
      <c r="BY65" s="511"/>
      <c r="BZ65" s="511"/>
      <c r="CA65" s="396"/>
      <c r="CB65" s="396"/>
      <c r="CC65" s="396"/>
      <c r="CD65" s="396"/>
      <c r="CE65" s="396"/>
      <c r="CF65" s="396"/>
      <c r="CG65" s="396"/>
      <c r="CH65" s="493"/>
      <c r="CI65" s="493"/>
    </row>
    <row r="66">
      <c r="A66" s="503"/>
      <c r="B66" s="503"/>
      <c r="C66" s="503"/>
      <c r="D66" s="503"/>
      <c r="E66" s="509"/>
      <c r="F66" s="509"/>
      <c r="G66" s="509"/>
      <c r="H66" s="396"/>
      <c r="I66" s="402"/>
      <c r="J66" s="468"/>
      <c r="K66" s="483"/>
      <c r="L66" s="448"/>
      <c r="M66" s="386"/>
      <c r="N66" s="512"/>
      <c r="O66" s="396"/>
      <c r="P66" s="396"/>
      <c r="Q66" s="501"/>
      <c r="R66" s="493"/>
      <c r="S66" s="316"/>
      <c r="T66" s="317"/>
      <c r="U66" s="317"/>
      <c r="V66" s="317"/>
      <c r="W66" s="317"/>
      <c r="X66" s="493"/>
      <c r="Y66" s="468"/>
      <c r="Z66" s="448"/>
      <c r="AA66" s="386"/>
      <c r="AB66" s="386"/>
      <c r="AC66" s="396"/>
      <c r="AD66" s="396"/>
      <c r="AE66" s="501"/>
      <c r="AF66" s="497"/>
      <c r="AG66" s="510"/>
      <c r="AH66" s="386"/>
      <c r="AI66" s="386"/>
      <c r="AJ66" s="396"/>
      <c r="AK66" s="396"/>
      <c r="AL66" s="493"/>
      <c r="AM66" s="487"/>
      <c r="AN66" s="488"/>
      <c r="AO66" s="511"/>
      <c r="AP66" s="511"/>
      <c r="AQ66" s="396"/>
      <c r="AR66" s="396"/>
      <c r="AS66" s="493"/>
      <c r="AT66" s="488"/>
      <c r="AU66" s="511"/>
      <c r="AV66" s="511"/>
      <c r="AW66" s="396"/>
      <c r="AX66" s="396"/>
      <c r="AY66" s="493"/>
      <c r="AZ66" s="488"/>
      <c r="BA66" s="511"/>
      <c r="BB66" s="511"/>
      <c r="BC66" s="396"/>
      <c r="BD66" s="396"/>
      <c r="BE66" s="493"/>
      <c r="BF66" s="488"/>
      <c r="BG66" s="511"/>
      <c r="BH66" s="511"/>
      <c r="BI66" s="396"/>
      <c r="BJ66" s="396"/>
      <c r="BK66" s="493"/>
      <c r="BL66" s="488"/>
      <c r="BM66" s="511"/>
      <c r="BN66" s="511"/>
      <c r="BO66" s="396"/>
      <c r="BP66" s="396"/>
      <c r="BQ66" s="493"/>
      <c r="BR66" s="488"/>
      <c r="BS66" s="511"/>
      <c r="BT66" s="511"/>
      <c r="BU66" s="396"/>
      <c r="BV66" s="396"/>
      <c r="BW66" s="493"/>
      <c r="BX66" s="488"/>
      <c r="BY66" s="511"/>
      <c r="BZ66" s="511"/>
      <c r="CA66" s="396"/>
      <c r="CB66" s="396"/>
      <c r="CC66" s="396"/>
      <c r="CD66" s="396"/>
      <c r="CE66" s="396"/>
      <c r="CF66" s="396"/>
      <c r="CG66" s="396"/>
      <c r="CH66" s="493"/>
      <c r="CI66" s="493"/>
    </row>
    <row r="67">
      <c r="A67" s="503"/>
      <c r="B67" s="503"/>
      <c r="C67" s="503"/>
      <c r="D67" s="503"/>
      <c r="E67" s="509"/>
      <c r="F67" s="509"/>
      <c r="G67" s="509"/>
      <c r="H67" s="396"/>
      <c r="I67" s="402"/>
      <c r="J67" s="468"/>
      <c r="K67" s="483"/>
      <c r="L67" s="448"/>
      <c r="M67" s="386"/>
      <c r="N67" s="512"/>
      <c r="O67" s="396"/>
      <c r="P67" s="396"/>
      <c r="Q67" s="501"/>
      <c r="R67" s="493"/>
      <c r="S67" s="316"/>
      <c r="T67" s="317"/>
      <c r="U67" s="317"/>
      <c r="V67" s="317"/>
      <c r="W67" s="317"/>
      <c r="X67" s="493"/>
      <c r="Y67" s="468"/>
      <c r="Z67" s="448"/>
      <c r="AA67" s="386"/>
      <c r="AB67" s="386"/>
      <c r="AC67" s="396"/>
      <c r="AD67" s="396"/>
      <c r="AE67" s="501"/>
      <c r="AF67" s="497"/>
      <c r="AG67" s="510"/>
      <c r="AH67" s="386"/>
      <c r="AI67" s="386"/>
      <c r="AJ67" s="396"/>
      <c r="AK67" s="396"/>
      <c r="AL67" s="493"/>
      <c r="AM67" s="487"/>
      <c r="AN67" s="488"/>
      <c r="AO67" s="511"/>
      <c r="AP67" s="511"/>
      <c r="AQ67" s="396"/>
      <c r="AR67" s="396"/>
      <c r="AS67" s="493"/>
      <c r="AT67" s="488"/>
      <c r="AU67" s="511"/>
      <c r="AV67" s="511"/>
      <c r="AW67" s="396"/>
      <c r="AX67" s="396"/>
      <c r="AY67" s="493"/>
      <c r="AZ67" s="488"/>
      <c r="BA67" s="511"/>
      <c r="BB67" s="511"/>
      <c r="BC67" s="396"/>
      <c r="BD67" s="396"/>
      <c r="BE67" s="493"/>
      <c r="BF67" s="488"/>
      <c r="BG67" s="511"/>
      <c r="BH67" s="511"/>
      <c r="BI67" s="396"/>
      <c r="BJ67" s="396"/>
      <c r="BK67" s="493"/>
      <c r="BL67" s="488"/>
      <c r="BM67" s="511"/>
      <c r="BN67" s="511"/>
      <c r="BO67" s="396"/>
      <c r="BP67" s="396"/>
      <c r="BQ67" s="493"/>
      <c r="BR67" s="488"/>
      <c r="BS67" s="511"/>
      <c r="BT67" s="511"/>
      <c r="BU67" s="396"/>
      <c r="BV67" s="396"/>
      <c r="BW67" s="493"/>
      <c r="BX67" s="488"/>
      <c r="BY67" s="511"/>
      <c r="BZ67" s="511"/>
      <c r="CA67" s="396"/>
      <c r="CB67" s="396"/>
      <c r="CC67" s="396"/>
      <c r="CD67" s="396"/>
      <c r="CE67" s="396"/>
      <c r="CF67" s="396"/>
      <c r="CG67" s="396"/>
      <c r="CH67" s="493"/>
      <c r="CI67" s="493"/>
    </row>
    <row r="68">
      <c r="A68" s="503"/>
      <c r="B68" s="503"/>
      <c r="C68" s="503"/>
      <c r="D68" s="503"/>
      <c r="E68" s="509"/>
      <c r="F68" s="509"/>
      <c r="G68" s="509"/>
      <c r="H68" s="396"/>
      <c r="I68" s="402"/>
      <c r="J68" s="468"/>
      <c r="K68" s="483"/>
      <c r="L68" s="448"/>
      <c r="M68" s="386"/>
      <c r="N68" s="512"/>
      <c r="O68" s="396"/>
      <c r="P68" s="396"/>
      <c r="Q68" s="501"/>
      <c r="R68" s="493"/>
      <c r="S68" s="316"/>
      <c r="T68" s="317"/>
      <c r="U68" s="317"/>
      <c r="V68" s="317"/>
      <c r="W68" s="317"/>
      <c r="X68" s="493"/>
      <c r="Y68" s="468"/>
      <c r="Z68" s="448"/>
      <c r="AA68" s="386"/>
      <c r="AB68" s="386"/>
      <c r="AC68" s="396"/>
      <c r="AD68" s="396"/>
      <c r="AE68" s="501"/>
      <c r="AF68" s="497"/>
      <c r="AG68" s="510"/>
      <c r="AH68" s="386"/>
      <c r="AI68" s="386"/>
      <c r="AJ68" s="396"/>
      <c r="AK68" s="396"/>
      <c r="AL68" s="493"/>
      <c r="AM68" s="487"/>
      <c r="AN68" s="488"/>
      <c r="AO68" s="511"/>
      <c r="AP68" s="511"/>
      <c r="AQ68" s="396"/>
      <c r="AR68" s="396"/>
      <c r="AS68" s="493"/>
      <c r="AT68" s="488"/>
      <c r="AU68" s="511"/>
      <c r="AV68" s="511"/>
      <c r="AW68" s="396"/>
      <c r="AX68" s="396"/>
      <c r="AY68" s="493"/>
      <c r="AZ68" s="488"/>
      <c r="BA68" s="511"/>
      <c r="BB68" s="511"/>
      <c r="BC68" s="396"/>
      <c r="BD68" s="396"/>
      <c r="BE68" s="493"/>
      <c r="BF68" s="488"/>
      <c r="BG68" s="511"/>
      <c r="BH68" s="511"/>
      <c r="BI68" s="396"/>
      <c r="BJ68" s="396"/>
      <c r="BK68" s="493"/>
      <c r="BL68" s="488"/>
      <c r="BM68" s="511"/>
      <c r="BN68" s="511"/>
      <c r="BO68" s="396"/>
      <c r="BP68" s="396"/>
      <c r="BQ68" s="493"/>
      <c r="BR68" s="488"/>
      <c r="BS68" s="511"/>
      <c r="BT68" s="511"/>
      <c r="BU68" s="396"/>
      <c r="BV68" s="396"/>
      <c r="BW68" s="493"/>
      <c r="BX68" s="488"/>
      <c r="BY68" s="511"/>
      <c r="BZ68" s="511"/>
      <c r="CA68" s="396"/>
      <c r="CB68" s="396"/>
      <c r="CC68" s="396"/>
      <c r="CD68" s="396"/>
      <c r="CE68" s="396"/>
      <c r="CF68" s="396"/>
      <c r="CG68" s="396"/>
      <c r="CH68" s="493"/>
      <c r="CI68" s="493"/>
    </row>
    <row r="69">
      <c r="A69" s="503"/>
      <c r="B69" s="503"/>
      <c r="C69" s="503"/>
      <c r="D69" s="503"/>
      <c r="E69" s="509"/>
      <c r="F69" s="509"/>
      <c r="G69" s="509"/>
      <c r="H69" s="396"/>
      <c r="I69" s="402"/>
      <c r="J69" s="468"/>
      <c r="K69" s="483"/>
      <c r="L69" s="448"/>
      <c r="M69" s="386"/>
      <c r="N69" s="512"/>
      <c r="O69" s="396"/>
      <c r="P69" s="396"/>
      <c r="Q69" s="501"/>
      <c r="R69" s="493"/>
      <c r="S69" s="316"/>
      <c r="T69" s="317"/>
      <c r="U69" s="317"/>
      <c r="V69" s="317"/>
      <c r="W69" s="317"/>
      <c r="X69" s="493"/>
      <c r="Y69" s="468"/>
      <c r="Z69" s="448"/>
      <c r="AA69" s="386"/>
      <c r="AB69" s="386"/>
      <c r="AC69" s="396"/>
      <c r="AD69" s="396"/>
      <c r="AE69" s="501"/>
      <c r="AF69" s="497"/>
      <c r="AG69" s="510"/>
      <c r="AH69" s="386"/>
      <c r="AI69" s="386"/>
      <c r="AJ69" s="396"/>
      <c r="AK69" s="396"/>
      <c r="AL69" s="493"/>
      <c r="AM69" s="487"/>
      <c r="AN69" s="488"/>
      <c r="AO69" s="511"/>
      <c r="AP69" s="511"/>
      <c r="AQ69" s="396"/>
      <c r="AR69" s="396"/>
      <c r="AS69" s="493"/>
      <c r="AT69" s="488"/>
      <c r="AU69" s="511"/>
      <c r="AV69" s="511"/>
      <c r="AW69" s="396"/>
      <c r="AX69" s="396"/>
      <c r="AY69" s="493"/>
      <c r="AZ69" s="488"/>
      <c r="BA69" s="511"/>
      <c r="BB69" s="511"/>
      <c r="BC69" s="396"/>
      <c r="BD69" s="396"/>
      <c r="BE69" s="493"/>
      <c r="BF69" s="488"/>
      <c r="BG69" s="511"/>
      <c r="BH69" s="511"/>
      <c r="BI69" s="396"/>
      <c r="BJ69" s="396"/>
      <c r="BK69" s="493"/>
      <c r="BL69" s="488"/>
      <c r="BM69" s="511"/>
      <c r="BN69" s="511"/>
      <c r="BO69" s="396"/>
      <c r="BP69" s="396"/>
      <c r="BQ69" s="493"/>
      <c r="BR69" s="488"/>
      <c r="BS69" s="511"/>
      <c r="BT69" s="511"/>
      <c r="BU69" s="396"/>
      <c r="BV69" s="396"/>
      <c r="BW69" s="493"/>
      <c r="BX69" s="488"/>
      <c r="BY69" s="511"/>
      <c r="BZ69" s="511"/>
      <c r="CA69" s="396"/>
      <c r="CB69" s="396"/>
      <c r="CC69" s="396"/>
      <c r="CD69" s="396"/>
      <c r="CE69" s="396"/>
      <c r="CF69" s="396"/>
      <c r="CG69" s="396"/>
      <c r="CH69" s="493"/>
      <c r="CI69" s="493"/>
    </row>
    <row r="70">
      <c r="A70" s="503"/>
      <c r="B70" s="503"/>
      <c r="C70" s="503"/>
      <c r="D70" s="503"/>
      <c r="E70" s="509"/>
      <c r="F70" s="509"/>
      <c r="G70" s="509"/>
      <c r="H70" s="396"/>
      <c r="I70" s="402"/>
      <c r="J70" s="468"/>
      <c r="K70" s="483"/>
      <c r="L70" s="448"/>
      <c r="M70" s="386"/>
      <c r="N70" s="512"/>
      <c r="O70" s="396"/>
      <c r="P70" s="396"/>
      <c r="Q70" s="501"/>
      <c r="R70" s="493"/>
      <c r="S70" s="316"/>
      <c r="T70" s="317"/>
      <c r="U70" s="317"/>
      <c r="V70" s="317"/>
      <c r="W70" s="317"/>
      <c r="X70" s="493"/>
      <c r="Y70" s="468"/>
      <c r="Z70" s="448"/>
      <c r="AA70" s="386"/>
      <c r="AB70" s="386"/>
      <c r="AC70" s="396"/>
      <c r="AD70" s="396"/>
      <c r="AE70" s="501"/>
      <c r="AF70" s="497"/>
      <c r="AG70" s="510"/>
      <c r="AH70" s="386"/>
      <c r="AI70" s="386"/>
      <c r="AJ70" s="396"/>
      <c r="AK70" s="396"/>
      <c r="AL70" s="493"/>
      <c r="AM70" s="487"/>
      <c r="AN70" s="488"/>
      <c r="AO70" s="511"/>
      <c r="AP70" s="511"/>
      <c r="AQ70" s="396"/>
      <c r="AR70" s="396"/>
      <c r="AS70" s="493"/>
      <c r="AT70" s="488"/>
      <c r="AU70" s="511"/>
      <c r="AV70" s="511"/>
      <c r="AW70" s="396"/>
      <c r="AX70" s="396"/>
      <c r="AY70" s="493"/>
      <c r="AZ70" s="488"/>
      <c r="BA70" s="511"/>
      <c r="BB70" s="511"/>
      <c r="BC70" s="396"/>
      <c r="BD70" s="396"/>
      <c r="BE70" s="493"/>
      <c r="BF70" s="488"/>
      <c r="BG70" s="511"/>
      <c r="BH70" s="511"/>
      <c r="BI70" s="396"/>
      <c r="BJ70" s="396"/>
      <c r="BK70" s="493"/>
      <c r="BL70" s="488"/>
      <c r="BM70" s="511"/>
      <c r="BN70" s="511"/>
      <c r="BO70" s="396"/>
      <c r="BP70" s="396"/>
      <c r="BQ70" s="493"/>
      <c r="BR70" s="488"/>
      <c r="BS70" s="511"/>
      <c r="BT70" s="511"/>
      <c r="BU70" s="396"/>
      <c r="BV70" s="396"/>
      <c r="BW70" s="493"/>
      <c r="BX70" s="488"/>
      <c r="BY70" s="511"/>
      <c r="BZ70" s="511"/>
      <c r="CA70" s="396"/>
      <c r="CB70" s="396"/>
      <c r="CC70" s="396"/>
      <c r="CD70" s="396"/>
      <c r="CE70" s="396"/>
      <c r="CF70" s="396"/>
      <c r="CG70" s="396"/>
      <c r="CH70" s="493"/>
      <c r="CI70" s="493"/>
    </row>
  </sheetData>
  <mergeCells count="2">
    <mergeCell ref="H2:I2"/>
    <mergeCell ref="H3:I3"/>
  </mergeCells>
  <dataValidations>
    <dataValidation type="list" allowBlank="1" sqref="D3 F3">
      <formula1>"店舗預かり,ご自宅配送"</formula1>
    </dataValidation>
  </dataValidations>
  <hyperlinks>
    <hyperlink r:id="rId1" ref="R1"/>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hidden="1" min="1" max="1" width="5.13"/>
    <col customWidth="1" hidden="1" min="2" max="2" width="30.13"/>
    <col customWidth="1" min="3" max="3" width="5.13"/>
    <col customWidth="1" min="4" max="4" width="40.13"/>
    <col customWidth="1" hidden="1" min="5" max="5" width="6.38"/>
    <col customWidth="1" min="6" max="7" width="18.88"/>
    <col customWidth="1" min="8" max="9" width="12.63"/>
    <col customWidth="1" min="10" max="10" width="6.38"/>
    <col customWidth="1" min="11" max="11" width="37.63"/>
    <col customWidth="1" hidden="1" min="12" max="12" width="9.75"/>
    <col customWidth="1" min="13" max="13" width="12.63"/>
    <col customWidth="1" min="14" max="14" width="18.88"/>
    <col customWidth="1" min="15" max="16" width="12.63"/>
    <col customWidth="1" min="17" max="17" width="6.38"/>
    <col customWidth="1" min="18" max="18" width="37.63"/>
    <col customWidth="1" hidden="1" min="19" max="19" width="6.38"/>
    <col customWidth="1" min="20" max="21" width="18.88"/>
    <col customWidth="1" min="22" max="23" width="12.63"/>
    <col customWidth="1" min="24" max="24" width="6.25"/>
    <col customWidth="1" min="25" max="25" width="37.63"/>
    <col customWidth="1" hidden="1" min="26" max="26" width="6.38"/>
    <col customWidth="1" min="27" max="28" width="18.88"/>
    <col customWidth="1" min="29" max="30" width="12.63"/>
    <col customWidth="1" min="31" max="31" width="6.38"/>
    <col customWidth="1" min="32" max="32" width="25.13"/>
    <col customWidth="1" hidden="1" min="33" max="33" width="6.38"/>
    <col customWidth="1" min="34" max="35" width="18.88"/>
    <col customWidth="1" min="36" max="37" width="12.63"/>
    <col customWidth="1" min="38" max="38" width="6.38"/>
    <col customWidth="1" min="39" max="39" width="25.13"/>
    <col customWidth="1" hidden="1" min="40" max="40" width="6.38"/>
    <col customWidth="1" min="41" max="42" width="18.88"/>
    <col customWidth="1" min="43" max="44" width="12.63"/>
    <col customWidth="1" min="45" max="45" width="7.13"/>
    <col customWidth="1" min="46" max="46" width="25.13"/>
    <col customWidth="1" min="47" max="48" width="18.88"/>
    <col customWidth="1" min="49" max="50" width="12.63"/>
    <col customWidth="1" min="51" max="51" width="7.13"/>
    <col customWidth="1" min="52" max="52" width="25.13"/>
    <col customWidth="1" min="53" max="54" width="18.88"/>
    <col customWidth="1" min="55" max="56" width="12.63"/>
    <col customWidth="1" min="57" max="57" width="7.13"/>
    <col customWidth="1" min="58" max="58" width="25.13"/>
    <col customWidth="1" min="59" max="60" width="18.88"/>
    <col customWidth="1" min="61" max="62" width="12.63"/>
    <col customWidth="1" min="63" max="63" width="7.13"/>
    <col customWidth="1" min="64" max="64" width="25.13"/>
    <col customWidth="1" min="65" max="66" width="18.88"/>
    <col customWidth="1" min="67" max="68" width="12.63"/>
    <col customWidth="1" min="69" max="69" width="7.13"/>
    <col customWidth="1" min="70" max="70" width="25.13"/>
    <col customWidth="1" min="71" max="72" width="18.88"/>
    <col customWidth="1" min="73" max="74" width="12.63"/>
    <col customWidth="1" min="75" max="75" width="7.13"/>
    <col customWidth="1" min="76" max="76" width="25.13"/>
    <col customWidth="1" min="77" max="78" width="18.88"/>
    <col customWidth="1" min="79" max="80" width="12.63"/>
    <col customWidth="1" hidden="1" min="81" max="81" width="12.63"/>
    <col customWidth="1" hidden="1" min="82" max="82" width="25.13"/>
    <col customWidth="1" hidden="1" min="83" max="85" width="12.63"/>
    <col customWidth="1" hidden="1" min="86" max="87" width="7.13"/>
  </cols>
  <sheetData>
    <row r="1" ht="67.5" customHeight="1">
      <c r="A1" s="310"/>
      <c r="B1" s="311"/>
      <c r="C1" s="311"/>
      <c r="D1" s="312" t="s">
        <v>175</v>
      </c>
      <c r="E1" s="183"/>
      <c r="H1" s="313"/>
      <c r="I1" s="314"/>
      <c r="J1" s="315"/>
      <c r="L1" s="316"/>
      <c r="M1" s="317"/>
      <c r="N1" s="317"/>
      <c r="O1" s="317"/>
      <c r="P1" s="318" t="s">
        <v>176</v>
      </c>
      <c r="R1" s="359" t="s">
        <v>187</v>
      </c>
      <c r="S1" s="319"/>
      <c r="T1" s="320"/>
      <c r="U1" s="320"/>
      <c r="V1" s="317"/>
      <c r="W1" s="317"/>
      <c r="X1" s="321"/>
      <c r="Y1" s="322"/>
      <c r="Z1" s="323"/>
      <c r="AA1" s="324"/>
      <c r="AB1" s="324"/>
      <c r="AC1" s="324"/>
      <c r="AD1" s="324"/>
      <c r="AE1" s="325"/>
      <c r="AF1" s="325"/>
      <c r="AG1" s="326"/>
      <c r="AH1" s="317"/>
      <c r="AI1" s="317"/>
      <c r="AJ1" s="317"/>
      <c r="AK1" s="317"/>
      <c r="AL1" s="327"/>
      <c r="AM1" s="328"/>
      <c r="AN1" s="329"/>
      <c r="AO1" s="330"/>
      <c r="AP1" s="330"/>
      <c r="AQ1" s="330"/>
      <c r="AR1" s="330"/>
      <c r="AS1" s="331"/>
      <c r="AT1" s="329"/>
      <c r="AU1" s="330"/>
      <c r="AV1" s="330"/>
      <c r="AW1" s="330"/>
      <c r="AX1" s="330"/>
      <c r="AY1" s="331"/>
      <c r="AZ1" s="329"/>
      <c r="BA1" s="330"/>
      <c r="BB1" s="330"/>
      <c r="BC1" s="330"/>
      <c r="BD1" s="330"/>
      <c r="BE1" s="332"/>
      <c r="BF1" s="329"/>
      <c r="BG1" s="330"/>
      <c r="BH1" s="330"/>
      <c r="BI1" s="330"/>
      <c r="BJ1" s="330"/>
      <c r="BK1" s="332"/>
      <c r="BL1" s="329"/>
      <c r="BM1" s="330"/>
      <c r="BN1" s="330"/>
      <c r="BO1" s="330"/>
      <c r="BP1" s="330"/>
      <c r="BQ1" s="332"/>
      <c r="BR1" s="329"/>
      <c r="BS1" s="330"/>
      <c r="BT1" s="330"/>
      <c r="BU1" s="330"/>
      <c r="BV1" s="330"/>
      <c r="BW1" s="332"/>
      <c r="BX1" s="329"/>
      <c r="BY1" s="330"/>
      <c r="BZ1" s="330"/>
      <c r="CA1" s="330"/>
      <c r="CB1" s="330"/>
      <c r="CC1" s="330"/>
      <c r="CD1" s="333" t="s">
        <v>177</v>
      </c>
      <c r="CE1" s="334" t="s">
        <v>178</v>
      </c>
      <c r="CF1" s="330"/>
      <c r="CG1" s="330"/>
      <c r="CH1" s="332"/>
      <c r="CI1" s="332"/>
    </row>
    <row r="2">
      <c r="A2" s="317"/>
      <c r="B2" s="317"/>
      <c r="C2" s="317"/>
      <c r="D2" s="335" t="s">
        <v>179</v>
      </c>
      <c r="E2" s="336"/>
      <c r="F2" s="337" t="s">
        <v>180</v>
      </c>
      <c r="G2" s="338" t="s">
        <v>181</v>
      </c>
      <c r="H2" s="339" t="s">
        <v>182</v>
      </c>
      <c r="I2" s="340"/>
      <c r="J2" s="317"/>
      <c r="K2" s="341" t="s">
        <v>183</v>
      </c>
      <c r="L2" s="316"/>
      <c r="M2" s="317"/>
      <c r="N2" s="342"/>
      <c r="Q2" s="317"/>
      <c r="S2" s="343"/>
      <c r="V2" s="317"/>
      <c r="W2" s="317"/>
      <c r="X2" s="344"/>
      <c r="Y2" s="345"/>
      <c r="Z2" s="323"/>
      <c r="AA2" s="324"/>
      <c r="AB2" s="324"/>
      <c r="AC2" s="324"/>
      <c r="AD2" s="324"/>
      <c r="AE2" s="324"/>
      <c r="AF2" s="324"/>
      <c r="AG2" s="326"/>
      <c r="AH2" s="317"/>
      <c r="AI2" s="317"/>
      <c r="AJ2" s="317"/>
      <c r="AK2" s="317"/>
      <c r="AL2" s="317"/>
      <c r="AM2" s="330"/>
      <c r="AN2" s="346"/>
      <c r="AO2" s="330"/>
      <c r="AP2" s="330"/>
      <c r="AQ2" s="330"/>
      <c r="AR2" s="330"/>
      <c r="AS2" s="347"/>
      <c r="AT2" s="346"/>
      <c r="AU2" s="330"/>
      <c r="AV2" s="330"/>
      <c r="AW2" s="330"/>
      <c r="AX2" s="330"/>
      <c r="AY2" s="347"/>
      <c r="AZ2" s="346"/>
      <c r="BA2" s="330"/>
      <c r="BB2" s="330"/>
      <c r="BC2" s="330"/>
      <c r="BD2" s="330"/>
      <c r="BE2" s="330"/>
      <c r="BF2" s="346"/>
      <c r="BG2" s="330"/>
      <c r="BH2" s="330"/>
      <c r="BI2" s="330"/>
      <c r="BJ2" s="330"/>
      <c r="BK2" s="330"/>
      <c r="BL2" s="346"/>
      <c r="BM2" s="330"/>
      <c r="BN2" s="330"/>
      <c r="BO2" s="330"/>
      <c r="BP2" s="330"/>
      <c r="BQ2" s="330"/>
      <c r="BR2" s="346"/>
      <c r="BS2" s="330"/>
      <c r="BT2" s="330"/>
      <c r="BU2" s="330"/>
      <c r="BV2" s="330"/>
      <c r="BW2" s="330"/>
      <c r="BX2" s="346"/>
      <c r="BY2" s="330"/>
      <c r="BZ2" s="330"/>
      <c r="CA2" s="330"/>
      <c r="CB2" s="330"/>
      <c r="CC2" s="330"/>
      <c r="CD2" s="330"/>
      <c r="CE2" s="330"/>
      <c r="CF2" s="330"/>
      <c r="CG2" s="330"/>
      <c r="CH2" s="330"/>
      <c r="CI2" s="330"/>
    </row>
    <row r="3">
      <c r="A3" s="317"/>
      <c r="B3" s="317"/>
      <c r="C3" s="317"/>
      <c r="D3" s="348" t="s">
        <v>184</v>
      </c>
      <c r="E3" s="349"/>
      <c r="F3" s="348" t="s">
        <v>185</v>
      </c>
      <c r="G3" s="350">
        <v>1.0</v>
      </c>
      <c r="H3" s="351">
        <f>SUMIFS('アイテム別限界値DB'!$Y$3:$Y$7,'アイテム別限界値DB'!$W$3:$W$7,$D$3,'アイテム別限界値DB'!$X$3:$X$7,$F$3)*$G$3</f>
        <v>3100.02</v>
      </c>
      <c r="I3" s="352"/>
      <c r="J3" s="317"/>
      <c r="K3" s="353">
        <f>ROUND(SUM($D$5,$K$5,$R$5,$Y$5,$AF$5,$AM$5,$AT$5,,$AZ$5,$BF$5,$BL$5,$BR$5,$BX$5,$D$37,$K$37,$R$37,$Y$37,$AF$37,$AM$37,$AT$37,$AZ$37,$BF$37,$BL$37,$BR$37,$BX$37)+$H$3,0)</f>
        <v>8300</v>
      </c>
      <c r="L3" s="354"/>
      <c r="M3" s="355" t="s">
        <v>186</v>
      </c>
      <c r="N3" s="356"/>
      <c r="O3" s="357"/>
      <c r="P3" s="357"/>
      <c r="Q3" s="358"/>
      <c r="S3" s="343"/>
      <c r="V3" s="317"/>
      <c r="W3" s="317"/>
      <c r="X3" s="344"/>
      <c r="Y3" s="345"/>
      <c r="Z3" s="323"/>
      <c r="AA3" s="324"/>
      <c r="AB3" s="324"/>
      <c r="AC3" s="324"/>
      <c r="AD3" s="324"/>
      <c r="AE3" s="324"/>
      <c r="AF3" s="324"/>
      <c r="AG3" s="326"/>
      <c r="AH3" s="317"/>
      <c r="AI3" s="317"/>
      <c r="AJ3" s="317"/>
      <c r="AK3" s="317"/>
      <c r="AL3" s="317"/>
      <c r="AM3" s="330"/>
      <c r="AN3" s="346"/>
      <c r="AO3" s="330"/>
      <c r="AP3" s="330"/>
      <c r="AQ3" s="330"/>
      <c r="AR3" s="330"/>
      <c r="AS3" s="347"/>
      <c r="AT3" s="346"/>
      <c r="AU3" s="330"/>
      <c r="AV3" s="330"/>
      <c r="AW3" s="330"/>
      <c r="AX3" s="330"/>
      <c r="AY3" s="347"/>
      <c r="AZ3" s="346"/>
      <c r="BA3" s="330"/>
      <c r="BB3" s="330"/>
      <c r="BC3" s="330"/>
      <c r="BD3" s="330"/>
      <c r="BE3" s="330"/>
      <c r="BF3" s="346"/>
      <c r="BG3" s="330"/>
      <c r="BH3" s="330"/>
      <c r="BI3" s="330"/>
      <c r="BJ3" s="330"/>
      <c r="BK3" s="330"/>
      <c r="BL3" s="346"/>
      <c r="BM3" s="330"/>
      <c r="BN3" s="330"/>
      <c r="BO3" s="330"/>
      <c r="BP3" s="330"/>
      <c r="BQ3" s="330"/>
      <c r="BR3" s="346"/>
      <c r="BS3" s="330"/>
      <c r="BT3" s="330"/>
      <c r="BU3" s="330"/>
      <c r="BV3" s="330"/>
      <c r="BW3" s="330"/>
      <c r="BX3" s="346"/>
      <c r="BY3" s="330"/>
      <c r="BZ3" s="330"/>
      <c r="CA3" s="330"/>
      <c r="CB3" s="330"/>
      <c r="CC3" s="330"/>
      <c r="CD3" s="330"/>
      <c r="CE3" s="330"/>
      <c r="CF3" s="330"/>
      <c r="CG3" s="330"/>
      <c r="CH3" s="330"/>
      <c r="CI3" s="330"/>
    </row>
    <row r="4">
      <c r="A4" s="360"/>
      <c r="B4" s="360"/>
      <c r="C4" s="360"/>
      <c r="D4" s="361" t="s">
        <v>34</v>
      </c>
      <c r="E4" s="362"/>
      <c r="F4" s="362"/>
      <c r="G4" s="362"/>
      <c r="H4" s="363"/>
      <c r="I4" s="363"/>
      <c r="J4" s="364"/>
      <c r="K4" s="365" t="s">
        <v>36</v>
      </c>
      <c r="L4" s="366"/>
      <c r="M4" s="363"/>
      <c r="N4" s="363"/>
      <c r="O4" s="363"/>
      <c r="P4" s="363"/>
      <c r="Q4" s="332"/>
      <c r="R4" s="367" t="s">
        <v>37</v>
      </c>
      <c r="S4" s="366"/>
      <c r="T4" s="363"/>
      <c r="U4" s="363"/>
      <c r="V4" s="363"/>
      <c r="W4" s="363"/>
      <c r="X4" s="327"/>
      <c r="Y4" s="368" t="s">
        <v>38</v>
      </c>
      <c r="Z4" s="366"/>
      <c r="AA4" s="363"/>
      <c r="AB4" s="363"/>
      <c r="AC4" s="363"/>
      <c r="AD4" s="363"/>
      <c r="AE4" s="332"/>
      <c r="AF4" s="299" t="s">
        <v>39</v>
      </c>
      <c r="AG4" s="369"/>
      <c r="AH4" s="363"/>
      <c r="AI4" s="363"/>
      <c r="AJ4" s="363"/>
      <c r="AK4" s="363"/>
      <c r="AL4" s="332"/>
      <c r="AM4" s="299" t="s">
        <v>40</v>
      </c>
      <c r="AN4" s="365"/>
      <c r="AO4" s="363"/>
      <c r="AP4" s="363"/>
      <c r="AQ4" s="363"/>
      <c r="AR4" s="363"/>
      <c r="AS4" s="332"/>
      <c r="AT4" s="365" t="s">
        <v>41</v>
      </c>
      <c r="AU4" s="363"/>
      <c r="AV4" s="363"/>
      <c r="AW4" s="363"/>
      <c r="AX4" s="363"/>
      <c r="AY4" s="332"/>
      <c r="AZ4" s="365" t="s">
        <v>42</v>
      </c>
      <c r="BA4" s="363"/>
      <c r="BB4" s="363"/>
      <c r="BC4" s="363"/>
      <c r="BD4" s="363"/>
      <c r="BE4" s="332"/>
      <c r="BF4" s="365" t="s">
        <v>43</v>
      </c>
      <c r="BG4" s="363"/>
      <c r="BH4" s="363"/>
      <c r="BI4" s="363"/>
      <c r="BJ4" s="363"/>
      <c r="BK4" s="332"/>
      <c r="BL4" s="365" t="s">
        <v>44</v>
      </c>
      <c r="BM4" s="363"/>
      <c r="BN4" s="363"/>
      <c r="BO4" s="363"/>
      <c r="BP4" s="363"/>
      <c r="BQ4" s="332"/>
      <c r="BR4" s="365" t="s">
        <v>45</v>
      </c>
      <c r="BS4" s="363"/>
      <c r="BT4" s="363"/>
      <c r="BU4" s="363"/>
      <c r="BV4" s="363"/>
      <c r="BW4" s="332"/>
      <c r="BX4" s="365" t="s">
        <v>46</v>
      </c>
      <c r="BY4" s="363"/>
      <c r="BZ4" s="363"/>
      <c r="CA4" s="363"/>
      <c r="CB4" s="363"/>
      <c r="CC4" s="330"/>
      <c r="CD4" s="365" t="s">
        <v>188</v>
      </c>
      <c r="CE4" s="363"/>
      <c r="CF4" s="363"/>
      <c r="CG4" s="363"/>
      <c r="CH4" s="332"/>
      <c r="CI4" s="332"/>
    </row>
    <row r="5" ht="37.5" customHeight="1">
      <c r="A5" s="370"/>
      <c r="B5" s="302" t="s">
        <v>162</v>
      </c>
      <c r="C5" s="370"/>
      <c r="D5" s="371">
        <f>round(if(sum(I7:I34)=I7, "", sum(I7:I34)) ,0)</f>
        <v>0</v>
      </c>
      <c r="E5" s="372"/>
      <c r="F5" s="373" t="s">
        <v>189</v>
      </c>
      <c r="G5" s="374" t="str">
        <f t="array" ref="G5">IFS(
  COUNTA(H$8:H34) = 0, "", 
  COUNTIF(H$8:H34, "再製作") &gt; 0, "再製作", 
  COUNTIF(H$8:H34, "&gt;0") = 1, INDEX(H$8:H34, MATCH(TRUE, ISNUMBER(H$8:H34), 0)), 
  COUNTIF(H$8:H34, "&gt;0") = 2, 'アイテム別限界値DB'!$S$4, 
  COUNTIF(H$8:H34, "&gt;0") &gt;= 3, 'アイテム別限界値DB'!$S$6, 
  TRUE, ""
)
</f>
        <v/>
      </c>
      <c r="H5" s="375" t="s">
        <v>190</v>
      </c>
      <c r="I5" s="375" t="s">
        <v>191</v>
      </c>
      <c r="J5" s="376"/>
      <c r="K5" s="371">
        <f>ROUND(
  IF(SUM(P7:P34)=P7, P7*M6, SUM(P6:P34)),
  0
)
</f>
        <v>5200</v>
      </c>
      <c r="L5" s="377"/>
      <c r="M5" s="373" t="s">
        <v>192</v>
      </c>
      <c r="N5" s="374" t="str">
        <f t="array" ref="N5">IFS(
  COUNTA(O$8:O34) = 0, "", 
  COUNTIF(O$8:O34, "再製作") &gt; 0, "再製作", 
  COUNTIF(O$8:O34, "&gt;0") = 1, INDEX(O$8:O34, MATCH(TRUE, ISNUMBER(O$8:O34), 0)), 
  COUNTIF(O$8:O34, "&gt;0") = 2, 'アイテム別限界値DB'!$S$8, 
  COUNTIF(O$8:O34, "&gt;0") &gt;= 3, 'アイテム別限界値DB'!$S$10, 
  TRUE, ""
)
</f>
        <v>再製作</v>
      </c>
      <c r="O5" s="375" t="s">
        <v>190</v>
      </c>
      <c r="P5" s="375" t="s">
        <v>191</v>
      </c>
      <c r="Q5" s="378"/>
      <c r="R5" s="371">
        <f>round(if(sum(W7:W34)=W7, "", sum(W7:W34)) ,0)</f>
        <v>0</v>
      </c>
      <c r="S5" s="379"/>
      <c r="T5" s="373" t="s">
        <v>189</v>
      </c>
      <c r="U5" s="374" t="str">
        <f t="array" ref="U5">IFS(
  COUNTA(V$8:V34) = 0, "", 
  COUNTIF(V$8:V34, "再製作") &gt; 0, "再製作", 
  COUNTIF(V$8:V34, "&gt;0") = 1, INDEX(V$8:V34, MATCH(TRUE, ISNUMBER(V$8:V34), 0)), 
  COUNTIF(V$8:V34, "&gt;0") = 2, 'アイテム別限界値DB'!$S$4, 
  COUNTIF(V$8:V34, "&gt;0") &gt;= 3, 'アイテム別限界値DB'!$S$6, 
  TRUE, ""
)
</f>
        <v/>
      </c>
      <c r="V5" s="375" t="s">
        <v>190</v>
      </c>
      <c r="W5" s="375" t="s">
        <v>191</v>
      </c>
      <c r="X5" s="327"/>
      <c r="Y5" s="371">
        <f>round(if(sum(AD7:AD34)=AD7, "", sum(AD7:AD34)) ,0)</f>
        <v>0</v>
      </c>
      <c r="Z5" s="379"/>
      <c r="AA5" s="373" t="s">
        <v>189</v>
      </c>
      <c r="AB5" s="374" t="str">
        <f t="array" ref="AB5">IFS(
  COUNTA(AC$8:AC34) = 0, "", 
  COUNTIF(AC$8:AC34, "再製作") &gt; 0, "再製作", 
  COUNTIF(AC$8:AC34, "&gt;0") = 1, INDEX(AC$8:AC34, MATCH(TRUE, ISNUMBER(AC$8:AC34), 0)), 
  COUNTIF(AC$8:AC34, "&gt;0") = 2, 'アイテム別限界値DB'!$S$4, 
  COUNTIF(AC$8:AC34, "&gt;0") &gt;= 3, 'アイテム別限界値DB'!$S$6, 
  TRUE, ""
)
</f>
        <v/>
      </c>
      <c r="AC5" s="375" t="s">
        <v>190</v>
      </c>
      <c r="AD5" s="375" t="s">
        <v>191</v>
      </c>
      <c r="AE5" s="380"/>
      <c r="AF5" s="371">
        <f>round(if(sum(AK7:AK34)=AK7, "", sum(AK7:AK34)) ,0)</f>
        <v>0</v>
      </c>
      <c r="AG5" s="372"/>
      <c r="AH5" s="373" t="s">
        <v>189</v>
      </c>
      <c r="AI5" s="374" t="str">
        <f t="array" ref="AI5">IFS(
  COUNTA(AJ$8:AJ34) = 0, "", 
  COUNTIF(AJ$8:AJ34, "再製作") &gt; 0, "再製作", 
  COUNTIF(AJ$8:AJ34, "&gt;0") = 1, INDEX(AJ$8:AJ34, MATCH(TRUE, ISNUMBER(AJ$8:AJ34), 0)), 
  COUNTIF(AJ$8:AJ34, "&gt;0") = 2, 'アイテム別限界値DB'!$S$4, 
  COUNTIF(AJ$8:AJ34, "&gt;0") &gt;= 3, 'アイテム別限界値DB'!$S$6, 
  TRUE, ""
)
</f>
        <v/>
      </c>
      <c r="AJ5" s="375" t="s">
        <v>190</v>
      </c>
      <c r="AK5" s="375" t="s">
        <v>191</v>
      </c>
      <c r="AL5" s="327"/>
      <c r="AM5" s="371">
        <f>round(if(sum(AR7:AR34)=AR7, "", sum(AR7:AR34)) ,0)</f>
        <v>0</v>
      </c>
      <c r="AN5" s="371"/>
      <c r="AO5" s="373" t="s">
        <v>189</v>
      </c>
      <c r="AP5" s="374" t="str">
        <f t="array" ref="AP5">IFS(
  COUNTA(AQ$8:AQ34) = 0, "", 
  COUNTIF(AQ$8:AQ34, "再製作") &gt; 0, "再製作", 
  COUNTIF(AQ$8:AQ34, "&gt;0") = 1, INDEX(AQ$8:AQ34, MATCH(TRUE, ISNUMBER(AQ$8:AQ34), 0)), 
  COUNTIF(AQ$8:AQ34, "&gt;0") = 2, 'アイテム別限界値DB'!$S$4, 
  COUNTIF(AQ$8:AQ34, "&gt;0") &gt;= 3, 'アイテム別限界値DB'!$S$6, 
  TRUE, ""
)
</f>
        <v/>
      </c>
      <c r="AQ5" s="375" t="s">
        <v>190</v>
      </c>
      <c r="AR5" s="375" t="s">
        <v>191</v>
      </c>
      <c r="AS5" s="327"/>
      <c r="AT5" s="371">
        <f>round(if(sum(AX7:AX34)=AX7, "", sum(AX7:AX34)) ,0)</f>
        <v>0</v>
      </c>
      <c r="AU5" s="373" t="s">
        <v>189</v>
      </c>
      <c r="AV5" s="374" t="str">
        <f t="array" ref="AV5">IFS(
  COUNTA(AW$8:AW34) = 0, "", 
  COUNTIF(AW$8:AW34, "再製作") &gt; 0, "再製作", 
  COUNTIF(AW$8:AW34, "&gt;0") = 1, INDEX(AW$8:AW34, MATCH(TRUE, ISNUMBER(AW$8:AW34), 0)), 
  COUNTIF(AW$8:AW34, "&gt;0") = 2, 'アイテム別限界値DB'!$S$4, 
  COUNTIF(AW$8:AW34, "&gt;0") &gt;= 3, 'アイテム別限界値DB'!$S$6, 
  TRUE, ""
)
</f>
        <v/>
      </c>
      <c r="AW5" s="375" t="s">
        <v>190</v>
      </c>
      <c r="AX5" s="375" t="s">
        <v>191</v>
      </c>
      <c r="AY5" s="327"/>
      <c r="AZ5" s="371">
        <f>round(if(sum(BD7:BD34)=BD7, "", sum(BD7:BD34)) ,0)</f>
        <v>0</v>
      </c>
      <c r="BA5" s="373" t="s">
        <v>189</v>
      </c>
      <c r="BB5" s="374" t="str">
        <f t="array" ref="BB5">IFS(
  COUNTA(BC$8:BC34) = 0, "", 
  COUNTIF(BC$8:BC34, "再製作") &gt; 0, "再製作", 
  COUNTIF(BC$8:BC34, "&gt;0") = 1, INDEX(BC$8:BC34, MATCH(TRUE, ISNUMBER(BC$8:BC34), 0)), 
  COUNTIF(BC$8:BC34, "&gt;0") = 2, 'アイテム別限界値DB'!$S$4, 
  COUNTIF(BC$8:BC34, "&gt;0") &gt;= 3, 'アイテム別限界値DB'!$S$6, 
  TRUE, ""
)
</f>
        <v/>
      </c>
      <c r="BC5" s="375" t="s">
        <v>190</v>
      </c>
      <c r="BD5" s="375" t="s">
        <v>191</v>
      </c>
      <c r="BE5" s="327"/>
      <c r="BF5" s="371">
        <f>round(if(sum(BJ7:BJ34)=BJ7, "", sum(BJ7:BJ34)) ,0)</f>
        <v>0</v>
      </c>
      <c r="BG5" s="373" t="s">
        <v>189</v>
      </c>
      <c r="BH5" s="374" t="str">
        <f t="array" ref="BH5">IFS(
  COUNTA(BI$8:BI34) = 0, "", 
  COUNTIF(BI$8:BI34, "再製作") &gt; 0, "再製作", 
  COUNTIF(BI$8:BI34, "&gt;0") = 1, INDEX(BI$8:BI34, MATCH(TRUE, ISNUMBER(BI$8:BI34), 0)), 
  COUNTIF(BI$8:BI34, "&gt;0") = 2, 'アイテム別限界値DB'!$S$4, 
  COUNTIF(BI$8:BI34, "&gt;0") &gt;= 3, 'アイテム別限界値DB'!$S$6, 
  TRUE, ""
)
</f>
        <v/>
      </c>
      <c r="BI5" s="375" t="s">
        <v>190</v>
      </c>
      <c r="BJ5" s="375" t="s">
        <v>191</v>
      </c>
      <c r="BK5" s="327"/>
      <c r="BL5" s="371">
        <f>round(if(sum(BP7:BP34)=BP7, "", sum(BP7:BP34)) ,0)</f>
        <v>0</v>
      </c>
      <c r="BM5" s="373" t="s">
        <v>189</v>
      </c>
      <c r="BN5" s="374" t="str">
        <f t="array" ref="BN5">IFS(
  COUNTA(BO$8:BO34) = 0, "", 
  COUNTIF(BO$8:BO34, "再製作") &gt; 0, "再製作", 
  COUNTIF(BO$8:BO34, "&gt;0") = 1, INDEX(BO$8:BO34, MATCH(TRUE, ISNUMBER(BO$8:BO34), 0)), 
  COUNTIF(BO$8:BO34, "&gt;0") = 2, 'アイテム別限界値DB'!$S$4, 
  COUNTIF(BO$8:BO34, "&gt;0") &gt;= 3, 'アイテム別限界値DB'!$S$6, 
  TRUE, ""
)
</f>
        <v/>
      </c>
      <c r="BO5" s="375" t="s">
        <v>190</v>
      </c>
      <c r="BP5" s="375" t="s">
        <v>191</v>
      </c>
      <c r="BQ5" s="327"/>
      <c r="BR5" s="371">
        <f>round(if(sum(BV7:BV34)=BV7, "", sum(BV7:BV34)) ,0)</f>
        <v>0</v>
      </c>
      <c r="BS5" s="373" t="s">
        <v>189</v>
      </c>
      <c r="BT5" s="374" t="str">
        <f t="array" ref="BT5">IFS(
  COUNTA(BU$8:BU34) = 0, "", 
  COUNTIF(BU$8:BU34, "再製作") &gt; 0, "再製作", 
  COUNTIF(BU$8:BU34, "&gt;0") = 1, INDEX(BU$8:BU34, MATCH(TRUE, ISNUMBER(BU$8:BU34), 0)), 
  COUNTIF(BU$8:BU34, "&gt;0") = 2, 'アイテム別限界値DB'!$S$4, 
  COUNTIF(BU$8:BU34, "&gt;0") &gt;= 3, 'アイテム別限界値DB'!$S$6, 
  TRUE, ""
)
</f>
        <v/>
      </c>
      <c r="BU5" s="375" t="s">
        <v>190</v>
      </c>
      <c r="BV5" s="375" t="s">
        <v>191</v>
      </c>
      <c r="BW5" s="327"/>
      <c r="BX5" s="371">
        <f>round(if(sum(CB7:CB34)=CB7, "", sum(CB7:CB34)) ,0)</f>
        <v>0</v>
      </c>
      <c r="BY5" s="373" t="s">
        <v>189</v>
      </c>
      <c r="BZ5" s="374" t="str">
        <f t="array" ref="BZ5">IFS(
  COUNTA(CA$8:CA34) = 0, "", 
  COUNTIF(CA$8:CA34, "再製作") &gt; 0, "再製作", 
  COUNTIF(CA$8:CA34, "&gt;0") = 1, INDEX(CA$8:CA34, MATCH(TRUE, ISNUMBER(CA$8:CA34), 0)), 
  COUNTIF(CA$8:CA34, "&gt;0") = 2, 'アイテム別限界値DB'!$S$4, 
  COUNTIF(CA$8:CA34, "&gt;0") &gt;= 3, 'アイテム別限界値DB'!$S$6, 
  TRUE, ""
)
</f>
        <v/>
      </c>
      <c r="CA5" s="375" t="s">
        <v>190</v>
      </c>
      <c r="CB5" s="375" t="s">
        <v>191</v>
      </c>
      <c r="CC5" s="381"/>
      <c r="CD5" s="371">
        <f>round(if(sum(CG7:CG34)=CG7, "", sum(CG7:CG34)) ,0)</f>
        <v>0</v>
      </c>
      <c r="CE5" s="374" t="str">
        <f t="array" ref="CE5">IFS(
  COUNTA(CF$8:CF34) = 0, "", 
  COUNTIF(CF$8:CF34, "再製作") &gt; 0, "再製作", 
  COUNTIF(CF$8:CF34, "&gt;0") = 1, INDEX(CF$8:CF34, MATCH(TRUE, ISNUMBER(CF$8:CF34), 0)), 
  COUNTIF(CF$8:CF34, "&gt;0") = 2, 'アイテム別限界値DB'!$Q$4, 
  COUNTIF(CF$8:CF34, "&gt;0") &gt;= 3, 'アイテム別限界値DB'!$Q$6, 
  TRUE, ""
)
</f>
        <v>再製作</v>
      </c>
      <c r="CF5" s="375" t="s">
        <v>190</v>
      </c>
      <c r="CG5" s="375" t="s">
        <v>191</v>
      </c>
      <c r="CH5" s="327"/>
      <c r="CI5" s="327"/>
    </row>
    <row r="6" ht="18.75" hidden="1" customHeight="1">
      <c r="A6" s="382"/>
      <c r="C6" s="382"/>
      <c r="D6" s="383" t="b">
        <f t="array" ref="D6:D35">UNIQUE(IF( ('アイテム別限界値DB'!$B:$B = D$4) * ('アイテム別限界値DB'!$A:$A = "サイズ"),  IF('アイテム別限界値DB'!$B:$B = D$4, 'アイテム別限界値DB'!$G:$G, "") ))</f>
        <v>0</v>
      </c>
      <c r="E6" s="384" t="b">
        <f t="array" ref="E6:E30">UNIQUE(IF( ('アイテム別限界値DB'!$B:$B = D$4) * ('アイテム別限界値DB'!$A:$A = "サイズ"),  IF('アイテム別限界値DB'!$B:$B = D$4, 'アイテム別限界値DB'!$C:$C, "") ))</f>
        <v>0</v>
      </c>
      <c r="F6" s="385">
        <f>MAX(F7:F35)</f>
        <v>0</v>
      </c>
      <c r="G6" s="386"/>
      <c r="H6" s="387"/>
      <c r="I6" s="317"/>
      <c r="J6" s="388"/>
      <c r="K6" s="383" t="b">
        <f t="array" ref="K6:K20">UNIQUE(IF( ('アイテム別限界値DB'!$B:$B = K$4) * ('アイテム別限界値DB'!$A:$A = "サイズ"),  IF('アイテム別限界値DB'!$B:$B = K$4, 'アイテム別限界値DB'!$G:$G, "") ))</f>
        <v>0</v>
      </c>
      <c r="L6" s="384" t="b">
        <f t="array" ref="L6:L17">UNIQUE(IF( ('アイテム別限界値DB'!$B:$B = K$4) * ('アイテム別限界値DB'!$A:$A = "サイズ"),  IF('アイテム別限界値DB'!$B:$B = K$4, 'アイテム別限界値DB'!$C:$C, "") ))</f>
        <v>0</v>
      </c>
      <c r="M6" s="385">
        <v>1.0</v>
      </c>
      <c r="N6" s="386"/>
      <c r="O6" s="387"/>
      <c r="P6" s="317"/>
      <c r="Q6" s="389"/>
      <c r="R6" s="383" t="b">
        <f t="array" ref="R6:R14">UNIQUE(IF( ('アイテム別限界値DB'!$B:$B = R$4) * ('アイテム別限界値DB'!$A:$A = "サイズ"),  IF('アイテム別限界値DB'!$B:$B = R$4, 'アイテム別限界値DB'!$G:$G, "") ))</f>
        <v>0</v>
      </c>
      <c r="S6" s="384" t="b">
        <f t="array" ref="S6:S14">UNIQUE(IF( ('アイテム別限界値DB'!$B:$B = R$4) * ('アイテム別限界値DB'!$A:$A = "サイズ"),  IF('アイテム別限界値DB'!$B:$B = R$4, 'アイテム別限界値DB'!$C:$C, "") ))</f>
        <v>0</v>
      </c>
      <c r="T6" s="385">
        <f>MAX(T7:T25)</f>
        <v>0</v>
      </c>
      <c r="U6" s="386"/>
      <c r="V6" s="387"/>
      <c r="W6" s="317"/>
      <c r="X6" s="327"/>
      <c r="Y6" s="383" t="b">
        <f t="array" ref="Y6:Y21">UNIQUE(IF( ('アイテム別限界値DB'!$B:$B = Y$4) * ('アイテム別限界値DB'!$A:$A = "サイズ"),  IF('アイテム別限界値DB'!$B:$B = Y$4, 'アイテム別限界値DB'!$G:$G, "") ))</f>
        <v>0</v>
      </c>
      <c r="Z6" s="384" t="b">
        <f t="array" ref="Z6:Z17">UNIQUE(IF( ('アイテム別限界値DB'!$B:$B = Y$4) * ('アイテム別限界値DB'!$A:$A = "サイズ"),  IF('アイテム別限界値DB'!$B:$B = Y$4, 'アイテム別限界値DB'!$C:$C, "") ))</f>
        <v>0</v>
      </c>
      <c r="AA6" s="385">
        <f>MAX(AA7:AA25)</f>
        <v>0</v>
      </c>
      <c r="AB6" s="386"/>
      <c r="AC6" s="387"/>
      <c r="AD6" s="317"/>
      <c r="AE6" s="389"/>
      <c r="AF6" s="383" t="b">
        <f t="array" ref="AF6:AF24">UNIQUE(IF( ('アイテム別限界値DB'!$B:$B = AF$4) * ('アイテム別限界値DB'!$A:$A = "サイズ"),  IF('アイテム別限界値DB'!$B:$B = AF$4, 'アイテム別限界値DB'!$G:$G, "") ))</f>
        <v>0</v>
      </c>
      <c r="AG6" s="384" t="b">
        <f t="array" ref="AG6:AG24">UNIQUE(IF( ('アイテム別限界値DB'!$B:$B = AF$4) * ('アイテム別限界値DB'!$A:$A = "サイズ"),  IF('アイテム別限界値DB'!$B:$B = AF$4, 'アイテム別限界値DB'!$C:$C, "") ))</f>
        <v>0</v>
      </c>
      <c r="AH6" s="385">
        <f>MAX(AH7:AH25)</f>
        <v>0</v>
      </c>
      <c r="AI6" s="386"/>
      <c r="AJ6" s="387"/>
      <c r="AK6" s="317"/>
      <c r="AL6" s="327"/>
      <c r="AM6" s="383" t="b">
        <f t="array" ref="AM6:AM22">UNIQUE(IF( ('アイテム別限界値DB'!$B:$B = AM$4) * ('アイテム別限界値DB'!$A:$A = "サイズ"),  IF('アイテム別限界値DB'!$B:$B = AM$4, 'アイテム別限界値DB'!$G:$G, "") ))</f>
        <v>0</v>
      </c>
      <c r="AN6" s="384" t="b">
        <f t="array" ref="AN6:AN22">UNIQUE(IF( ('アイテム別限界値DB'!$B:$B = AM$4) * ('アイテム別限界値DB'!$A:$A = "サイズ"),  IF('アイテム別限界値DB'!$B:$B = AM$4, 'アイテム別限界値DB'!$C:$C, "") ))</f>
        <v>0</v>
      </c>
      <c r="AO6" s="385">
        <f>MAX(AO7:AO25)</f>
        <v>0</v>
      </c>
      <c r="AP6" s="386"/>
      <c r="AQ6" s="387"/>
      <c r="AR6" s="317"/>
      <c r="AS6" s="327"/>
      <c r="AT6" s="384" t="b">
        <f t="array" ref="AT6:AT13">UNIQUE(IF( ('アイテム別限界値DB'!$B:$B = AT$4) * ('アイテム別限界値DB'!$A:$A = "サイズ"),  IF('アイテム別限界値DB'!$B:$B = AT$4, 'アイテム別限界値DB'!$G:$G, "") ))</f>
        <v>0</v>
      </c>
      <c r="AU6" s="385">
        <f>MAX(AU7:AU25)</f>
        <v>0</v>
      </c>
      <c r="AV6" s="386"/>
      <c r="AW6" s="387"/>
      <c r="AX6" s="317"/>
      <c r="AY6" s="327"/>
      <c r="AZ6" s="384" t="b">
        <f t="array" ref="AZ6:AZ13">UNIQUE(IF( ('アイテム別限界値DB'!$B:$B = AZ$4) * ('アイテム別限界値DB'!$A:$A = "サイズ"),  IF('アイテム別限界値DB'!$B:$B = AZ$4, 'アイテム別限界値DB'!$G:$G, "") ))</f>
        <v>0</v>
      </c>
      <c r="BA6" s="385">
        <f>MAX(BA7:BA25)</f>
        <v>0</v>
      </c>
      <c r="BB6" s="386"/>
      <c r="BC6" s="387"/>
      <c r="BD6" s="317"/>
      <c r="BE6" s="327"/>
      <c r="BF6" s="384" t="b">
        <f t="array" ref="BF6:BF13">UNIQUE(IF( ('アイテム別限界値DB'!$B:$B = BF$4) * ('アイテム別限界値DB'!$A:$A = "サイズ"),  IF('アイテム別限界値DB'!$B:$B = BF$4, 'アイテム別限界値DB'!$G:$G, "") ))</f>
        <v>0</v>
      </c>
      <c r="BG6" s="385">
        <f>MAX(BG7:BG25)</f>
        <v>0</v>
      </c>
      <c r="BH6" s="386"/>
      <c r="BI6" s="387"/>
      <c r="BJ6" s="317"/>
      <c r="BK6" s="327"/>
      <c r="BL6" s="384" t="b">
        <f t="array" ref="BL6:BL13">UNIQUE(IF( ('アイテム別限界値DB'!$B:$B = BL$4) * ('アイテム別限界値DB'!$A:$A = "サイズ"),  IF('アイテム別限界値DB'!$B:$B = BL$4, 'アイテム別限界値DB'!$G:$G, "") ))</f>
        <v>0</v>
      </c>
      <c r="BM6" s="385">
        <f>MAX(BM7:BM25)</f>
        <v>0</v>
      </c>
      <c r="BN6" s="386"/>
      <c r="BO6" s="387"/>
      <c r="BP6" s="317"/>
      <c r="BQ6" s="327"/>
      <c r="BR6" s="384" t="b">
        <f t="array" ref="BR6:BR13">UNIQUE(IF( ('アイテム別限界値DB'!$B:$B = BR$4) * ('アイテム別限界値DB'!$A:$A = "サイズ"),  IF('アイテム別限界値DB'!$B:$B = BR$4, 'アイテム別限界値DB'!$G:$G, "") ))</f>
        <v>0</v>
      </c>
      <c r="BS6" s="385">
        <f>MAX(BS7:BS25)</f>
        <v>0</v>
      </c>
      <c r="BT6" s="386"/>
      <c r="BU6" s="387"/>
      <c r="BV6" s="317"/>
      <c r="BW6" s="327"/>
      <c r="BX6" s="384" t="b">
        <f t="array" ref="BX6:BX13">UNIQUE(IF( ('アイテム別限界値DB'!$B:$B = BX$4) * ('アイテム別限界値DB'!$A:$A = "サイズ"),  IF('アイテム別限界値DB'!$B:$B = BX$4, 'アイテム別限界値DB'!$G:$G, "") ))</f>
        <v>0</v>
      </c>
      <c r="BY6" s="385">
        <f>MAX(BY7:BY25)</f>
        <v>0</v>
      </c>
      <c r="BZ6" s="386"/>
      <c r="CA6" s="387"/>
      <c r="CB6" s="317"/>
      <c r="CC6" s="390" t="s">
        <v>193</v>
      </c>
      <c r="CD6" s="384" t="b">
        <f t="array" ref="CD6">UNIQUE(IF( ('アイテム別限界値DB'!$B:$B = CD$4) * ('アイテム別限界値DB'!$A:$A = "サイズ"),  IF('アイテム別限界値DB'!$B:$B = CD$4, 'アイテム別限界値DB'!$G:$G, "") ))</f>
        <v>0</v>
      </c>
      <c r="CE6" s="391" t="s">
        <v>194</v>
      </c>
      <c r="CF6" s="392" t="s">
        <v>195</v>
      </c>
      <c r="CG6" s="317"/>
      <c r="CH6" s="327"/>
      <c r="CI6" s="327"/>
    </row>
    <row r="7" ht="15.75" hidden="1" customHeight="1">
      <c r="A7" s="393"/>
      <c r="B7" s="228" t="str">
        <f>IFERROR(__xludf.DUMMYFUNCTION("TEXTJOIN(CHAR(10),TRUE,FILTER(ARRAYFORMULA(IF(G$8:G35&lt;&gt;"""",D$8:D35&amp;"" : ""&amp; G$8:G35 &amp;"" cm"" &amp; "" (¥"" &amp; I$8:I$35 &amp; ""）"","""")), G$8:G35 &lt;&gt;""""))"),"#N/A")</f>
        <v>#N/A</v>
      </c>
      <c r="C7" s="393"/>
      <c r="D7" s="394" t="s">
        <v>51</v>
      </c>
      <c r="E7" s="395" t="s">
        <v>51</v>
      </c>
      <c r="F7" s="395"/>
      <c r="G7" s="395" t="str">
        <f>IF(AND($G$5&lt;&gt;"", $G$39&lt;&gt;""), "", IF(AND($G$5&lt;&gt;"", $G$39=""), IF($G$5="再製作", "再製作", "お直し"), ""))</f>
        <v/>
      </c>
      <c r="H7" s="396"/>
      <c r="I7" s="397" t="str">
        <f t="array" ref="I7">IF(
  G7 = "", 
  "", 
  IFERROR(
    INDEX(
      'アイテム別限界値DB'!$N:$N, 
      MATCH(
        1, 
        ('アイテム別限界値DB'!$B:$B = D$4) * 
        ('アイテム別限界値DB'!$G:$G = D7), 
        0
      )
    )*F6, 
    "再製作"
  )
)
</f>
        <v/>
      </c>
      <c r="J7" s="388"/>
      <c r="K7" s="394" t="s">
        <v>51</v>
      </c>
      <c r="L7" s="398" t="s">
        <v>51</v>
      </c>
      <c r="M7" s="385"/>
      <c r="N7" s="395" t="str">
        <f>IF(AND($N$5&lt;&gt;"", $N$39&lt;&gt;""), "", IF(AND($N$5&lt;&gt;"", $N$39=""), IF($N$5="再製作", "再製作", "お直し"), ""))</f>
        <v>再製作</v>
      </c>
      <c r="O7" s="396"/>
      <c r="P7" s="397">
        <f t="array" ref="P7">IF(
  N7 = "", 
  "", 
  IFERROR(
    INDEX(
      'アイテム別限界値DB'!$N:$N, 
      MATCH(
        1, 
        ('アイテム別限界値DB'!$B:$B = K$4) * 
        ('アイテム別限界値DB'!$G:$G = K7), 
        0
      )
    )*M6, 
    "再製作"
  )
)
</f>
        <v>250</v>
      </c>
      <c r="Q7" s="399"/>
      <c r="R7" s="394" t="s">
        <v>51</v>
      </c>
      <c r="S7" s="400" t="s">
        <v>51</v>
      </c>
      <c r="T7" s="385"/>
      <c r="U7" s="395" t="str">
        <f>IF(AND($U$5&lt;&gt;"", $U$39&lt;&gt;""), "", IF(AND($U$5&lt;&gt;"", $U$39=""), IF($U$5="再製作", "再製作", "お直し"), ""))</f>
        <v/>
      </c>
      <c r="V7" s="396"/>
      <c r="W7" s="397" t="str">
        <f t="array" ref="W7">IF(
  U7 = "", 
  "", 
  IFERROR(
    INDEX(
      'アイテム別限界値DB'!$N:$N, 
      MATCH(
        1, 
        ('アイテム別限界値DB'!$B:$B = R$4) * 
        ('アイテム別限界値DB'!$G:$G = R7), 
        0
      )
    )*T6, 
    "再製作"
  )
)
</f>
        <v/>
      </c>
      <c r="X7" s="327"/>
      <c r="Y7" s="394" t="s">
        <v>51</v>
      </c>
      <c r="Z7" s="400" t="s">
        <v>51</v>
      </c>
      <c r="AA7" s="385"/>
      <c r="AB7" s="395" t="str">
        <f>IF(AND($AB$5&lt;&gt;"", $AB$39&lt;&gt;""), "", IF(AND($AB$5&lt;&gt;"", $AB$39=""), IF($AB$5="再製作", "再製作", "お直し"), ""))</f>
        <v/>
      </c>
      <c r="AC7" s="396"/>
      <c r="AD7" s="397" t="str">
        <f t="array" ref="AD7">IF(
  AB7 = "", 
  "", 
  IFERROR(
    INDEX(
      'アイテム別限界値DB'!$N:$N, 
      MATCH(
        1, 
        ('アイテム別限界値DB'!$B:$B = Y$4) * 
        ('アイテム別限界値DB'!$G:$G = Y7), 
        0
      )
    )*AA6, 
    "再製作"
  )
)
</f>
        <v/>
      </c>
      <c r="AE7" s="389"/>
      <c r="AF7" s="394" t="s">
        <v>51</v>
      </c>
      <c r="AG7" s="401" t="s">
        <v>51</v>
      </c>
      <c r="AH7" s="385"/>
      <c r="AI7" s="395" t="str">
        <f>IF(AND($AI$5&lt;&gt;"", $AI$39&lt;&gt;""), "", IF(AND($AI$5&lt;&gt;"", $AI$39=""), IF($AI$5="再製作", "再製作", "お直し"), ""))</f>
        <v/>
      </c>
      <c r="AJ7" s="396"/>
      <c r="AK7" s="397" t="str">
        <f t="array" ref="AK7">IF(
  AI7 = "", 
  "", 
  IFERROR(
    INDEX(
      'アイテム別限界値DB'!$N:$N, 
      MATCH(
        1, 
        ('アイテム別限界値DB'!$B:$B = AF$4) * 
        ('アイテム別限界値DB'!$G:$G = AF7), 
        0
      )
    )*AH6, 
    "再製作"
  )
)
</f>
        <v/>
      </c>
      <c r="AL7" s="327"/>
      <c r="AM7" s="394" t="s">
        <v>51</v>
      </c>
      <c r="AN7" s="393" t="s">
        <v>51</v>
      </c>
      <c r="AO7" s="385"/>
      <c r="AP7" s="395" t="str">
        <f>IF(AND($AP$5&lt;&gt;"", $AP$39&lt;&gt;""), "", IF(AND($AP$5&lt;&gt;"", $AP$39=""), IF($AP$5="再製作", "再製作", "お直し"), ""))</f>
        <v/>
      </c>
      <c r="AQ7" s="396"/>
      <c r="AR7" s="397" t="str">
        <f t="array" ref="AR7">IF(
  AP7 = "", 
  "", 
  IFERROR(
    INDEX(
      'アイテム別限界値DB'!$N:$N, 
      MATCH(
        1, 
        ('アイテム別限界値DB'!$B:$B = AM$4) * 
        ('アイテム別限界値DB'!$G:$G = AM7), 
        0
      )
    )*AO6, 
    "再製作"
  )
)
</f>
        <v/>
      </c>
      <c r="AS7" s="327"/>
      <c r="AT7" s="394" t="s">
        <v>51</v>
      </c>
      <c r="AU7" s="385"/>
      <c r="AV7" s="395" t="str">
        <f>IF(AND($AV$5&lt;&gt;"", $AV$39&lt;&gt;""), "", IF(AND($AV$5&lt;&gt;"", $AV$39=""), IF($AV$5="再製作", "再製作", "お直し"), ""))</f>
        <v/>
      </c>
      <c r="AW7" s="396"/>
      <c r="AX7" s="397" t="str">
        <f t="array" ref="AX7">IF(
  AV7 = "", 
  "", 
  IFERROR(
    INDEX(
      'アイテム別限界値DB'!$N:$N, 
      MATCH(
        1, 
        ('アイテム別限界値DB'!$B:$B = AT$4) * 
        ('アイテム別限界値DB'!$G:$G = AT7), 
        0
      )
    )*AU6, 
    "再製作"
  )
)
</f>
        <v/>
      </c>
      <c r="AY7" s="327"/>
      <c r="AZ7" s="394" t="s">
        <v>51</v>
      </c>
      <c r="BA7" s="385"/>
      <c r="BB7" s="395" t="str">
        <f>IF(AND($BB$5&lt;&gt;"", $BB$39&lt;&gt;""), "", IF(AND($BB$5&lt;&gt;"", $BB$39=""), IF($BB$5="再製作", "再製作", "お直し"), ""))</f>
        <v/>
      </c>
      <c r="BC7" s="396"/>
      <c r="BD7" s="397" t="str">
        <f t="array" ref="BD7">IF(
  BB7 = "", 
  "", 
  IFERROR(
    INDEX(
      'アイテム別限界値DB'!$N:$N, 
      MATCH(
        1, 
        ('アイテム別限界値DB'!$B:$B = AZ$4) * 
        ('アイテム別限界値DB'!$G:$G = AZ7), 
        0
      )
    )*BA6, 
    "再製作"
  )
)
</f>
        <v/>
      </c>
      <c r="BE7" s="327"/>
      <c r="BF7" s="394" t="s">
        <v>51</v>
      </c>
      <c r="BG7" s="385"/>
      <c r="BH7" s="395" t="str">
        <f>IF(AND($BH$5&lt;&gt;"", $BH$39&lt;&gt;""), "", IF(AND($BH$5&lt;&gt;"", $BH$39=""), IF($BH$5="再製作", "再製作", "お直し"), ""))</f>
        <v/>
      </c>
      <c r="BI7" s="396"/>
      <c r="BJ7" s="397" t="str">
        <f t="array" ref="BJ7">IF(
  BH7 = "", 
  "", 
  IFERROR(
    INDEX(
      'アイテム別限界値DB'!$N:$N, 
      MATCH(
        1, 
        ('アイテム別限界値DB'!$B:$B = BF$4) * 
        ('アイテム別限界値DB'!$G:$G = BF7), 
        0
      )
    )*BG6, 
    "再製作"
  )
)
</f>
        <v/>
      </c>
      <c r="BK7" s="327"/>
      <c r="BL7" s="393" t="s">
        <v>51</v>
      </c>
      <c r="BM7" s="385"/>
      <c r="BN7" s="395" t="str">
        <f>IF(AND($BN$5&lt;&gt;"", $BN$39&lt;&gt;""), "", IF(AND($BN$5&lt;&gt;"", $BN$39=""), IF($BN$5="再製作", "再製作", "お直し"), ""))</f>
        <v/>
      </c>
      <c r="BO7" s="396"/>
      <c r="BP7" s="397" t="str">
        <f t="array" ref="BP7">IF(
  BN7 = "", 
  "", 
  IFERROR(
    INDEX(
      'アイテム別限界値DB'!$N:$N, 
      MATCH(
        1, 
        ('アイテム別限界値DB'!$B:$B = BL$4) * 
        ('アイテム別限界値DB'!$G:$G = BL7), 
        0
      )
    )*BM6, 
    "再製作"
  )
)
</f>
        <v/>
      </c>
      <c r="BQ7" s="327"/>
      <c r="BR7" s="393" t="s">
        <v>51</v>
      </c>
      <c r="BS7" s="385"/>
      <c r="BT7" s="395" t="str">
        <f>IF(AND($BT$5&lt;&gt;"", $BT$39&lt;&gt;""), "", IF(AND($BT$5&lt;&gt;"", $BT$39=""), IF($BT$5="再製作", "再製作", "お直し"), ""))</f>
        <v/>
      </c>
      <c r="BU7" s="396"/>
      <c r="BV7" s="397" t="str">
        <f t="array" ref="BV7">IF(
  BT7 = "", 
  "", 
  IFERROR(
    INDEX(
      'アイテム別限界値DB'!$N:$N, 
      MATCH(
        1, 
        ('アイテム別限界値DB'!$B:$B = BR$4) * 
        ('アイテム別限界値DB'!$G:$G = BR7), 
        0
      )
    )*BS6, 
    "再製作"
  )
)
</f>
        <v/>
      </c>
      <c r="BW7" s="327"/>
      <c r="BX7" s="393" t="s">
        <v>51</v>
      </c>
      <c r="BY7" s="385"/>
      <c r="BZ7" s="395" t="str">
        <f>IF(AND($BZ$5&lt;&gt;"", $BZ$39&lt;&gt;""), "", IF(AND($BZ$5&lt;&gt;"", $BZ$39=""), IF($BZ$5="再製作", "再製作", "お直し"), ""))</f>
        <v/>
      </c>
      <c r="CA7" s="396"/>
      <c r="CB7" s="397" t="str">
        <f t="array" ref="CB7">IF(
  BZ7 = "", 
  "", 
  IFERROR(
    INDEX(
      'アイテム別限界値DB'!$N:$N, 
      MATCH(
        1, 
        ('アイテム別限界値DB'!$B:$B = BX$4) * 
        ('アイテム別限界値DB'!$G:$G = BX7), 
        0
      )
    )*BY6, 
    "再製作"
  )
)
</f>
        <v/>
      </c>
      <c r="CC7" s="402"/>
      <c r="CD7" s="393" t="s">
        <v>51</v>
      </c>
      <c r="CE7" s="395" t="str">
        <f>IF(AND(CE5&lt;&gt;"", CE39&lt;&gt;""), "", IF(AND(CE5&lt;&gt;"", CE39=""), IF(CE5="再製作", "再製作", "お直し"), ""))</f>
        <v>再製作</v>
      </c>
      <c r="CF7" s="396"/>
      <c r="CG7" s="397" t="str">
        <f t="array" ref="CG7">IF(
  CE7 = "", 
  "", 
  IFERROR(
    INDEX(
      'アイテム別限界値DB'!$N:$N, 
      MATCH(
        1, 
        ('アイテム別限界値DB'!$B:$B = CC$4) * 
        ('アイテム別限界値DB'!$G:$G = CC7), 
        0
      )
    ), 
    "再製作"
  )
)
</f>
        <v/>
      </c>
      <c r="CH7" s="327"/>
      <c r="CI7" s="327"/>
    </row>
    <row r="8" ht="15.75" customHeight="1">
      <c r="A8" s="393"/>
      <c r="B8" s="228" t="str">
        <f>IFERROR(__xludf.DUMMYFUNCTION("TEXTJOIN(CHAR(10),TRUE,FILTER(ARRAYFORMULA(IF(G$8:G37&lt;&gt;"""",D$8:D37&amp;"" : ""&amp; G$8:G37 &amp;"" cm"" &amp; "" (¥"" &amp; I$8:I$35 &amp; ""）"","""")), G$8:G37 &lt;&gt;""""))"),"#N/A")</f>
        <v>#N/A</v>
      </c>
      <c r="C8" s="393"/>
      <c r="D8" s="394" t="s">
        <v>53</v>
      </c>
      <c r="E8" s="395" t="s">
        <v>53</v>
      </c>
      <c r="F8" s="403"/>
      <c r="G8" s="408"/>
      <c r="H8" s="405" t="str">
        <f t="array" ref="H8">IF(
  G8 = 0, 
  "", 
  IFERROR(
    INDEX(
      'アイテム別限界値DB'!$K:$K, 
      MATCH(
        1, 
        ('アイテム別限界値DB'!$B:$B = D$4) * 
        ('アイテム別限界値DB'!$G:$G = D8) * 
        ('アイテム別限界値DB'!$H:$H = G8), 
        0
      )
    ), 
    "再製作"
  )
)
</f>
        <v/>
      </c>
      <c r="I8" s="397" t="str">
        <f t="array" ref="I8">IF(
  $G8 = 0, 
  "", 
  IFERROR(
    INDEX(
      'アイテム別限界値DB'!$N:$N, 
      MATCH(
        1, 
        ('アイテム別限界値DB'!$B:$B = $D$4) * 
        ('アイテム別限界値DB'!$G:$G = $D8) * 
        ('アイテム別限界値DB'!$H:$H = $G8), 
        0
      )
    )*F8, 
    "再製作"
  )
)
</f>
        <v/>
      </c>
      <c r="J8" s="388"/>
      <c r="K8" s="394" t="s">
        <v>54</v>
      </c>
      <c r="L8" s="398" t="s">
        <v>54</v>
      </c>
      <c r="M8" s="406">
        <v>1.0</v>
      </c>
      <c r="N8" s="407" t="s">
        <v>132</v>
      </c>
      <c r="O8" s="405">
        <f t="array" ref="O8">IF(
  $N8 = 0, 
  "", 
  IFERROR(
    INDEX(
      'アイテム別限界値DB'!$K:$K, 
      MATCH(
        1, 
        ('アイテム別限界値DB'!$B:$B = $K$4) * 
        ('アイテム別限界値DB'!$G:$G = $K8) * 
        ('アイテム別限界値DB'!$H:$H = $N8), 
        0
      )
    ), 
    "再製作"
  )
)
</f>
        <v>45996</v>
      </c>
      <c r="P8" s="397">
        <f t="array" ref="P8">IF(
  $N8 = 0, 
  "", 
  IFERROR(
    INDEX(
      'アイテム別限界値DB'!$N:$N, 
      MATCH(
        1, 
        ('アイテム別限界値DB'!$B:$B = $K$4) * 
        ('アイテム別限界値DB'!$G:$G = $K8) * 
        ('アイテム別限界値DB'!$H:$H = $N8), 
        0
      )
    )*$M8, 
    "再製作"
  )
)
</f>
        <v>4950</v>
      </c>
      <c r="Q8" s="399"/>
      <c r="R8" s="394" t="s">
        <v>55</v>
      </c>
      <c r="S8" s="400" t="s">
        <v>55</v>
      </c>
      <c r="T8" s="406"/>
      <c r="U8" s="408"/>
      <c r="V8" s="405" t="str">
        <f t="array" ref="V8">IF(
  $U8 = 0, 
  "", 
  IFERROR(
    INDEX(
      'アイテム別限界値DB'!$K:$K, 
      MATCH(
        1, 
        ('アイテム別限界値DB'!$B:$B = $R$4) * 
        ('アイテム別限界値DB'!$G:$G = $R8) * 
        ('アイテム別限界値DB'!$H:$H = $U8), 
        0
      )
    ), 
    "再製作"
  )
)
</f>
        <v/>
      </c>
      <c r="W8" s="397" t="str">
        <f t="array" ref="W8">IF(
  $U8 = 0, 
  "", 
  IFERROR(
    INDEX(
      'アイテム別限界値DB'!$N:$N, 
      MATCH(
        1, 
        ('アイテム別限界値DB'!$B:$B = $R$4) * 
        ('アイテム別限界値DB'!$G:$G = $R8) * 
        ('アイテム別限界値DB'!$H:$H = $U8), 
        0
      )
    )*T8, 
    "再製作"
  )
)
</f>
        <v/>
      </c>
      <c r="X8" s="327"/>
      <c r="Y8" s="394" t="s">
        <v>54</v>
      </c>
      <c r="Z8" s="400" t="s">
        <v>54</v>
      </c>
      <c r="AA8" s="406"/>
      <c r="AB8" s="409"/>
      <c r="AC8" s="405" t="str">
        <f t="array" ref="AC8">IF(
  $AB8 = 0, 
  "", 
  IFERROR(
    INDEX(
      'アイテム別限界値DB'!$K:$K, 
      MATCH(
        1, 
        ('アイテム別限界値DB'!$B:$B = $Y$4) * 
        ('アイテム別限界値DB'!$G:$G = $Y8) * 
        ('アイテム別限界値DB'!$H:$H = $AB8), 
        0
      )
    ), 
    "再製作"
  )
)
</f>
        <v/>
      </c>
      <c r="AD8" s="397" t="str">
        <f t="array" ref="AD8">IF(
  $AB8 = 0, 
  "", 
  IFERROR(
    INDEX(
      'アイテム別限界値DB'!$N:$N, 
      MATCH(
        1, 
        ('アイテム別限界値DB'!$B:$B = $Y$4) * 
        ('アイテム別限界値DB'!$G:$G = $Y8) * 
        ('アイテム別限界値DB'!$H:$H = $AB8), 
        0
      )
    )*AA8, 
    "再製作"
  )
)
</f>
        <v/>
      </c>
      <c r="AE8" s="389"/>
      <c r="AF8" s="394" t="s">
        <v>53</v>
      </c>
      <c r="AG8" s="401" t="s">
        <v>53</v>
      </c>
      <c r="AH8" s="406"/>
      <c r="AI8" s="409"/>
      <c r="AJ8" s="405" t="str">
        <f t="array" ref="AJ8">IF(
  $AI8 = 0, 
  "", 
  IFERROR(
    INDEX(
      'アイテム別限界値DB'!$K:$K, 
      MATCH(
        1, 
        ('アイテム別限界値DB'!$B:$B = AF$4) * 
        ('アイテム別限界値DB'!$G:$G = $AF8) * 
        ('アイテム別限界値DB'!$H:$H = $AI8), 
        0
      )
    ), 
    "再製作"
  )
)
</f>
        <v/>
      </c>
      <c r="AK8" s="397" t="str">
        <f t="array" ref="AK8">IF(
  $AI8 = 0, 
  "", 
  IFERROR(
    INDEX(
      'アイテム別限界値DB'!$N:$N, 
      MATCH(
        1, 
        ('アイテム別限界値DB'!$B:$B = $AF$4) * 
        ('アイテム別限界値DB'!$G:$G = $AF8) * 
        ('アイテム別限界値DB'!$H:$H = $AI8), 
        0
      )
    )*AH8, 
    "再製作"
  )
)
</f>
        <v/>
      </c>
      <c r="AL8" s="327"/>
      <c r="AM8" s="394" t="s">
        <v>53</v>
      </c>
      <c r="AN8" s="393" t="s">
        <v>53</v>
      </c>
      <c r="AO8" s="406"/>
      <c r="AP8" s="410"/>
      <c r="AQ8" s="405" t="str">
        <f t="array" ref="AQ8">IF(
  $AP8 = 0, 
  "", 
  IFERROR(
    INDEX(
      'アイテム別限界値DB'!$K:$K, 
      MATCH(
        1, 
        ('アイテム別限界値DB'!$B:$B = $AM$4) * 
        ('アイテム別限界値DB'!$G:$G = $AM8) * 
        ('アイテム別限界値DB'!$H:$H = $AP8), 
        0
      )
    ), 
    "再製作"
  )
)
</f>
        <v/>
      </c>
      <c r="AR8" s="397" t="str">
        <f t="array" ref="AR8">IF(
  $AP8 = 0, 
  "", 
  IFERROR(
    INDEX(
      'アイテム別限界値DB'!$N:$N, 
      MATCH(
        1, 
        ('アイテム別限界値DB'!$B:$B = $AM$4) * 
        ('アイテム別限界値DB'!$G:$G = $AM8) * 
        ('アイテム別限界値DB'!$H:$H = $AP8), 
        0
      )
    )*AO8, 
    "再製作"
  )
)
</f>
        <v/>
      </c>
      <c r="AS8" s="327"/>
      <c r="AT8" s="394" t="s">
        <v>53</v>
      </c>
      <c r="AU8" s="406"/>
      <c r="AV8" s="411"/>
      <c r="AW8" s="405" t="str">
        <f t="array" ref="AW8">IF(
  $AV8 = 0, 
  "", 
  IFERROR(
    INDEX(
      'アイテム別限界値DB'!$K:$K, 
      MATCH(
        1, 
        ('アイテム別限界値DB'!$B:$B = $AT$4) * 
        ('アイテム別限界値DB'!$G:$G = $AT8) * 
        ('アイテム別限界値DB'!$H:$H = $AV8), 
        0
      )
    ), 
    "再製作"
  )
)
</f>
        <v/>
      </c>
      <c r="AX8" s="397" t="str">
        <f t="array" ref="AX8">IF(
  $AV8 = 0, 
  "", 
  IFERROR(
    INDEX(
      'アイテム別限界値DB'!$N:$N, 
      MATCH(
        1, 
        ('アイテム別限界値DB'!$B:$B = $AT$4) * 
        ('アイテム別限界値DB'!$G:$G = $AT8) * 
        ('アイテム別限界値DB'!$H:$H = $AV8), 
        0
      )
    )*AU8, 
    "再製作"
  )
)
</f>
        <v/>
      </c>
      <c r="AY8" s="327"/>
      <c r="AZ8" s="394" t="s">
        <v>53</v>
      </c>
      <c r="BA8" s="406"/>
      <c r="BB8" s="410"/>
      <c r="BC8" s="405" t="str">
        <f t="array" ref="BC8">IF(
  $BB8 = 0, 
  "", 
  IFERROR(
    INDEX(
      'アイテム別限界値DB'!$K:$K, 
      MATCH(
        1, 
        ('アイテム別限界値DB'!$B:$B = $AZ$4) * 
        ('アイテム別限界値DB'!$G:$G = $AZ8) * 
        ('アイテム別限界値DB'!$H:$H = $BB8), 
        0
      )
    ), 
    "再製作"
  )
)
</f>
        <v/>
      </c>
      <c r="BD8" s="397" t="str">
        <f t="array" ref="BD8">IF(
  $BB8 = 0, 
  "", 
  IFERROR(
    INDEX(
      'アイテム別限界値DB'!$N:$N, 
      MATCH(
        1, 
        ('アイテム別限界値DB'!$B:$B = $AZ$4) * 
        ('アイテム別限界値DB'!$G:$G = $AZ8) * 
        ('アイテム別限界値DB'!$H:$H = $BB8), 
        0
      )
    )*BA8, 
    "再製作"
  )
)
</f>
        <v/>
      </c>
      <c r="BE8" s="327"/>
      <c r="BF8" s="394" t="s">
        <v>53</v>
      </c>
      <c r="BG8" s="406"/>
      <c r="BH8" s="410"/>
      <c r="BI8" s="405" t="str">
        <f t="array" ref="BI8">IF(
  $BH8 = 0, 
  "", 
  IFERROR(
    INDEX(
      'アイテム別限界値DB'!$K:$K, 
      MATCH(
        1, 
        ('アイテム別限界値DB'!$B:$B = $BF$4) * 
        ('アイテム別限界値DB'!$G:$G = $BF8) * 
        ('アイテム別限界値DB'!$H:$H = $BH8), 
        0
      )
    ), 
    "再製作"
  )
)
</f>
        <v/>
      </c>
      <c r="BJ8" s="397" t="str">
        <f t="array" ref="BJ8">IF(
  $BH8 = 0, 
  "", 
  IFERROR(
    INDEX(
      'アイテム別限界値DB'!$N:$N, 
      MATCH(
        1, 
        ('アイテム別限界値DB'!$B:$B = $BF$4) * 
        ('アイテム別限界値DB'!$G:$G = $BF8) * 
        ('アイテム別限界値DB'!$H:$H = $BH8), 
        0
      )
    )*BG8, 
    "再製作"
  )
)
</f>
        <v/>
      </c>
      <c r="BK8" s="327"/>
      <c r="BL8" s="393" t="s">
        <v>196</v>
      </c>
      <c r="BM8" s="406"/>
      <c r="BN8" s="410"/>
      <c r="BO8" s="405" t="str">
        <f t="array" ref="BO8">IF(
  $BN8 = 0, 
  "", 
  IFERROR(
    INDEX(
      'アイテム別限界値DB'!$K:$K, 
      MATCH(
        1, 
        ('アイテム別限界値DB'!$B:$B = $BL$4) * 
        ('アイテム別限界値DB'!$G:$G = $BL8) * 
        ('アイテム別限界値DB'!$H:$H = $BN8), 
        0
      )
    ), 
    "再製作"
  )
)
</f>
        <v/>
      </c>
      <c r="BP8" s="397" t="str">
        <f t="array" ref="BP8">IF(
  $BN8 = 0, 
  "", 
  IFERROR(
    INDEX(
      'アイテム別限界値DB'!$N:$N, 
      MATCH(
        1, 
        ('アイテム別限界値DB'!$B:$B = $BL$4) * 
        ('アイテム別限界値DB'!$G:$G = $BL8) * 
        ('アイテム別限界値DB'!$H:$H = $BN8), 
        0
      )
    )*BM8, 
    "再製作"
  )
)
</f>
        <v/>
      </c>
      <c r="BQ8" s="327"/>
      <c r="BR8" s="393" t="s">
        <v>53</v>
      </c>
      <c r="BS8" s="406"/>
      <c r="BT8" s="404"/>
      <c r="BU8" s="405" t="str">
        <f t="array" ref="BU8">IF(
  $BT8 = 0, 
  "", 
  IFERROR(
    INDEX(
      'アイテム別限界値DB'!$K:$K, 
      MATCH(
        1, 
        ('アイテム別限界値DB'!$B:$B = $BR$4) * 
        ('アイテム別限界値DB'!$G:$G = $BR8) * 
        ('アイテム別限界値DB'!$H:$H = $BT8), 
        0
      )
    ), 
    "再製作"
  )
)
</f>
        <v/>
      </c>
      <c r="BV8" s="397" t="str">
        <f t="array" ref="BV8">IF(
  $BT8 = 0, 
  "", 
  IFERROR(
    INDEX(
      'アイテム別限界値DB'!$N:$N, 
      MATCH(
        1, 
        ('アイテム別限界値DB'!$B:$B = $BR$4) * 
        ('アイテム別限界値DB'!$G:$G = $BR8) * 
        ('アイテム別限界値DB'!$H:$H = $BT8), 
        0
      )
    )*BS8, 
    "再製作"
  )
)
</f>
        <v/>
      </c>
      <c r="BW8" s="327"/>
      <c r="BX8" s="393" t="s">
        <v>53</v>
      </c>
      <c r="BY8" s="406"/>
      <c r="BZ8" s="404"/>
      <c r="CA8" s="405" t="str">
        <f t="array" ref="CA8">IF(
  $BZ8 = 0, 
  "", 
  IFERROR(
    INDEX(
      'アイテム別限界値DB'!$K:$K, 
      MATCH(
        1, 
        ('アイテム別限界値DB'!$B:$B = $BX$4) * 
        ('アイテム別限界値DB'!$G:$G = $BX8) * 
        ('アイテム別限界値DB'!$H:$H = $BZ8), 
        0
      )
    ), 
    "再製作"
  )
)
</f>
        <v/>
      </c>
      <c r="CB8" s="397" t="str">
        <f t="array" ref="CB8">IF(
  $BZ8 = 0, 
  "", 
  IFERROR(
    INDEX(
      'アイテム別限界値DB'!$N:$N, 
      MATCH(
        1, 
        ('アイテム別限界値DB'!$B:$B = $BX$4) * 
        ('アイテム別限界値DB'!$G:$G = $BX8) * 
        ('アイテム別限界値DB'!$H:$H = $BZ8), 
        0
      )
    )*BY8, 
    "再製作"
  )
)
</f>
        <v/>
      </c>
      <c r="CC8" s="402"/>
      <c r="CD8" s="393" t="s">
        <v>51</v>
      </c>
      <c r="CE8" s="395" t="str">
        <f>IF(AND(CE6&lt;&gt;"", CE41&lt;&gt;""), "", IF(AND(CE6&lt;&gt;"", CE41=""), IF(CE6="再製作", "再製作", "お直し"), ""))</f>
        <v>お直し</v>
      </c>
      <c r="CF8" s="396"/>
      <c r="CG8" s="397" t="str">
        <f t="array" ref="CG8">IF(
  CE8 = "", 
  "", 
  IFERROR(
    INDEX(
      'アイテム別限界値DB'!$N:$N, 
      MATCH(
        1, 
        ('アイテム別限界値DB'!$B:$B = CC$4) * 
        ('アイテム別限界値DB'!$G:$G = CC8), 
        0
      )
    ), 
    "再製作"
  )
)
</f>
        <v/>
      </c>
      <c r="CH8" s="327"/>
      <c r="CI8" s="327"/>
    </row>
    <row r="9" ht="26.25" customHeight="1">
      <c r="A9" s="412"/>
      <c r="B9" s="228" t="str">
        <f>IFERROR(__xludf.DUMMYFUNCTION("TEXTJOIN(CHAR(10),TRUE,FILTER(ARRAYFORMULA(IF(N$8:N35&lt;&gt;"""",K$8:K35&amp;"" : ""&amp; N$8:N35 &amp;"" cm"" &amp; "" (¥"" &amp; P$8:P$35 &amp; ""）"","""")), N$8:N35 &lt;&gt;""""))"),"パンツウエスト : 2 cm (¥4950）
股下 / シングル（左右であっても1箇所換算） : 4998-1642-4822 cm (¥再製作）")</f>
        <v>パンツウエスト : 2 cm (¥4950）
股下 / シングル（左右であっても1箇所換算） : 4998-1642-4822 cm (¥再製作）</v>
      </c>
      <c r="C9" s="412"/>
      <c r="D9" s="412" t="s">
        <v>55</v>
      </c>
      <c r="E9" s="413" t="s">
        <v>55</v>
      </c>
      <c r="F9" s="403"/>
      <c r="G9" s="404"/>
      <c r="H9" s="405" t="str">
        <f t="array" ref="H9">IF(
  G9 = 0, 
  "", 
  IFERROR(
    INDEX(
      'アイテム別限界値DB'!$K:$K, 
      MATCH(
        1, 
        ('アイテム別限界値DB'!$B:$B = D$4) * 
        ('アイテム別限界値DB'!$G:$G = D9) * 
        ('アイテム別限界値DB'!$H:$H = G9), 
        0
      )
    ), 
    "再製作"
  )
)
</f>
        <v/>
      </c>
      <c r="I9" s="397" t="str">
        <f t="array" ref="I9">IF(
  $G9 = 0, 
  "", 
  IFERROR(
    INDEX(
      'アイテム別限界値DB'!$N:$N, 
      MATCH(
        1, 
        ('アイテム別限界値DB'!$B:$B = $D$4) * 
        ('アイテム別限界値DB'!$G:$G = $D9) * 
        ('アイテム別限界値DB'!$H:$H = $G9), 
        0
      )
    )*F9, 
    "再製作"
  )
)
</f>
        <v/>
      </c>
      <c r="J9" s="388"/>
      <c r="K9" s="412" t="s">
        <v>56</v>
      </c>
      <c r="L9" s="414" t="s">
        <v>56</v>
      </c>
      <c r="M9" s="403"/>
      <c r="N9" s="415"/>
      <c r="O9" s="405" t="str">
        <f t="array" ref="O9">IF(
  $N9 = 0, 
  "", 
  IFERROR(
    INDEX(
      'アイテム別限界値DB'!$K:$K, 
      MATCH(
        1, 
        ('アイテム別限界値DB'!$B:$B = $K$4) * 
        ('アイテム別限界値DB'!$G:$G = $K9) * 
        ('アイテム別限界値DB'!$H:$H = $N9), 
        0
      )
    ), 
    "再製作"
  )
)
</f>
        <v/>
      </c>
      <c r="P9" s="397" t="str">
        <f t="array" ref="P9">IF(
  $N9 = 0, 
  "", 
  IFERROR(
    INDEX(
      'アイテム別限界値DB'!$N:$N, 
      MATCH(
        1, 
        ('アイテム別限界値DB'!$B:$B = $K$4) * 
        ('アイテム別限界値DB'!$G:$G = $K9) * 
        ('アイテム別限界値DB'!$H:$H = $N9), 
        0
      )
    )*$M9, 
    "再製作"
  )
)
</f>
        <v/>
      </c>
      <c r="Q9" s="389"/>
      <c r="R9" s="412" t="s">
        <v>57</v>
      </c>
      <c r="S9" s="413" t="s">
        <v>57</v>
      </c>
      <c r="T9" s="403"/>
      <c r="U9" s="404"/>
      <c r="V9" s="405" t="str">
        <f t="array" ref="V9">IF(
  $U9 = 0, 
  "", 
  IFERROR(
    INDEX(
      'アイテム別限界値DB'!$K:$K, 
      MATCH(
        1, 
        ('アイテム別限界値DB'!$B:$B = $R$4) * 
        ('アイテム別限界値DB'!$G:$G = $R9) * 
        ('アイテム別限界値DB'!$H:$H = $U9), 
        0
      )
    ), 
    "再製作"
  )
)
</f>
        <v/>
      </c>
      <c r="W9" s="397" t="str">
        <f t="array" ref="W9">IF(
  $U9 = 0, 
  "", 
  IFERROR(
    INDEX(
      'アイテム別限界値DB'!$N:$N, 
      MATCH(
        1, 
        ('アイテム別限界値DB'!$B:$B = $R$4) * 
        ('アイテム別限界値DB'!$G:$G = $R9) * 
        ('アイテム別限界値DB'!$H:$H = $U9), 
        0
      )
    )*T9, 
    "再製作"
  )
)
</f>
        <v/>
      </c>
      <c r="X9" s="389"/>
      <c r="Y9" s="412" t="s">
        <v>56</v>
      </c>
      <c r="Z9" s="413" t="s">
        <v>56</v>
      </c>
      <c r="AA9" s="403"/>
      <c r="AB9" s="404"/>
      <c r="AC9" s="405" t="str">
        <f t="array" ref="AC9">IF(
  $AB9 = 0, 
  "", 
  IFERROR(
    INDEX(
      'アイテム別限界値DB'!$K:$K, 
      MATCH(
        1, 
        ('アイテム別限界値DB'!$B:$B = $Y$4) * 
        ('アイテム別限界値DB'!$G:$G = $Y9) * 
        ('アイテム別限界値DB'!$H:$H = $AB9), 
        0
      )
    ), 
    "再製作"
  )
)
</f>
        <v/>
      </c>
      <c r="AD9" s="397" t="str">
        <f t="array" ref="AD9">IF(
  $AB9 = 0, 
  "", 
  IFERROR(
    INDEX(
      'アイテム別限界値DB'!$N:$N, 
      MATCH(
        1, 
        ('アイテム別限界値DB'!$B:$B = $Y$4) * 
        ('アイテム別限界値DB'!$G:$G = $Y9) * 
        ('アイテム別限界値DB'!$H:$H = $AB9), 
        0
      )
    )*AA9, 
    "再製作"
  )
)
</f>
        <v/>
      </c>
      <c r="AE9" s="389"/>
      <c r="AF9" s="412" t="s">
        <v>58</v>
      </c>
      <c r="AG9" s="413" t="s">
        <v>58</v>
      </c>
      <c r="AH9" s="403"/>
      <c r="AI9" s="404"/>
      <c r="AJ9" s="405" t="str">
        <f t="array" ref="AJ9">IF(
  $AI9 = 0, 
  "", 
  IFERROR(
    INDEX(
      'アイテム別限界値DB'!$K:$K, 
      MATCH(
        1, 
        ('アイテム別限界値DB'!$B:$B = AF$4) * 
        ('アイテム別限界値DB'!$G:$G = $AF9) * 
        ('アイテム別限界値DB'!$H:$H = $AI9), 
        0
      )
    ), 
    "再製作"
  )
)
</f>
        <v/>
      </c>
      <c r="AK9" s="397" t="str">
        <f t="array" ref="AK9">IF(
  $AI9 = 0, 
  "", 
  IFERROR(
    INDEX(
      'アイテム別限界値DB'!$N:$N, 
      MATCH(
        1, 
        ('アイテム別限界値DB'!$B:$B = $AF$4) * 
        ('アイテム別限界値DB'!$G:$G = $AF9) * 
        ('アイテム別限界値DB'!$H:$H = $AI9), 
        0
      )
    )*AH9, 
    "再製作"
  )
)
</f>
        <v/>
      </c>
      <c r="AL9" s="327"/>
      <c r="AM9" s="412" t="s">
        <v>55</v>
      </c>
      <c r="AN9" s="416" t="s">
        <v>55</v>
      </c>
      <c r="AO9" s="403"/>
      <c r="AP9" s="404"/>
      <c r="AQ9" s="405" t="str">
        <f t="array" ref="AQ9">IF(
  $AP9 = 0, 
  "", 
  IFERROR(
    INDEX(
      'アイテム別限界値DB'!$K:$K, 
      MATCH(
        1, 
        ('アイテム別限界値DB'!$B:$B = $AM$4) * 
        ('アイテム別限界値DB'!$G:$G = $AM9) * 
        ('アイテム別限界値DB'!$H:$H = $AP9), 
        0
      )
    ), 
    "再製作"
  )
)
</f>
        <v/>
      </c>
      <c r="AR9" s="397" t="str">
        <f t="array" ref="AR9">IF(
  $AP9 = 0, 
  "", 
  IFERROR(
    INDEX(
      'アイテム別限界値DB'!$N:$N, 
      MATCH(
        1, 
        ('アイテム別限界値DB'!$B:$B = $AM$4) * 
        ('アイテム別限界値DB'!$G:$G = $AM9) * 
        ('アイテム別限界値DB'!$H:$H = $AP9), 
        0
      )
    )*AO9, 
    "再製作"
  )
)
</f>
        <v/>
      </c>
      <c r="AS9" s="327"/>
      <c r="AT9" s="416" t="s">
        <v>55</v>
      </c>
      <c r="AU9" s="403"/>
      <c r="AV9" s="417"/>
      <c r="AW9" s="405" t="str">
        <f t="array" ref="AW9">IF(
  $AV9 = 0, 
  "", 
  IFERROR(
    INDEX(
      'アイテム別限界値DB'!$K:$K, 
      MATCH(
        1, 
        ('アイテム別限界値DB'!$B:$B = $AT$4) * 
        ('アイテム別限界値DB'!$G:$G = $AT9) * 
        ('アイテム別限界値DB'!$H:$H = $AV9), 
        0
      )
    ), 
    "再製作"
  )
)
</f>
        <v/>
      </c>
      <c r="AX9" s="397" t="str">
        <f t="array" ref="AX9">IF(
  $AV9 = 0, 
  "", 
  IFERROR(
    INDEX(
      'アイテム別限界値DB'!$N:$N, 
      MATCH(
        1, 
        ('アイテム別限界値DB'!$B:$B = $AT$4) * 
        ('アイテム別限界値DB'!$G:$G = $AT9) * 
        ('アイテム別限界値DB'!$H:$H = $AV9), 
        0
      )
    )*AU9, 
    "再製作"
  )
)
</f>
        <v/>
      </c>
      <c r="AY9" s="327"/>
      <c r="AZ9" s="416" t="s">
        <v>55</v>
      </c>
      <c r="BA9" s="403"/>
      <c r="BB9" s="404"/>
      <c r="BC9" s="405" t="str">
        <f t="array" ref="BC9">IF(
  $BB9 = 0, 
  "", 
  IFERROR(
    INDEX(
      'アイテム別限界値DB'!$K:$K, 
      MATCH(
        1, 
        ('アイテム別限界値DB'!$B:$B = $AZ$4) * 
        ('アイテム別限界値DB'!$G:$G = $AZ9) * 
        ('アイテム別限界値DB'!$H:$H = $BB9), 
        0
      )
    ), 
    "再製作"
  )
)
</f>
        <v/>
      </c>
      <c r="BD9" s="397" t="str">
        <f t="array" ref="BD9">IF(
  $BB9 = 0, 
  "", 
  IFERROR(
    INDEX(
      'アイテム別限界値DB'!$N:$N, 
      MATCH(
        1, 
        ('アイテム別限界値DB'!$B:$B = $AZ$4) * 
        ('アイテム別限界値DB'!$G:$G = $AZ9) * 
        ('アイテム別限界値DB'!$H:$H = $BB9), 
        0
      )
    )*BA9, 
    "再製作"
  )
)
</f>
        <v/>
      </c>
      <c r="BE9" s="327"/>
      <c r="BF9" s="416" t="s">
        <v>55</v>
      </c>
      <c r="BG9" s="403"/>
      <c r="BH9" s="404"/>
      <c r="BI9" s="405" t="str">
        <f t="array" ref="BI9">IF(
  $BH9 = 0, 
  "", 
  IFERROR(
    INDEX(
      'アイテム別限界値DB'!$K:$K, 
      MATCH(
        1, 
        ('アイテム別限界値DB'!$B:$B = $BF$4) * 
        ('アイテム別限界値DB'!$G:$G = $BF9) * 
        ('アイテム別限界値DB'!$H:$H = $BH9), 
        0
      )
    ), 
    "再製作"
  )
)
</f>
        <v/>
      </c>
      <c r="BJ9" s="397" t="str">
        <f t="array" ref="BJ9">IF(
  $BH9 = 0, 
  "", 
  IFERROR(
    INDEX(
      'アイテム別限界値DB'!$N:$N, 
      MATCH(
        1, 
        ('アイテム別限界値DB'!$B:$B = $BF$4) * 
        ('アイテム別限界値DB'!$G:$G = $BF9) * 
        ('アイテム別限界値DB'!$H:$H = $BH9), 
        0
      )
    )*BG9, 
    "再製作"
  )
)
</f>
        <v/>
      </c>
      <c r="BK9" s="327"/>
      <c r="BL9" s="416" t="s">
        <v>55</v>
      </c>
      <c r="BM9" s="403"/>
      <c r="BN9" s="404"/>
      <c r="BO9" s="405" t="str">
        <f t="array" ref="BO9">IF(
  $BN9 = 0, 
  "", 
  IFERROR(
    INDEX(
      'アイテム別限界値DB'!$K:$K, 
      MATCH(
        1, 
        ('アイテム別限界値DB'!$B:$B = $BL$4) * 
        ('アイテム別限界値DB'!$G:$G = $BL9) * 
        ('アイテム別限界値DB'!$H:$H = $BN9), 
        0
      )
    ), 
    "再製作"
  )
)
</f>
        <v/>
      </c>
      <c r="BP9" s="397" t="str">
        <f t="array" ref="BP9">IF(
  $BN9 = 0, 
  "", 
  IFERROR(
    INDEX(
      'アイテム別限界値DB'!$N:$N, 
      MATCH(
        1, 
        ('アイテム別限界値DB'!$B:$B = $BL$4) * 
        ('アイテム別限界値DB'!$G:$G = $BL9) * 
        ('アイテム別限界値DB'!$H:$H = $BN9), 
        0
      )
    )*BM9, 
    "再製作"
  )
)
</f>
        <v/>
      </c>
      <c r="BQ9" s="327"/>
      <c r="BR9" s="416" t="s">
        <v>55</v>
      </c>
      <c r="BS9" s="403"/>
      <c r="BT9" s="404"/>
      <c r="BU9" s="405" t="str">
        <f t="array" ref="BU9">IF(
  $BT9 = 0, 
  "", 
  IFERROR(
    INDEX(
      'アイテム別限界値DB'!$K:$K, 
      MATCH(
        1, 
        ('アイテム別限界値DB'!$B:$B = $BR$4) * 
        ('アイテム別限界値DB'!$G:$G = $BR9) * 
        ('アイテム別限界値DB'!$H:$H = $BT9), 
        0
      )
    ), 
    "再製作"
  )
)
</f>
        <v/>
      </c>
      <c r="BV9" s="397" t="str">
        <f t="array" ref="BV9">IF(
  $BT9 = 0, 
  "", 
  IFERROR(
    INDEX(
      'アイテム別限界値DB'!$N:$N, 
      MATCH(
        1, 
        ('アイテム別限界値DB'!$B:$B = $BR$4) * 
        ('アイテム別限界値DB'!$G:$G = $BR9) * 
        ('アイテム別限界値DB'!$H:$H = $BT9), 
        0
      )
    )*BS9, 
    "再製作"
  )
)
</f>
        <v/>
      </c>
      <c r="BW9" s="327"/>
      <c r="BX9" s="416" t="s">
        <v>55</v>
      </c>
      <c r="BY9" s="403"/>
      <c r="BZ9" s="404"/>
      <c r="CA9" s="405" t="str">
        <f t="array" ref="CA9">IF(
  $BZ9 = 0, 
  "", 
  IFERROR(
    INDEX(
      'アイテム別限界値DB'!$K:$K, 
      MATCH(
        1, 
        ('アイテム別限界値DB'!$B:$B = $BX$4) * 
        ('アイテム別限界値DB'!$G:$G = $BX9) * 
        ('アイテム別限界値DB'!$H:$H = $BZ9), 
        0
      )
    ), 
    "再製作"
  )
)
</f>
        <v/>
      </c>
      <c r="CB9" s="397" t="str">
        <f t="array" ref="CB9">IF(
  $BZ9 = 0, 
  "", 
  IFERROR(
    INDEX(
      'アイテム別限界値DB'!$N:$N, 
      MATCH(
        1, 
        ('アイテム別限界値DB'!$B:$B = $BX$4) * 
        ('アイテム別限界値DB'!$G:$G = $BX9) * 
        ('アイテム別限界値DB'!$H:$H = $BZ9), 
        0
      )
    )*BY9, 
    "再製作"
  )
)
</f>
        <v/>
      </c>
      <c r="CC9" s="402"/>
      <c r="CD9" s="416"/>
      <c r="CE9" s="418" t="s">
        <v>59</v>
      </c>
      <c r="CF9" s="405" t="str">
        <f t="array" ref="CF9">IF(
  CE9 = 0, 
  "", 
  IFERROR(
    INDEX(
      'アイテム別限界値DB'!$K:$K, 
      MATCH(
        1, 
        ('アイテム別限界値DB'!$B:$B = CD$4) * 
        ('アイテム別限界値DB'!$G:$G = CD9) * 
        ('アイテム別限界値DB'!$H:$H = CE9), 
        0
      )
    ), 
    "再製作"
  )
)
</f>
        <v>再製作</v>
      </c>
      <c r="CG9" s="419" t="str">
        <f t="array" ref="CG9">IF(
  CE9 = 0, 
  "", 
  IFERROR(
    INDEX(
      'アイテム別限界値DB'!$N:$N, 
      MATCH(
        1, 
        ('アイテム別限界値DB'!$B:$B = CD$4) * 
        ('アイテム別限界値DB'!$G:$G = CD9) * 
        ('アイテム別限界値DB'!$H:$H = CE9), 
        0
      )
    ), 
    "再製作"
  )
)
</f>
        <v>再製作</v>
      </c>
      <c r="CH9" s="327"/>
      <c r="CI9" s="327"/>
    </row>
    <row r="10" ht="26.25" customHeight="1">
      <c r="A10" s="420"/>
      <c r="B10" s="305" t="s">
        <v>197</v>
      </c>
      <c r="C10" s="420"/>
      <c r="D10" s="420" t="s">
        <v>60</v>
      </c>
      <c r="E10" s="421" t="s">
        <v>57</v>
      </c>
      <c r="F10" s="403"/>
      <c r="G10" s="422"/>
      <c r="H10" s="405" t="str">
        <f t="array" ref="H10">IF(
  G10 = 0, 
  "", 
  IFERROR(
    INDEX(
      'アイテム別限界値DB'!$K:$K, 
      MATCH(
        1, 
        ('アイテム別限界値DB'!$B:$B = D$4) * 
        ('アイテム別限界値DB'!$G:$G = D10) * 
        ('アイテム別限界値DB'!$H:$H = G10), 
        0
      )
    ), 
    "再製作"
  )
)
</f>
        <v/>
      </c>
      <c r="I10" s="397" t="str">
        <f t="array" ref="I10">IF(
  $G10 = 0, 
  "", 
  IFERROR(
    INDEX(
      'アイテム別限界値DB'!$N:$N, 
      MATCH(
        1, 
        ('アイテム別限界値DB'!$B:$B = $D$4) * 
        ('アイテム別限界値DB'!$G:$G = $D10) * 
        ('アイテム別限界値DB'!$H:$H = $G10), 
        0
      )
    )*F10, 
    "再製作"
  )
)
</f>
        <v/>
      </c>
      <c r="J10" s="388"/>
      <c r="K10" s="420" t="s">
        <v>198</v>
      </c>
      <c r="L10" s="414" t="s">
        <v>174</v>
      </c>
      <c r="M10" s="423"/>
      <c r="N10" s="422" t="s">
        <v>272</v>
      </c>
      <c r="O10" s="405" t="str">
        <f t="array" ref="O10">IF(
  $N10 = 0, 
  "", 
  IFERROR(
    INDEX(
      'アイテム別限界値DB'!$K:$K, 
      MATCH(
        1, 
        ('アイテム別限界値DB'!$B:$B = $K$4) * 
        ('アイテム別限界値DB'!$G:$G = $K10) * 
        ('アイテム別限界値DB'!$H:$H = $N10), 
        0
      )
    ), 
    "再製作"
  )
)
</f>
        <v>再製作</v>
      </c>
      <c r="P10" s="397" t="str">
        <f t="array" ref="P10">IF(
  $N10 = 0, 
  "", 
  IFERROR(
    INDEX(
      'アイテム別限界値DB'!$N:$N, 
      MATCH(
        1, 
        ('アイテム別限界値DB'!$B:$B = $K$4) * 
        ('アイテム別限界値DB'!$G:$G = $K10) * 
        ('アイテム別限界値DB'!$H:$H = $N10), 
        0
      )
    )*$M10, 
    "再製作"
  )
)
</f>
        <v>再製作</v>
      </c>
      <c r="Q10" s="389"/>
      <c r="R10" s="420" t="s">
        <v>199</v>
      </c>
      <c r="S10" s="421" t="s">
        <v>62</v>
      </c>
      <c r="T10" s="423"/>
      <c r="U10" s="422"/>
      <c r="V10" s="405" t="str">
        <f t="array" ref="V10">IF(
  $U10 = 0, 
  "", 
  IFERROR(
    INDEX(
      'アイテム別限界値DB'!$K:$K, 
      MATCH(
        1, 
        ('アイテム別限界値DB'!$B:$B = $R$4) * 
        ('アイテム別限界値DB'!$G:$G = $R10) * 
        ('アイテム別限界値DB'!$H:$H = $U10), 
        0
      )
    ), 
    "再製作"
  )
)
</f>
        <v/>
      </c>
      <c r="W10" s="397" t="str">
        <f t="array" ref="W10">IF(
  $U10 = 0, 
  "", 
  IFERROR(
    INDEX(
      'アイテム別限界値DB'!$N:$N, 
      MATCH(
        1, 
        ('アイテム別限界値DB'!$B:$B = $R$4) * 
        ('アイテム別限界値DB'!$G:$G = $R10) * 
        ('アイテム別限界値DB'!$H:$H = $U10), 
        0
      )
    )*T10, 
    "再製作"
  )
)
</f>
        <v/>
      </c>
      <c r="X10" s="389"/>
      <c r="Y10" s="420" t="s">
        <v>198</v>
      </c>
      <c r="Z10" s="421" t="s">
        <v>174</v>
      </c>
      <c r="AA10" s="423"/>
      <c r="AB10" s="422"/>
      <c r="AC10" s="405" t="str">
        <f t="array" ref="AC10">IF(
  $AB10 = 0, 
  "", 
  IFERROR(
    INDEX(
      'アイテム別限界値DB'!$K:$K, 
      MATCH(
        1, 
        ('アイテム別限界値DB'!$B:$B = $Y$4) * 
        ('アイテム別限界値DB'!$G:$G = $Y10) * 
        ('アイテム別限界値DB'!$H:$H = $AB10), 
        0
      )
    ), 
    "再製作"
  )
)
</f>
        <v/>
      </c>
      <c r="AD10" s="397" t="str">
        <f t="array" ref="AD10">IF(
  $AB10 = 0, 
  "", 
  IFERROR(
    INDEX(
      'アイテム別限界値DB'!$N:$N, 
      MATCH(
        1, 
        ('アイテム別限界値DB'!$B:$B = $Y$4) * 
        ('アイテム別限界値DB'!$G:$G = $Y10) * 
        ('アイテム別限界値DB'!$H:$H = $AB10), 
        0
      )
    )*AA10, 
    "再製作"
  )
)
</f>
        <v/>
      </c>
      <c r="AE10" s="424"/>
      <c r="AF10" s="420" t="s">
        <v>63</v>
      </c>
      <c r="AG10" s="421" t="s">
        <v>63</v>
      </c>
      <c r="AH10" s="423"/>
      <c r="AI10" s="422"/>
      <c r="AJ10" s="405" t="str">
        <f t="array" ref="AJ10">IF(
  $AI10 = 0, 
  "", 
  IFERROR(
    INDEX(
      'アイテム別限界値DB'!$K:$K, 
      MATCH(
        1, 
        ('アイテム別限界値DB'!$B:$B = AF$4) * 
        ('アイテム別限界値DB'!$G:$G = $AF10) * 
        ('アイテム別限界値DB'!$H:$H = $AI10), 
        0
      )
    ), 
    "再製作"
  )
)
</f>
        <v/>
      </c>
      <c r="AK10" s="397" t="str">
        <f t="array" ref="AK10">IF(
  $AI10 = 0, 
  "", 
  IFERROR(
    INDEX(
      'アイテム別限界値DB'!$N:$N, 
      MATCH(
        1, 
        ('アイテム別限界値DB'!$B:$B = $AF$4) * 
        ('アイテム別限界値DB'!$G:$G = $AF10) * 
        ('アイテム別限界値DB'!$H:$H = $AI10), 
        0
      )
    )*AH10, 
    "再製作"
  )
)
</f>
        <v/>
      </c>
      <c r="AL10" s="327"/>
      <c r="AM10" s="420" t="s">
        <v>57</v>
      </c>
      <c r="AN10" s="425" t="s">
        <v>57</v>
      </c>
      <c r="AO10" s="423"/>
      <c r="AP10" s="422"/>
      <c r="AQ10" s="405" t="str">
        <f t="array" ref="AQ10">IF(
  $AP10 = 0, 
  "", 
  IFERROR(
    INDEX(
      'アイテム別限界値DB'!$K:$K, 
      MATCH(
        1, 
        ('アイテム別限界値DB'!$B:$B = $AM$4) * 
        ('アイテム別限界値DB'!$G:$G = $AM10) * 
        ('アイテム別限界値DB'!$H:$H = $AP10), 
        0
      )
    ), 
    "再製作"
  )
)
</f>
        <v/>
      </c>
      <c r="AR10" s="397" t="str">
        <f t="array" ref="AR10">IF(
  $AP10 = 0, 
  "", 
  IFERROR(
    INDEX(
      'アイテム別限界値DB'!$N:$N, 
      MATCH(
        1, 
        ('アイテム別限界値DB'!$B:$B = $AM$4) * 
        ('アイテム別限界値DB'!$G:$G = $AM10) * 
        ('アイテム別限界値DB'!$H:$H = $AP10), 
        0
      )
    )*AO10, 
    "再製作"
  )
)
</f>
        <v/>
      </c>
      <c r="AS10" s="327"/>
      <c r="AT10" s="425" t="s">
        <v>200</v>
      </c>
      <c r="AU10" s="423"/>
      <c r="AV10" s="426"/>
      <c r="AW10" s="405" t="str">
        <f t="array" ref="AW10">IF(
  $AV10 = 0, 
  "", 
  IFERROR(
    INDEX(
      'アイテム別限界値DB'!$K:$K, 
      MATCH(
        1, 
        ('アイテム別限界値DB'!$B:$B = $AT$4) * 
        ('アイテム別限界値DB'!$G:$G = $AT10) * 
        ('アイテム別限界値DB'!$H:$H = $AV10), 
        0
      )
    ), 
    "再製作"
  )
)
</f>
        <v/>
      </c>
      <c r="AX10" s="397" t="str">
        <f t="array" ref="AX10">IF(
  $AV10 = 0, 
  "", 
  IFERROR(
    INDEX(
      'アイテム別限界値DB'!$N:$N, 
      MATCH(
        1, 
        ('アイテム別限界値DB'!$B:$B = $AT$4) * 
        ('アイテム別限界値DB'!$G:$G = $AT10) * 
        ('アイテム別限界値DB'!$H:$H = $AV10), 
        0
      )
    )*AU10, 
    "再製作"
  )
)
</f>
        <v/>
      </c>
      <c r="AY10" s="327"/>
      <c r="AZ10" s="425" t="s">
        <v>200</v>
      </c>
      <c r="BA10" s="423"/>
      <c r="BB10" s="422"/>
      <c r="BC10" s="405" t="str">
        <f t="array" ref="BC10">IF(
  $BB10 = 0, 
  "", 
  IFERROR(
    INDEX(
      'アイテム別限界値DB'!$K:$K, 
      MATCH(
        1, 
        ('アイテム別限界値DB'!$B:$B = $AZ$4) * 
        ('アイテム別限界値DB'!$G:$G = $AZ10) * 
        ('アイテム別限界値DB'!$H:$H = $BB10), 
        0
      )
    ), 
    "再製作"
  )
)
</f>
        <v/>
      </c>
      <c r="BD10" s="397" t="str">
        <f t="array" ref="BD10">IF(
  $BB10 = 0, 
  "", 
  IFERROR(
    INDEX(
      'アイテム別限界値DB'!$N:$N, 
      MATCH(
        1, 
        ('アイテム別限界値DB'!$B:$B = $AZ$4) * 
        ('アイテム別限界値DB'!$G:$G = $AZ10) * 
        ('アイテム別限界値DB'!$H:$H = $BB10), 
        0
      )
    )*BA10, 
    "再製作"
  )
)
</f>
        <v/>
      </c>
      <c r="BE10" s="327"/>
      <c r="BF10" s="425" t="s">
        <v>200</v>
      </c>
      <c r="BG10" s="423"/>
      <c r="BH10" s="422"/>
      <c r="BI10" s="405" t="str">
        <f t="array" ref="BI10">IF(
  $BH10 = 0, 
  "", 
  IFERROR(
    INDEX(
      'アイテム別限界値DB'!$K:$K, 
      MATCH(
        1, 
        ('アイテム別限界値DB'!$B:$B = $BF$4) * 
        ('アイテム別限界値DB'!$G:$G = $BF10) * 
        ('アイテム別限界値DB'!$H:$H = $BH10), 
        0
      )
    ), 
    "再製作"
  )
)
</f>
        <v/>
      </c>
      <c r="BJ10" s="397" t="str">
        <f t="array" ref="BJ10">IF(
  $BH10 = 0, 
  "", 
  IFERROR(
    INDEX(
      'アイテム別限界値DB'!$N:$N, 
      MATCH(
        1, 
        ('アイテム別限界値DB'!$B:$B = $BF$4) * 
        ('アイテム別限界値DB'!$G:$G = $BF10) * 
        ('アイテム別限界値DB'!$H:$H = $BH10), 
        0
      )
    )*BG10, 
    "再製作"
  )
)
</f>
        <v/>
      </c>
      <c r="BK10" s="327"/>
      <c r="BL10" s="425" t="s">
        <v>201</v>
      </c>
      <c r="BM10" s="423"/>
      <c r="BN10" s="422"/>
      <c r="BO10" s="405" t="str">
        <f t="array" ref="BO10">IF(
  $BN10 = 0, 
  "", 
  IFERROR(
    INDEX(
      'アイテム別限界値DB'!$K:$K, 
      MATCH(
        1, 
        ('アイテム別限界値DB'!$B:$B = $BL$4) * 
        ('アイテム別限界値DB'!$G:$G = $BL10) * 
        ('アイテム別限界値DB'!$H:$H = $BN10), 
        0
      )
    ), 
    "再製作"
  )
)
</f>
        <v/>
      </c>
      <c r="BP10" s="397" t="str">
        <f t="array" ref="BP10">IF(
  $BN10 = 0, 
  "", 
  IFERROR(
    INDEX(
      'アイテム別限界値DB'!$N:$N, 
      MATCH(
        1, 
        ('アイテム別限界値DB'!$B:$B = $BL$4) * 
        ('アイテム別限界値DB'!$G:$G = $BL10) * 
        ('アイテム別限界値DB'!$H:$H = $BN10), 
        0
      )
    )*BM10, 
    "再製作"
  )
)
</f>
        <v/>
      </c>
      <c r="BQ10" s="327"/>
      <c r="BR10" s="425" t="s">
        <v>57</v>
      </c>
      <c r="BS10" s="423"/>
      <c r="BT10" s="422"/>
      <c r="BU10" s="405" t="str">
        <f t="array" ref="BU10">IF(
  $BT10 = 0, 
  "", 
  IFERROR(
    INDEX(
      'アイテム別限界値DB'!$K:$K, 
      MATCH(
        1, 
        ('アイテム別限界値DB'!$B:$B = $BR$4) * 
        ('アイテム別限界値DB'!$G:$G = $BR10) * 
        ('アイテム別限界値DB'!$H:$H = $BT10), 
        0
      )
    ), 
    "再製作"
  )
)
</f>
        <v/>
      </c>
      <c r="BV10" s="397" t="str">
        <f t="array" ref="BV10">IF(
  $BT10 = 0, 
  "", 
  IFERROR(
    INDEX(
      'アイテム別限界値DB'!$N:$N, 
      MATCH(
        1, 
        ('アイテム別限界値DB'!$B:$B = $BR$4) * 
        ('アイテム別限界値DB'!$G:$G = $BR10) * 
        ('アイテム別限界値DB'!$H:$H = $BT10), 
        0
      )
    )*BS10, 
    "再製作"
  )
)
</f>
        <v/>
      </c>
      <c r="BW10" s="327"/>
      <c r="BX10" s="425" t="s">
        <v>57</v>
      </c>
      <c r="BY10" s="423"/>
      <c r="BZ10" s="422"/>
      <c r="CA10" s="405" t="str">
        <f t="array" ref="CA10">IF(
  $BZ10 = 0, 
  "", 
  IFERROR(
    INDEX(
      'アイテム別限界値DB'!$K:$K, 
      MATCH(
        1, 
        ('アイテム別限界値DB'!$B:$B = $BX$4) * 
        ('アイテム別限界値DB'!$G:$G = $BX10) * 
        ('アイテム別限界値DB'!$H:$H = $BZ10), 
        0
      )
    ), 
    "再製作"
  )
)
</f>
        <v/>
      </c>
      <c r="CB10" s="397" t="str">
        <f t="array" ref="CB10">IF(
  $BZ10 = 0, 
  "", 
  IFERROR(
    INDEX(
      'アイテム別限界値DB'!$N:$N, 
      MATCH(
        1, 
        ('アイテム別限界値DB'!$B:$B = $BX$4) * 
        ('アイテム別限界値DB'!$G:$G = $BX10) * 
        ('アイテム別限界値DB'!$H:$H = $BZ10), 
        0
      )
    )*BY10, 
    "再製作"
  )
)
</f>
        <v/>
      </c>
      <c r="CC10" s="402"/>
      <c r="CD10" s="425"/>
      <c r="CE10" s="407" t="s">
        <v>59</v>
      </c>
      <c r="CF10" s="405" t="str">
        <f t="array" ref="CF10">IF(
  CE10 = 0, 
  "", 
  IFERROR(
    INDEX(
      'アイテム別限界値DB'!$K:$K, 
      MATCH(
        1, 
        ('アイテム別限界値DB'!$B:$B = CD$4) * 
        ('アイテム別限界値DB'!$G:$G = CD10) * 
        ('アイテム別限界値DB'!$H:$H = CE10), 
        0
      )
    ), 
    "再製作"
  )
)
</f>
        <v>再製作</v>
      </c>
      <c r="CG10" s="419" t="str">
        <f t="array" ref="CG10">IF(
  CE10 = 0, 
  "", 
  IFERROR(
    INDEX(
      'アイテム別限界値DB'!$N:$N, 
      MATCH(
        1, 
        ('アイテム別限界値DB'!$B:$B = CD$4) * 
        ('アイテム別限界値DB'!$G:$G = CD10) * 
        ('アイテム別限界値DB'!$H:$H = CE10), 
        0
      )
    ), 
    "再製作"
  )
)
</f>
        <v>再製作</v>
      </c>
      <c r="CH10" s="327"/>
      <c r="CI10" s="327"/>
    </row>
    <row r="11" ht="26.25" customHeight="1">
      <c r="A11" s="412"/>
      <c r="B11" s="228" t="str">
        <f>IFERROR(__xludf.DUMMYFUNCTION("TEXTJOIN(CHAR(10),TRUE,FILTER(ARRAYFORMULA(IF(Q$14:Q70&lt;&gt;"""",P$14:P70 &amp;"" : ""&amp; Q$14:Q70 &amp;"" cm"","""")), P$14:P70 &lt;&gt;""""))"),"")</f>
        <v/>
      </c>
      <c r="C11" s="412"/>
      <c r="D11" s="412" t="s">
        <v>65</v>
      </c>
      <c r="E11" s="413" t="s">
        <v>71</v>
      </c>
      <c r="F11" s="403"/>
      <c r="G11" s="404"/>
      <c r="H11" s="405" t="str">
        <f t="array" ref="H11">IF(
  G11 = 0, 
  "", 
  IFERROR(
    INDEX(
      'アイテム別限界値DB'!$K:$K, 
      MATCH(
        1, 
        ('アイテム別限界値DB'!$B:$B = D$4) * 
        ('アイテム別限界値DB'!$G:$G = D11) * 
        ('アイテム別限界値DB'!$H:$H = G11), 
        0
      )
    ), 
    "再製作"
  )
)
</f>
        <v/>
      </c>
      <c r="I11" s="397" t="str">
        <f t="array" ref="I11">IF(
  $G11 = 0, 
  "", 
  IFERROR(
    INDEX(
      'アイテム別限界値DB'!$N:$N, 
      MATCH(
        1, 
        ('アイテム別限界値DB'!$B:$B = $D$4) * 
        ('アイテム別限界値DB'!$G:$G = $D11) * 
        ('アイテム別限界値DB'!$H:$H = $G11), 
        0
      )
    )*F11, 
    "再製作"
  )
)
</f>
        <v/>
      </c>
      <c r="J11" s="388"/>
      <c r="K11" s="412" t="s">
        <v>202</v>
      </c>
      <c r="L11" s="414" t="s">
        <v>78</v>
      </c>
      <c r="M11" s="406"/>
      <c r="N11" s="404"/>
      <c r="O11" s="405" t="str">
        <f t="array" ref="O11">IF(
  $N11 = 0, 
  "", 
  IFERROR(
    INDEX(
      'アイテム別限界値DB'!$K:$K, 
      MATCH(
        1, 
        ('アイテム別限界値DB'!$B:$B = $K$4) * 
        ('アイテム別限界値DB'!$G:$G = $K11) * 
        ('アイテム別限界値DB'!$H:$H = $N11), 
        0
      )
    ), 
    "再製作"
  )
)
</f>
        <v/>
      </c>
      <c r="P11" s="397" t="str">
        <f t="array" ref="P11">IF(
  $N11 = 0, 
  "", 
  IFERROR(
    INDEX(
      'アイテム別限界値DB'!$N:$N, 
      MATCH(
        1, 
        ('アイテム別限界値DB'!$B:$B = $K$4) * 
        ('アイテム別限界値DB'!$G:$G = $K11) * 
        ('アイテム別限界値DB'!$H:$H = $N11), 
        0
      )
    )*$M11, 
    "再製作"
  )
)
</f>
        <v/>
      </c>
      <c r="Q11" s="389"/>
      <c r="R11" s="412" t="s">
        <v>67</v>
      </c>
      <c r="S11" s="413" t="s">
        <v>67</v>
      </c>
      <c r="T11" s="406"/>
      <c r="U11" s="404"/>
      <c r="V11" s="405" t="str">
        <f t="array" ref="V11">IF(
  $U11 = 0, 
  "", 
  IFERROR(
    INDEX(
      'アイテム別限界値DB'!$K:$K, 
      MATCH(
        1, 
        ('アイテム別限界値DB'!$B:$B = $R$4) * 
        ('アイテム別限界値DB'!$G:$G = $R11) * 
        ('アイテム別限界値DB'!$H:$H = $U11), 
        0
      )
    ), 
    "再製作"
  )
)
</f>
        <v/>
      </c>
      <c r="W11" s="397" t="str">
        <f t="array" ref="W11">IF(
  $U11 = 0, 
  "", 
  IFERROR(
    INDEX(
      'アイテム別限界値DB'!$N:$N, 
      MATCH(
        1, 
        ('アイテム別限界値DB'!$B:$B = $R$4) * 
        ('アイテム別限界値DB'!$G:$G = $R11) * 
        ('アイテム別限界値DB'!$H:$H = $U11), 
        0
      )
    )*T11, 
    "再製作"
  )
)
</f>
        <v/>
      </c>
      <c r="X11" s="327"/>
      <c r="Y11" s="412" t="s">
        <v>203</v>
      </c>
      <c r="Z11" s="413" t="s">
        <v>78</v>
      </c>
      <c r="AA11" s="406"/>
      <c r="AB11" s="404"/>
      <c r="AC11" s="405" t="str">
        <f t="array" ref="AC11">IF(
  $AB11 = 0, 
  "", 
  IFERROR(
    INDEX(
      'アイテム別限界値DB'!$K:$K, 
      MATCH(
        1, 
        ('アイテム別限界値DB'!$B:$B = $Y$4) * 
        ('アイテム別限界値DB'!$G:$G = $Y11) * 
        ('アイテム別限界値DB'!$H:$H = $AB11), 
        0
      )
    ), 
    "再製作"
  )
)
</f>
        <v/>
      </c>
      <c r="AD11" s="397" t="str">
        <f t="array" ref="AD11">IF(
  $AB11 = 0, 
  "", 
  IFERROR(
    INDEX(
      'アイテム別限界値DB'!$N:$N, 
      MATCH(
        1, 
        ('アイテム別限界値DB'!$B:$B = $Y$4) * 
        ('アイテム別限界値DB'!$G:$G = $Y11) * 
        ('アイテム別限界値DB'!$H:$H = $AB11), 
        0
      )
    )*AA11, 
    "再製作"
  )
)
</f>
        <v/>
      </c>
      <c r="AE11" s="424"/>
      <c r="AF11" s="412" t="s">
        <v>57</v>
      </c>
      <c r="AG11" s="413" t="s">
        <v>57</v>
      </c>
      <c r="AH11" s="406"/>
      <c r="AI11" s="404"/>
      <c r="AJ11" s="405" t="str">
        <f t="array" ref="AJ11">IF(
  $AI11 = 0, 
  "", 
  IFERROR(
    INDEX(
      'アイテム別限界値DB'!$K:$K, 
      MATCH(
        1, 
        ('アイテム別限界値DB'!$B:$B = AF$4) * 
        ('アイテム別限界値DB'!$G:$G = $AF11) * 
        ('アイテム別限界値DB'!$H:$H = $AI11), 
        0
      )
    ), 
    "再製作"
  )
)
</f>
        <v/>
      </c>
      <c r="AK11" s="397" t="str">
        <f t="array" ref="AK11">IF(
  $AI11 = 0, 
  "", 
  IFERROR(
    INDEX(
      'アイテム別限界値DB'!$N:$N, 
      MATCH(
        1, 
        ('アイテム別限界値DB'!$B:$B = $AF$4) * 
        ('アイテム別限界値DB'!$G:$G = $AF11) * 
        ('アイテム別限界値DB'!$H:$H = $AI11), 
        0
      )
    )*AH11, 
    "再製作"
  )
)
</f>
        <v/>
      </c>
      <c r="AL11" s="327"/>
      <c r="AM11" s="412" t="s">
        <v>69</v>
      </c>
      <c r="AN11" s="416" t="s">
        <v>69</v>
      </c>
      <c r="AO11" s="406"/>
      <c r="AP11" s="404"/>
      <c r="AQ11" s="405" t="str">
        <f t="array" ref="AQ11">IF(
  $AP11 = 0, 
  "", 
  IFERROR(
    INDEX(
      'アイテム別限界値DB'!$K:$K, 
      MATCH(
        1, 
        ('アイテム別限界値DB'!$B:$B = $AM$4) * 
        ('アイテム別限界値DB'!$G:$G = $AM11) * 
        ('アイテム別限界値DB'!$H:$H = $AP11), 
        0
      )
    ), 
    "再製作"
  )
)
</f>
        <v/>
      </c>
      <c r="AR11" s="397" t="str">
        <f t="array" ref="AR11">IF(
  $AP11 = 0, 
  "", 
  IFERROR(
    INDEX(
      'アイテム別限界値DB'!$N:$N, 
      MATCH(
        1, 
        ('アイテム別限界値DB'!$B:$B = $AM$4) * 
        ('アイテム別限界値DB'!$G:$G = $AM11) * 
        ('アイテム別限界値DB'!$H:$H = $AP11), 
        0
      )
    )*AO11, 
    "再製作"
  )
)
</f>
        <v/>
      </c>
      <c r="AS11" s="327"/>
      <c r="AT11" s="416" t="s">
        <v>204</v>
      </c>
      <c r="AU11" s="406"/>
      <c r="AV11" s="417"/>
      <c r="AW11" s="405" t="str">
        <f t="array" ref="AW11">IF(
  $AV11 = 0, 
  "", 
  IFERROR(
    INDEX(
      'アイテム別限界値DB'!$K:$K, 
      MATCH(
        1, 
        ('アイテム別限界値DB'!$B:$B = $AT$4) * 
        ('アイテム別限界値DB'!$G:$G = $AT11) * 
        ('アイテム別限界値DB'!$H:$H = $AV11), 
        0
      )
    ), 
    "再製作"
  )
)
</f>
        <v/>
      </c>
      <c r="AX11" s="397" t="str">
        <f t="array" ref="AX11">IF(
  $AV11 = 0, 
  "", 
  IFERROR(
    INDEX(
      'アイテム別限界値DB'!$N:$N, 
      MATCH(
        1, 
        ('アイテム別限界値DB'!$B:$B = $AT$4) * 
        ('アイテム別限界値DB'!$G:$G = $AT11) * 
        ('アイテム別限界値DB'!$H:$H = $AV11), 
        0
      )
    )*AU11, 
    "再製作"
  )
)
</f>
        <v/>
      </c>
      <c r="AY11" s="327"/>
      <c r="AZ11" s="416" t="s">
        <v>71</v>
      </c>
      <c r="BA11" s="406"/>
      <c r="BB11" s="404"/>
      <c r="BC11" s="405" t="str">
        <f t="array" ref="BC11">IF(
  $BB11 = 0, 
  "", 
  IFERROR(
    INDEX(
      'アイテム別限界値DB'!$K:$K, 
      MATCH(
        1, 
        ('アイテム別限界値DB'!$B:$B = $AZ$4) * 
        ('アイテム別限界値DB'!$G:$G = $AZ11) * 
        ('アイテム別限界値DB'!$H:$H = $BB11), 
        0
      )
    ), 
    "再製作"
  )
)
</f>
        <v/>
      </c>
      <c r="BD11" s="397" t="str">
        <f t="array" ref="BD11">IF(
  $BB11 = 0, 
  "", 
  IFERROR(
    INDEX(
      'アイテム別限界値DB'!$N:$N, 
      MATCH(
        1, 
        ('アイテム別限界値DB'!$B:$B = $AZ$4) * 
        ('アイテム別限界値DB'!$G:$G = $AZ11) * 
        ('アイテム別限界値DB'!$H:$H = $BB11), 
        0
      )
    )*BA11, 
    "再製作"
  )
)
</f>
        <v/>
      </c>
      <c r="BE11" s="327"/>
      <c r="BF11" s="416" t="s">
        <v>205</v>
      </c>
      <c r="BG11" s="406"/>
      <c r="BH11" s="404"/>
      <c r="BI11" s="405" t="str">
        <f t="array" ref="BI11">IF(
  $BH11 = 0, 
  "", 
  IFERROR(
    INDEX(
      'アイテム別限界値DB'!$K:$K, 
      MATCH(
        1, 
        ('アイテム別限界値DB'!$B:$B = $BF$4) * 
        ('アイテム別限界値DB'!$G:$G = $BF11) * 
        ('アイテム別限界値DB'!$H:$H = $BH11), 
        0
      )
    ), 
    "再製作"
  )
)
</f>
        <v/>
      </c>
      <c r="BJ11" s="397" t="str">
        <f t="array" ref="BJ11">IF(
  $BH11 = 0, 
  "", 
  IFERROR(
    INDEX(
      'アイテム別限界値DB'!$N:$N, 
      MATCH(
        1, 
        ('アイテム別限界値DB'!$B:$B = $BF$4) * 
        ('アイテム別限界値DB'!$G:$G = $BF11) * 
        ('アイテム別限界値DB'!$H:$H = $BH11), 
        0
      )
    )*BG11, 
    "再製作"
  )
)
</f>
        <v/>
      </c>
      <c r="BK11" s="327"/>
      <c r="BL11" s="416" t="s">
        <v>71</v>
      </c>
      <c r="BM11" s="406"/>
      <c r="BN11" s="404"/>
      <c r="BO11" s="405" t="str">
        <f t="array" ref="BO11">IF(
  $BN11 = 0, 
  "", 
  IFERROR(
    INDEX(
      'アイテム別限界値DB'!$K:$K, 
      MATCH(
        1, 
        ('アイテム別限界値DB'!$B:$B = $BL$4) * 
        ('アイテム別限界値DB'!$G:$G = $BL11) * 
        ('アイテム別限界値DB'!$H:$H = $BN11), 
        0
      )
    ), 
    "再製作"
  )
)
</f>
        <v/>
      </c>
      <c r="BP11" s="397" t="str">
        <f t="array" ref="BP11">IF(
  $BN11 = 0, 
  "", 
  IFERROR(
    INDEX(
      'アイテム別限界値DB'!$N:$N, 
      MATCH(
        1, 
        ('アイテム別限界値DB'!$B:$B = $BL$4) * 
        ('アイテム別限界値DB'!$G:$G = $BL11) * 
        ('アイテム別限界値DB'!$H:$H = $BN11), 
        0
      )
    )*BM11, 
    "再製作"
  )
)
</f>
        <v/>
      </c>
      <c r="BQ11" s="327"/>
      <c r="BR11" s="416" t="s">
        <v>71</v>
      </c>
      <c r="BS11" s="406"/>
      <c r="BT11" s="404"/>
      <c r="BU11" s="405" t="str">
        <f t="array" ref="BU11">IF(
  $BT11 = 0, 
  "", 
  IFERROR(
    INDEX(
      'アイテム別限界値DB'!$K:$K, 
      MATCH(
        1, 
        ('アイテム別限界値DB'!$B:$B = $BR$4) * 
        ('アイテム別限界値DB'!$G:$G = $BR11) * 
        ('アイテム別限界値DB'!$H:$H = $BT11), 
        0
      )
    ), 
    "再製作"
  )
)
</f>
        <v/>
      </c>
      <c r="BV11" s="397" t="str">
        <f t="array" ref="BV11">IF(
  $BT11 = 0, 
  "", 
  IFERROR(
    INDEX(
      'アイテム別限界値DB'!$N:$N, 
      MATCH(
        1, 
        ('アイテム別限界値DB'!$B:$B = $BR$4) * 
        ('アイテム別限界値DB'!$G:$G = $BR11) * 
        ('アイテム別限界値DB'!$H:$H = $BT11), 
        0
      )
    )*BS11, 
    "再製作"
  )
)
</f>
        <v/>
      </c>
      <c r="BW11" s="327"/>
      <c r="BX11" s="416" t="s">
        <v>71</v>
      </c>
      <c r="BY11" s="406"/>
      <c r="BZ11" s="404"/>
      <c r="CA11" s="405" t="str">
        <f t="array" ref="CA11">IF(
  $BZ11 = 0, 
  "", 
  IFERROR(
    INDEX(
      'アイテム別限界値DB'!$K:$K, 
      MATCH(
        1, 
        ('アイテム別限界値DB'!$B:$B = $BX$4) * 
        ('アイテム別限界値DB'!$G:$G = $BX11) * 
        ('アイテム別限界値DB'!$H:$H = $BZ11), 
        0
      )
    ), 
    "再製作"
  )
)
</f>
        <v/>
      </c>
      <c r="CB11" s="397" t="str">
        <f t="array" ref="CB11">IF(
  $BZ11 = 0, 
  "", 
  IFERROR(
    INDEX(
      'アイテム別限界値DB'!$N:$N, 
      MATCH(
        1, 
        ('アイテム別限界値DB'!$B:$B = $BX$4) * 
        ('アイテム別限界値DB'!$G:$G = $BX11) * 
        ('アイテム別限界値DB'!$H:$H = $BZ11), 
        0
      )
    )*BY11, 
    "再製作"
  )
)
</f>
        <v/>
      </c>
      <c r="CC11" s="402"/>
      <c r="CD11" s="416"/>
      <c r="CE11" s="418" t="s">
        <v>59</v>
      </c>
      <c r="CF11" s="405" t="str">
        <f t="array" ref="CF11">IF(
  CE11 = 0, 
  "", 
  IFERROR(
    INDEX(
      'アイテム別限界値DB'!$K:$K, 
      MATCH(
        1, 
        ('アイテム別限界値DB'!$B:$B = CD$4) * 
        ('アイテム別限界値DB'!$G:$G = CD11) * 
        ('アイテム別限界値DB'!$H:$H = CE11), 
        0
      )
    ), 
    "再製作"
  )
)
</f>
        <v>再製作</v>
      </c>
      <c r="CG11" s="419" t="str">
        <f t="array" ref="CG11">IF(
  CE11 = 0, 
  "", 
  IFERROR(
    INDEX(
      'アイテム別限界値DB'!$N:$N, 
      MATCH(
        1, 
        ('アイテム別限界値DB'!$B:$B = CD$4) * 
        ('アイテム別限界値DB'!$G:$G = CD11) * 
        ('アイテム別限界値DB'!$H:$H = CE11), 
        0
      )
    ), 
    "再製作"
  )
)
</f>
        <v>再製作</v>
      </c>
      <c r="CH11" s="327"/>
      <c r="CI11" s="327"/>
    </row>
    <row r="12" ht="26.25" customHeight="1">
      <c r="A12" s="427"/>
      <c r="B12" s="305" t="s">
        <v>206</v>
      </c>
      <c r="C12" s="427"/>
      <c r="D12" s="427" t="s">
        <v>72</v>
      </c>
      <c r="E12" s="421" t="s">
        <v>62</v>
      </c>
      <c r="F12" s="403"/>
      <c r="G12" s="422"/>
      <c r="H12" s="405" t="str">
        <f t="array" ref="H12">IF(
  G12 = 0, 
  "", 
  IFERROR(
    INDEX(
      'アイテム別限界値DB'!$K:$K, 
      MATCH(
        1, 
        ('アイテム別限界値DB'!$B:$B = D$4) * 
        ('アイテム別限界値DB'!$G:$G = D12) * 
        ('アイテム別限界値DB'!$H:$H = G12), 
        0
      )
    ), 
    "再製作"
  )
)
</f>
        <v/>
      </c>
      <c r="I12" s="397" t="str">
        <f t="array" ref="I12">IF(
  $G12 = 0, 
  "", 
  IFERROR(
    INDEX(
      'アイテム別限界値DB'!$N:$N, 
      MATCH(
        1, 
        ('アイテム別限界値DB'!$B:$B = $D$4) * 
        ('アイテム別限界値DB'!$G:$G = $D12) * 
        ('アイテム別限界値DB'!$H:$H = $G12), 
        0
      )
    )*F12, 
    "再製作"
  )
)
</f>
        <v/>
      </c>
      <c r="J12" s="388"/>
      <c r="K12" s="427" t="s">
        <v>207</v>
      </c>
      <c r="L12" s="414" t="s">
        <v>82</v>
      </c>
      <c r="M12" s="423"/>
      <c r="N12" s="422"/>
      <c r="O12" s="405" t="str">
        <f t="array" ref="O12">IF(
  $N12 = 0, 
  "", 
  IFERROR(
    INDEX(
      'アイテム別限界値DB'!$K:$K, 
      MATCH(
        1, 
        ('アイテム別限界値DB'!$B:$B = $K$4) * 
        ('アイテム別限界値DB'!$G:$G = $K12) * 
        ('アイテム別限界値DB'!$H:$H = $N12), 
        0
      )
    ), 
    "再製作"
  )
)
</f>
        <v/>
      </c>
      <c r="P12" s="397" t="str">
        <f t="array" ref="P12">IF(
  $N12 = 0, 
  "", 
  IFERROR(
    INDEX(
      'アイテム別限界値DB'!$N:$N, 
      MATCH(
        1, 
        ('アイテム別限界値DB'!$B:$B = $K$4) * 
        ('アイテム別限界値DB'!$G:$G = $K12) * 
        ('アイテム別限界値DB'!$H:$H = $N12), 
        0
      )
    )*$M12, 
    "再製作"
  )
)
</f>
        <v/>
      </c>
      <c r="Q12" s="389"/>
      <c r="R12" s="427" t="s">
        <v>74</v>
      </c>
      <c r="S12" s="421" t="s">
        <v>74</v>
      </c>
      <c r="T12" s="423"/>
      <c r="U12" s="404"/>
      <c r="V12" s="405" t="str">
        <f t="array" ref="V12">IF(
  $U12 = 0, 
  "", 
  IFERROR(
    INDEX(
      'アイテム別限界値DB'!$K:$K, 
      MATCH(
        1, 
        ('アイテム別限界値DB'!$B:$B = $R$4) * 
        ('アイテム別限界値DB'!$G:$G = $R12) * 
        ('アイテム別限界値DB'!$H:$H = $U12), 
        0
      )
    ), 
    "再製作"
  )
)
</f>
        <v/>
      </c>
      <c r="W12" s="397" t="str">
        <f t="array" ref="W12">IF(
  $U12 = 0, 
  "", 
  IFERROR(
    INDEX(
      'アイテム別限界値DB'!$N:$N, 
      MATCH(
        1, 
        ('アイテム別限界値DB'!$B:$B = $R$4) * 
        ('アイテム別限界値DB'!$G:$G = $R12) * 
        ('アイテム別限界値DB'!$H:$H = $U12), 
        0
      )
    )*T12, 
    "再製作"
  )
)
</f>
        <v/>
      </c>
      <c r="X12" s="327"/>
      <c r="Y12" s="427" t="s">
        <v>208</v>
      </c>
      <c r="Z12" s="421" t="s">
        <v>82</v>
      </c>
      <c r="AA12" s="423"/>
      <c r="AB12" s="404"/>
      <c r="AC12" s="405" t="str">
        <f t="array" ref="AC12">IF(
  $AB12 = 0, 
  "", 
  IFERROR(
    INDEX(
      'アイテム別限界値DB'!$K:$K, 
      MATCH(
        1, 
        ('アイテム別限界値DB'!$B:$B = $Y$4) * 
        ('アイテム別限界値DB'!$G:$G = $Y12) * 
        ('アイテム別限界値DB'!$H:$H = $AB12), 
        0
      )
    ), 
    "再製作"
  )
)
</f>
        <v/>
      </c>
      <c r="AD12" s="397" t="str">
        <f t="array" ref="AD12">IF(
  $AB12 = 0, 
  "", 
  IFERROR(
    INDEX(
      'アイテム別限界値DB'!$N:$N, 
      MATCH(
        1, 
        ('アイテム別限界値DB'!$B:$B = $Y$4) * 
        ('アイテム別限界値DB'!$G:$G = $Y12) * 
        ('アイテム別限界値DB'!$H:$H = $AB12), 
        0
      )
    )*AA12, 
    "再製作"
  )
)
</f>
        <v/>
      </c>
      <c r="AE12" s="332"/>
      <c r="AF12" s="427" t="s">
        <v>69</v>
      </c>
      <c r="AG12" s="421" t="s">
        <v>69</v>
      </c>
      <c r="AH12" s="423"/>
      <c r="AI12" s="422"/>
      <c r="AJ12" s="405" t="str">
        <f t="array" ref="AJ12">IF(
  $AI12 = 0, 
  "", 
  IFERROR(
    INDEX(
      'アイテム別限界値DB'!$K:$K, 
      MATCH(
        1, 
        ('アイテム別限界値DB'!$B:$B = AF$4) * 
        ('アイテム別限界値DB'!$G:$G = $AF12) * 
        ('アイテム別限界値DB'!$H:$H = $AI12), 
        0
      )
    ), 
    "再製作"
  )
)
</f>
        <v/>
      </c>
      <c r="AK12" s="397" t="str">
        <f t="array" ref="AK12">IF(
  $AI12 = 0, 
  "", 
  IFERROR(
    INDEX(
      'アイテム別限界値DB'!$N:$N, 
      MATCH(
        1, 
        ('アイテム別限界値DB'!$B:$B = $AF$4) * 
        ('アイテム別限界値DB'!$G:$G = $AF12) * 
        ('アイテム別限界値DB'!$H:$H = $AI12), 
        0
      )
    )*AH12, 
    "再製作"
  )
)
</f>
        <v/>
      </c>
      <c r="AL12" s="327"/>
      <c r="AM12" s="427" t="s">
        <v>76</v>
      </c>
      <c r="AN12" s="428" t="s">
        <v>76</v>
      </c>
      <c r="AO12" s="423"/>
      <c r="AP12" s="422"/>
      <c r="AQ12" s="405" t="str">
        <f t="array" ref="AQ12">IF(
  $AP12 = 0, 
  "", 
  IFERROR(
    INDEX(
      'アイテム別限界値DB'!$K:$K, 
      MATCH(
        1, 
        ('アイテム別限界値DB'!$B:$B = $AM$4) * 
        ('アイテム別限界値DB'!$G:$G = $AM12) * 
        ('アイテム別限界値DB'!$H:$H = $AP12), 
        0
      )
    ), 
    "再製作"
  )
)
</f>
        <v/>
      </c>
      <c r="AR12" s="397" t="str">
        <f t="array" ref="AR12">IF(
  $AP12 = 0, 
  "", 
  IFERROR(
    INDEX(
      'アイテム別限界値DB'!$N:$N, 
      MATCH(
        1, 
        ('アイテム別限界値DB'!$B:$B = $AM$4) * 
        ('アイテム別限界値DB'!$G:$G = $AM12) * 
        ('アイテム別限界値DB'!$H:$H = $AP12), 
        0
      )
    )*AO12, 
    "再製作"
  )
)
</f>
        <v/>
      </c>
      <c r="AS12" s="327"/>
      <c r="AT12" s="428" t="s">
        <v>71</v>
      </c>
      <c r="AU12" s="423"/>
      <c r="AV12" s="426"/>
      <c r="AW12" s="405" t="str">
        <f t="array" ref="AW12">IF(
  $AV12 = 0, 
  "", 
  IFERROR(
    INDEX(
      'アイテム別限界値DB'!$K:$K, 
      MATCH(
        1, 
        ('アイテム別限界値DB'!$B:$B = $AT$4) * 
        ('アイテム別限界値DB'!$G:$G = $AT12) * 
        ('アイテム別限界値DB'!$H:$H = $AV12), 
        0
      )
    ), 
    "再製作"
  )
)
</f>
        <v/>
      </c>
      <c r="AX12" s="397" t="str">
        <f t="array" ref="AX12">IF(
  $AV12 = 0, 
  "", 
  IFERROR(
    INDEX(
      'アイテム別限界値DB'!$N:$N, 
      MATCH(
        1, 
        ('アイテム別限界値DB'!$B:$B = $AT$4) * 
        ('アイテム別限界値DB'!$G:$G = $AT12) * 
        ('アイテム別限界値DB'!$H:$H = $AV12), 
        0
      )
    )*AU12, 
    "再製作"
  )
)
</f>
        <v/>
      </c>
      <c r="AY12" s="327"/>
      <c r="AZ12" s="428" t="s">
        <v>209</v>
      </c>
      <c r="BA12" s="423"/>
      <c r="BB12" s="422"/>
      <c r="BC12" s="405" t="str">
        <f t="array" ref="BC12">IF(
  $BB12 = 0, 
  "", 
  IFERROR(
    INDEX(
      'アイテム別限界値DB'!$K:$K, 
      MATCH(
        1, 
        ('アイテム別限界値DB'!$B:$B = $AZ$4) * 
        ('アイテム別限界値DB'!$G:$G = $AZ12) * 
        ('アイテム別限界値DB'!$H:$H = $BB12), 
        0
      )
    ), 
    "再製作"
  )
)
</f>
        <v/>
      </c>
      <c r="BD12" s="397" t="str">
        <f t="array" ref="BD12">IF(
  $BB12 = 0, 
  "", 
  IFERROR(
    INDEX(
      'アイテム別限界値DB'!$N:$N, 
      MATCH(
        1, 
        ('アイテム別限界値DB'!$B:$B = $AZ$4) * 
        ('アイテム別限界値DB'!$G:$G = $AZ12) * 
        ('アイテム別限界値DB'!$H:$H = $BB12), 
        0
      )
    )*BA12, 
    "再製作"
  )
)
</f>
        <v/>
      </c>
      <c r="BE12" s="327"/>
      <c r="BF12" s="428" t="s">
        <v>209</v>
      </c>
      <c r="BG12" s="423"/>
      <c r="BH12" s="422"/>
      <c r="BI12" s="405" t="str">
        <f t="array" ref="BI12">IF(
  $BH12 = 0, 
  "", 
  IFERROR(
    INDEX(
      'アイテム別限界値DB'!$K:$K, 
      MATCH(
        1, 
        ('アイテム別限界値DB'!$B:$B = $BF$4) * 
        ('アイテム別限界値DB'!$G:$G = $BF12) * 
        ('アイテム別限界値DB'!$H:$H = $BH12), 
        0
      )
    ), 
    "再製作"
  )
)
</f>
        <v/>
      </c>
      <c r="BJ12" s="397" t="str">
        <f t="array" ref="BJ12">IF(
  $BH12 = 0, 
  "", 
  IFERROR(
    INDEX(
      'アイテム別限界値DB'!$N:$N, 
      MATCH(
        1, 
        ('アイテム別限界値DB'!$B:$B = $BF$4) * 
        ('アイテム別限界値DB'!$G:$G = $BF12) * 
        ('アイテム別限界値DB'!$H:$H = $BH12), 
        0
      )
    )*BG12, 
    "再製作"
  )
)
</f>
        <v/>
      </c>
      <c r="BK12" s="327"/>
      <c r="BL12" s="428" t="s">
        <v>209</v>
      </c>
      <c r="BM12" s="423"/>
      <c r="BN12" s="422"/>
      <c r="BO12" s="405" t="str">
        <f t="array" ref="BO12">IF(
  $BN12 = 0, 
  "", 
  IFERROR(
    INDEX(
      'アイテム別限界値DB'!$K:$K, 
      MATCH(
        1, 
        ('アイテム別限界値DB'!$B:$B = $BL$4) * 
        ('アイテム別限界値DB'!$G:$G = $BL12) * 
        ('アイテム別限界値DB'!$H:$H = $BN12), 
        0
      )
    ), 
    "再製作"
  )
)
</f>
        <v/>
      </c>
      <c r="BP12" s="397" t="str">
        <f t="array" ref="BP12">IF(
  $BN12 = 0, 
  "", 
  IFERROR(
    INDEX(
      'アイテム別限界値DB'!$N:$N, 
      MATCH(
        1, 
        ('アイテム別限界値DB'!$B:$B = $BL$4) * 
        ('アイテム別限界値DB'!$G:$G = $BL12) * 
        ('アイテム別限界値DB'!$H:$H = $BN12), 
        0
      )
    )*BM12, 
    "再製作"
  )
)
</f>
        <v/>
      </c>
      <c r="BQ12" s="327"/>
      <c r="BR12" s="428" t="s">
        <v>62</v>
      </c>
      <c r="BS12" s="423"/>
      <c r="BT12" s="422"/>
      <c r="BU12" s="405" t="str">
        <f t="array" ref="BU12">IF(
  $BT12 = 0, 
  "", 
  IFERROR(
    INDEX(
      'アイテム別限界値DB'!$K:$K, 
      MATCH(
        1, 
        ('アイテム別限界値DB'!$B:$B = $BR$4) * 
        ('アイテム別限界値DB'!$G:$G = $BR12) * 
        ('アイテム別限界値DB'!$H:$H = $BT12), 
        0
      )
    ), 
    "再製作"
  )
)
</f>
        <v/>
      </c>
      <c r="BV12" s="397" t="str">
        <f t="array" ref="BV12">IF(
  $BT12 = 0, 
  "", 
  IFERROR(
    INDEX(
      'アイテム別限界値DB'!$N:$N, 
      MATCH(
        1, 
        ('アイテム別限界値DB'!$B:$B = $BR$4) * 
        ('アイテム別限界値DB'!$G:$G = $BR12) * 
        ('アイテム別限界値DB'!$H:$H = $BT12), 
        0
      )
    )*BS12, 
    "再製作"
  )
)
</f>
        <v/>
      </c>
      <c r="BW12" s="327"/>
      <c r="BX12" s="428" t="s">
        <v>62</v>
      </c>
      <c r="BY12" s="423"/>
      <c r="BZ12" s="422"/>
      <c r="CA12" s="405" t="str">
        <f t="array" ref="CA12">IF(
  $BZ12 = 0, 
  "", 
  IFERROR(
    INDEX(
      'アイテム別限界値DB'!$K:$K, 
      MATCH(
        1, 
        ('アイテム別限界値DB'!$B:$B = $BX$4) * 
        ('アイテム別限界値DB'!$G:$G = $BX12) * 
        ('アイテム別限界値DB'!$H:$H = $BZ12), 
        0
      )
    ), 
    "再製作"
  )
)
</f>
        <v/>
      </c>
      <c r="CB12" s="397" t="str">
        <f t="array" ref="CB12">IF(
  $BZ12 = 0, 
  "", 
  IFERROR(
    INDEX(
      'アイテム別限界値DB'!$N:$N, 
      MATCH(
        1, 
        ('アイテム別限界値DB'!$B:$B = $BX$4) * 
        ('アイテム別限界値DB'!$G:$G = $BX12) * 
        ('アイテム別限界値DB'!$H:$H = $BZ12), 
        0
      )
    )*BY12, 
    "再製作"
  )
)
</f>
        <v/>
      </c>
      <c r="CC12" s="402"/>
      <c r="CD12" s="428"/>
      <c r="CE12" s="407" t="s">
        <v>59</v>
      </c>
      <c r="CF12" s="405" t="str">
        <f t="array" ref="CF12">IF(
  CE12 = 0, 
  "", 
  IFERROR(
    INDEX(
      'アイテム別限界値DB'!$K:$K, 
      MATCH(
        1, 
        ('アイテム別限界値DB'!$B:$B = CD$4) * 
        ('アイテム別限界値DB'!$G:$G = CD12) * 
        ('アイテム別限界値DB'!$H:$H = CE12), 
        0
      )
    ), 
    "再製作"
  )
)
</f>
        <v>再製作</v>
      </c>
      <c r="CG12" s="419" t="str">
        <f t="array" ref="CG12">IF(
  CE12 = 0, 
  "", 
  IFERROR(
    INDEX(
      'アイテム別限界値DB'!$N:$N, 
      MATCH(
        1, 
        ('アイテム別限界値DB'!$B:$B = CD$4) * 
        ('アイテム別限界値DB'!$G:$G = CD12) * 
        ('アイテム別限界値DB'!$H:$H = CE12), 
        0
      )
    ), 
    "再製作"
  )
)
</f>
        <v>再製作</v>
      </c>
      <c r="CH12" s="327"/>
      <c r="CI12" s="327"/>
    </row>
    <row r="13" ht="26.25" customHeight="1">
      <c r="A13" s="429"/>
      <c r="B13" s="228" t="str">
        <f>IFERROR(__xludf.DUMMYFUNCTION("TEXTJOIN(CHAR(10),TRUE,FILTER(ARRAYFORMULA(IF(W$14:W70&lt;&gt;"""", V$14:V70 &amp;"" : ""&amp; W$14:W70 &amp;"" cm"","""")), V$14:V70 &lt;&gt;""""))"),"↓ 1箇所納期 ↓ : ↓ 税込料金↓ cm")</f>
        <v>↓ 1箇所納期 ↓ : ↓ 税込料金↓ cm</v>
      </c>
      <c r="C13" s="429"/>
      <c r="D13" s="429" t="s">
        <v>210</v>
      </c>
      <c r="E13" s="413" t="s">
        <v>98</v>
      </c>
      <c r="F13" s="403"/>
      <c r="G13" s="404"/>
      <c r="H13" s="405" t="str">
        <f t="array" ref="H13">IF(
  G13 = 0, 
  "", 
  IFERROR(
    INDEX(
      'アイテム別限界値DB'!$K:$K, 
      MATCH(
        1, 
        ('アイテム別限界値DB'!$B:$B = D$4) * 
        ('アイテム別限界値DB'!$G:$G = D13) * 
        ('アイテム別限界値DB'!$H:$H = G13), 
        0
      )
    ), 
    "再製作"
  )
)
</f>
        <v/>
      </c>
      <c r="I13" s="397" t="str">
        <f t="array" ref="I13">IF(
  $G13 = 0, 
  "", 
  IFERROR(
    INDEX(
      'アイテム別限界値DB'!$N:$N, 
      MATCH(
        1, 
        ('アイテム別限界値DB'!$B:$B = $D$4) * 
        ('アイテム別限界値DB'!$G:$G = $D13) * 
        ('アイテム別限界値DB'!$H:$H = $G13), 
        0
      )
    )*F13, 
    "再製作"
  )
)
</f>
        <v/>
      </c>
      <c r="J13" s="388"/>
      <c r="K13" s="429" t="s">
        <v>78</v>
      </c>
      <c r="L13" s="414" t="s">
        <v>211</v>
      </c>
      <c r="M13" s="406"/>
      <c r="N13" s="422"/>
      <c r="O13" s="405" t="str">
        <f t="array" ref="O13">IF(
  $N13 = 0, 
  "", 
  IFERROR(
    INDEX(
      'アイテム別限界値DB'!$K:$K, 
      MATCH(
        1, 
        ('アイテム別限界値DB'!$B:$B = $K$4) * 
        ('アイテム別限界値DB'!$G:$G = $K13) * 
        ('アイテム別限界値DB'!$H:$H = $N13), 
        0
      )
    ), 
    "再製作"
  )
)
</f>
        <v/>
      </c>
      <c r="P13" s="397" t="str">
        <f t="array" ref="P13">IF(
  $N13 = 0, 
  "", 
  IFERROR(
    INDEX(
      'アイテム別限界値DB'!$N:$N, 
      MATCH(
        1, 
        ('アイテム別限界値DB'!$B:$B = $K$4) * 
        ('アイテム別限界値DB'!$G:$G = $K13) * 
        ('アイテム別限界値DB'!$H:$H = $N13), 
        0
      )
    )*$M13, 
    "再製作"
  )
)
</f>
        <v/>
      </c>
      <c r="Q13" s="389"/>
      <c r="R13" s="429" t="s">
        <v>79</v>
      </c>
      <c r="S13" s="413" t="s">
        <v>79</v>
      </c>
      <c r="T13" s="406"/>
      <c r="U13" s="404"/>
      <c r="V13" s="405" t="str">
        <f t="array" ref="V13">IF(
  $U13 = 0, 
  "", 
  IFERROR(
    INDEX(
      'アイテム別限界値DB'!$K:$K, 
      MATCH(
        1, 
        ('アイテム別限界値DB'!$B:$B = $R$4) * 
        ('アイテム別限界値DB'!$G:$G = $R13) * 
        ('アイテム別限界値DB'!$H:$H = $U13), 
        0
      )
    ), 
    "再製作"
  )
)
</f>
        <v/>
      </c>
      <c r="W13" s="397" t="str">
        <f t="array" ref="W13">IF(
  $U13 = 0, 
  "", 
  IFERROR(
    INDEX(
      'アイテム別限界値DB'!$N:$N, 
      MATCH(
        1, 
        ('アイテム別限界値DB'!$B:$B = $R$4) * 
        ('アイテム別限界値DB'!$G:$G = $R13) * 
        ('アイテム別限界値DB'!$H:$H = $U13), 
        0
      )
    )*T13, 
    "再製作"
  )
)
</f>
        <v/>
      </c>
      <c r="X13" s="327"/>
      <c r="Y13" s="429" t="s">
        <v>78</v>
      </c>
      <c r="Z13" s="413" t="s">
        <v>211</v>
      </c>
      <c r="AA13" s="406"/>
      <c r="AB13" s="422"/>
      <c r="AC13" s="405" t="str">
        <f t="array" ref="AC13">IF(
  $AB13 = 0, 
  "", 
  IFERROR(
    INDEX(
      'アイテム別限界値DB'!$K:$K, 
      MATCH(
        1, 
        ('アイテム別限界値DB'!$B:$B = $Y$4) * 
        ('アイテム別限界値DB'!$G:$G = $Y13) * 
        ('アイテム別限界値DB'!$H:$H = $AB13), 
        0
      )
    ), 
    "再製作"
  )
)
</f>
        <v/>
      </c>
      <c r="AD13" s="397" t="str">
        <f t="array" ref="AD13">IF(
  $AB13 = 0, 
  "", 
  IFERROR(
    INDEX(
      'アイテム別限界値DB'!$N:$N, 
      MATCH(
        1, 
        ('アイテム別限界値DB'!$B:$B = $Y$4) * 
        ('アイテム別限界値DB'!$G:$G = $Y13) * 
        ('アイテム別限界値DB'!$H:$H = $AB13), 
        0
      )
    )*AA13, 
    "再製作"
  )
)
</f>
        <v/>
      </c>
      <c r="AE13" s="332"/>
      <c r="AF13" s="429" t="s">
        <v>76</v>
      </c>
      <c r="AG13" s="413" t="s">
        <v>76</v>
      </c>
      <c r="AH13" s="406"/>
      <c r="AI13" s="404"/>
      <c r="AJ13" s="405" t="str">
        <f t="array" ref="AJ13">IF(
  $AI13 = 0, 
  "", 
  IFERROR(
    INDEX(
      'アイテム別限界値DB'!$K:$K, 
      MATCH(
        1, 
        ('アイテム別限界値DB'!$B:$B = AF$4) * 
        ('アイテム別限界値DB'!$G:$G = $AF13) * 
        ('アイテム別限界値DB'!$H:$H = $AI13), 
        0
      )
    ), 
    "再製作"
  )
)
</f>
        <v/>
      </c>
      <c r="AK13" s="397" t="str">
        <f t="array" ref="AK13">IF(
  $AI13 = 0, 
  "", 
  IFERROR(
    INDEX(
      'アイテム別限界値DB'!$N:$N, 
      MATCH(
        1, 
        ('アイテム別限界値DB'!$B:$B = $AF$4) * 
        ('アイテム別限界値DB'!$G:$G = $AF13) * 
        ('アイテム別限界値DB'!$H:$H = $AI13), 
        0
      )
    )*AH13, 
    "再製作"
  )
)
</f>
        <v/>
      </c>
      <c r="AL13" s="327"/>
      <c r="AM13" s="429" t="s">
        <v>212</v>
      </c>
      <c r="AN13" s="432" t="s">
        <v>80</v>
      </c>
      <c r="AO13" s="406"/>
      <c r="AP13" s="404"/>
      <c r="AQ13" s="405" t="str">
        <f t="array" ref="AQ13">IF(
  $AP13 = 0, 
  "", 
  IFERROR(
    INDEX(
      'アイテム別限界値DB'!$K:$K, 
      MATCH(
        1, 
        ('アイテム別限界値DB'!$B:$B = $AM$4) * 
        ('アイテム別限界値DB'!$G:$G = $AM13) * 
        ('アイテム別限界値DB'!$H:$H = $AP13), 
        0
      )
    ), 
    "再製作"
  )
)
</f>
        <v/>
      </c>
      <c r="AR13" s="397" t="str">
        <f t="array" ref="AR13">IF(
  $AP13 = 0, 
  "", 
  IFERROR(
    INDEX(
      'アイテム別限界値DB'!$N:$N, 
      MATCH(
        1, 
        ('アイテム別限界値DB'!$B:$B = $AM$4) * 
        ('アイテム別限界値DB'!$G:$G = $AM13) * 
        ('アイテム別限界値DB'!$H:$H = $AP13), 
        0
      )
    )*AO13, 
    "再製作"
  )
)
</f>
        <v/>
      </c>
      <c r="AS13" s="327"/>
      <c r="AT13" s="432" t="s">
        <v>209</v>
      </c>
      <c r="AU13" s="406"/>
      <c r="AV13" s="417"/>
      <c r="AW13" s="405" t="str">
        <f t="array" ref="AW13">IF(
  $AV13 = 0, 
  "", 
  IFERROR(
    INDEX(
      'アイテム別限界値DB'!$K:$K, 
      MATCH(
        1, 
        ('アイテム別限界値DB'!$B:$B = $AT$4) * 
        ('アイテム別限界値DB'!$G:$G = $AT13) * 
        ('アイテム別限界値DB'!$H:$H = $AV13), 
        0
      )
    ), 
    "再製作"
  )
)
</f>
        <v/>
      </c>
      <c r="AX13" s="397" t="str">
        <f t="array" ref="AX13">IF(
  $AV13 = 0, 
  "", 
  IFERROR(
    INDEX(
      'アイテム別限界値DB'!$N:$N, 
      MATCH(
        1, 
        ('アイテム別限界値DB'!$B:$B = $AT$4) * 
        ('アイテム別限界値DB'!$G:$G = $AT13) * 
        ('アイテム別限界値DB'!$H:$H = $AV13), 
        0
      )
    )*AU13, 
    "再製作"
  )
)
</f>
        <v/>
      </c>
      <c r="AY13" s="327"/>
      <c r="AZ13" s="432" t="s">
        <v>213</v>
      </c>
      <c r="BA13" s="406"/>
      <c r="BB13" s="404"/>
      <c r="BC13" s="405" t="str">
        <f t="array" ref="BC13">IF(
  $BB13 = 0, 
  "", 
  IFERROR(
    INDEX(
      'アイテム別限界値DB'!$K:$K, 
      MATCH(
        1, 
        ('アイテム別限界値DB'!$B:$B = $AZ$4) * 
        ('アイテム別限界値DB'!$G:$G = $AZ13) * 
        ('アイテム別限界値DB'!$H:$H = $BB13), 
        0
      )
    ), 
    "再製作"
  )
)
</f>
        <v/>
      </c>
      <c r="BD13" s="397" t="str">
        <f t="array" ref="BD13">IF(
  $BB13 = 0, 
  "", 
  IFERROR(
    INDEX(
      'アイテム別限界値DB'!$N:$N, 
      MATCH(
        1, 
        ('アイテム別限界値DB'!$B:$B = $AZ$4) * 
        ('アイテム別限界値DB'!$G:$G = $AZ13) * 
        ('アイテム別限界値DB'!$H:$H = $BB13), 
        0
      )
    )*BA13, 
    "再製作"
  )
)
</f>
        <v/>
      </c>
      <c r="BE13" s="327"/>
      <c r="BF13" s="432" t="s">
        <v>204</v>
      </c>
      <c r="BG13" s="406"/>
      <c r="BH13" s="404"/>
      <c r="BI13" s="405" t="str">
        <f t="array" ref="BI13">IF(
  $BH13 = 0, 
  "", 
  IFERROR(
    INDEX(
      'アイテム別限界値DB'!$K:$K, 
      MATCH(
        1, 
        ('アイテム別限界値DB'!$B:$B = $BF$4) * 
        ('アイテム別限界値DB'!$G:$G = $BF13) * 
        ('アイテム別限界値DB'!$H:$H = $BH13), 
        0
      )
    ), 
    "再製作"
  )
)
</f>
        <v/>
      </c>
      <c r="BJ13" s="397" t="str">
        <f t="array" ref="BJ13">IF(
  $BH13 = 0, 
  "", 
  IFERROR(
    INDEX(
      'アイテム別限界値DB'!$N:$N, 
      MATCH(
        1, 
        ('アイテム別限界値DB'!$B:$B = $BF$4) * 
        ('アイテム別限界値DB'!$G:$G = $BF13) * 
        ('アイテム別限界値DB'!$H:$H = $BH13), 
        0
      )
    )*BG13, 
    "再製作"
  )
)
</f>
        <v/>
      </c>
      <c r="BK13" s="327"/>
      <c r="BL13" s="432" t="s">
        <v>204</v>
      </c>
      <c r="BM13" s="406"/>
      <c r="BN13" s="404"/>
      <c r="BO13" s="405" t="str">
        <f t="array" ref="BO13">IF(
  $BN13 = 0, 
  "", 
  IFERROR(
    INDEX(
      'アイテム別限界値DB'!$K:$K, 
      MATCH(
        1, 
        ('アイテム別限界値DB'!$B:$B = $BL$4) * 
        ('アイテム別限界値DB'!$G:$G = $BL13) * 
        ('アイテム別限界値DB'!$H:$H = $BN13), 
        0
      )
    ), 
    "再製作"
  )
)
</f>
        <v/>
      </c>
      <c r="BP13" s="397" t="str">
        <f t="array" ref="BP13">IF(
  $BN13 = 0, 
  "", 
  IFERROR(
    INDEX(
      'アイテム別限界値DB'!$N:$N, 
      MATCH(
        1, 
        ('アイテム別限界値DB'!$B:$B = $BL$4) * 
        ('アイテム別限界値DB'!$G:$G = $BL13) * 
        ('アイテム別限界値DB'!$H:$H = $BN13), 
        0
      )
    )*BM13, 
    "再製作"
  )
)
</f>
        <v/>
      </c>
      <c r="BQ13" s="327"/>
      <c r="BR13" s="432" t="s">
        <v>204</v>
      </c>
      <c r="BS13" s="406"/>
      <c r="BT13" s="404"/>
      <c r="BU13" s="405" t="str">
        <f t="array" ref="BU13">IF(
  $BT13 = 0, 
  "", 
  IFERROR(
    INDEX(
      'アイテム別限界値DB'!$K:$K, 
      MATCH(
        1, 
        ('アイテム別限界値DB'!$B:$B = $BR$4) * 
        ('アイテム別限界値DB'!$G:$G = $BR13) * 
        ('アイテム別限界値DB'!$H:$H = $BT13), 
        0
      )
    ), 
    "再製作"
  )
)
</f>
        <v/>
      </c>
      <c r="BV13" s="397" t="str">
        <f t="array" ref="BV13">IF(
  $BT13 = 0, 
  "", 
  IFERROR(
    INDEX(
      'アイテム別限界値DB'!$N:$N, 
      MATCH(
        1, 
        ('アイテム別限界値DB'!$B:$B = $BR$4) * 
        ('アイテム別限界値DB'!$G:$G = $BR13) * 
        ('アイテム別限界値DB'!$H:$H = $BT13), 
        0
      )
    )*BS13, 
    "再製作"
  )
)
</f>
        <v/>
      </c>
      <c r="BW13" s="327"/>
      <c r="BX13" s="432" t="s">
        <v>204</v>
      </c>
      <c r="BY13" s="406"/>
      <c r="BZ13" s="404"/>
      <c r="CA13" s="405" t="str">
        <f t="array" ref="CA13">IF(
  $BZ13 = 0, 
  "", 
  IFERROR(
    INDEX(
      'アイテム別限界値DB'!$K:$K, 
      MATCH(
        1, 
        ('アイテム別限界値DB'!$B:$B = $BX$4) * 
        ('アイテム別限界値DB'!$G:$G = $BX13) * 
        ('アイテム別限界値DB'!$H:$H = $BZ13), 
        0
      )
    ), 
    "再製作"
  )
)
</f>
        <v/>
      </c>
      <c r="CB13" s="397" t="str">
        <f t="array" ref="CB13">IF(
  $BZ13 = 0, 
  "", 
  IFERROR(
    INDEX(
      'アイテム別限界値DB'!$N:$N, 
      MATCH(
        1, 
        ('アイテム別限界値DB'!$B:$B = $BX$4) * 
        ('アイテム別限界値DB'!$G:$G = $BX13) * 
        ('アイテム別限界値DB'!$H:$H = $BZ13), 
        0
      )
    )*BY13, 
    "再製作"
  )
)
</f>
        <v/>
      </c>
      <c r="CC13" s="402"/>
      <c r="CD13" s="432"/>
      <c r="CE13" s="418" t="s">
        <v>59</v>
      </c>
      <c r="CF13" s="405" t="str">
        <f t="array" ref="CF13">IF(
  CE13 = 0, 
  "", 
  IFERROR(
    INDEX(
      'アイテム別限界値DB'!$K:$K, 
      MATCH(
        1, 
        ('アイテム別限界値DB'!$B:$B = CD$4) * 
        ('アイテム別限界値DB'!$G:$G = CD13) * 
        ('アイテム別限界値DB'!$H:$H = CE13), 
        0
      )
    ), 
    "再製作"
  )
)
</f>
        <v>再製作</v>
      </c>
      <c r="CG13" s="419" t="str">
        <f t="array" ref="CG13">IF(
  CE13 = 0, 
  "", 
  IFERROR(
    INDEX(
      'アイテム別限界値DB'!$N:$N, 
      MATCH(
        1, 
        ('アイテム別限界値DB'!$B:$B = CD$4) * 
        ('アイテム別限界値DB'!$G:$G = CD13) * 
        ('アイテム別限界値DB'!$H:$H = CE13), 
        0
      )
    ), 
    "再製作"
  )
)
</f>
        <v>再製作</v>
      </c>
      <c r="CH13" s="327"/>
      <c r="CI13" s="327"/>
    </row>
    <row r="14" ht="26.25" customHeight="1">
      <c r="A14" s="433"/>
      <c r="B14" s="305" t="s">
        <v>214</v>
      </c>
      <c r="C14" s="434"/>
      <c r="D14" s="434" t="s">
        <v>215</v>
      </c>
      <c r="E14" s="421" t="s">
        <v>74</v>
      </c>
      <c r="F14" s="403"/>
      <c r="G14" s="404"/>
      <c r="H14" s="405" t="str">
        <f t="array" ref="H14">IF(
  G14 = 0, 
  "", 
  IFERROR(
    INDEX(
      'アイテム別限界値DB'!$K:$K, 
      MATCH(
        1, 
        ('アイテム別限界値DB'!$B:$B = D$4) * 
        ('アイテム別限界値DB'!$G:$G = D14) * 
        ('アイテム別限界値DB'!$H:$H = G14), 
        0
      )
    ), 
    "再製作"
  )
)
</f>
        <v/>
      </c>
      <c r="I14" s="397" t="str">
        <f t="array" ref="I14">IF(
  $G14 = 0, 
  "", 
  IFERROR(
    INDEX(
      'アイテム別限界値DB'!$N:$N, 
      MATCH(
        1, 
        ('アイテム別限界値DB'!$B:$B = $D$4) * 
        ('アイテム別限界値DB'!$G:$G = $D14) * 
        ('アイテム別限界値DB'!$H:$H = $G14), 
        0
      )
    )*F14, 
    "再製作"
  )
)
</f>
        <v/>
      </c>
      <c r="J14" s="388"/>
      <c r="K14" s="434" t="s">
        <v>82</v>
      </c>
      <c r="L14" s="414" t="s">
        <v>95</v>
      </c>
      <c r="M14" s="423"/>
      <c r="N14" s="422"/>
      <c r="O14" s="405" t="str">
        <f t="array" ref="O14">IF(
  $N14 = 0, 
  "", 
  IFERROR(
    INDEX(
      'アイテム別限界値DB'!$K:$K, 
      MATCH(
        1, 
        ('アイテム別限界値DB'!$B:$B = $K$4) * 
        ('アイテム別限界値DB'!$G:$G = $K14) * 
        ('アイテム別限界値DB'!$H:$H = $N14), 
        0
      )
    ), 
    "再製作"
  )
)
</f>
        <v/>
      </c>
      <c r="P14" s="397" t="str">
        <f t="array" ref="P14">IF(
  $N14 = 0, 
  "", 
  IFERROR(
    INDEX(
      'アイテム別限界値DB'!$N:$N, 
      MATCH(
        1, 
        ('アイテム別限界値DB'!$B:$B = $K$4) * 
        ('アイテム別限界値DB'!$G:$G = $K14) * 
        ('アイテム別限界値DB'!$H:$H = $N14), 
        0
      )
    )*$M14, 
    "再製作"
  )
)
</f>
        <v/>
      </c>
      <c r="Q14" s="389"/>
      <c r="R14" s="434" t="s">
        <v>83</v>
      </c>
      <c r="S14" s="421" t="s">
        <v>83</v>
      </c>
      <c r="T14" s="423"/>
      <c r="U14" s="422"/>
      <c r="V14" s="405" t="str">
        <f t="array" ref="V14">IF(
  $U14 = 0, 
  "", 
  IFERROR(
    INDEX(
      'アイテム別限界値DB'!$K:$K, 
      MATCH(
        1, 
        ('アイテム別限界値DB'!$B:$B = $R$4) * 
        ('アイテム別限界値DB'!$G:$G = $R14) * 
        ('アイテム別限界値DB'!$H:$H = $U14), 
        0
      )
    ), 
    "再製作"
  )
)
</f>
        <v/>
      </c>
      <c r="W14" s="397" t="str">
        <f t="array" ref="W14">IF(
  $U14 = 0, 
  "", 
  IFERROR(
    INDEX(
      'アイテム別限界値DB'!$N:$N, 
      MATCH(
        1, 
        ('アイテム別限界値DB'!$B:$B = $R$4) * 
        ('アイテム別限界値DB'!$G:$G = $R14) * 
        ('アイテム別限界値DB'!$H:$H = $U14), 
        0
      )
    )*T14, 
    "再製作"
  )
)
</f>
        <v/>
      </c>
      <c r="X14" s="327"/>
      <c r="Y14" s="434" t="s">
        <v>82</v>
      </c>
      <c r="Z14" s="421" t="s">
        <v>100</v>
      </c>
      <c r="AA14" s="423"/>
      <c r="AB14" s="404"/>
      <c r="AC14" s="405" t="str">
        <f t="array" ref="AC14">IF(
  $AB14 = 0, 
  "", 
  IFERROR(
    INDEX(
      'アイテム別限界値DB'!$K:$K, 
      MATCH(
        1, 
        ('アイテム別限界値DB'!$B:$B = $Y$4) * 
        ('アイテム別限界値DB'!$G:$G = $Y14) * 
        ('アイテム別限界値DB'!$H:$H = $AB14), 
        0
      )
    ), 
    "再製作"
  )
)
</f>
        <v/>
      </c>
      <c r="AD14" s="397" t="str">
        <f t="array" ref="AD14">IF(
  $AB14 = 0, 
  "", 
  IFERROR(
    INDEX(
      'アイテム別限界値DB'!$N:$N, 
      MATCH(
        1, 
        ('アイテム別限界値DB'!$B:$B = $Y$4) * 
        ('アイテム別限界値DB'!$G:$G = $Y14) * 
        ('アイテム別限界値DB'!$H:$H = $AB14), 
        0
      )
    )*AA14, 
    "再製作"
  )
)
</f>
        <v/>
      </c>
      <c r="AE14" s="332"/>
      <c r="AF14" s="434" t="s">
        <v>216</v>
      </c>
      <c r="AG14" s="421" t="s">
        <v>84</v>
      </c>
      <c r="AH14" s="423"/>
      <c r="AI14" s="410"/>
      <c r="AJ14" s="435" t="str">
        <f t="array" ref="AJ14">IF(
  $BZ14 = 0, 
  "", 
  IFERROR(
    INDEX(
      'アイテム別限界値DB'!$K:$K, 
      MATCH(
        1, 
        ('アイテム別限界値DB'!$B:$B = $BX$4) * 
        ('アイテム別限界値DB'!$G:$G = $BX14) * 
        ('アイテム別限界値DB'!$H:$H = $BZ14), 
        0
      )
    ), 
    "再製作"
  )
)
</f>
        <v/>
      </c>
      <c r="AK14" s="397" t="str">
        <f t="array" ref="AK14">IF(
  $AI14 = 0, 
  "", 
  IFERROR(
    INDEX(
      'アイテム別限界値DB'!$N:$N, 
      MATCH(
        1, 
        ('アイテム別限界値DB'!$B:$B = $AF$4) * 
        ('アイテム別限界値DB'!$G:$G = $AF14) * 
        ('アイテム別限界値DB'!$H:$H = $AI14), 
        0
      )
    )*AH14, 
    "再製作"
  )
)
</f>
        <v/>
      </c>
      <c r="AL14" s="327"/>
      <c r="AM14" s="434" t="s">
        <v>217</v>
      </c>
      <c r="AN14" s="400" t="s">
        <v>85</v>
      </c>
      <c r="AO14" s="423"/>
      <c r="AP14" s="410"/>
      <c r="AQ14" s="435" t="str">
        <f t="array" ref="AQ14">IF(
  $BZ14 = 0, 
  "", 
  IFERROR(
    INDEX(
      'アイテム別限界値DB'!$K:$K, 
      MATCH(
        1, 
        ('アイテム別限界値DB'!$B:$B = $BX$4) * 
        ('アイテム別限界値DB'!$G:$G = $BX14) * 
        ('アイテム別限界値DB'!$H:$H = $BZ14), 
        0
      )
    ), 
    "再製作"
  )
)
</f>
        <v/>
      </c>
      <c r="AR14" s="397" t="str">
        <f t="array" ref="AR14">IF(
  $AP14 = 0, 
  "", 
  IFERROR(
    INDEX(
      'アイテム別限界値DB'!$N:$N, 
      MATCH(
        1, 
        ('アイテム別限界値DB'!$B:$B = $AM$4) * 
        ('アイテム別限界値DB'!$G:$G = $AM14) * 
        ('アイテム別限界値DB'!$H:$H = $AP14), 
        0
      )
    )*AO14, 
    "再製作"
  )
)
</f>
        <v/>
      </c>
      <c r="AS14" s="327"/>
      <c r="AT14" s="400"/>
      <c r="AU14" s="436"/>
      <c r="AV14" s="437"/>
      <c r="AW14" s="396"/>
      <c r="AX14" s="333"/>
      <c r="AY14" s="327"/>
      <c r="AZ14" s="400"/>
      <c r="BA14" s="436"/>
      <c r="BB14" s="436"/>
      <c r="BC14" s="438"/>
      <c r="BD14" s="333"/>
      <c r="BE14" s="327"/>
      <c r="BF14" s="400"/>
      <c r="BG14" s="436"/>
      <c r="BH14" s="436"/>
      <c r="BI14" s="438"/>
      <c r="BJ14" s="333"/>
      <c r="BK14" s="327"/>
      <c r="BL14" s="400"/>
      <c r="BM14" s="436"/>
      <c r="BN14" s="436"/>
      <c r="BO14" s="438"/>
      <c r="BP14" s="333"/>
      <c r="BQ14" s="327"/>
      <c r="BR14" s="400"/>
      <c r="BS14" s="436"/>
      <c r="BT14" s="436"/>
      <c r="BU14" s="438"/>
      <c r="BV14" s="333"/>
      <c r="BW14" s="327"/>
      <c r="BX14" s="400"/>
      <c r="BY14" s="436"/>
      <c r="BZ14" s="436"/>
      <c r="CA14" s="438"/>
      <c r="CB14" s="333"/>
      <c r="CC14" s="333"/>
      <c r="CE14" s="333"/>
      <c r="CF14" s="333"/>
      <c r="CG14" s="333"/>
      <c r="CH14" s="327"/>
      <c r="CI14" s="327"/>
    </row>
    <row r="15" ht="26.25" customHeight="1">
      <c r="A15" s="229"/>
      <c r="B15" s="228" t="str">
        <f>IFERROR(__xludf.DUMMYFUNCTION("TEXTJOIN(CHAR(10),TRUE,FILTER(ARRAYFORMULA(IF(AC$14:AC70&lt;&gt;"""", AB$14:AB70 &amp;"" : ""&amp; AC$14:AC70 &amp;"" cm"","""")), AB$14:AB70 &lt;&gt;""""))"),"お直し
↓箇所数↓ : ↓ 1箇所納期 ↓ cm")</f>
        <v>お直し
↓箇所数↓ : ↓ 1箇所納期 ↓ cm</v>
      </c>
      <c r="C15" s="429"/>
      <c r="D15" s="429" t="s">
        <v>86</v>
      </c>
      <c r="E15" s="413" t="s">
        <v>67</v>
      </c>
      <c r="F15" s="403"/>
      <c r="G15" s="404"/>
      <c r="H15" s="405" t="str">
        <f t="array" ref="H15">IF(
  G15 = 0, 
  "", 
  IFERROR(
    INDEX(
      'アイテム別限界値DB'!$K:$K, 
      MATCH(
        1, 
        ('アイテム別限界値DB'!$B:$B = D$4) * 
        ('アイテム別限界値DB'!$G:$G = D15) * 
        ('アイテム別限界値DB'!$H:$H = G15), 
        0
      )
    ), 
    "再製作"
  )
)
</f>
        <v/>
      </c>
      <c r="I15" s="397" t="str">
        <f t="array" ref="I15">IF(
  $G15 = 0, 
  "", 
  IFERROR(
    INDEX(
      'アイテム別限界値DB'!$N:$N, 
      MATCH(
        1, 
        ('アイテム別限界値DB'!$B:$B = $D$4) * 
        ('アイテム別限界値DB'!$G:$G = $D15) * 
        ('アイテム別限界値DB'!$H:$H = $G15), 
        0
      )
    )*F15, 
    "再製作"
  )
)
</f>
        <v/>
      </c>
      <c r="J15" s="388"/>
      <c r="K15" s="429" t="s">
        <v>87</v>
      </c>
      <c r="L15" s="414" t="s">
        <v>99</v>
      </c>
      <c r="M15" s="406"/>
      <c r="N15" s="422"/>
      <c r="O15" s="405" t="str">
        <f t="array" ref="O15">IF(
  $N15 = 0, 
  "", 
  IFERROR(
    INDEX(
      'アイテム別限界値DB'!$K:$K, 
      MATCH(
        1, 
        ('アイテム別限界値DB'!$B:$B = $K$4) * 
        ('アイテム別限界値DB'!$G:$G = $K15) * 
        ('アイテム別限界値DB'!$H:$H = $N15), 
        0
      )
    ), 
    "再製作"
  )
)
</f>
        <v/>
      </c>
      <c r="P15" s="397" t="str">
        <f t="array" ref="P15">IF(
  $N15 = 0, 
  "", 
  IFERROR(
    INDEX(
      'アイテム別限界値DB'!$N:$N, 
      MATCH(
        1, 
        ('アイテム別限界値DB'!$B:$B = $K$4) * 
        ('アイテム別限界値DB'!$G:$G = $K15) * 
        ('アイテム別限界値DB'!$H:$H = $N15), 
        0
      )
    )*$M15, 
    "再製作"
  )
)
</f>
        <v/>
      </c>
      <c r="Q15" s="424"/>
      <c r="R15" s="429"/>
      <c r="S15" s="413"/>
      <c r="T15" s="406"/>
      <c r="U15" s="404"/>
      <c r="V15" s="405" t="str">
        <f t="array" ref="V15">IF(
  $U15 = 0, 
  "", 
  IFERROR(
    INDEX(
      'アイテム別限界値DB'!$K:$K, 
      MATCH(
        1, 
        ('アイテム別限界値DB'!$B:$B = $R$4) * 
        ('アイテム別限界値DB'!$G:$G = $R15) * 
        ('アイテム別限界値DB'!$H:$H = $U15), 
        0
      )
    ), 
    "再製作"
  )
)
</f>
        <v/>
      </c>
      <c r="W15" s="397" t="str">
        <f t="array" ref="W15">IF(
  $U15 = 0, 
  "", 
  IFERROR(
    INDEX(
      'アイテム別限界値DB'!$N:$N, 
      MATCH(
        1, 
        ('アイテム別限界値DB'!$B:$B = $R$4) * 
        ('アイテム別限界値DB'!$G:$G = $R15) * 
        ('アイテム別限界値DB'!$H:$H = $U15), 
        0
      )
    )*T15, 
    "再製作"
  )
)
</f>
        <v/>
      </c>
      <c r="X15" s="327"/>
      <c r="Y15" s="429" t="s">
        <v>87</v>
      </c>
      <c r="Z15" s="413" t="s">
        <v>95</v>
      </c>
      <c r="AA15" s="406"/>
      <c r="AB15" s="422"/>
      <c r="AC15" s="405" t="str">
        <f t="array" ref="AC15">IF(
  $AB15 = 0, 
  "", 
  IFERROR(
    INDEX(
      'アイテム別限界値DB'!$K:$K, 
      MATCH(
        1, 
        ('アイテム別限界値DB'!$B:$B = $Y$4) * 
        ('アイテム別限界値DB'!$G:$G = $Y15) * 
        ('アイテム別限界値DB'!$H:$H = $AB15), 
        0
      )
    ), 
    "再製作"
  )
)
</f>
        <v/>
      </c>
      <c r="AD15" s="397" t="str">
        <f t="array" ref="AD15">IF(
  $AB15 = 0, 
  "", 
  IFERROR(
    INDEX(
      'アイテム別限界値DB'!$N:$N, 
      MATCH(
        1, 
        ('アイテム別限界値DB'!$B:$B = $Y$4) * 
        ('アイテム別限界値DB'!$G:$G = $Y15) * 
        ('アイテム別限界値DB'!$H:$H = $AB15), 
        0
      )
    )*AA15, 
    "再製作"
  )
)
</f>
        <v/>
      </c>
      <c r="AE15" s="332"/>
      <c r="AF15" s="429" t="s">
        <v>88</v>
      </c>
      <c r="AG15" s="413" t="s">
        <v>88</v>
      </c>
      <c r="AH15" s="406"/>
      <c r="AI15" s="404"/>
      <c r="AJ15" s="405" t="str">
        <f t="array" ref="AJ15">IF(
  $AI15 = 0, 
  "", 
  IFERROR(
    INDEX(
      'アイテム別限界値DB'!$K:$K, 
      MATCH(
        1, 
        ('アイテム別限界値DB'!$B:$B = AF$4) * 
        ('アイテム別限界値DB'!$G:$G = $AF15) * 
        ('アイテム別限界値DB'!$H:$H = $AI15), 
        0
      )
    ), 
    "再製作"
  )
)
</f>
        <v/>
      </c>
      <c r="AK15" s="397" t="str">
        <f t="array" ref="AK15">IF(
  $AI15 = 0, 
  "", 
  IFERROR(
    INDEX(
      'アイテム別限界値DB'!$N:$N, 
      MATCH(
        1, 
        ('アイテム別限界値DB'!$B:$B = $AF$4) * 
        ('アイテム別限界値DB'!$G:$G = $AF15) * 
        ('アイテム別限界値DB'!$H:$H = $AI15), 
        0
      )
    )*AH15, 
    "再製作"
  )
)
</f>
        <v/>
      </c>
      <c r="AL15" s="327"/>
      <c r="AM15" s="429" t="s">
        <v>89</v>
      </c>
      <c r="AN15" s="432" t="s">
        <v>89</v>
      </c>
      <c r="AO15" s="406"/>
      <c r="AP15" s="404"/>
      <c r="AQ15" s="405" t="str">
        <f t="array" ref="AQ15">IF(
  $AP15 = 0, 
  "", 
  IFERROR(
    INDEX(
      'アイテム別限界値DB'!$K:$K, 
      MATCH(
        1, 
        ('アイテム別限界値DB'!$B:$B = $AM$4) * 
        ('アイテム別限界値DB'!$G:$G = $AM15) * 
        ('アイテム別限界値DB'!$H:$H = $AP15), 
        0
      )
    ), 
    "再製作"
  )
)
</f>
        <v/>
      </c>
      <c r="AR15" s="397" t="str">
        <f t="array" ref="AR15">IF(
  $AP15 = 0, 
  "", 
  IFERROR(
    INDEX(
      'アイテム別限界値DB'!$N:$N, 
      MATCH(
        1, 
        ('アイテム別限界値DB'!$B:$B = $AM$4) * 
        ('アイテム別限界値DB'!$G:$G = $AM15) * 
        ('アイテム別限界値DB'!$H:$H = $AP15), 
        0
      )
    )*AO15, 
    "再製作"
  )
)
</f>
        <v/>
      </c>
      <c r="AS15" s="327"/>
      <c r="AT15" s="432"/>
      <c r="AU15" s="436"/>
      <c r="AV15" s="437"/>
      <c r="AW15" s="438"/>
      <c r="AX15" s="333"/>
      <c r="AY15" s="327"/>
      <c r="AZ15" s="432"/>
      <c r="BA15" s="439"/>
      <c r="BB15" s="439"/>
      <c r="BC15" s="438"/>
      <c r="BD15" s="333"/>
      <c r="BE15" s="327"/>
      <c r="BF15" s="432"/>
      <c r="BG15" s="439"/>
      <c r="BH15" s="439"/>
      <c r="BI15" s="438"/>
      <c r="BJ15" s="333"/>
      <c r="BK15" s="327"/>
      <c r="BL15" s="432"/>
      <c r="BM15" s="439"/>
      <c r="BN15" s="439"/>
      <c r="BO15" s="438"/>
      <c r="BP15" s="333"/>
      <c r="BQ15" s="327"/>
      <c r="BR15" s="432"/>
      <c r="BS15" s="439"/>
      <c r="BT15" s="439"/>
      <c r="BU15" s="438"/>
      <c r="BV15" s="333"/>
      <c r="BW15" s="327"/>
      <c r="BX15" s="432"/>
      <c r="BY15" s="439"/>
      <c r="BZ15" s="439"/>
      <c r="CA15" s="438"/>
      <c r="CB15" s="333"/>
      <c r="CC15" s="333"/>
      <c r="CD15" s="333"/>
      <c r="CE15" s="333"/>
      <c r="CF15" s="333"/>
      <c r="CG15" s="333"/>
      <c r="CH15" s="327"/>
      <c r="CI15" s="327"/>
    </row>
    <row r="16" ht="15.75" customHeight="1">
      <c r="A16" s="229"/>
      <c r="B16" s="308" t="s">
        <v>218</v>
      </c>
      <c r="C16" s="429"/>
      <c r="D16" s="429" t="s">
        <v>92</v>
      </c>
      <c r="E16" s="421" t="s">
        <v>79</v>
      </c>
      <c r="F16" s="403"/>
      <c r="G16" s="404"/>
      <c r="H16" s="405" t="str">
        <f t="array" ref="H16">IF(
  G16 = 0, 
  "", 
  IFERROR(
    INDEX(
      'アイテム別限界値DB'!$K:$K, 
      MATCH(
        1, 
        ('アイテム別限界値DB'!$B:$B = D$4) * 
        ('アイテム別限界値DB'!$G:$G = D16) * 
        ('アイテム別限界値DB'!$H:$H = G16), 
        0
      )
    ), 
    "再製作"
  )
)
</f>
        <v/>
      </c>
      <c r="I16" s="397" t="str">
        <f t="array" ref="I16">IF(
  $G16 = 0, 
  "", 
  IFERROR(
    INDEX(
      'アイテム別限界値DB'!$N:$N, 
      MATCH(
        1, 
        ('アイテム別限界値DB'!$B:$B = $D$4) * 
        ('アイテム別限界値DB'!$G:$G = $D16) * 
        ('アイテム別限界値DB'!$H:$H = $G16), 
        0
      )
    )*F16, 
    "再製作"
  )
)
</f>
        <v/>
      </c>
      <c r="J16" s="388"/>
      <c r="K16" s="429" t="s">
        <v>93</v>
      </c>
      <c r="L16" s="414" t="s">
        <v>100</v>
      </c>
      <c r="M16" s="406"/>
      <c r="N16" s="422"/>
      <c r="O16" s="405" t="str">
        <f t="array" ref="O16">IF(
  $N16 = 0, 
  "", 
  IFERROR(
    INDEX(
      'アイテム別限界値DB'!$K:$K, 
      MATCH(
        1, 
        ('アイテム別限界値DB'!$B:$B = $K$4) * 
        ('アイテム別限界値DB'!$G:$G = $K16) * 
        ('アイテム別限界値DB'!$H:$H = $N16), 
        0
      )
    ), 
    "再製作"
  )
)
</f>
        <v/>
      </c>
      <c r="P16" s="397" t="str">
        <f t="array" ref="P16">IF(
  $N16 = 0, 
  "", 
  IFERROR(
    INDEX(
      'アイテム別限界値DB'!$N:$N, 
      MATCH(
        1, 
        ('アイテム別限界値DB'!$B:$B = $K$4) * 
        ('アイテム別限界値DB'!$G:$G = $K16) * 
        ('アイテム別限界値DB'!$H:$H = $N16), 
        0
      )
    )*$M16, 
    "再製作"
  )
)
</f>
        <v/>
      </c>
      <c r="Q16" s="332"/>
      <c r="R16" s="429"/>
      <c r="S16" s="421"/>
      <c r="T16" s="436"/>
      <c r="U16" s="440"/>
      <c r="V16" s="438"/>
      <c r="W16" s="333"/>
      <c r="X16" s="327"/>
      <c r="Y16" s="429" t="s">
        <v>93</v>
      </c>
      <c r="Z16" s="421" t="s">
        <v>99</v>
      </c>
      <c r="AA16" s="406"/>
      <c r="AB16" s="404"/>
      <c r="AC16" s="405" t="str">
        <f t="array" ref="AC16">IF(
  $AB16 = 0, 
  "", 
  IFERROR(
    INDEX(
      'アイテム別限界値DB'!$K:$K, 
      MATCH(
        1, 
        ('アイテム別限界値DB'!$B:$B = $Y$4) * 
        ('アイテム別限界値DB'!$G:$G = $Y16) * 
        ('アイテム別限界値DB'!$H:$H = $AB16), 
        0
      )
    ), 
    "再製作"
  )
)
</f>
        <v/>
      </c>
      <c r="AD16" s="397" t="str">
        <f t="array" ref="AD16">IF(
  $AB16 = 0, 
  "", 
  IFERROR(
    INDEX(
      'アイテム別限界値DB'!$N:$N, 
      MATCH(
        1, 
        ('アイテム別限界値DB'!$B:$B = $Y$4) * 
        ('アイテム別限界値DB'!$G:$G = $Y16) * 
        ('アイテム別限界値DB'!$H:$H = $AB16), 
        0
      )
    )*AA16, 
    "再製作"
  )
)
</f>
        <v/>
      </c>
      <c r="AE16" s="332"/>
      <c r="AF16" s="429" t="s">
        <v>89</v>
      </c>
      <c r="AG16" s="421" t="s">
        <v>89</v>
      </c>
      <c r="AH16" s="406"/>
      <c r="AI16" s="422"/>
      <c r="AJ16" s="405" t="str">
        <f t="array" ref="AJ16">IF(
  $AI16 = 0, 
  "", 
  IFERROR(
    INDEX(
      'アイテム別限界値DB'!$K:$K, 
      MATCH(
        1, 
        ('アイテム別限界値DB'!$B:$B = AF$4) * 
        ('アイテム別限界値DB'!$G:$G = $AF16) * 
        ('アイテム別限界値DB'!$H:$H = $AI16), 
        0
      )
    ), 
    "再製作"
  )
)
</f>
        <v/>
      </c>
      <c r="AK16" s="397" t="str">
        <f t="array" ref="AK16">IF(
  $AI16 = 0, 
  "", 
  IFERROR(
    INDEX(
      'アイテム別限界値DB'!$N:$N, 
      MATCH(
        1, 
        ('アイテム別限界値DB'!$B:$B = $AF$4) * 
        ('アイテム別限界値DB'!$G:$G = $AF16) * 
        ('アイテム別限界値DB'!$H:$H = $AI16), 
        0
      )
    )*AH16, 
    "再製作"
  )
)
</f>
        <v/>
      </c>
      <c r="AL16" s="327"/>
      <c r="AM16" s="429" t="s">
        <v>90</v>
      </c>
      <c r="AN16" s="432" t="s">
        <v>90</v>
      </c>
      <c r="AO16" s="406"/>
      <c r="AP16" s="422"/>
      <c r="AQ16" s="405" t="str">
        <f t="array" ref="AQ16">IF(
  $AP16 = 0, 
  "", 
  IFERROR(
    INDEX(
      'アイテム別限界値DB'!$K:$K, 
      MATCH(
        1, 
        ('アイテム別限界値DB'!$B:$B = $AM$4) * 
        ('アイテム別限界値DB'!$G:$G = $AM16) * 
        ('アイテム別限界値DB'!$H:$H = $AP16), 
        0
      )
    ), 
    "再製作"
  )
)
</f>
        <v/>
      </c>
      <c r="AR16" s="397" t="str">
        <f t="array" ref="AR16">IF(
  $AP16 = 0, 
  "", 
  IFERROR(
    INDEX(
      'アイテム別限界値DB'!$N:$N, 
      MATCH(
        1, 
        ('アイテム別限界値DB'!$B:$B = $AM$4) * 
        ('アイテム別限界値DB'!$G:$G = $AM16) * 
        ('アイテム別限界値DB'!$H:$H = $AP16), 
        0
      )
    )*AO16, 
    "再製作"
  )
)
</f>
        <v/>
      </c>
      <c r="AS16" s="327"/>
      <c r="AT16" s="432"/>
      <c r="AU16" s="436"/>
      <c r="AV16" s="436"/>
      <c r="AW16" s="438"/>
      <c r="AX16" s="333"/>
      <c r="AY16" s="327"/>
      <c r="AZ16" s="432"/>
      <c r="BA16" s="436"/>
      <c r="BB16" s="436"/>
      <c r="BC16" s="438"/>
      <c r="BD16" s="333"/>
      <c r="BE16" s="327"/>
      <c r="BF16" s="432"/>
      <c r="BG16" s="436"/>
      <c r="BH16" s="436"/>
      <c r="BI16" s="438"/>
      <c r="BJ16" s="333"/>
      <c r="BK16" s="327"/>
      <c r="BL16" s="432"/>
      <c r="BM16" s="436"/>
      <c r="BN16" s="436"/>
      <c r="BO16" s="438"/>
      <c r="BP16" s="333"/>
      <c r="BQ16" s="327"/>
      <c r="BR16" s="432"/>
      <c r="BS16" s="436"/>
      <c r="BT16" s="436"/>
      <c r="BU16" s="438"/>
      <c r="BV16" s="333"/>
      <c r="BW16" s="327"/>
      <c r="BX16" s="432"/>
      <c r="BY16" s="436"/>
      <c r="BZ16" s="436"/>
      <c r="CA16" s="438"/>
      <c r="CB16" s="333"/>
      <c r="CC16" s="333"/>
      <c r="CD16" s="333"/>
      <c r="CE16" s="333"/>
      <c r="CF16" s="333"/>
      <c r="CG16" s="333"/>
      <c r="CH16" s="327"/>
      <c r="CI16" s="327"/>
    </row>
    <row r="17" ht="15.75" customHeight="1">
      <c r="A17" s="441"/>
      <c r="B17" s="228" t="str">
        <f>IFERROR(__xludf.DUMMYFUNCTION("TEXTJOIN(CHAR(10),TRUE,FILTER(ARRAYFORMULA(IF(AI$14:AI70&lt;&gt;"""",AG$14:AG70&amp;"" : ""&amp; AI$14:AI70 &amp;"" cm"","""")), AG$14:AG70 &lt;&gt;""""))"),"")</f>
        <v/>
      </c>
      <c r="C17" s="434"/>
      <c r="D17" s="434" t="s">
        <v>94</v>
      </c>
      <c r="E17" s="413" t="s">
        <v>83</v>
      </c>
      <c r="F17" s="403"/>
      <c r="G17" s="404"/>
      <c r="H17" s="405" t="str">
        <f t="array" ref="H17">IF(
  G17 = 0, 
  "", 
  IFERROR(
    INDEX(
      'アイテム別限界値DB'!$K:$K, 
      MATCH(
        1, 
        ('アイテム別限界値DB'!$B:$B = D$4) * 
        ('アイテム別限界値DB'!$G:$G = D17) * 
        ('アイテム別限界値DB'!$H:$H = G17), 
        0
      )
    ), 
    "再製作"
  )
)
</f>
        <v/>
      </c>
      <c r="I17" s="397" t="str">
        <f t="array" ref="I17">IF(
  $G17 = 0, 
  "", 
  IFERROR(
    INDEX(
      'アイテム別限界値DB'!$N:$N, 
      MATCH(
        1, 
        ('アイテム別限界値DB'!$B:$B = $D$4) * 
        ('アイテム別限界値DB'!$G:$G = $D17) * 
        ('アイテム別限界値DB'!$H:$H = $G17), 
        0
      )
    )*F17, 
    "再製作"
  )
)
</f>
        <v/>
      </c>
      <c r="J17" s="388"/>
      <c r="K17" s="434" t="s">
        <v>95</v>
      </c>
      <c r="L17" s="414" t="s">
        <v>103</v>
      </c>
      <c r="M17" s="406"/>
      <c r="N17" s="404"/>
      <c r="O17" s="405" t="str">
        <f t="array" ref="O17">IF(
  $N17 = 0, 
  "", 
  IFERROR(
    INDEX(
      'アイテム別限界値DB'!$K:$K, 
      MATCH(
        1, 
        ('アイテム別限界値DB'!$B:$B = $K$4) * 
        ('アイテム別限界値DB'!$G:$G = $K17) * 
        ('アイテム別限界値DB'!$H:$H = $N17), 
        0
      )
    ), 
    "再製作"
  )
)
</f>
        <v/>
      </c>
      <c r="P17" s="397" t="str">
        <f t="array" ref="P17">IF(
  $N17 = 0, 
  "", 
  IFERROR(
    INDEX(
      'アイテム別限界値DB'!$N:$N, 
      MATCH(
        1, 
        ('アイテム別限界値DB'!$B:$B = $K$4) * 
        ('アイテム別限界値DB'!$G:$G = $K17) * 
        ('アイテム別限界値DB'!$H:$H = $N17), 
        0
      )
    )*$M17, 
    "再製作"
  )
)
</f>
        <v/>
      </c>
      <c r="Q17" s="332"/>
      <c r="R17" s="434"/>
      <c r="S17" s="413"/>
      <c r="T17" s="439"/>
      <c r="U17" s="439"/>
      <c r="V17" s="438"/>
      <c r="W17" s="333"/>
      <c r="X17" s="327"/>
      <c r="Y17" s="434" t="s">
        <v>96</v>
      </c>
      <c r="Z17" s="413" t="s">
        <v>103</v>
      </c>
      <c r="AA17" s="406"/>
      <c r="AB17" s="404"/>
      <c r="AC17" s="405" t="str">
        <f t="array" ref="AC17">IF(
  $AB17 = 0, 
  "", 
  IFERROR(
    INDEX(
      'アイテム別限界値DB'!$K:$K, 
      MATCH(
        1, 
        ('アイテム別限界値DB'!$B:$B = $Y$4) * 
        ('アイテム別限界値DB'!$G:$G = $Y17) * 
        ('アイテム別限界値DB'!$H:$H = $AB17), 
        0
      )
    ), 
    "再製作"
  )
)
</f>
        <v/>
      </c>
      <c r="AD17" s="397" t="str">
        <f t="array" ref="AD17">IF(
  $AB17 = 0, 
  "", 
  IFERROR(
    INDEX(
      'アイテム別限界値DB'!$N:$N, 
      MATCH(
        1, 
        ('アイテム別限界値DB'!$B:$B = $Y$4) * 
        ('アイテム別限界値DB'!$G:$G = $Y17) * 
        ('アイテム別限界値DB'!$H:$H = $AB17), 
        0
      )
    )*AA17, 
    "再製作"
  )
)
</f>
        <v/>
      </c>
      <c r="AE17" s="332"/>
      <c r="AF17" s="434" t="s">
        <v>97</v>
      </c>
      <c r="AG17" s="413" t="s">
        <v>97</v>
      </c>
      <c r="AH17" s="406"/>
      <c r="AI17" s="404"/>
      <c r="AJ17" s="405" t="str">
        <f t="array" ref="AJ17">IF(
  $AI17 = 0, 
  "", 
  IFERROR(
    INDEX(
      'アイテム別限界値DB'!$K:$K, 
      MATCH(
        1, 
        ('アイテム別限界値DB'!$B:$B = AF$4) * 
        ('アイテム別限界値DB'!$G:$G = $AF17) * 
        ('アイテム別限界値DB'!$H:$H = $AI17), 
        0
      )
    ), 
    "再製作"
  )
)
</f>
        <v/>
      </c>
      <c r="AK17" s="397" t="str">
        <f t="array" ref="AK17">IF(
  $AI17 = 0, 
  "", 
  IFERROR(
    INDEX(
      'アイテム別限界値DB'!$N:$N, 
      MATCH(
        1, 
        ('アイテム別限界値DB'!$B:$B = $AF$4) * 
        ('アイテム別限界値DB'!$G:$G = $AF17) * 
        ('アイテム別限界値DB'!$H:$H = $AI17), 
        0
      )
    )*AH17, 
    "再製作"
  )
)
</f>
        <v/>
      </c>
      <c r="AL17" s="327"/>
      <c r="AM17" s="434" t="s">
        <v>62</v>
      </c>
      <c r="AN17" s="400" t="s">
        <v>62</v>
      </c>
      <c r="AO17" s="406"/>
      <c r="AP17" s="422"/>
      <c r="AQ17" s="405" t="str">
        <f t="array" ref="AQ17">IF(
  $AP17 = 0, 
  "", 
  IFERROR(
    INDEX(
      'アイテム別限界値DB'!$K:$K, 
      MATCH(
        1, 
        ('アイテム別限界値DB'!$B:$B = $AM$4) * 
        ('アイテム別限界値DB'!$G:$G = $AM17) * 
        ('アイテム別限界値DB'!$H:$H = $AP17), 
        0
      )
    ), 
    "再製作"
  )
)
</f>
        <v/>
      </c>
      <c r="AR17" s="397" t="str">
        <f t="array" ref="AR17">IF(
  $AP17 = 0, 
  "", 
  IFERROR(
    INDEX(
      'アイテム別限界値DB'!$N:$N, 
      MATCH(
        1, 
        ('アイテム別限界値DB'!$B:$B = $AM$4) * 
        ('アイテム別限界値DB'!$G:$G = $AM17) * 
        ('アイテム別限界値DB'!$H:$H = $AP17), 
        0
      )
    )*AO17, 
    "再製作"
  )
)
</f>
        <v/>
      </c>
      <c r="AS17" s="327"/>
      <c r="AT17" s="400"/>
      <c r="AU17" s="436"/>
      <c r="AV17" s="436"/>
      <c r="AW17" s="438"/>
      <c r="AX17" s="333"/>
      <c r="AY17" s="327"/>
      <c r="AZ17" s="400"/>
      <c r="BA17" s="439"/>
      <c r="BB17" s="439"/>
      <c r="BC17" s="438"/>
      <c r="BD17" s="333"/>
      <c r="BE17" s="327"/>
      <c r="BF17" s="400"/>
      <c r="BG17" s="439"/>
      <c r="BH17" s="439"/>
      <c r="BI17" s="438"/>
      <c r="BJ17" s="333"/>
      <c r="BK17" s="327"/>
      <c r="BL17" s="400"/>
      <c r="BM17" s="439"/>
      <c r="BN17" s="439"/>
      <c r="BO17" s="438"/>
      <c r="BP17" s="333"/>
      <c r="BQ17" s="327"/>
      <c r="BR17" s="400"/>
      <c r="BS17" s="439"/>
      <c r="BT17" s="439"/>
      <c r="BU17" s="438"/>
      <c r="BV17" s="333"/>
      <c r="BW17" s="327"/>
      <c r="BX17" s="400"/>
      <c r="BY17" s="439"/>
      <c r="BZ17" s="439"/>
      <c r="CA17" s="438"/>
      <c r="CB17" s="333"/>
      <c r="CC17" s="333"/>
      <c r="CD17" s="333"/>
      <c r="CE17" s="333"/>
      <c r="CF17" s="333"/>
      <c r="CG17" s="333"/>
      <c r="CH17" s="327"/>
      <c r="CI17" s="327"/>
    </row>
    <row r="18" ht="15.75" customHeight="1">
      <c r="A18" s="442"/>
      <c r="B18" s="309" t="s">
        <v>219</v>
      </c>
      <c r="C18" s="400"/>
      <c r="D18" s="400" t="s">
        <v>98</v>
      </c>
      <c r="E18" s="421" t="s">
        <v>106</v>
      </c>
      <c r="F18" s="403"/>
      <c r="G18" s="404"/>
      <c r="H18" s="405" t="str">
        <f t="array" ref="H18">IF(
  G18 = 0, 
  "", 
  IFERROR(
    INDEX(
      'アイテム別限界値DB'!$K:$K, 
      MATCH(
        1, 
        ('アイテム別限界値DB'!$B:$B = D$4) * 
        ('アイテム別限界値DB'!$G:$G = D18) * 
        ('アイテム別限界値DB'!$H:$H = G18), 
        0
      )
    ), 
    "再製作"
  )
)
</f>
        <v/>
      </c>
      <c r="I18" s="397" t="str">
        <f t="array" ref="I18">IF(
  $G18 = 0, 
  "", 
  IFERROR(
    INDEX(
      'アイテム別限界値DB'!$N:$N, 
      MATCH(
        1, 
        ('アイテム別限界値DB'!$B:$B = $D$4) * 
        ('アイテム別限界値DB'!$G:$G = $D18) * 
        ('アイテム別限界値DB'!$H:$H = $G18), 
        0
      )
    )*F18, 
    "再製作"
  )
)
</f>
        <v/>
      </c>
      <c r="J18" s="443"/>
      <c r="K18" s="400" t="s">
        <v>99</v>
      </c>
      <c r="L18" s="414"/>
      <c r="M18" s="406"/>
      <c r="N18" s="422"/>
      <c r="O18" s="405" t="str">
        <f t="array" ref="O18">IF(
  $N18 = 0, 
  "", 
  IFERROR(
    INDEX(
      'アイテム別限界値DB'!$K:$K, 
      MATCH(
        1, 
        ('アイテム別限界値DB'!$B:$B = $K$4) * 
        ('アイテム別限界値DB'!$G:$G = $K18) * 
        ('アイテム別限界値DB'!$H:$H = $N18), 
        0
      )
    ), 
    "再製作"
  )
)
</f>
        <v/>
      </c>
      <c r="P18" s="397" t="str">
        <f t="array" ref="P18">IF(
  $N18 = 0, 
  "", 
  IFERROR(
    INDEX(
      'アイテム別限界値DB'!$N:$N, 
      MATCH(
        1, 
        ('アイテム別限界値DB'!$B:$B = $K$4) * 
        ('アイテム別限界値DB'!$G:$G = $K18) * 
        ('アイテム別限界値DB'!$H:$H = $N18), 
        0
      )
    )*$M18, 
    "再製作"
  )
)
</f>
        <v/>
      </c>
      <c r="Q18" s="444"/>
      <c r="R18" s="400"/>
      <c r="S18" s="421"/>
      <c r="T18" s="436"/>
      <c r="U18" s="436"/>
      <c r="V18" s="438"/>
      <c r="W18" s="333"/>
      <c r="X18" s="445"/>
      <c r="Y18" s="400" t="s">
        <v>100</v>
      </c>
      <c r="Z18" s="421"/>
      <c r="AA18" s="406"/>
      <c r="AB18" s="422"/>
      <c r="AC18" s="405" t="str">
        <f t="array" ref="AC18">IF(
  $AB18 = 0, 
  "", 
  IFERROR(
    INDEX(
      'アイテム別限界値DB'!$K:$K, 
      MATCH(
        1, 
        ('アイテム別限界値DB'!$B:$B = $Y$4) * 
        ('アイテム別限界値DB'!$G:$G = $Y18) * 
        ('アイテム別限界値DB'!$H:$H = $AB18), 
        0
      )
    ), 
    "再製作"
  )
)
</f>
        <v/>
      </c>
      <c r="AD18" s="397" t="str">
        <f t="array" ref="AD18">IF(
  $AB18 = 0, 
  "", 
  IFERROR(
    INDEX(
      'アイテム別限界値DB'!$N:$N, 
      MATCH(
        1, 
        ('アイテム別限界値DB'!$B:$B = $Y$4) * 
        ('アイテム別限界値DB'!$G:$G = $Y18) * 
        ('アイテム別限界値DB'!$H:$H = $AB18), 
        0
      )
    )*AA18, 
    "再製作"
  )
)
</f>
        <v/>
      </c>
      <c r="AE18" s="444"/>
      <c r="AF18" s="400" t="s">
        <v>101</v>
      </c>
      <c r="AG18" s="421" t="s">
        <v>101</v>
      </c>
      <c r="AH18" s="406"/>
      <c r="AI18" s="422"/>
      <c r="AJ18" s="405" t="str">
        <f t="array" ref="AJ18">IF(
  $AI18 = 0, 
  "", 
  IFERROR(
    INDEX(
      'アイテム別限界値DB'!$K:$K, 
      MATCH(
        1, 
        ('アイテム別限界値DB'!$B:$B = AF$4) * 
        ('アイテム別限界値DB'!$G:$G = $AF18) * 
        ('アイテム別限界値DB'!$H:$H = $AI18), 
        0
      )
    ), 
    "再製作"
  )
)
</f>
        <v/>
      </c>
      <c r="AK18" s="397" t="str">
        <f t="array" ref="AK18">IF(
  $AI18 = 0, 
  "", 
  IFERROR(
    INDEX(
      'アイテム別限界値DB'!$N:$N, 
      MATCH(
        1, 
        ('アイテム別限界値DB'!$B:$B = $AF$4) * 
        ('アイテム別限界値DB'!$G:$G = $AF18) * 
        ('アイテム別限界値DB'!$H:$H = $AI18), 
        0
      )
    )*AH18, 
    "再製作"
  )
)
</f>
        <v/>
      </c>
      <c r="AL18" s="445"/>
      <c r="AM18" s="400" t="s">
        <v>74</v>
      </c>
      <c r="AN18" s="400" t="s">
        <v>74</v>
      </c>
      <c r="AO18" s="406"/>
      <c r="AP18" s="404"/>
      <c r="AQ18" s="405" t="str">
        <f t="array" ref="AQ18">IF(
  $AP18 = 0, 
  "", 
  IFERROR(
    INDEX(
      'アイテム別限界値DB'!$K:$K, 
      MATCH(
        1, 
        ('アイテム別限界値DB'!$B:$B = $AM$4) * 
        ('アイテム別限界値DB'!$G:$G = $AM18) * 
        ('アイテム別限界値DB'!$H:$H = $AP18), 
        0
      )
    ), 
    "再製作"
  )
)
</f>
        <v/>
      </c>
      <c r="AR18" s="397" t="str">
        <f t="array" ref="AR18">IF(
  $AP18 = 0, 
  "", 
  IFERROR(
    INDEX(
      'アイテム別限界値DB'!$N:$N, 
      MATCH(
        1, 
        ('アイテム別限界値DB'!$B:$B = $AM$4) * 
        ('アイテム別限界値DB'!$G:$G = $AM18) * 
        ('アイテム別限界値DB'!$H:$H = $AP18), 
        0
      )
    )*AO18, 
    "再製作"
  )
)
</f>
        <v/>
      </c>
      <c r="AS18" s="445"/>
      <c r="AT18" s="400"/>
      <c r="AU18" s="436"/>
      <c r="AV18" s="436"/>
      <c r="AW18" s="438"/>
      <c r="AX18" s="333"/>
      <c r="AY18" s="445"/>
      <c r="AZ18" s="400"/>
      <c r="BA18" s="436"/>
      <c r="BB18" s="436"/>
      <c r="BC18" s="438"/>
      <c r="BD18" s="333"/>
      <c r="BE18" s="445"/>
      <c r="BF18" s="400"/>
      <c r="BG18" s="436"/>
      <c r="BH18" s="436"/>
      <c r="BI18" s="438"/>
      <c r="BJ18" s="333"/>
      <c r="BK18" s="445"/>
      <c r="BL18" s="400"/>
      <c r="BM18" s="436"/>
      <c r="BN18" s="436"/>
      <c r="BO18" s="438"/>
      <c r="BP18" s="333"/>
      <c r="BQ18" s="445"/>
      <c r="BR18" s="400"/>
      <c r="BS18" s="436"/>
      <c r="BT18" s="436"/>
      <c r="BU18" s="438"/>
      <c r="BV18" s="333"/>
      <c r="BW18" s="445"/>
      <c r="BX18" s="400"/>
      <c r="BY18" s="436"/>
      <c r="BZ18" s="436"/>
      <c r="CA18" s="438"/>
      <c r="CB18" s="333"/>
      <c r="CC18" s="333"/>
      <c r="CD18" s="333"/>
      <c r="CE18" s="333"/>
      <c r="CF18" s="333"/>
      <c r="CG18" s="333"/>
      <c r="CH18" s="445"/>
      <c r="CI18" s="445"/>
    </row>
    <row r="19" ht="15.75" customHeight="1">
      <c r="A19" s="229"/>
      <c r="B19" s="228" t="str">
        <f>IFERROR(__xludf.DUMMYFUNCTION("TEXTJOIN(CHAR(10),TRUE,FILTER(ARRAYFORMULA(IF(AI$14:AI70&lt;&gt;"""",AG$14:AG70&amp;"" : ""&amp; AI$14:AI70 &amp;"" cm"","""")), AG$14:AG70 &lt;&gt;""""))"),"")</f>
        <v/>
      </c>
      <c r="C19" s="432"/>
      <c r="D19" s="432" t="s">
        <v>74</v>
      </c>
      <c r="E19" s="446" t="s">
        <v>107</v>
      </c>
      <c r="F19" s="403"/>
      <c r="G19" s="404"/>
      <c r="H19" s="405" t="str">
        <f t="array" ref="H19">IF(
  G19 = 0, 
  "", 
  IFERROR(
    INDEX(
      'アイテム別限界値DB'!$K:$K, 
      MATCH(
        1, 
        ('アイテム別限界値DB'!$B:$B = D$4) * 
        ('アイテム別限界値DB'!$G:$G = D19) * 
        ('アイテム別限界値DB'!$H:$H = G19), 
        0
      )
    ), 
    "再製作"
  )
)
</f>
        <v/>
      </c>
      <c r="I19" s="397" t="str">
        <f t="array" ref="I19">IF(
  $G19 = 0, 
  "", 
  IFERROR(
    INDEX(
      'アイテム別限界値DB'!$N:$N, 
      MATCH(
        1, 
        ('アイテム別限界値DB'!$B:$B = $D$4) * 
        ('アイテム別限界値DB'!$G:$G = $D19) * 
        ('アイテム別限界値DB'!$H:$H = $G19), 
        0
      )
    )*F19, 
    "再製作"
  )
)
</f>
        <v/>
      </c>
      <c r="J19" s="443"/>
      <c r="K19" s="425" t="s">
        <v>100</v>
      </c>
      <c r="L19" s="447"/>
      <c r="M19" s="406"/>
      <c r="N19" s="422"/>
      <c r="O19" s="405" t="str">
        <f t="array" ref="O19">IF(
  $N19 = 0, 
  "", 
  IFERROR(
    INDEX(
      'アイテム別限界値DB'!$K:$K, 
      MATCH(
        1, 
        ('アイテム別限界値DB'!$B:$B = $K$4) * 
        ('アイテム別限界値DB'!$G:$G = $K19) * 
        ('アイテム別限界値DB'!$H:$H = $N19), 
        0
      )
    ), 
    "再製作"
  )
)
</f>
        <v/>
      </c>
      <c r="P19" s="397" t="str">
        <f t="array" ref="P19">IF(
  $N19 = 0, 
  "", 
  IFERROR(
    INDEX(
      'アイテム別限界値DB'!$N:$N, 
      MATCH(
        1, 
        ('アイテム別限界値DB'!$B:$B = $K$4) * 
        ('アイテム別限界値DB'!$G:$G = $K19) * 
        ('アイテム別限界値DB'!$H:$H = $N19), 
        0
      )
    )*$M19, 
    "再製作"
  )
)
</f>
        <v/>
      </c>
      <c r="Q19" s="444"/>
      <c r="R19" s="445"/>
      <c r="S19" s="316"/>
      <c r="T19" s="317"/>
      <c r="U19" s="317"/>
      <c r="V19" s="317"/>
      <c r="W19" s="317"/>
      <c r="X19" s="445"/>
      <c r="Y19" s="443" t="s">
        <v>95</v>
      </c>
      <c r="Z19" s="448"/>
      <c r="AA19" s="406"/>
      <c r="AB19" s="404"/>
      <c r="AC19" s="405" t="str">
        <f t="array" ref="AC19">IF(
  $AB19 = 0, 
  "", 
  IFERROR(
    INDEX(
      'アイテム別限界値DB'!$K:$K, 
      MATCH(
        1, 
        ('アイテム別限界値DB'!$B:$B = $Y$4) * 
        ('アイテム別限界値DB'!$G:$G = $Y19) * 
        ('アイテム別限界値DB'!$H:$H = $AB19), 
        0
      )
    ), 
    "再製作"
  )
)
</f>
        <v/>
      </c>
      <c r="AD19" s="397" t="str">
        <f t="array" ref="AD19">IF(
  $AB19 = 0, 
  "", 
  IFERROR(
    INDEX(
      'アイテム別限界値DB'!$N:$N, 
      MATCH(
        1, 
        ('アイテム別限界値DB'!$B:$B = $Y$4) * 
        ('アイテム別限界値DB'!$G:$G = $Y19) * 
        ('アイテム別限界値DB'!$H:$H = $AB19), 
        0
      )
    )*AA19, 
    "再製作"
  )
)
</f>
        <v/>
      </c>
      <c r="AE19" s="444"/>
      <c r="AF19" s="449" t="s">
        <v>62</v>
      </c>
      <c r="AG19" s="450" t="s">
        <v>62</v>
      </c>
      <c r="AH19" s="406"/>
      <c r="AI19" s="404"/>
      <c r="AJ19" s="405" t="str">
        <f t="array" ref="AJ19">IF(
  $AI19 = 0, 
  "", 
  IFERROR(
    INDEX(
      'アイテム別限界値DB'!$K:$K, 
      MATCH(
        1, 
        ('アイテム別限界値DB'!$B:$B = AF$4) * 
        ('アイテム別限界値DB'!$G:$G = $AF19) * 
        ('アイテム別限界値DB'!$H:$H = $AI19), 
        0
      )
    ), 
    "再製作"
  )
)
</f>
        <v/>
      </c>
      <c r="AK19" s="397" t="str">
        <f t="array" ref="AK19">IF(
  $AI19 = 0, 
  "", 
  IFERROR(
    INDEX(
      'アイテム別限界値DB'!$N:$N, 
      MATCH(
        1, 
        ('アイテム別限界値DB'!$B:$B = $AF$4) * 
        ('アイテム別限界値DB'!$G:$G = $AF19) * 
        ('アイテム別限界値DB'!$H:$H = $AI19), 
        0
      )
    )*AH19, 
    "再製作"
  )
)
</f>
        <v/>
      </c>
      <c r="AL19" s="445"/>
      <c r="AM19" s="185" t="s">
        <v>67</v>
      </c>
      <c r="AN19" s="185" t="s">
        <v>67</v>
      </c>
      <c r="AO19" s="406"/>
      <c r="AP19" s="404"/>
      <c r="AQ19" s="405" t="str">
        <f t="array" ref="AQ19">IF(
  $AP19 = 0, 
  "", 
  IFERROR(
    INDEX(
      'アイテム別限界値DB'!$K:$K, 
      MATCH(
        1, 
        ('アイテム別限界値DB'!$B:$B = $AM$4) * 
        ('アイテム別限界値DB'!$G:$G = $AM19) * 
        ('アイテム別限界値DB'!$H:$H = $AP19), 
        0
      )
    ), 
    "再製作"
  )
)
</f>
        <v/>
      </c>
      <c r="AR19" s="397" t="str">
        <f t="array" ref="AR19">IF(
  $AP19 = 0, 
  "", 
  IFERROR(
    INDEX(
      'アイテム別限界値DB'!$N:$N, 
      MATCH(
        1, 
        ('アイテム別限界値DB'!$B:$B = $AM$4) * 
        ('アイテム別限界値DB'!$G:$G = $AM19) * 
        ('アイテム別限界値DB'!$H:$H = $AP19), 
        0
      )
    )*AO19, 
    "再製作"
  )
)
</f>
        <v/>
      </c>
      <c r="AS19" s="445"/>
      <c r="AT19" s="185"/>
      <c r="AU19" s="436"/>
      <c r="AV19" s="436"/>
      <c r="AW19" s="396" t="str">
        <f t="array" ref="AW19">IF(
  AV19 = 0, 
  "", 
  IFERROR(
    INDEX(
      'アイテム別限界値DB'!$I:$I, 
      MATCH(
        1, 
        ('アイテム別限界値DB'!$B:$B = AT$4) * 
        ('アイテム別限界値DB'!$C:$C = AT19) * 
        ('アイテム別限界値DB'!$F:$F = AV19), 
        0
      )
    ), 
    "再製作"
  )
)
</f>
        <v/>
      </c>
      <c r="AX19" s="451" t="str">
        <f t="array" ref="AX19">IF(
  AV19 = 0, 
  "", 
  IFERROR(
    INDEX(
      'アイテム別限界値DB'!$L:$L, 
      MATCH(
        1, 
        ('アイテム別限界値DB'!$B:$B = AT$4) * 
        ('アイテム別限界値DB'!$C:$C = AT19) * 
        ('アイテム別限界値DB'!$F:$F = AV19), 
        0
      )
    ), 
    ""
  )
)
</f>
        <v/>
      </c>
      <c r="AY19" s="445"/>
      <c r="AZ19" s="185"/>
      <c r="BA19" s="452"/>
      <c r="BB19" s="452"/>
      <c r="BC19" s="396" t="str">
        <f t="array" ref="BC19">IF(
  BB19 = 0, 
  "", 
  IFERROR(
    INDEX(
      'アイテム別限界値DB'!$I:$I, 
      MATCH(
        1, 
        ('アイテム別限界値DB'!$B:$B = AZ$4) * 
        ('アイテム別限界値DB'!$C:$C = AZ19) * 
        ('アイテム別限界値DB'!$F:$F = BB19), 
        0
      )
    ), 
    "再製作"
  )
)
</f>
        <v/>
      </c>
      <c r="BD19" s="451" t="str">
        <f t="array" ref="BD19">IF(
  BB19 = 0, 
  "", 
  IFERROR(
    INDEX(
      'アイテム別限界値DB'!$L:$L, 
      MATCH(
        1, 
        ('アイテム別限界値DB'!$B:$B = AZ$4) * 
        ('アイテム別限界値DB'!$C:$C = AZ19) * 
        ('アイテム別限界値DB'!$F:$F = BB19), 
        0
      )
    ), 
    ""
  )
)
</f>
        <v/>
      </c>
      <c r="BE19" s="445"/>
      <c r="BF19" s="185"/>
      <c r="BG19" s="452"/>
      <c r="BH19" s="452"/>
      <c r="BI19" s="396" t="str">
        <f t="array" ref="BI19">IF(
  BH19 = 0, 
  "", 
  IFERROR(
    INDEX(
      'アイテム別限界値DB'!$I:$I, 
      MATCH(
        1, 
        ('アイテム別限界値DB'!$B:$B = BF$4) * 
        ('アイテム別限界値DB'!$C:$C = BF19) * 
        ('アイテム別限界値DB'!$F:$F = BH19), 
        0
      )
    ), 
    "再製作"
  )
)
</f>
        <v/>
      </c>
      <c r="BJ19" s="451"/>
      <c r="BK19" s="445"/>
      <c r="BL19" s="185"/>
      <c r="BM19" s="452"/>
      <c r="BN19" s="452"/>
      <c r="BO19" s="396"/>
      <c r="BP19" s="451" t="str">
        <f t="array" ref="BP19">IF(
  BN19 = 0, 
  "", 
  IFERROR(
    INDEX(
      'アイテム別限界値DB'!$L:$L, 
      MATCH(
        1, 
        ('アイテム別限界値DB'!$B:$B = BL$4) * 
        ('アイテム別限界値DB'!$C:$C = BL19) * 
        ('アイテム別限界値DB'!$F:$F = BN19), 
        0
      )
    ), 
    ""
  )
)
</f>
        <v/>
      </c>
      <c r="BQ19" s="445"/>
      <c r="BR19" s="185"/>
      <c r="BS19" s="452"/>
      <c r="BT19" s="452"/>
      <c r="BU19" s="396" t="str">
        <f t="array" ref="BU19">IF(
  BT19 = 0, 
  "", 
  IFERROR(
    INDEX(
      'アイテム別限界値DB'!$I:$I, 
      MATCH(
        1, 
        ('アイテム別限界値DB'!$B:$B = BR$4) * 
        ('アイテム別限界値DB'!$C:$C = BR19) * 
        ('アイテム別限界値DB'!$F:$F = BT19), 
        0
      )
    ), 
    "再製作"
  )
)
</f>
        <v/>
      </c>
      <c r="BV19" s="451" t="str">
        <f t="array" ref="BV19">IF(
  BT19 = 0, 
  "", 
  IFERROR(
    INDEX(
      'アイテム別限界値DB'!$L:$L, 
      MATCH(
        1, 
        ('アイテム別限界値DB'!$B:$B = BR$4) * 
        ('アイテム別限界値DB'!$C:$C = BR19) * 
        ('アイテム別限界値DB'!$F:$F = BT19), 
        0
      )
    ), 
    ""
  )
)
</f>
        <v/>
      </c>
      <c r="BW19" s="445"/>
      <c r="BX19" s="185"/>
      <c r="BY19" s="452"/>
      <c r="BZ19" s="452"/>
      <c r="CA19" s="396" t="str">
        <f t="array" ref="CA19">IF(
  BZ19 = 0, 
  "", 
  IFERROR(
    INDEX(
      'アイテム別限界値DB'!$I:$I, 
      MATCH(
        1, 
        ('アイテム別限界値DB'!$B:$B = BX$4) * 
        ('アイテム別限界値DB'!$C:$C = BX19) * 
        ('アイテム別限界値DB'!$F:$F = BZ19), 
        0
      )
    ), 
    "再製作"
  )
)
</f>
        <v/>
      </c>
      <c r="CB19" s="451" t="str">
        <f t="array" ref="CB19">IF(
  BZ19 = 0, 
  "", 
  IFERROR(
    INDEX(
      'アイテム別限界値DB'!$L:$L, 
      MATCH(
        1, 
        ('アイテム別限界値DB'!$B:$B = BX$4) * 
        ('アイテム別限界値DB'!$C:$C = BX19) * 
        ('アイテム別限界値DB'!$F:$F = BZ19), 
        0
      )
    ), 
    ""
  )
)
</f>
        <v/>
      </c>
      <c r="CC19" s="451"/>
      <c r="CD19" s="451"/>
      <c r="CE19" s="451"/>
      <c r="CF19" s="451"/>
      <c r="CG19" s="451"/>
      <c r="CH19" s="445"/>
      <c r="CI19" s="445"/>
    </row>
    <row r="20" ht="15.75" customHeight="1">
      <c r="A20" s="441"/>
      <c r="B20" s="309" t="s">
        <v>220</v>
      </c>
      <c r="C20" s="432"/>
      <c r="D20" s="432" t="s">
        <v>67</v>
      </c>
      <c r="E20" s="446" t="s">
        <v>108</v>
      </c>
      <c r="F20" s="403"/>
      <c r="G20" s="404"/>
      <c r="H20" s="405" t="str">
        <f t="array" ref="H20">IF(
  G20 = 0, 
  "", 
  IFERROR(
    INDEX(
      'アイテム別限界値DB'!$K:$K, 
      MATCH(
        1, 
        ('アイテム別限界値DB'!$B:$B = D$4) * 
        ('アイテム別限界値DB'!$G:$G = D20) * 
        ('アイテム別限界値DB'!$H:$H = G20), 
        0
      )
    ), 
    "再製作"
  )
)
</f>
        <v/>
      </c>
      <c r="I20" s="397" t="str">
        <f t="array" ref="I20">IF(
  $G20 = 0, 
  "", 
  IFERROR(
    INDEX(
      'アイテム別限界値DB'!$N:$N, 
      MATCH(
        1, 
        ('アイテム別限界値DB'!$B:$B = $D$4) * 
        ('アイテム別限界値DB'!$G:$G = $D20) * 
        ('アイテム別限界値DB'!$H:$H = $G20), 
        0
      )
    )*F20, 
    "再製作"
  )
)
</f>
        <v/>
      </c>
      <c r="J20" s="443"/>
      <c r="K20" s="425" t="s">
        <v>103</v>
      </c>
      <c r="L20" s="425"/>
      <c r="M20" s="453"/>
      <c r="N20" s="453"/>
      <c r="O20" s="454"/>
      <c r="P20" s="454"/>
      <c r="Q20" s="444"/>
      <c r="R20" s="445"/>
      <c r="S20" s="316"/>
      <c r="T20" s="436"/>
      <c r="U20" s="436"/>
      <c r="V20" s="317"/>
      <c r="W20" s="317"/>
      <c r="X20" s="445"/>
      <c r="Y20" s="443" t="s">
        <v>99</v>
      </c>
      <c r="Z20" s="448"/>
      <c r="AA20" s="406"/>
      <c r="AB20" s="404"/>
      <c r="AC20" s="405" t="str">
        <f t="array" ref="AC20">IF(
  $AB20 = 0, 
  "", 
  IFERROR(
    INDEX(
      'アイテム別限界値DB'!$K:$K, 
      MATCH(
        1, 
        ('アイテム別限界値DB'!$B:$B = $Y$4) * 
        ('アイテム別限界値DB'!$G:$G = $Y20) * 
        ('アイテム別限界値DB'!$H:$H = $AB20), 
        0
      )
    ), 
    "再製作"
  )
)
</f>
        <v/>
      </c>
      <c r="AD20" s="397" t="str">
        <f t="array" ref="AD20">IF(
  $AB20 = 0, 
  "", 
  IFERROR(
    INDEX(
      'アイテム別限界値DB'!$N:$N, 
      MATCH(
        1, 
        ('アイテム別限界値DB'!$B:$B = $Y$4) * 
        ('アイテム別限界値DB'!$G:$G = $Y20) * 
        ('アイテム別限界値DB'!$H:$H = $AB20), 
        0
      )
    )*AA20, 
    "再製作"
  )
)
</f>
        <v/>
      </c>
      <c r="AE20" s="444"/>
      <c r="AF20" s="449" t="s">
        <v>74</v>
      </c>
      <c r="AG20" s="450" t="s">
        <v>74</v>
      </c>
      <c r="AH20" s="406"/>
      <c r="AI20" s="422"/>
      <c r="AJ20" s="405" t="str">
        <f t="array" ref="AJ20">IF(
  $AI20 = 0, 
  "", 
  IFERROR(
    INDEX(
      'アイテム別限界値DB'!$K:$K, 
      MATCH(
        1, 
        ('アイテム別限界値DB'!$B:$B = AF$4) * 
        ('アイテム別限界値DB'!$G:$G = $AF20) * 
        ('アイテム別限界値DB'!$H:$H = $AI20), 
        0
      )
    ), 
    "再製作"
  )
)
</f>
        <v/>
      </c>
      <c r="AK20" s="397" t="str">
        <f t="array" ref="AK20">IF(
  $AI20 = 0, 
  "", 
  IFERROR(
    INDEX(
      'アイテム別限界値DB'!$N:$N, 
      MATCH(
        1, 
        ('アイテム別限界値DB'!$B:$B = $AF$4) * 
        ('アイテム別限界値DB'!$G:$G = $AF20) * 
        ('アイテム別限界値DB'!$H:$H = $AI20), 
        0
      )
    )*AH20, 
    "再製作"
  )
)
</f>
        <v/>
      </c>
      <c r="AL20" s="445"/>
      <c r="AM20" s="185" t="s">
        <v>79</v>
      </c>
      <c r="AN20" s="185" t="s">
        <v>79</v>
      </c>
      <c r="AO20" s="406"/>
      <c r="AP20" s="404"/>
      <c r="AQ20" s="405" t="str">
        <f t="array" ref="AQ20">IF(
  $AP20 = 0, 
  "", 
  IFERROR(
    INDEX(
      'アイテム別限界値DB'!$K:$K, 
      MATCH(
        1, 
        ('アイテム別限界値DB'!$B:$B = $AM$4) * 
        ('アイテム別限界値DB'!$G:$G = $AM20) * 
        ('アイテム別限界値DB'!$H:$H = $AP20), 
        0
      )
    ), 
    "再製作"
  )
)
</f>
        <v/>
      </c>
      <c r="AR20" s="397" t="str">
        <f t="array" ref="AR20">IF(
  $AP20 = 0, 
  "", 
  IFERROR(
    INDEX(
      'アイテム別限界値DB'!$N:$N, 
      MATCH(
        1, 
        ('アイテム別限界値DB'!$B:$B = $AM$4) * 
        ('アイテム別限界値DB'!$G:$G = $AM20) * 
        ('アイテム別限界値DB'!$H:$H = $AP20), 
        0
      )
    )*AO20, 
    "再製作"
  )
)
</f>
        <v/>
      </c>
      <c r="AS20" s="445"/>
      <c r="AT20" s="185"/>
      <c r="AU20" s="436"/>
      <c r="AV20" s="436"/>
      <c r="AW20" s="396"/>
      <c r="AX20" s="451"/>
      <c r="AY20" s="445"/>
      <c r="AZ20" s="185"/>
      <c r="BA20" s="452"/>
      <c r="BB20" s="452"/>
      <c r="BC20" s="396"/>
      <c r="BD20" s="451"/>
      <c r="BE20" s="445"/>
      <c r="BF20" s="185"/>
      <c r="BG20" s="452"/>
      <c r="BH20" s="452"/>
      <c r="BI20" s="396"/>
      <c r="BJ20" s="451"/>
      <c r="BK20" s="445"/>
      <c r="BL20" s="185"/>
      <c r="BM20" s="452"/>
      <c r="BN20" s="452"/>
      <c r="BO20" s="396"/>
      <c r="BP20" s="451"/>
      <c r="BQ20" s="445"/>
      <c r="BR20" s="185"/>
      <c r="BS20" s="452"/>
      <c r="BT20" s="452"/>
      <c r="BU20" s="396"/>
      <c r="BV20" s="451"/>
      <c r="BW20" s="445"/>
      <c r="BX20" s="185"/>
      <c r="BY20" s="452"/>
      <c r="BZ20" s="452"/>
      <c r="CA20" s="396"/>
      <c r="CB20" s="451"/>
      <c r="CC20" s="451"/>
      <c r="CD20" s="451"/>
      <c r="CE20" s="451"/>
      <c r="CF20" s="451"/>
      <c r="CG20" s="451"/>
      <c r="CH20" s="445"/>
      <c r="CI20" s="445"/>
    </row>
    <row r="21" ht="15.75" customHeight="1">
      <c r="A21" s="229"/>
      <c r="B21" s="228" t="str">
        <f>IFERROR(__xludf.DUMMYFUNCTION("TEXTJOIN(CHAR(10),TRUE,FILTER(ARRAYFORMULA(IF(AI$14:AI70&lt;&gt;"""",AG$14:AG70&amp;"" : ""&amp; AI$14:AI70 &amp;"" cm"","""")), AG$14:AG70 &lt;&gt;""""))"),"")</f>
        <v/>
      </c>
      <c r="C21" s="432"/>
      <c r="D21" s="432" t="s">
        <v>79</v>
      </c>
      <c r="E21" s="446" t="s">
        <v>110</v>
      </c>
      <c r="F21" s="403"/>
      <c r="G21" s="404"/>
      <c r="H21" s="405" t="str">
        <f t="array" ref="H21">IF(
  G21 = 0, 
  "", 
  IFERROR(
    INDEX(
      'アイテム別限界値DB'!$K:$K, 
      MATCH(
        1, 
        ('アイテム別限界値DB'!$B:$B = D$4) * 
        ('アイテム別限界値DB'!$G:$G = D21) * 
        ('アイテム別限界値DB'!$H:$H = G21), 
        0
      )
    ), 
    "再製作"
  )
)
</f>
        <v/>
      </c>
      <c r="I21" s="397" t="str">
        <f t="array" ref="I21">IF(
  $G21 = 0, 
  "", 
  IFERROR(
    INDEX(
      'アイテム別限界値DB'!$N:$N, 
      MATCH(
        1, 
        ('アイテム別限界値DB'!$B:$B = $D$4) * 
        ('アイテム別限界値DB'!$G:$G = $D21) * 
        ('アイテム別限界値DB'!$H:$H = $G21), 
        0
      )
    )*F21, 
    "再製作"
  )
)
</f>
        <v/>
      </c>
      <c r="J21" s="443"/>
      <c r="K21" s="425"/>
      <c r="L21" s="447"/>
      <c r="M21" s="455"/>
      <c r="N21" s="386"/>
      <c r="O21" s="396"/>
      <c r="P21" s="451"/>
      <c r="Q21" s="444"/>
      <c r="R21" s="445"/>
      <c r="S21" s="316"/>
      <c r="T21" s="317"/>
      <c r="U21" s="439"/>
      <c r="V21" s="317"/>
      <c r="W21" s="317"/>
      <c r="X21" s="445"/>
      <c r="Y21" s="443" t="s">
        <v>103</v>
      </c>
      <c r="Z21" s="448"/>
      <c r="AA21" s="406"/>
      <c r="AB21" s="404"/>
      <c r="AC21" s="405" t="str">
        <f t="array" ref="AC21">IF(
  $AB21 = 0, 
  "", 
  IFERROR(
    INDEX(
      'アイテム別限界値DB'!$K:$K, 
      MATCH(
        1, 
        ('アイテム別限界値DB'!$B:$B = $Y$4) * 
        ('アイテム別限界値DB'!$G:$G = $Y21) * 
        ('アイテム別限界値DB'!$H:$H = $AB21), 
        0
      )
    ), 
    "再製作"
  )
)
</f>
        <v/>
      </c>
      <c r="AD21" s="397" t="str">
        <f t="array" ref="AD21">IF(
  $AB21 = 0, 
  "", 
  IFERROR(
    INDEX(
      'アイテム別限界値DB'!$N:$N, 
      MATCH(
        1, 
        ('アイテム別限界値DB'!$B:$B = $Y$4) * 
        ('アイテム別限界値DB'!$G:$G = $Y21) * 
        ('アイテム別限界値DB'!$H:$H = $AB21), 
        0
      )
    )*AA21, 
    "再製作"
  )
)
</f>
        <v/>
      </c>
      <c r="AE21" s="444"/>
      <c r="AF21" s="449" t="s">
        <v>67</v>
      </c>
      <c r="AG21" s="450" t="s">
        <v>67</v>
      </c>
      <c r="AH21" s="406"/>
      <c r="AI21" s="404"/>
      <c r="AJ21" s="405" t="str">
        <f t="array" ref="AJ21">IF(
  $AI21 = 0, 
  "", 
  IFERROR(
    INDEX(
      'アイテム別限界値DB'!$K:$K, 
      MATCH(
        1, 
        ('アイテム別限界値DB'!$B:$B = AF$4) * 
        ('アイテム別限界値DB'!$G:$G = $AF21) * 
        ('アイテム別限界値DB'!$H:$H = $AI21), 
        0
      )
    ), 
    "再製作"
  )
)
</f>
        <v/>
      </c>
      <c r="AK21" s="397" t="str">
        <f t="array" ref="AK21">IF(
  $AI21 = 0, 
  "", 
  IFERROR(
    INDEX(
      'アイテム別限界値DB'!$N:$N, 
      MATCH(
        1, 
        ('アイテム別限界値DB'!$B:$B = $AF$4) * 
        ('アイテム別限界値DB'!$G:$G = $AF21) * 
        ('アイテム別限界値DB'!$H:$H = $AI21), 
        0
      )
    )*AH21, 
    "再製作"
  )
)
</f>
        <v/>
      </c>
      <c r="AL21" s="445"/>
      <c r="AM21" s="185" t="s">
        <v>83</v>
      </c>
      <c r="AN21" s="185" t="s">
        <v>83</v>
      </c>
      <c r="AO21" s="406"/>
      <c r="AP21" s="422"/>
      <c r="AQ21" s="405" t="str">
        <f t="array" ref="AQ21">IF(
  $AP21 = 0, 
  "", 
  IFERROR(
    INDEX(
      'アイテム別限界値DB'!$K:$K, 
      MATCH(
        1, 
        ('アイテム別限界値DB'!$B:$B = $AM$4) * 
        ('アイテム別限界値DB'!$G:$G = $AM21) * 
        ('アイテム別限界値DB'!$H:$H = $AP21), 
        0
      )
    ), 
    "再製作"
  )
)
</f>
        <v/>
      </c>
      <c r="AR21" s="397" t="str">
        <f t="array" ref="AR21">IF(
  $AP21 = 0, 
  "", 
  IFERROR(
    INDEX(
      'アイテム別限界値DB'!$N:$N, 
      MATCH(
        1, 
        ('アイテム別限界値DB'!$B:$B = $AM$4) * 
        ('アイテム別限界値DB'!$G:$G = $AM21) * 
        ('アイテム別限界値DB'!$H:$H = $AP21), 
        0
      )
    )*AO21, 
    "再製作"
  )
)
</f>
        <v/>
      </c>
      <c r="AS21" s="445"/>
      <c r="AT21" s="185"/>
      <c r="AU21" s="436"/>
      <c r="AV21" s="436"/>
      <c r="AW21" s="396"/>
      <c r="AX21" s="451"/>
      <c r="AY21" s="445"/>
      <c r="AZ21" s="185"/>
      <c r="BA21" s="452"/>
      <c r="BB21" s="452"/>
      <c r="BC21" s="396"/>
      <c r="BD21" s="451"/>
      <c r="BE21" s="445"/>
      <c r="BF21" s="185"/>
      <c r="BG21" s="452"/>
      <c r="BH21" s="452"/>
      <c r="BI21" s="396"/>
      <c r="BJ21" s="451"/>
      <c r="BK21" s="445"/>
      <c r="BL21" s="185"/>
      <c r="BM21" s="452"/>
      <c r="BN21" s="452"/>
      <c r="BO21" s="396"/>
      <c r="BP21" s="451"/>
      <c r="BQ21" s="445"/>
      <c r="BR21" s="185"/>
      <c r="BS21" s="452"/>
      <c r="BT21" s="452"/>
      <c r="BU21" s="396"/>
      <c r="BV21" s="451"/>
      <c r="BW21" s="445"/>
      <c r="BX21" s="185"/>
      <c r="BY21" s="452"/>
      <c r="BZ21" s="452"/>
      <c r="CA21" s="396"/>
      <c r="CB21" s="451"/>
      <c r="CC21" s="451"/>
      <c r="CD21" s="451"/>
      <c r="CE21" s="451"/>
      <c r="CF21" s="451"/>
      <c r="CG21" s="451"/>
      <c r="CH21" s="445"/>
      <c r="CI21" s="445"/>
    </row>
    <row r="22" ht="15.75" customHeight="1">
      <c r="A22" s="229"/>
      <c r="B22" s="309" t="s">
        <v>221</v>
      </c>
      <c r="C22" s="432"/>
      <c r="D22" s="432" t="s">
        <v>83</v>
      </c>
      <c r="E22" s="446" t="s">
        <v>111</v>
      </c>
      <c r="F22" s="403"/>
      <c r="G22" s="404"/>
      <c r="H22" s="405" t="str">
        <f t="array" ref="H22">IF(
  G22 = 0, 
  "", 
  IFERROR(
    INDEX(
      'アイテム別限界値DB'!$K:$K, 
      MATCH(
        1, 
        ('アイテム別限界値DB'!$B:$B = D$4) * 
        ('アイテム別限界値DB'!$G:$G = D22) * 
        ('アイテム別限界値DB'!$H:$H = G22), 
        0
      )
    ), 
    "再製作"
  )
)
</f>
        <v/>
      </c>
      <c r="I22" s="397" t="str">
        <f t="array" ref="I22">IF(
  $G22 = 0, 
  "", 
  IFERROR(
    INDEX(
      'アイテム別限界値DB'!$N:$N, 
      MATCH(
        1, 
        ('アイテム別限界値DB'!$B:$B = $D$4) * 
        ('アイテム別限界値DB'!$G:$G = $D22) * 
        ('アイテム別限界値DB'!$H:$H = $G22), 
        0
      )
    )*F22, 
    "再製作"
  )
)
</f>
        <v/>
      </c>
      <c r="J22" s="443"/>
      <c r="K22" s="425"/>
      <c r="L22" s="447"/>
      <c r="M22" s="455"/>
      <c r="N22" s="386"/>
      <c r="O22" s="396"/>
      <c r="P22" s="451"/>
      <c r="Q22" s="444"/>
      <c r="R22" s="445"/>
      <c r="S22" s="316"/>
      <c r="T22" s="317"/>
      <c r="U22" s="317"/>
      <c r="V22" s="317"/>
      <c r="W22" s="317"/>
      <c r="X22" s="445"/>
      <c r="Y22" s="443"/>
      <c r="Z22" s="448"/>
      <c r="AA22" s="386"/>
      <c r="AB22" s="386"/>
      <c r="AC22" s="396"/>
      <c r="AD22" s="396"/>
      <c r="AE22" s="444"/>
      <c r="AF22" s="449" t="s">
        <v>79</v>
      </c>
      <c r="AG22" s="450" t="s">
        <v>79</v>
      </c>
      <c r="AH22" s="406"/>
      <c r="AI22" s="422"/>
      <c r="AJ22" s="405" t="str">
        <f t="array" ref="AJ22">IF(
  $AI22 = 0, 
  "", 
  IFERROR(
    INDEX(
      'アイテム別限界値DB'!$K:$K, 
      MATCH(
        1, 
        ('アイテム別限界値DB'!$B:$B = AF$4) * 
        ('アイテム別限界値DB'!$G:$G = $AF22) * 
        ('アイテム別限界値DB'!$H:$H = $AI22), 
        0
      )
    ), 
    "再製作"
  )
)
</f>
        <v/>
      </c>
      <c r="AK22" s="397" t="str">
        <f t="array" ref="AK22">IF(
  $AI22 = 0, 
  "", 
  IFERROR(
    INDEX(
      'アイテム別限界値DB'!$N:$N, 
      MATCH(
        1, 
        ('アイテム別限界値DB'!$B:$B = $AF$4) * 
        ('アイテム別限界値DB'!$G:$G = $AF22) * 
        ('アイテム別限界値DB'!$H:$H = $AI22), 
        0
      )
    )*AH22, 
    "再製作"
  )
)
</f>
        <v/>
      </c>
      <c r="AL22" s="445"/>
      <c r="AM22" s="185" t="s">
        <v>105</v>
      </c>
      <c r="AN22" s="185" t="s">
        <v>105</v>
      </c>
      <c r="AO22" s="406"/>
      <c r="AP22" s="404"/>
      <c r="AQ22" s="405" t="str">
        <f t="array" ref="AQ22">IF(
  $AP22 = 0, 
  "", 
  IFERROR(
    INDEX(
      'アイテム別限界値DB'!$K:$K, 
      MATCH(
        1, 
        ('アイテム別限界値DB'!$B:$B = $AM$4) * 
        ('アイテム別限界値DB'!$G:$G = $AM22) * 
        ('アイテム別限界値DB'!$H:$H = $AP22), 
        0
      )
    ), 
    "再製作"
  )
)
</f>
        <v/>
      </c>
      <c r="AR22" s="397" t="str">
        <f t="array" ref="AR22">IF(
  $AP22 = 0, 
  "", 
  IFERROR(
    INDEX(
      'アイテム別限界値DB'!$N:$N, 
      MATCH(
        1, 
        ('アイテム別限界値DB'!$B:$B = $AM$4) * 
        ('アイテム別限界値DB'!$G:$G = $AM22) * 
        ('アイテム別限界値DB'!$H:$H = $AP22), 
        0
      )
    )*AO22, 
    "再製作"
  )
)
</f>
        <v/>
      </c>
      <c r="AS22" s="445"/>
      <c r="AT22" s="185"/>
      <c r="AU22" s="436"/>
      <c r="AV22" s="436"/>
      <c r="AW22" s="396"/>
      <c r="AX22" s="451"/>
      <c r="AY22" s="445"/>
      <c r="AZ22" s="185"/>
      <c r="BA22" s="452"/>
      <c r="BB22" s="452"/>
      <c r="BC22" s="396"/>
      <c r="BD22" s="451"/>
      <c r="BE22" s="445"/>
      <c r="BF22" s="185"/>
      <c r="BG22" s="452"/>
      <c r="BH22" s="452"/>
      <c r="BI22" s="396"/>
      <c r="BJ22" s="451"/>
      <c r="BK22" s="445"/>
      <c r="BL22" s="185"/>
      <c r="BM22" s="452"/>
      <c r="BN22" s="452"/>
      <c r="BO22" s="396"/>
      <c r="BP22" s="451"/>
      <c r="BQ22" s="445"/>
      <c r="BR22" s="185"/>
      <c r="BS22" s="452"/>
      <c r="BT22" s="452"/>
      <c r="BU22" s="396"/>
      <c r="BV22" s="451"/>
      <c r="BW22" s="445"/>
      <c r="BX22" s="185"/>
      <c r="BY22" s="452"/>
      <c r="BZ22" s="452"/>
      <c r="CA22" s="396"/>
      <c r="CB22" s="451"/>
      <c r="CC22" s="451"/>
      <c r="CD22" s="451"/>
      <c r="CE22" s="451"/>
      <c r="CF22" s="451"/>
      <c r="CG22" s="451"/>
      <c r="CH22" s="445"/>
      <c r="CI22" s="445"/>
    </row>
    <row r="23" ht="15.75" customHeight="1">
      <c r="A23" s="441"/>
      <c r="B23" s="228" t="str">
        <f>IFERROR(__xludf.DUMMYFUNCTION("TEXTJOIN(CHAR(10),TRUE,FILTER(ARRAYFORMULA(IF(AI$14:AI70&lt;&gt;"""",AG$14:AG70&amp;"" : ""&amp; AI$14:AI70 &amp;"" cm"","""")), AG$14:AG70 &lt;&gt;""""))"),"")</f>
        <v/>
      </c>
      <c r="C23" s="432"/>
      <c r="D23" s="432" t="s">
        <v>106</v>
      </c>
      <c r="E23" s="446" t="s">
        <v>112</v>
      </c>
      <c r="F23" s="403"/>
      <c r="G23" s="404"/>
      <c r="H23" s="405" t="str">
        <f t="array" ref="H23">IF(
  G23 = 0, 
  "", 
  IFERROR(
    INDEX(
      'アイテム別限界値DB'!$K:$K, 
      MATCH(
        1, 
        ('アイテム別限界値DB'!$B:$B = D$4) * 
        ('アイテム別限界値DB'!$G:$G = D23) * 
        ('アイテム別限界値DB'!$H:$H = G23), 
        0
      )
    ), 
    "再製作"
  )
)
</f>
        <v/>
      </c>
      <c r="I23" s="397" t="str">
        <f t="array" ref="I23">IF(
  $G23 = 0, 
  "", 
  IFERROR(
    INDEX(
      'アイテム別限界値DB'!$N:$N, 
      MATCH(
        1, 
        ('アイテム別限界値DB'!$B:$B = $D$4) * 
        ('アイテム別限界値DB'!$G:$G = $D23) * 
        ('アイテム別限界値DB'!$H:$H = $G23), 
        0
      )
    )*F23, 
    "再製作"
  )
)
</f>
        <v/>
      </c>
      <c r="J23" s="443"/>
      <c r="K23" s="425"/>
      <c r="L23" s="447"/>
      <c r="M23" s="455"/>
      <c r="N23" s="386"/>
      <c r="O23" s="396"/>
      <c r="P23" s="451"/>
      <c r="Q23" s="444"/>
      <c r="R23" s="445"/>
      <c r="S23" s="316"/>
      <c r="T23" s="317"/>
      <c r="U23" s="317"/>
      <c r="V23" s="317"/>
      <c r="W23" s="317"/>
      <c r="X23" s="445"/>
      <c r="Y23" s="443"/>
      <c r="Z23" s="448"/>
      <c r="AA23" s="386"/>
      <c r="AB23" s="386"/>
      <c r="AC23" s="396"/>
      <c r="AD23" s="396"/>
      <c r="AE23" s="444"/>
      <c r="AF23" s="449" t="s">
        <v>83</v>
      </c>
      <c r="AG23" s="450" t="s">
        <v>83</v>
      </c>
      <c r="AH23" s="450"/>
      <c r="AI23" s="450"/>
      <c r="AJ23" s="396"/>
      <c r="AK23" s="451"/>
      <c r="AL23" s="445"/>
      <c r="AM23" s="185"/>
      <c r="AN23" s="185"/>
      <c r="AO23" s="452"/>
      <c r="AP23" s="452"/>
      <c r="AQ23" s="396"/>
      <c r="AR23" s="451"/>
      <c r="AS23" s="445"/>
      <c r="AT23" s="185"/>
      <c r="AU23" s="452"/>
      <c r="AV23" s="452"/>
      <c r="AW23" s="396"/>
      <c r="AX23" s="451"/>
      <c r="AY23" s="445"/>
      <c r="AZ23" s="185"/>
      <c r="BA23" s="452"/>
      <c r="BB23" s="452"/>
      <c r="BC23" s="396"/>
      <c r="BD23" s="451"/>
      <c r="BE23" s="445"/>
      <c r="BF23" s="185"/>
      <c r="BG23" s="452"/>
      <c r="BH23" s="452"/>
      <c r="BI23" s="396"/>
      <c r="BJ23" s="451"/>
      <c r="BK23" s="445"/>
      <c r="BL23" s="185"/>
      <c r="BM23" s="452"/>
      <c r="BN23" s="452"/>
      <c r="BO23" s="396"/>
      <c r="BP23" s="451"/>
      <c r="BQ23" s="445"/>
      <c r="BR23" s="185"/>
      <c r="BS23" s="452"/>
      <c r="BT23" s="452"/>
      <c r="BU23" s="396"/>
      <c r="BV23" s="451"/>
      <c r="BW23" s="445"/>
      <c r="BX23" s="185"/>
      <c r="BY23" s="452"/>
      <c r="BZ23" s="452"/>
      <c r="CA23" s="396"/>
      <c r="CB23" s="451"/>
      <c r="CC23" s="451"/>
      <c r="CD23" s="451"/>
      <c r="CE23" s="451"/>
      <c r="CF23" s="451"/>
      <c r="CG23" s="451"/>
      <c r="CH23" s="445"/>
      <c r="CI23" s="445"/>
    </row>
    <row r="24" ht="15.75" customHeight="1">
      <c r="A24" s="229"/>
      <c r="B24" s="309" t="s">
        <v>222</v>
      </c>
      <c r="C24" s="432"/>
      <c r="D24" s="432" t="s">
        <v>107</v>
      </c>
      <c r="E24" s="446" t="s">
        <v>113</v>
      </c>
      <c r="F24" s="403"/>
      <c r="G24" s="404"/>
      <c r="H24" s="405" t="str">
        <f t="array" ref="H24">IF(
  G24 = 0, 
  "", 
  IFERROR(
    INDEX(
      'アイテム別限界値DB'!$K:$K, 
      MATCH(
        1, 
        ('アイテム別限界値DB'!$B:$B = D$4) * 
        ('アイテム別限界値DB'!$G:$G = D24) * 
        ('アイテム別限界値DB'!$H:$H = G24), 
        0
      )
    ), 
    "再製作"
  )
)
</f>
        <v/>
      </c>
      <c r="I24" s="397" t="str">
        <f t="array" ref="I24">IF(
  $G24 = 0, 
  "", 
  IFERROR(
    INDEX(
      'アイテム別限界値DB'!$N:$N, 
      MATCH(
        1, 
        ('アイテム別限界値DB'!$B:$B = $D$4) * 
        ('アイテム別限界値DB'!$G:$G = $D24) * 
        ('アイテム別限界値DB'!$H:$H = $G24), 
        0
      )
    )*F24, 
    "再製作"
  )
)
</f>
        <v/>
      </c>
      <c r="J24" s="443"/>
      <c r="K24" s="425"/>
      <c r="L24" s="447"/>
      <c r="M24" s="455"/>
      <c r="N24" s="386"/>
      <c r="O24" s="396"/>
      <c r="P24" s="451"/>
      <c r="Q24" s="444"/>
      <c r="R24" s="445"/>
      <c r="S24" s="316"/>
      <c r="T24" s="317"/>
      <c r="U24" s="317"/>
      <c r="V24" s="317"/>
      <c r="W24" s="317"/>
      <c r="X24" s="445"/>
      <c r="Y24" s="443"/>
      <c r="Z24" s="448"/>
      <c r="AA24" s="386"/>
      <c r="AB24" s="386"/>
      <c r="AC24" s="396"/>
      <c r="AD24" s="396"/>
      <c r="AE24" s="444"/>
      <c r="AF24" s="449" t="s">
        <v>105</v>
      </c>
      <c r="AG24" s="450" t="s">
        <v>105</v>
      </c>
      <c r="AH24" s="450"/>
      <c r="AI24" s="450"/>
      <c r="AJ24" s="396"/>
      <c r="AK24" s="451"/>
      <c r="AL24" s="445"/>
      <c r="AM24" s="185"/>
      <c r="AN24" s="185"/>
      <c r="AO24" s="452"/>
      <c r="AP24" s="452"/>
      <c r="AQ24" s="396"/>
      <c r="AR24" s="451"/>
      <c r="AS24" s="445"/>
      <c r="AT24" s="185"/>
      <c r="AU24" s="452"/>
      <c r="AV24" s="452"/>
      <c r="AW24" s="396"/>
      <c r="AX24" s="451"/>
      <c r="AY24" s="445"/>
      <c r="AZ24" s="185"/>
      <c r="BA24" s="452"/>
      <c r="BB24" s="452"/>
      <c r="BC24" s="396"/>
      <c r="BD24" s="451"/>
      <c r="BE24" s="445"/>
      <c r="BF24" s="185"/>
      <c r="BG24" s="452"/>
      <c r="BH24" s="452"/>
      <c r="BI24" s="396"/>
      <c r="BJ24" s="451"/>
      <c r="BK24" s="445"/>
      <c r="BL24" s="185"/>
      <c r="BM24" s="452"/>
      <c r="BN24" s="452"/>
      <c r="BO24" s="396"/>
      <c r="BP24" s="451"/>
      <c r="BQ24" s="445"/>
      <c r="BR24" s="185"/>
      <c r="BS24" s="452"/>
      <c r="BT24" s="452"/>
      <c r="BU24" s="396"/>
      <c r="BV24" s="451"/>
      <c r="BW24" s="445"/>
      <c r="BX24" s="185"/>
      <c r="BY24" s="452"/>
      <c r="BZ24" s="452"/>
      <c r="CA24" s="396"/>
      <c r="CB24" s="451"/>
      <c r="CC24" s="451"/>
      <c r="CD24" s="451"/>
      <c r="CE24" s="451"/>
      <c r="CF24" s="451"/>
      <c r="CG24" s="451"/>
      <c r="CH24" s="445"/>
      <c r="CI24" s="445"/>
    </row>
    <row r="25" ht="15.75" customHeight="1">
      <c r="A25" s="229"/>
      <c r="B25" s="228" t="str">
        <f>IFERROR(__xludf.DUMMYFUNCTION("TEXTJOIN(CHAR(10),TRUE,FILTER(ARRAYFORMULA(IF(AI$14:AI70&lt;&gt;"""",AG$14:AG70&amp;"" : ""&amp; AI$14:AI70 &amp;"" cm"","""")), AG$14:AG70 &lt;&gt;""""))"),"")</f>
        <v/>
      </c>
      <c r="C25" s="432"/>
      <c r="D25" s="432" t="s">
        <v>108</v>
      </c>
      <c r="E25" s="446" t="s">
        <v>114</v>
      </c>
      <c r="F25" s="403"/>
      <c r="G25" s="404"/>
      <c r="H25" s="405" t="str">
        <f t="array" ref="H25">IF(
  G25 = 0, 
  "", 
  IFERROR(
    INDEX(
      'アイテム別限界値DB'!$K:$K, 
      MATCH(
        1, 
        ('アイテム別限界値DB'!$B:$B = D$4) * 
        ('アイテム別限界値DB'!$G:$G = D25) * 
        ('アイテム別限界値DB'!$H:$H = G25), 
        0
      )
    ), 
    "再製作"
  )
)
</f>
        <v/>
      </c>
      <c r="I25" s="397" t="str">
        <f t="array" ref="I25">IF(
  $G25 = 0, 
  "", 
  IFERROR(
    INDEX(
      'アイテム別限界値DB'!$N:$N, 
      MATCH(
        1, 
        ('アイテム別限界値DB'!$B:$B = $D$4) * 
        ('アイテム別限界値DB'!$G:$G = $D25) * 
        ('アイテム別限界値DB'!$H:$H = $G25), 
        0
      )
    )*F25, 
    "再製作"
  )
)
</f>
        <v/>
      </c>
      <c r="J25" s="443"/>
      <c r="K25" s="425"/>
      <c r="L25" s="447"/>
      <c r="M25" s="455"/>
      <c r="N25" s="386"/>
      <c r="O25" s="396"/>
      <c r="P25" s="451"/>
      <c r="Q25" s="444"/>
      <c r="R25" s="445"/>
      <c r="S25" s="316"/>
      <c r="T25" s="317"/>
      <c r="U25" s="317"/>
      <c r="V25" s="317"/>
      <c r="W25" s="317"/>
      <c r="X25" s="445"/>
      <c r="Y25" s="443"/>
      <c r="Z25" s="448"/>
      <c r="AA25" s="386"/>
      <c r="AB25" s="386"/>
      <c r="AC25" s="396"/>
      <c r="AD25" s="396"/>
      <c r="AE25" s="444"/>
      <c r="AF25" s="449"/>
      <c r="AG25" s="450"/>
      <c r="AH25" s="450"/>
      <c r="AI25" s="450"/>
      <c r="AJ25" s="396"/>
      <c r="AK25" s="451"/>
      <c r="AL25" s="445"/>
      <c r="AM25" s="185"/>
      <c r="AN25" s="185"/>
      <c r="AO25" s="452"/>
      <c r="AP25" s="452"/>
      <c r="AQ25" s="396"/>
      <c r="AR25" s="451"/>
      <c r="AS25" s="445"/>
      <c r="AT25" s="185"/>
      <c r="AU25" s="452"/>
      <c r="AV25" s="452"/>
      <c r="AW25" s="396"/>
      <c r="AX25" s="451"/>
      <c r="AY25" s="445"/>
      <c r="AZ25" s="185"/>
      <c r="BA25" s="452"/>
      <c r="BB25" s="452"/>
      <c r="BC25" s="396"/>
      <c r="BD25" s="451"/>
      <c r="BE25" s="445"/>
      <c r="BF25" s="185"/>
      <c r="BG25" s="452"/>
      <c r="BH25" s="452"/>
      <c r="BI25" s="396"/>
      <c r="BJ25" s="451"/>
      <c r="BK25" s="445"/>
      <c r="BL25" s="185"/>
      <c r="BM25" s="452"/>
      <c r="BN25" s="452"/>
      <c r="BO25" s="396"/>
      <c r="BP25" s="451"/>
      <c r="BQ25" s="445"/>
      <c r="BR25" s="185"/>
      <c r="BS25" s="452"/>
      <c r="BT25" s="452"/>
      <c r="BU25" s="396"/>
      <c r="BV25" s="451"/>
      <c r="BW25" s="445"/>
      <c r="BX25" s="185"/>
      <c r="BY25" s="452"/>
      <c r="BZ25" s="452"/>
      <c r="CA25" s="396"/>
      <c r="CB25" s="451"/>
      <c r="CC25" s="451"/>
      <c r="CD25" s="451"/>
      <c r="CE25" s="451"/>
      <c r="CF25" s="451"/>
      <c r="CG25" s="451"/>
      <c r="CH25" s="445"/>
      <c r="CI25" s="445"/>
    </row>
    <row r="26" ht="15.75" customHeight="1">
      <c r="A26" s="441"/>
      <c r="B26" s="309" t="s">
        <v>223</v>
      </c>
      <c r="C26" s="432"/>
      <c r="D26" s="432" t="s">
        <v>224</v>
      </c>
      <c r="E26" s="446" t="s">
        <v>116</v>
      </c>
      <c r="F26" s="403"/>
      <c r="G26" s="404"/>
      <c r="H26" s="405" t="str">
        <f t="array" ref="H26">IF(
  G26 = 0, 
  "", 
  IFERROR(
    INDEX(
      'アイテム別限界値DB'!$K:$K, 
      MATCH(
        1, 
        ('アイテム別限界値DB'!$B:$B = D$4) * 
        ('アイテム別限界値DB'!$G:$G = D26) * 
        ('アイテム別限界値DB'!$H:$H = G26), 
        0
      )
    ), 
    "再製作"
  )
)
</f>
        <v/>
      </c>
      <c r="I26" s="397" t="str">
        <f t="array" ref="I26">IF(
  $G26 = 0, 
  "", 
  IFERROR(
    INDEX(
      'アイテム別限界値DB'!$N:$N, 
      MATCH(
        1, 
        ('アイテム別限界値DB'!$B:$B = $D$4) * 
        ('アイテム別限界値DB'!$G:$G = $D26) * 
        ('アイテム別限界値DB'!$H:$H = $G26), 
        0
      )
    )*F26, 
    "再製作"
  )
)
</f>
        <v/>
      </c>
      <c r="J26" s="443"/>
      <c r="K26" s="425"/>
      <c r="L26" s="447"/>
      <c r="M26" s="455"/>
      <c r="N26" s="386"/>
      <c r="O26" s="396"/>
      <c r="P26" s="451"/>
      <c r="Q26" s="444"/>
      <c r="R26" s="445"/>
      <c r="S26" s="316"/>
      <c r="T26" s="317"/>
      <c r="U26" s="317"/>
      <c r="V26" s="317"/>
      <c r="W26" s="317"/>
      <c r="X26" s="445"/>
      <c r="Y26" s="443"/>
      <c r="Z26" s="448"/>
      <c r="AA26" s="386"/>
      <c r="AB26" s="386"/>
      <c r="AC26" s="396"/>
      <c r="AD26" s="396"/>
      <c r="AE26" s="444"/>
      <c r="AF26" s="449"/>
      <c r="AG26" s="450"/>
      <c r="AH26" s="450"/>
      <c r="AI26" s="450"/>
      <c r="AJ26" s="396"/>
      <c r="AK26" s="451"/>
      <c r="AL26" s="445"/>
      <c r="AM26" s="185"/>
      <c r="AN26" s="185"/>
      <c r="AO26" s="452"/>
      <c r="AP26" s="452"/>
      <c r="AQ26" s="396"/>
      <c r="AR26" s="451"/>
      <c r="AS26" s="445"/>
      <c r="AT26" s="185"/>
      <c r="AU26" s="452"/>
      <c r="AV26" s="452"/>
      <c r="AW26" s="396"/>
      <c r="AX26" s="451"/>
      <c r="AY26" s="445"/>
      <c r="AZ26" s="185"/>
      <c r="BA26" s="452"/>
      <c r="BB26" s="452"/>
      <c r="BC26" s="396"/>
      <c r="BD26" s="451"/>
      <c r="BE26" s="445"/>
      <c r="BF26" s="185"/>
      <c r="BG26" s="452"/>
      <c r="BH26" s="452"/>
      <c r="BI26" s="396"/>
      <c r="BJ26" s="451"/>
      <c r="BK26" s="445"/>
      <c r="BL26" s="185"/>
      <c r="BM26" s="452"/>
      <c r="BN26" s="452"/>
      <c r="BO26" s="396"/>
      <c r="BP26" s="451"/>
      <c r="BQ26" s="445"/>
      <c r="BR26" s="185"/>
      <c r="BS26" s="452"/>
      <c r="BT26" s="452"/>
      <c r="BU26" s="396"/>
      <c r="BV26" s="451"/>
      <c r="BW26" s="445"/>
      <c r="BX26" s="185"/>
      <c r="BY26" s="452"/>
      <c r="BZ26" s="452"/>
      <c r="CA26" s="396"/>
      <c r="CB26" s="451"/>
      <c r="CC26" s="451"/>
      <c r="CD26" s="451"/>
      <c r="CE26" s="451"/>
      <c r="CF26" s="451"/>
      <c r="CG26" s="451"/>
      <c r="CH26" s="445"/>
      <c r="CI26" s="445"/>
    </row>
    <row r="27" ht="15.75" customHeight="1">
      <c r="A27" s="229"/>
      <c r="B27" s="228" t="str">
        <f>IFERROR(__xludf.DUMMYFUNCTION("TEXTJOIN(CHAR(10),TRUE,FILTER(ARRAYFORMULA(IF(AI$14:AI70&lt;&gt;"""",AG$14:AG70&amp;"" : ""&amp; AI$14:AI70 &amp;"" cm"","""")), AG$14:AG70 &lt;&gt;""""))"),"")</f>
        <v/>
      </c>
      <c r="C27" s="432"/>
      <c r="D27" s="432" t="s">
        <v>111</v>
      </c>
      <c r="E27" s="446" t="s">
        <v>117</v>
      </c>
      <c r="F27" s="403"/>
      <c r="G27" s="404"/>
      <c r="H27" s="405" t="str">
        <f t="array" ref="H27">IF(
  G27 = 0, 
  "", 
  IFERROR(
    INDEX(
      'アイテム別限界値DB'!$K:$K, 
      MATCH(
        1, 
        ('アイテム別限界値DB'!$B:$B = D$4) * 
        ('アイテム別限界値DB'!$G:$G = D27) * 
        ('アイテム別限界値DB'!$H:$H = G27), 
        0
      )
    ), 
    "再製作"
  )
)
</f>
        <v/>
      </c>
      <c r="I27" s="397" t="str">
        <f t="array" ref="I27">IF(
  $G27 = 0, 
  "", 
  IFERROR(
    INDEX(
      'アイテム別限界値DB'!$N:$N, 
      MATCH(
        1, 
        ('アイテム別限界値DB'!$B:$B = $D$4) * 
        ('アイテム別限界値DB'!$G:$G = $D27) * 
        ('アイテム別限界値DB'!$H:$H = $G27), 
        0
      )
    )*F27, 
    "再製作"
  )
)
</f>
        <v/>
      </c>
      <c r="J27" s="443"/>
      <c r="K27" s="425"/>
      <c r="L27" s="447"/>
      <c r="M27" s="455"/>
      <c r="N27" s="386"/>
      <c r="O27" s="396"/>
      <c r="P27" s="451"/>
      <c r="Q27" s="444"/>
      <c r="R27" s="445"/>
      <c r="S27" s="316"/>
      <c r="T27" s="317"/>
      <c r="U27" s="317"/>
      <c r="V27" s="317"/>
      <c r="W27" s="317"/>
      <c r="X27" s="445"/>
      <c r="Y27" s="443"/>
      <c r="Z27" s="448"/>
      <c r="AA27" s="386"/>
      <c r="AB27" s="386"/>
      <c r="AC27" s="396"/>
      <c r="AD27" s="396"/>
      <c r="AE27" s="444"/>
      <c r="AF27" s="449"/>
      <c r="AG27" s="450"/>
      <c r="AH27" s="450"/>
      <c r="AI27" s="450"/>
      <c r="AJ27" s="396"/>
      <c r="AK27" s="451"/>
      <c r="AL27" s="445"/>
      <c r="AM27" s="185"/>
      <c r="AN27" s="185"/>
      <c r="AO27" s="452"/>
      <c r="AP27" s="452"/>
      <c r="AQ27" s="396"/>
      <c r="AR27" s="451"/>
      <c r="AS27" s="445"/>
      <c r="AT27" s="185"/>
      <c r="AU27" s="452"/>
      <c r="AV27" s="452"/>
      <c r="AW27" s="396"/>
      <c r="AX27" s="451"/>
      <c r="AY27" s="445"/>
      <c r="AZ27" s="185"/>
      <c r="BA27" s="452"/>
      <c r="BB27" s="452"/>
      <c r="BC27" s="396"/>
      <c r="BD27" s="451"/>
      <c r="BE27" s="445"/>
      <c r="BF27" s="185"/>
      <c r="BG27" s="452"/>
      <c r="BH27" s="452"/>
      <c r="BI27" s="396"/>
      <c r="BJ27" s="451"/>
      <c r="BK27" s="445"/>
      <c r="BL27" s="185"/>
      <c r="BM27" s="452"/>
      <c r="BN27" s="452"/>
      <c r="BO27" s="396"/>
      <c r="BP27" s="451"/>
      <c r="BQ27" s="445"/>
      <c r="BR27" s="185"/>
      <c r="BS27" s="452"/>
      <c r="BT27" s="452"/>
      <c r="BU27" s="396"/>
      <c r="BV27" s="451"/>
      <c r="BW27" s="445"/>
      <c r="BX27" s="185"/>
      <c r="BY27" s="452"/>
      <c r="BZ27" s="452"/>
      <c r="CA27" s="396"/>
      <c r="CB27" s="451"/>
      <c r="CC27" s="451"/>
      <c r="CD27" s="451"/>
      <c r="CE27" s="451"/>
      <c r="CF27" s="451"/>
      <c r="CG27" s="451"/>
      <c r="CH27" s="445"/>
      <c r="CI27" s="445"/>
    </row>
    <row r="28" ht="15.75" customHeight="1">
      <c r="A28" s="229"/>
      <c r="C28" s="432"/>
      <c r="D28" s="432" t="s">
        <v>112</v>
      </c>
      <c r="E28" s="446" t="s">
        <v>118</v>
      </c>
      <c r="F28" s="403"/>
      <c r="G28" s="404"/>
      <c r="H28" s="405" t="str">
        <f t="array" ref="H28">IF(
  G28 = 0, 
  "", 
  IFERROR(
    INDEX(
      'アイテム別限界値DB'!$K:$K, 
      MATCH(
        1, 
        ('アイテム別限界値DB'!$B:$B = D$4) * 
        ('アイテム別限界値DB'!$G:$G = D28) * 
        ('アイテム別限界値DB'!$H:$H = G28), 
        0
      )
    ), 
    "再製作"
  )
)
</f>
        <v/>
      </c>
      <c r="I28" s="397" t="str">
        <f t="array" ref="I28">IF(
  $G28 = 0, 
  "", 
  IFERROR(
    INDEX(
      'アイテム別限界値DB'!$N:$N, 
      MATCH(
        1, 
        ('アイテム別限界値DB'!$B:$B = $D$4) * 
        ('アイテム別限界値DB'!$G:$G = $D28) * 
        ('アイテム別限界値DB'!$H:$H = $G28), 
        0
      )
    )*F28, 
    "再製作"
  )
)
</f>
        <v/>
      </c>
      <c r="J28" s="443"/>
      <c r="K28" s="425"/>
      <c r="L28" s="447"/>
      <c r="M28" s="455"/>
      <c r="N28" s="386"/>
      <c r="O28" s="396"/>
      <c r="P28" s="451"/>
      <c r="Q28" s="444"/>
      <c r="R28" s="445"/>
      <c r="S28" s="316"/>
      <c r="T28" s="317"/>
      <c r="U28" s="317"/>
      <c r="V28" s="317"/>
      <c r="W28" s="317"/>
      <c r="X28" s="445"/>
      <c r="Y28" s="443"/>
      <c r="Z28" s="448"/>
      <c r="AA28" s="386"/>
      <c r="AB28" s="386"/>
      <c r="AC28" s="396"/>
      <c r="AD28" s="396"/>
      <c r="AE28" s="444"/>
      <c r="AF28" s="449"/>
      <c r="AG28" s="450"/>
      <c r="AH28" s="450"/>
      <c r="AI28" s="450"/>
      <c r="AJ28" s="396"/>
      <c r="AK28" s="451"/>
      <c r="AL28" s="445"/>
      <c r="AM28" s="185"/>
      <c r="AN28" s="185"/>
      <c r="AO28" s="452"/>
      <c r="AP28" s="452"/>
      <c r="AQ28" s="396"/>
      <c r="AR28" s="451"/>
      <c r="AS28" s="445"/>
      <c r="AT28" s="185"/>
      <c r="AU28" s="452"/>
      <c r="AV28" s="452"/>
      <c r="AW28" s="396"/>
      <c r="AX28" s="451"/>
      <c r="AY28" s="445"/>
      <c r="AZ28" s="185"/>
      <c r="BA28" s="452"/>
      <c r="BB28" s="452"/>
      <c r="BC28" s="396"/>
      <c r="BD28" s="451"/>
      <c r="BE28" s="445"/>
      <c r="BF28" s="185"/>
      <c r="BG28" s="452"/>
      <c r="BH28" s="452"/>
      <c r="BI28" s="396"/>
      <c r="BJ28" s="451"/>
      <c r="BK28" s="445"/>
      <c r="BL28" s="185"/>
      <c r="BM28" s="452"/>
      <c r="BN28" s="452"/>
      <c r="BO28" s="396"/>
      <c r="BP28" s="451"/>
      <c r="BQ28" s="445"/>
      <c r="BR28" s="185"/>
      <c r="BS28" s="452"/>
      <c r="BT28" s="452"/>
      <c r="BU28" s="396"/>
      <c r="BV28" s="451"/>
      <c r="BW28" s="445"/>
      <c r="BX28" s="185"/>
      <c r="BY28" s="452"/>
      <c r="BZ28" s="452"/>
      <c r="CA28" s="396"/>
      <c r="CB28" s="451"/>
      <c r="CC28" s="451"/>
      <c r="CD28" s="451"/>
      <c r="CE28" s="451"/>
      <c r="CF28" s="451"/>
      <c r="CG28" s="451"/>
      <c r="CH28" s="445"/>
      <c r="CI28" s="445"/>
    </row>
    <row r="29" ht="15.75" customHeight="1">
      <c r="A29" s="456"/>
      <c r="C29" s="432"/>
      <c r="D29" s="432" t="s">
        <v>113</v>
      </c>
      <c r="E29" s="446" t="s">
        <v>119</v>
      </c>
      <c r="F29" s="403"/>
      <c r="G29" s="404"/>
      <c r="H29" s="405" t="str">
        <f t="array" ref="H29">IF(
  G29 = 0, 
  "", 
  IFERROR(
    INDEX(
      'アイテム別限界値DB'!$K:$K, 
      MATCH(
        1, 
        ('アイテム別限界値DB'!$B:$B = D$4) * 
        ('アイテム別限界値DB'!$G:$G = D29) * 
        ('アイテム別限界値DB'!$H:$H = G29), 
        0
      )
    ), 
    "再製作"
  )
)
</f>
        <v/>
      </c>
      <c r="I29" s="397" t="str">
        <f t="array" ref="I29">IF(
  $G29 = 0, 
  "", 
  IFERROR(
    INDEX(
      'アイテム別限界値DB'!$N:$N, 
      MATCH(
        1, 
        ('アイテム別限界値DB'!$B:$B = $D$4) * 
        ('アイテム別限界値DB'!$G:$G = $D29) * 
        ('アイテム別限界値DB'!$H:$H = $G29), 
        0
      )
    )*F29, 
    "再製作"
  )
)
</f>
        <v/>
      </c>
      <c r="J29" s="443"/>
      <c r="K29" s="425"/>
      <c r="L29" s="447"/>
      <c r="M29" s="455"/>
      <c r="N29" s="386"/>
      <c r="O29" s="396"/>
      <c r="P29" s="451"/>
      <c r="Q29" s="444"/>
      <c r="R29" s="445"/>
      <c r="S29" s="316"/>
      <c r="T29" s="317"/>
      <c r="U29" s="317"/>
      <c r="V29" s="317"/>
      <c r="W29" s="317"/>
      <c r="X29" s="445"/>
      <c r="Y29" s="443"/>
      <c r="Z29" s="448"/>
      <c r="AA29" s="386"/>
      <c r="AB29" s="386"/>
      <c r="AC29" s="396"/>
      <c r="AD29" s="396"/>
      <c r="AE29" s="444"/>
      <c r="AF29" s="449"/>
      <c r="AG29" s="450"/>
      <c r="AH29" s="450"/>
      <c r="AI29" s="450"/>
      <c r="AJ29" s="396"/>
      <c r="AK29" s="451"/>
      <c r="AL29" s="445"/>
      <c r="AM29" s="185"/>
      <c r="AN29" s="185"/>
      <c r="AO29" s="452"/>
      <c r="AP29" s="452"/>
      <c r="AQ29" s="396"/>
      <c r="AR29" s="451"/>
      <c r="AS29" s="445"/>
      <c r="AT29" s="185"/>
      <c r="AU29" s="452"/>
      <c r="AV29" s="452"/>
      <c r="AW29" s="396"/>
      <c r="AX29" s="451"/>
      <c r="AY29" s="445"/>
      <c r="AZ29" s="185"/>
      <c r="BA29" s="452"/>
      <c r="BB29" s="452"/>
      <c r="BC29" s="396"/>
      <c r="BD29" s="451"/>
      <c r="BE29" s="445"/>
      <c r="BF29" s="185"/>
      <c r="BG29" s="452"/>
      <c r="BH29" s="452"/>
      <c r="BI29" s="396"/>
      <c r="BJ29" s="451"/>
      <c r="BK29" s="445"/>
      <c r="BL29" s="185"/>
      <c r="BM29" s="452"/>
      <c r="BN29" s="452"/>
      <c r="BO29" s="396"/>
      <c r="BP29" s="451"/>
      <c r="BQ29" s="445"/>
      <c r="BR29" s="185"/>
      <c r="BS29" s="452"/>
      <c r="BT29" s="452"/>
      <c r="BU29" s="396"/>
      <c r="BV29" s="451"/>
      <c r="BW29" s="445"/>
      <c r="BX29" s="185"/>
      <c r="BY29" s="452"/>
      <c r="BZ29" s="452"/>
      <c r="CA29" s="396"/>
      <c r="CB29" s="451"/>
      <c r="CC29" s="451"/>
      <c r="CD29" s="451"/>
      <c r="CE29" s="451"/>
      <c r="CF29" s="451"/>
      <c r="CG29" s="451"/>
      <c r="CH29" s="445"/>
      <c r="CI29" s="445"/>
    </row>
    <row r="30" ht="15.75" customHeight="1">
      <c r="A30" s="160"/>
      <c r="C30" s="432"/>
      <c r="D30" s="432" t="s">
        <v>114</v>
      </c>
      <c r="E30" s="446" t="s">
        <v>120</v>
      </c>
      <c r="F30" s="403"/>
      <c r="G30" s="404"/>
      <c r="H30" s="405" t="str">
        <f t="array" ref="H30">IF(
  G30 = 0, 
  "", 
  IFERROR(
    INDEX(
      'アイテム別限界値DB'!$K:$K, 
      MATCH(
        1, 
        ('アイテム別限界値DB'!$B:$B = D$4) * 
        ('アイテム別限界値DB'!$G:$G = D30) * 
        ('アイテム別限界値DB'!$H:$H = G30), 
        0
      )
    ), 
    "再製作"
  )
)
</f>
        <v/>
      </c>
      <c r="I30" s="397" t="str">
        <f t="array" ref="I30">IF(
  $G30 = 0, 
  "", 
  IFERROR(
    INDEX(
      'アイテム別限界値DB'!$N:$N, 
      MATCH(
        1, 
        ('アイテム別限界値DB'!$B:$B = $D$4) * 
        ('アイテム別限界値DB'!$G:$G = $D30) * 
        ('アイテム別限界値DB'!$H:$H = $G30), 
        0
      )
    )*F30, 
    "再製作"
  )
)
</f>
        <v/>
      </c>
      <c r="J30" s="443"/>
      <c r="K30" s="425"/>
      <c r="L30" s="447"/>
      <c r="M30" s="455"/>
      <c r="N30" s="386"/>
      <c r="O30" s="396"/>
      <c r="P30" s="451"/>
      <c r="Q30" s="444"/>
      <c r="R30" s="445"/>
      <c r="S30" s="316"/>
      <c r="T30" s="317"/>
      <c r="U30" s="317"/>
      <c r="V30" s="317"/>
      <c r="W30" s="317"/>
      <c r="X30" s="445"/>
      <c r="Y30" s="443"/>
      <c r="Z30" s="448"/>
      <c r="AA30" s="386"/>
      <c r="AB30" s="386"/>
      <c r="AC30" s="396"/>
      <c r="AD30" s="396"/>
      <c r="AE30" s="444"/>
      <c r="AF30" s="449"/>
      <c r="AG30" s="450"/>
      <c r="AH30" s="450"/>
      <c r="AI30" s="450"/>
      <c r="AJ30" s="396"/>
      <c r="AK30" s="451"/>
      <c r="AL30" s="445"/>
      <c r="AM30" s="185"/>
      <c r="AN30" s="185"/>
      <c r="AO30" s="452"/>
      <c r="AP30" s="452"/>
      <c r="AQ30" s="396"/>
      <c r="AR30" s="451"/>
      <c r="AS30" s="445"/>
      <c r="AT30" s="185"/>
      <c r="AU30" s="452"/>
      <c r="AV30" s="452"/>
      <c r="AW30" s="396"/>
      <c r="AX30" s="451"/>
      <c r="AY30" s="445"/>
      <c r="AZ30" s="185"/>
      <c r="BA30" s="452"/>
      <c r="BB30" s="452"/>
      <c r="BC30" s="396"/>
      <c r="BD30" s="451"/>
      <c r="BE30" s="445"/>
      <c r="BF30" s="185"/>
      <c r="BG30" s="452"/>
      <c r="BH30" s="452"/>
      <c r="BI30" s="396"/>
      <c r="BJ30" s="451"/>
      <c r="BK30" s="445"/>
      <c r="BL30" s="185"/>
      <c r="BM30" s="452"/>
      <c r="BN30" s="452"/>
      <c r="BO30" s="396"/>
      <c r="BP30" s="451"/>
      <c r="BQ30" s="445"/>
      <c r="BR30" s="185"/>
      <c r="BS30" s="452"/>
      <c r="BT30" s="452"/>
      <c r="BU30" s="396"/>
      <c r="BV30" s="451"/>
      <c r="BW30" s="445"/>
      <c r="BX30" s="185"/>
      <c r="BY30" s="452"/>
      <c r="BZ30" s="452"/>
      <c r="CA30" s="396"/>
      <c r="CB30" s="451"/>
      <c r="CC30" s="451"/>
      <c r="CD30" s="451"/>
      <c r="CE30" s="451"/>
      <c r="CF30" s="451"/>
      <c r="CG30" s="451"/>
      <c r="CH30" s="445"/>
      <c r="CI30" s="445"/>
    </row>
    <row r="31" ht="15.75" customHeight="1">
      <c r="A31" s="229"/>
      <c r="C31" s="432"/>
      <c r="D31" s="432" t="s">
        <v>225</v>
      </c>
      <c r="E31" s="446"/>
      <c r="F31" s="403"/>
      <c r="G31" s="404"/>
      <c r="H31" s="405" t="str">
        <f t="array" ref="H31">IF(
  G31 = 0, 
  "", 
  IFERROR(
    INDEX(
      'アイテム別限界値DB'!$K:$K, 
      MATCH(
        1, 
        ('アイテム別限界値DB'!$B:$B = D$4) * 
        ('アイテム別限界値DB'!$G:$G = D31) * 
        ('アイテム別限界値DB'!$H:$H = G31), 
        0
      )
    ), 
    "再製作"
  )
)
</f>
        <v/>
      </c>
      <c r="I31" s="397" t="str">
        <f t="array" ref="I31">IF(
  $G31 = 0, 
  "", 
  IFERROR(
    INDEX(
      'アイテム別限界値DB'!$N:$N, 
      MATCH(
        1, 
        ('アイテム別限界値DB'!$B:$B = $D$4) * 
        ('アイテム別限界値DB'!$G:$G = $D31) * 
        ('アイテム別限界値DB'!$H:$H = $G31), 
        0
      )
    )*F31, 
    "再製作"
  )
)
</f>
        <v/>
      </c>
      <c r="J31" s="443"/>
      <c r="K31" s="425"/>
      <c r="L31" s="447"/>
      <c r="M31" s="455"/>
      <c r="N31" s="386"/>
      <c r="O31" s="396"/>
      <c r="P31" s="451"/>
      <c r="Q31" s="444"/>
      <c r="R31" s="445"/>
      <c r="S31" s="316"/>
      <c r="T31" s="317"/>
      <c r="U31" s="317"/>
      <c r="V31" s="317"/>
      <c r="W31" s="317"/>
      <c r="X31" s="445"/>
      <c r="Y31" s="443"/>
      <c r="Z31" s="448"/>
      <c r="AA31" s="386"/>
      <c r="AB31" s="386"/>
      <c r="AC31" s="396"/>
      <c r="AD31" s="396"/>
      <c r="AE31" s="444"/>
      <c r="AF31" s="449"/>
      <c r="AG31" s="450"/>
      <c r="AH31" s="450"/>
      <c r="AI31" s="450"/>
      <c r="AJ31" s="396"/>
      <c r="AK31" s="451"/>
      <c r="AL31" s="445"/>
      <c r="AM31" s="185"/>
      <c r="AN31" s="185"/>
      <c r="AO31" s="452"/>
      <c r="AP31" s="452"/>
      <c r="AQ31" s="396"/>
      <c r="AR31" s="451"/>
      <c r="AS31" s="445"/>
      <c r="AT31" s="185"/>
      <c r="AU31" s="452"/>
      <c r="AV31" s="452"/>
      <c r="AW31" s="396"/>
      <c r="AX31" s="451"/>
      <c r="AY31" s="445"/>
      <c r="AZ31" s="185"/>
      <c r="BA31" s="452"/>
      <c r="BB31" s="452"/>
      <c r="BC31" s="396"/>
      <c r="BD31" s="451"/>
      <c r="BE31" s="445"/>
      <c r="BF31" s="185"/>
      <c r="BG31" s="452"/>
      <c r="BH31" s="452"/>
      <c r="BI31" s="396"/>
      <c r="BJ31" s="451"/>
      <c r="BK31" s="445"/>
      <c r="BL31" s="185"/>
      <c r="BM31" s="452"/>
      <c r="BN31" s="452"/>
      <c r="BO31" s="396"/>
      <c r="BP31" s="451"/>
      <c r="BQ31" s="445"/>
      <c r="BR31" s="185"/>
      <c r="BS31" s="452"/>
      <c r="BT31" s="452"/>
      <c r="BU31" s="396"/>
      <c r="BV31" s="451"/>
      <c r="BW31" s="445"/>
      <c r="BX31" s="185"/>
      <c r="BY31" s="452"/>
      <c r="BZ31" s="452"/>
      <c r="CA31" s="396"/>
      <c r="CB31" s="451"/>
      <c r="CC31" s="451"/>
      <c r="CD31" s="451"/>
      <c r="CE31" s="451"/>
      <c r="CF31" s="451"/>
      <c r="CG31" s="451"/>
      <c r="CH31" s="445"/>
      <c r="CI31" s="445"/>
    </row>
    <row r="32" ht="15.75" customHeight="1">
      <c r="A32" s="457"/>
      <c r="C32" s="432"/>
      <c r="D32" s="432" t="s">
        <v>226</v>
      </c>
      <c r="E32" s="446"/>
      <c r="F32" s="403"/>
      <c r="G32" s="404"/>
      <c r="H32" s="405" t="str">
        <f t="array" ref="H32">IF(
  G32 = 0, 
  "", 
  IFERROR(
    INDEX(
      'アイテム別限界値DB'!$K:$K, 
      MATCH(
        1, 
        ('アイテム別限界値DB'!$B:$B = D$4) * 
        ('アイテム別限界値DB'!$G:$G = D32) * 
        ('アイテム別限界値DB'!$H:$H = G32), 
        0
      )
    ), 
    "再製作"
  )
)
</f>
        <v/>
      </c>
      <c r="I32" s="397" t="str">
        <f t="array" ref="I32">IF(
  $G32 = 0, 
  "", 
  IFERROR(
    INDEX(
      'アイテム別限界値DB'!$N:$N, 
      MATCH(
        1, 
        ('アイテム別限界値DB'!$B:$B = $D$4) * 
        ('アイテム別限界値DB'!$G:$G = $D32) * 
        ('アイテム別限界値DB'!$H:$H = $G32), 
        0
      )
    )*F32, 
    "再製作"
  )
)
</f>
        <v/>
      </c>
      <c r="J32" s="443"/>
      <c r="K32" s="425"/>
      <c r="L32" s="447"/>
      <c r="M32" s="455"/>
      <c r="N32" s="386"/>
      <c r="O32" s="396"/>
      <c r="P32" s="451"/>
      <c r="Q32" s="444"/>
      <c r="R32" s="445"/>
      <c r="S32" s="316"/>
      <c r="T32" s="317"/>
      <c r="U32" s="317"/>
      <c r="V32" s="317"/>
      <c r="W32" s="317"/>
      <c r="X32" s="445"/>
      <c r="Y32" s="443"/>
      <c r="Z32" s="448"/>
      <c r="AA32" s="386"/>
      <c r="AB32" s="386"/>
      <c r="AC32" s="396"/>
      <c r="AD32" s="396"/>
      <c r="AE32" s="444"/>
      <c r="AF32" s="449"/>
      <c r="AG32" s="450"/>
      <c r="AH32" s="450"/>
      <c r="AI32" s="450"/>
      <c r="AJ32" s="396"/>
      <c r="AK32" s="451"/>
      <c r="AL32" s="445"/>
      <c r="AM32" s="185"/>
      <c r="AN32" s="185"/>
      <c r="AO32" s="452"/>
      <c r="AP32" s="452"/>
      <c r="AQ32" s="396"/>
      <c r="AR32" s="451"/>
      <c r="AS32" s="445"/>
      <c r="AT32" s="185"/>
      <c r="AU32" s="452"/>
      <c r="AV32" s="452"/>
      <c r="AW32" s="396"/>
      <c r="AX32" s="451"/>
      <c r="AY32" s="445"/>
      <c r="AZ32" s="185"/>
      <c r="BA32" s="452"/>
      <c r="BB32" s="452"/>
      <c r="BC32" s="396"/>
      <c r="BD32" s="451"/>
      <c r="BE32" s="445"/>
      <c r="BF32" s="185"/>
      <c r="BG32" s="452"/>
      <c r="BH32" s="452"/>
      <c r="BI32" s="396"/>
      <c r="BJ32" s="451"/>
      <c r="BK32" s="445"/>
      <c r="BL32" s="185"/>
      <c r="BM32" s="452"/>
      <c r="BN32" s="452"/>
      <c r="BO32" s="396"/>
      <c r="BP32" s="451"/>
      <c r="BQ32" s="445"/>
      <c r="BR32" s="185"/>
      <c r="BS32" s="452"/>
      <c r="BT32" s="452"/>
      <c r="BU32" s="396"/>
      <c r="BV32" s="451"/>
      <c r="BW32" s="445"/>
      <c r="BX32" s="185"/>
      <c r="BY32" s="452"/>
      <c r="BZ32" s="452"/>
      <c r="CA32" s="396"/>
      <c r="CB32" s="451"/>
      <c r="CC32" s="451"/>
      <c r="CD32" s="451"/>
      <c r="CE32" s="451"/>
      <c r="CF32" s="451"/>
      <c r="CG32" s="451"/>
      <c r="CH32" s="445"/>
      <c r="CI32" s="445"/>
    </row>
    <row r="33" ht="15.75" customHeight="1">
      <c r="A33" s="160"/>
      <c r="C33" s="432"/>
      <c r="D33" s="432" t="s">
        <v>118</v>
      </c>
      <c r="E33" s="446"/>
      <c r="F33" s="403"/>
      <c r="G33" s="404"/>
      <c r="H33" s="405" t="str">
        <f t="array" ref="H33">IF(
  G33 = 0, 
  "", 
  IFERROR(
    INDEX(
      'アイテム別限界値DB'!$K:$K, 
      MATCH(
        1, 
        ('アイテム別限界値DB'!$B:$B = D$4) * 
        ('アイテム別限界値DB'!$G:$G = D33) * 
        ('アイテム別限界値DB'!$H:$H = G33), 
        0
      )
    ), 
    "再製作"
  )
)
</f>
        <v/>
      </c>
      <c r="I33" s="397" t="str">
        <f t="array" ref="I33">IF(
  $G33 = 0, 
  "", 
  IFERROR(
    INDEX(
      'アイテム別限界値DB'!$N:$N, 
      MATCH(
        1, 
        ('アイテム別限界値DB'!$B:$B = $D$4) * 
        ('アイテム別限界値DB'!$G:$G = $D33) * 
        ('アイテム別限界値DB'!$H:$H = $G33), 
        0
      )
    )*F33, 
    "再製作"
  )
)
</f>
        <v/>
      </c>
      <c r="J33" s="443"/>
      <c r="K33" s="425"/>
      <c r="L33" s="447"/>
      <c r="M33" s="455"/>
      <c r="N33" s="386"/>
      <c r="O33" s="396"/>
      <c r="P33" s="451"/>
      <c r="Q33" s="444"/>
      <c r="R33" s="445"/>
      <c r="S33" s="316"/>
      <c r="T33" s="317"/>
      <c r="U33" s="317"/>
      <c r="V33" s="317"/>
      <c r="W33" s="317"/>
      <c r="X33" s="445"/>
      <c r="Y33" s="443"/>
      <c r="Z33" s="448"/>
      <c r="AA33" s="386"/>
      <c r="AB33" s="386"/>
      <c r="AC33" s="396"/>
      <c r="AD33" s="396"/>
      <c r="AE33" s="444"/>
      <c r="AF33" s="449"/>
      <c r="AG33" s="450"/>
      <c r="AH33" s="450"/>
      <c r="AI33" s="450"/>
      <c r="AJ33" s="396"/>
      <c r="AK33" s="451"/>
      <c r="AL33" s="445"/>
      <c r="AM33" s="185"/>
      <c r="AN33" s="185"/>
      <c r="AO33" s="452"/>
      <c r="AP33" s="452"/>
      <c r="AQ33" s="396"/>
      <c r="AR33" s="451"/>
      <c r="AS33" s="445"/>
      <c r="AT33" s="185"/>
      <c r="AU33" s="452"/>
      <c r="AV33" s="452"/>
      <c r="AW33" s="396"/>
      <c r="AX33" s="451"/>
      <c r="AY33" s="445"/>
      <c r="AZ33" s="185"/>
      <c r="BA33" s="452"/>
      <c r="BB33" s="452"/>
      <c r="BC33" s="396"/>
      <c r="BD33" s="451"/>
      <c r="BE33" s="445"/>
      <c r="BF33" s="185"/>
      <c r="BG33" s="452"/>
      <c r="BH33" s="452"/>
      <c r="BI33" s="396"/>
      <c r="BJ33" s="451"/>
      <c r="BK33" s="445"/>
      <c r="BL33" s="185"/>
      <c r="BM33" s="452"/>
      <c r="BN33" s="452"/>
      <c r="BO33" s="396"/>
      <c r="BP33" s="451"/>
      <c r="BQ33" s="445"/>
      <c r="BR33" s="185"/>
      <c r="BS33" s="452"/>
      <c r="BT33" s="452"/>
      <c r="BU33" s="396"/>
      <c r="BV33" s="451"/>
      <c r="BW33" s="445"/>
      <c r="BX33" s="185"/>
      <c r="BY33" s="452"/>
      <c r="BZ33" s="452"/>
      <c r="CA33" s="396"/>
      <c r="CB33" s="451"/>
      <c r="CC33" s="451"/>
      <c r="CD33" s="451"/>
      <c r="CE33" s="451"/>
      <c r="CF33" s="451"/>
      <c r="CG33" s="451"/>
      <c r="CH33" s="445"/>
      <c r="CI33" s="445"/>
    </row>
    <row r="34" ht="15.75" customHeight="1">
      <c r="A34" s="229"/>
      <c r="C34" s="432"/>
      <c r="D34" s="432" t="s">
        <v>119</v>
      </c>
      <c r="E34" s="446"/>
      <c r="F34" s="403"/>
      <c r="G34" s="404"/>
      <c r="H34" s="458" t="str">
        <f t="array" ref="H34">IF(
  G34 = 0, 
  "", 
  IFERROR(
    INDEX(
      'アイテム別限界値DB'!$I:$I, 
      MATCH(
        1, 
        ('アイテム別限界値DB'!$B:$B = D$4) * 
        ('アイテム別限界値DB'!$E:$E = D34) * 
        ('アイテム別限界値DB'!$F:$F = G34), 
        0
      )
    ), 
    "再製作"
  )
)
</f>
        <v/>
      </c>
      <c r="I34" s="397" t="str">
        <f t="array" ref="I34">IF(
  $G34 = 0, 
  "", 
  IFERROR(
    INDEX(
      'アイテム別限界値DB'!$N:$N, 
      MATCH(
        1, 
        ('アイテム別限界値DB'!$B:$B = $D$4) * 
        ('アイテム別限界値DB'!$G:$G = $D34) * 
        ('アイテム別限界値DB'!$H:$H = $G34), 
        0
      )
    )*F34, 
    "再製作"
  )
)
</f>
        <v/>
      </c>
      <c r="J34" s="443"/>
      <c r="K34" s="425"/>
      <c r="L34" s="447"/>
      <c r="M34" s="455"/>
      <c r="N34" s="386"/>
      <c r="O34" s="396"/>
      <c r="P34" s="451"/>
      <c r="Q34" s="444"/>
      <c r="R34" s="445"/>
      <c r="S34" s="316"/>
      <c r="T34" s="317"/>
      <c r="U34" s="317"/>
      <c r="V34" s="317"/>
      <c r="W34" s="317"/>
      <c r="X34" s="445"/>
      <c r="Y34" s="443"/>
      <c r="Z34" s="448"/>
      <c r="AA34" s="386"/>
      <c r="AB34" s="386"/>
      <c r="AC34" s="396"/>
      <c r="AD34" s="396"/>
      <c r="AE34" s="444"/>
      <c r="AF34" s="449"/>
      <c r="AG34" s="450"/>
      <c r="AH34" s="450"/>
      <c r="AI34" s="450"/>
      <c r="AJ34" s="396"/>
      <c r="AK34" s="451"/>
      <c r="AL34" s="445"/>
      <c r="AM34" s="185"/>
      <c r="AN34" s="185"/>
      <c r="AO34" s="452"/>
      <c r="AP34" s="452"/>
      <c r="AQ34" s="396"/>
      <c r="AR34" s="451"/>
      <c r="AS34" s="445"/>
      <c r="AT34" s="185"/>
      <c r="AU34" s="452"/>
      <c r="AV34" s="452"/>
      <c r="AW34" s="396"/>
      <c r="AX34" s="451"/>
      <c r="AY34" s="445"/>
      <c r="AZ34" s="185"/>
      <c r="BA34" s="452"/>
      <c r="BB34" s="452"/>
      <c r="BC34" s="396"/>
      <c r="BD34" s="451"/>
      <c r="BE34" s="445"/>
      <c r="BF34" s="185"/>
      <c r="BG34" s="452"/>
      <c r="BH34" s="452"/>
      <c r="BI34" s="396"/>
      <c r="BJ34" s="451"/>
      <c r="BK34" s="445"/>
      <c r="BL34" s="185"/>
      <c r="BM34" s="452"/>
      <c r="BN34" s="452"/>
      <c r="BO34" s="396"/>
      <c r="BP34" s="451"/>
      <c r="BQ34" s="445"/>
      <c r="BR34" s="185"/>
      <c r="BS34" s="452"/>
      <c r="BT34" s="452"/>
      <c r="BU34" s="396"/>
      <c r="BV34" s="451"/>
      <c r="BW34" s="445"/>
      <c r="BX34" s="185"/>
      <c r="BY34" s="452"/>
      <c r="BZ34" s="452"/>
      <c r="CA34" s="396"/>
      <c r="CB34" s="451"/>
      <c r="CC34" s="451"/>
      <c r="CD34" s="451"/>
      <c r="CE34" s="451"/>
      <c r="CF34" s="451"/>
      <c r="CG34" s="451"/>
      <c r="CH34" s="445"/>
      <c r="CI34" s="445"/>
    </row>
    <row r="35">
      <c r="A35" s="457"/>
      <c r="C35" s="432"/>
      <c r="D35" s="432" t="s">
        <v>227</v>
      </c>
      <c r="E35" s="446"/>
      <c r="F35" s="403"/>
      <c r="G35" s="404"/>
      <c r="H35" s="458" t="str">
        <f t="array" ref="H35">IF(
  G35 = 0, 
  "", 
  IFERROR(
    INDEX(
      'アイテム別限界値DB'!$I:$I, 
      MATCH(
        1, 
        ('アイテム別限界値DB'!$B:$B = D$4) * 
        ('アイテム別限界値DB'!$E:$E = D35) * 
        ('アイテム別限界値DB'!$F:$F = G35), 
        0
      )
    ), 
    "再製作"
  )
)
</f>
        <v/>
      </c>
      <c r="I35" s="397" t="str">
        <f t="array" ref="I35">IF(
  $G35 = 0, 
  "", 
  IFERROR(
    INDEX(
      'アイテム別限界値DB'!$N:$N, 
      MATCH(
        1, 
        ('アイテム別限界値DB'!$B:$B = $D$4) * 
        ('アイテム別限界値DB'!$G:$G = $D35) * 
        ('アイテム別限界値DB'!$H:$H = $G35), 
        0
      )
    )*F35, 
    "再製作"
  )
)
</f>
        <v/>
      </c>
      <c r="J35" s="443"/>
      <c r="K35" s="425"/>
      <c r="L35" s="447"/>
      <c r="M35" s="455"/>
      <c r="N35" s="386"/>
      <c r="O35" s="396"/>
      <c r="P35" s="396"/>
      <c r="Q35" s="444"/>
      <c r="R35" s="445"/>
      <c r="S35" s="316"/>
      <c r="T35" s="317"/>
      <c r="U35" s="317"/>
      <c r="V35" s="317"/>
      <c r="W35" s="317"/>
      <c r="X35" s="445"/>
      <c r="Y35" s="443"/>
      <c r="Z35" s="448"/>
      <c r="AA35" s="386"/>
      <c r="AB35" s="386"/>
      <c r="AC35" s="396"/>
      <c r="AD35" s="396"/>
      <c r="AE35" s="444"/>
      <c r="AF35" s="449"/>
      <c r="AG35" s="450"/>
      <c r="AH35" s="450"/>
      <c r="AI35" s="450"/>
      <c r="AJ35" s="396"/>
      <c r="AK35" s="396"/>
      <c r="AL35" s="445"/>
      <c r="AM35" s="185"/>
      <c r="AN35" s="185"/>
      <c r="AO35" s="452"/>
      <c r="AP35" s="452"/>
      <c r="AQ35" s="396"/>
      <c r="AR35" s="396"/>
      <c r="AS35" s="445"/>
      <c r="AT35" s="185"/>
      <c r="AU35" s="452"/>
      <c r="AV35" s="452"/>
      <c r="AW35" s="396"/>
      <c r="AX35" s="396"/>
      <c r="AY35" s="445"/>
      <c r="AZ35" s="185"/>
      <c r="BA35" s="452"/>
      <c r="BB35" s="452"/>
      <c r="BC35" s="396"/>
      <c r="BD35" s="396"/>
      <c r="BE35" s="445"/>
      <c r="BF35" s="185"/>
      <c r="BG35" s="452"/>
      <c r="BH35" s="452"/>
      <c r="BI35" s="396"/>
      <c r="BJ35" s="396"/>
      <c r="BK35" s="445"/>
      <c r="BL35" s="185"/>
      <c r="BM35" s="452"/>
      <c r="BN35" s="452"/>
      <c r="BO35" s="396"/>
      <c r="BP35" s="396"/>
      <c r="BQ35" s="445"/>
      <c r="BR35" s="185"/>
      <c r="BS35" s="452"/>
      <c r="BT35" s="452"/>
      <c r="BU35" s="396"/>
      <c r="BV35" s="396"/>
      <c r="BW35" s="445"/>
      <c r="BX35" s="185"/>
      <c r="BY35" s="452"/>
      <c r="BZ35" s="452"/>
      <c r="CA35" s="396"/>
      <c r="CB35" s="396"/>
      <c r="CC35" s="396"/>
      <c r="CD35" s="396"/>
      <c r="CE35" s="396"/>
      <c r="CF35" s="396"/>
      <c r="CG35" s="396"/>
      <c r="CH35" s="445"/>
      <c r="CI35" s="445"/>
    </row>
    <row r="36">
      <c r="A36" s="160"/>
      <c r="C36" s="360"/>
      <c r="D36" s="459" t="s">
        <v>34</v>
      </c>
      <c r="E36" s="362"/>
      <c r="F36" s="362"/>
      <c r="G36" s="362"/>
      <c r="H36" s="363"/>
      <c r="I36" s="363"/>
      <c r="J36" s="364"/>
      <c r="K36" s="365" t="s">
        <v>36</v>
      </c>
      <c r="L36" s="460"/>
      <c r="M36" s="461"/>
      <c r="N36" s="363"/>
      <c r="O36" s="363"/>
      <c r="P36" s="363"/>
      <c r="Q36" s="332"/>
      <c r="R36" s="367" t="s">
        <v>37</v>
      </c>
      <c r="S36" s="366"/>
      <c r="T36" s="363"/>
      <c r="U36" s="363"/>
      <c r="V36" s="363"/>
      <c r="W36" s="363"/>
      <c r="X36" s="327"/>
      <c r="Y36" s="368" t="s">
        <v>38</v>
      </c>
      <c r="Z36" s="366"/>
      <c r="AA36" s="363"/>
      <c r="AB36" s="363"/>
      <c r="AC36" s="363"/>
      <c r="AD36" s="363"/>
      <c r="AE36" s="332"/>
      <c r="AF36" s="299" t="s">
        <v>39</v>
      </c>
      <c r="AG36" s="369"/>
      <c r="AH36" s="363"/>
      <c r="AI36" s="363"/>
      <c r="AJ36" s="363"/>
      <c r="AK36" s="363"/>
      <c r="AL36" s="332"/>
      <c r="AM36" s="299" t="s">
        <v>40</v>
      </c>
      <c r="AN36" s="365"/>
      <c r="AO36" s="363"/>
      <c r="AP36" s="363"/>
      <c r="AQ36" s="363"/>
      <c r="AR36" s="363"/>
      <c r="AS36" s="332"/>
      <c r="AT36" s="365" t="s">
        <v>41</v>
      </c>
      <c r="AU36" s="363"/>
      <c r="AV36" s="363"/>
      <c r="AW36" s="363"/>
      <c r="AX36" s="363"/>
      <c r="AY36" s="332"/>
      <c r="AZ36" s="365" t="s">
        <v>42</v>
      </c>
      <c r="BA36" s="363"/>
      <c r="BB36" s="363"/>
      <c r="BC36" s="363"/>
      <c r="BD36" s="363"/>
      <c r="BE36" s="332"/>
      <c r="BF36" s="365" t="s">
        <v>43</v>
      </c>
      <c r="BG36" s="363"/>
      <c r="BH36" s="363"/>
      <c r="BI36" s="363"/>
      <c r="BJ36" s="363"/>
      <c r="BK36" s="332"/>
      <c r="BL36" s="365" t="s">
        <v>44</v>
      </c>
      <c r="BM36" s="363"/>
      <c r="BN36" s="363"/>
      <c r="BO36" s="363"/>
      <c r="BP36" s="363"/>
      <c r="BQ36" s="332"/>
      <c r="BR36" s="365" t="s">
        <v>45</v>
      </c>
      <c r="BS36" s="363"/>
      <c r="BT36" s="363"/>
      <c r="BU36" s="363"/>
      <c r="BV36" s="363"/>
      <c r="BW36" s="332"/>
      <c r="BX36" s="365" t="s">
        <v>46</v>
      </c>
      <c r="BY36" s="363"/>
      <c r="BZ36" s="363"/>
      <c r="CA36" s="363"/>
      <c r="CB36" s="363"/>
      <c r="CC36" s="330"/>
      <c r="CD36" s="365" t="s">
        <v>188</v>
      </c>
      <c r="CE36" s="363"/>
      <c r="CF36" s="363"/>
      <c r="CG36" s="363"/>
      <c r="CH36" s="332"/>
      <c r="CI36" s="332"/>
    </row>
    <row r="37" ht="37.5" customHeight="1">
      <c r="A37" s="229"/>
      <c r="C37" s="370"/>
      <c r="D37" s="371">
        <f>round(sum(I39:I70),0)</f>
        <v>0</v>
      </c>
      <c r="E37" s="462"/>
      <c r="F37" s="373" t="s">
        <v>189</v>
      </c>
      <c r="G37" s="373" t="s">
        <v>228</v>
      </c>
      <c r="H37" s="463" t="s">
        <v>190</v>
      </c>
      <c r="I37" s="463" t="s">
        <v>191</v>
      </c>
      <c r="J37" s="376"/>
      <c r="K37" s="371">
        <f>round(sum(P39:P70),0)</f>
        <v>0</v>
      </c>
      <c r="L37" s="377"/>
      <c r="M37" s="373" t="s">
        <v>189</v>
      </c>
      <c r="N37" s="373" t="s">
        <v>228</v>
      </c>
      <c r="O37" s="463" t="s">
        <v>190</v>
      </c>
      <c r="P37" s="463" t="s">
        <v>191</v>
      </c>
      <c r="Q37" s="378"/>
      <c r="R37" s="371">
        <f>round(sum(W39:W70),0)</f>
        <v>0</v>
      </c>
      <c r="S37" s="377"/>
      <c r="T37" s="373" t="s">
        <v>189</v>
      </c>
      <c r="U37" s="373" t="s">
        <v>229</v>
      </c>
      <c r="V37" s="463" t="s">
        <v>190</v>
      </c>
      <c r="W37" s="463" t="s">
        <v>191</v>
      </c>
      <c r="X37" s="327"/>
      <c r="Y37" s="371">
        <f>round(sum(AD39:AD70),0)</f>
        <v>0</v>
      </c>
      <c r="Z37" s="377"/>
      <c r="AA37" s="373" t="s">
        <v>189</v>
      </c>
      <c r="AB37" s="373" t="s">
        <v>229</v>
      </c>
      <c r="AC37" s="463" t="s">
        <v>190</v>
      </c>
      <c r="AD37" s="463" t="s">
        <v>191</v>
      </c>
      <c r="AE37" s="380"/>
      <c r="AF37" s="371">
        <f>round(sum(AK39:AK70),0)</f>
        <v>0</v>
      </c>
      <c r="AG37" s="462"/>
      <c r="AH37" s="373" t="s">
        <v>189</v>
      </c>
      <c r="AI37" s="373" t="s">
        <v>229</v>
      </c>
      <c r="AJ37" s="463" t="s">
        <v>190</v>
      </c>
      <c r="AK37" s="463" t="s">
        <v>191</v>
      </c>
      <c r="AL37" s="327"/>
      <c r="AM37" s="371">
        <f>round(sum(AR39:AR70),0)</f>
        <v>0</v>
      </c>
      <c r="AN37" s="371"/>
      <c r="AO37" s="373" t="s">
        <v>189</v>
      </c>
      <c r="AP37" s="373" t="s">
        <v>229</v>
      </c>
      <c r="AQ37" s="463" t="s">
        <v>190</v>
      </c>
      <c r="AR37" s="463" t="s">
        <v>191</v>
      </c>
      <c r="AS37" s="327"/>
      <c r="AT37" s="371">
        <f>round(sum(AX39:AX70),0)</f>
        <v>0</v>
      </c>
      <c r="AU37" s="373" t="s">
        <v>189</v>
      </c>
      <c r="AV37" s="373" t="s">
        <v>229</v>
      </c>
      <c r="AW37" s="463" t="s">
        <v>190</v>
      </c>
      <c r="AX37" s="463" t="s">
        <v>191</v>
      </c>
      <c r="AY37" s="327"/>
      <c r="AZ37" s="371">
        <f>round(sum(BD39:BD70),0)</f>
        <v>0</v>
      </c>
      <c r="BA37" s="373" t="s">
        <v>189</v>
      </c>
      <c r="BB37" s="373" t="s">
        <v>229</v>
      </c>
      <c r="BC37" s="463" t="s">
        <v>190</v>
      </c>
      <c r="BD37" s="463" t="s">
        <v>191</v>
      </c>
      <c r="BE37" s="327"/>
      <c r="BF37" s="371">
        <f>round(sum(BJ39:BJ70),0)</f>
        <v>0</v>
      </c>
      <c r="BG37" s="373" t="s">
        <v>189</v>
      </c>
      <c r="BH37" s="373" t="s">
        <v>229</v>
      </c>
      <c r="BI37" s="463" t="s">
        <v>190</v>
      </c>
      <c r="BJ37" s="463" t="s">
        <v>191</v>
      </c>
      <c r="BK37" s="327"/>
      <c r="BL37" s="371">
        <f>round(sum(BP39:BP70),0)</f>
        <v>0</v>
      </c>
      <c r="BM37" s="373" t="s">
        <v>189</v>
      </c>
      <c r="BN37" s="373" t="s">
        <v>229</v>
      </c>
      <c r="BO37" s="463" t="s">
        <v>190</v>
      </c>
      <c r="BP37" s="463" t="s">
        <v>191</v>
      </c>
      <c r="BQ37" s="327"/>
      <c r="BR37" s="371">
        <f>round(sum(BV39:BV70),0)</f>
        <v>0</v>
      </c>
      <c r="BS37" s="373" t="s">
        <v>189</v>
      </c>
      <c r="BT37" s="373" t="s">
        <v>229</v>
      </c>
      <c r="BU37" s="463" t="s">
        <v>190</v>
      </c>
      <c r="BV37" s="463" t="s">
        <v>191</v>
      </c>
      <c r="BW37" s="327"/>
      <c r="BX37" s="371">
        <f>round(sum(CB39:CB70),0)</f>
        <v>0</v>
      </c>
      <c r="BY37" s="373" t="s">
        <v>189</v>
      </c>
      <c r="BZ37" s="373" t="s">
        <v>229</v>
      </c>
      <c r="CA37" s="463" t="s">
        <v>190</v>
      </c>
      <c r="CB37" s="463" t="s">
        <v>191</v>
      </c>
      <c r="CC37" s="464"/>
      <c r="CD37" s="371">
        <f>round(sum(CG39:CG70),0)</f>
        <v>0</v>
      </c>
      <c r="CE37" s="373" t="s">
        <v>229</v>
      </c>
      <c r="CF37" s="463" t="s">
        <v>190</v>
      </c>
      <c r="CG37" s="463" t="s">
        <v>191</v>
      </c>
      <c r="CH37" s="327"/>
      <c r="CI37" s="327"/>
    </row>
    <row r="38" ht="21.75" hidden="1" customHeight="1">
      <c r="A38" s="457"/>
      <c r="B38" s="465"/>
      <c r="C38" s="93"/>
      <c r="D38" s="466" t="b">
        <f t="array" ref="D38:D48">UNIQUE(IF( ('アイテム別限界値DB'!$B:$B = D$4) * ('アイテム別限界値DB'!$A:$A = "縫製"),  IF('アイテム別限界値DB'!$B:$B = D$4, 'アイテム別限界値DB'!$G:$G, "") ))</f>
        <v>0</v>
      </c>
      <c r="E38" s="466" t="b">
        <f t="array" ref="E38:E48">UNIQUE(IF( ('アイテム別限界値DB'!$B:$B = D$4) * ('アイテム別限界値DB'!$A:$A = "縫製"),  IF('アイテム別限界値DB'!$B:$B = D$4, 'アイテム別限界値DB'!$C:$C, "") ))</f>
        <v>0</v>
      </c>
      <c r="F38" s="224"/>
      <c r="G38" s="224"/>
      <c r="H38" s="12"/>
      <c r="I38" s="12"/>
      <c r="J38" s="93"/>
      <c r="K38" s="466" t="b">
        <f t="array" ref="K38:K56">UNIQUE(IF( ('アイテム別限界値DB'!$B:$B = K$4) * ('アイテム別限界値DB'!$A:$A = "縫製"),  IF('アイテム別限界値DB'!$B:$B = K$4, 'アイテム別限界値DB'!$G:$G, "") ))</f>
        <v>0</v>
      </c>
      <c r="L38" s="466" t="b">
        <f t="array" ref="L38:L56">UNIQUE(IF( ('アイテム別限界値DB'!$B:$B = K$4) * ('アイテム別限界値DB'!$A:$A = "縫製"),  IF('アイテム別限界値DB'!$B:$B = K$4, 'アイテム別限界値DB'!$C:$C, "") ))</f>
        <v>0</v>
      </c>
      <c r="M38" s="12"/>
      <c r="N38" s="226"/>
      <c r="O38" s="12"/>
      <c r="P38" s="12"/>
      <c r="Q38" s="93"/>
      <c r="R38" s="466" t="b">
        <f t="array" ref="R38:R49">UNIQUE(IF( ('アイテム別限界値DB'!$B:$B = R$4) * ('アイテム別限界値DB'!$A:$A = "縫製"),  IF('アイテム別限界値DB'!$B:$B = R$4, 'アイテム別限界値DB'!$G:$G, "") ))</f>
        <v>0</v>
      </c>
      <c r="S38" s="466" t="b">
        <f t="array" ref="S38:S49">UNIQUE(IF( ('アイテム別限界値DB'!$B:$B = R$4) * ('アイテム別限界値DB'!$A:$A = "縫製"),  IF('アイテム別限界値DB'!$B:$B = R$4, 'アイテム別限界値DB'!$C:$C, "") ))</f>
        <v>0</v>
      </c>
      <c r="T38" s="12"/>
      <c r="U38" s="12"/>
      <c r="V38" s="12"/>
      <c r="W38" s="12"/>
      <c r="X38" s="160"/>
      <c r="Y38" s="466" t="b">
        <f t="array" ref="Y38:Y49">UNIQUE(IF( ('アイテム別限界値DB'!$B:$B = Y$4) * ('アイテム別限界値DB'!$A:$A = "縫製"),  IF('アイテム別限界値DB'!$B:$B = Y$4, 'アイテム別限界値DB'!$G:$G, "") ))</f>
        <v>0</v>
      </c>
      <c r="Z38" s="466" t="b">
        <f t="array" ref="Z38:Z49">UNIQUE(IF( ('アイテム別限界値DB'!$B:$B = Y$4) * ('アイテム別限界値DB'!$A:$A = "縫製"),  IF('アイテム別限界値DB'!$B:$B = Y$4, 'アイテム別限界値DB'!$C:$C, "") ))</f>
        <v>0</v>
      </c>
      <c r="AA38" s="12"/>
      <c r="AB38" s="12"/>
      <c r="AC38" s="12"/>
      <c r="AD38" s="12"/>
      <c r="AE38" s="93"/>
      <c r="AF38" s="466" t="b">
        <f t="array" ref="AF38:AF43">UNIQUE(IF( ('アイテム別限界値DB'!$B:$B = AF$4) * ('アイテム別限界値DB'!$A:$A = "縫製"),  IF('アイテム別限界値DB'!$B:$B = AF$4, 'アイテム別限界値DB'!$G:$G, "") ))</f>
        <v>0</v>
      </c>
      <c r="AG38" s="466" t="b">
        <f t="array" ref="AG38:AG43">UNIQUE(IF( ('アイテム別限界値DB'!$B:$B = AF$4) * ('アイテム別限界値DB'!$A:$A = "縫製"),  IF('アイテム別限界値DB'!$B:$B = AF$4, 'アイテム別限界値DB'!$C:$C, "") ))</f>
        <v>0</v>
      </c>
      <c r="AH38" s="12"/>
      <c r="AI38" s="12"/>
      <c r="AJ38" s="12"/>
      <c r="AK38" s="12"/>
      <c r="AL38" s="160"/>
      <c r="AM38" s="466" t="b">
        <f t="array" ref="AM38:AM43">UNIQUE(IF( ('アイテム別限界値DB'!$B:$B = AM$4) * ('アイテム別限界値DB'!$A:$A = "縫製"),  IF('アイテム別限界値DB'!$B:$B = AM$4, 'アイテム別限界値DB'!$G:$G, "") ))</f>
        <v>0</v>
      </c>
      <c r="AN38" s="466" t="b">
        <f t="array" ref="AN38:AN43">UNIQUE(IF( ('アイテム別限界値DB'!$B:$B = AM$4) * ('アイテム別限界値DB'!$A:$A = "縫製"),  IF('アイテム別限界値DB'!$B:$B = AM$4, 'アイテム別限界値DB'!$C:$C, "") ))</f>
        <v>0</v>
      </c>
      <c r="AO38" s="12"/>
      <c r="AP38" s="12"/>
      <c r="AQ38" s="12"/>
      <c r="AR38" s="12"/>
      <c r="AS38" s="160"/>
      <c r="AT38" s="467" t="b">
        <f t="array" ref="AT38:AT39">UNIQUE(IF( ('アイテム別限界値DB'!$B:$B = AT$4) * ('アイテム別限界値DB'!$A:$A = "縫製"),  IF('アイテム別限界値DB'!$B:$B = AT$4, 'アイテム別限界値DB'!$G:$G, "") ))</f>
        <v>0</v>
      </c>
      <c r="AU38" s="12"/>
      <c r="AV38" s="12"/>
      <c r="AW38" s="12"/>
      <c r="AX38" s="12"/>
      <c r="AY38" s="160"/>
      <c r="AZ38" s="467" t="b">
        <f t="array" ref="AZ38:AZ39">UNIQUE(IF( ('アイテム別限界値DB'!$B:$B = AZ$4) * ('アイテム別限界値DB'!$A:$A = "縫製"),  IF('アイテム別限界値DB'!$B:$B = AZ$4, 'アイテム別限界値DB'!$G:$G, "") ))</f>
        <v>0</v>
      </c>
      <c r="BA38" s="12"/>
      <c r="BB38" s="12"/>
      <c r="BC38" s="12"/>
      <c r="BD38" s="12"/>
      <c r="BE38" s="160"/>
      <c r="BF38" s="467" t="b">
        <f t="array" ref="BF38:BF39">UNIQUE(IF( ('アイテム別限界値DB'!$B:$B = BF$4) * ('アイテム別限界値DB'!$A:$A = "縫製"),  IF('アイテム別限界値DB'!$B:$B = BF$4, 'アイテム別限界値DB'!$G:$G, "") ))</f>
        <v>0</v>
      </c>
      <c r="BG38" s="12"/>
      <c r="BH38" s="12"/>
      <c r="BI38" s="12"/>
      <c r="BJ38" s="12"/>
      <c r="BK38" s="160"/>
      <c r="BL38" s="467" t="b">
        <f t="array" ref="BL38:BL39">UNIQUE(IF( ('アイテム別限界値DB'!$B:$B = BL$4) * ('アイテム別限界値DB'!$A:$A = "縫製"),  IF('アイテム別限界値DB'!$B:$B = BL$4, 'アイテム別限界値DB'!$G:$G, "") ))</f>
        <v>0</v>
      </c>
      <c r="BM38" s="12"/>
      <c r="BN38" s="12"/>
      <c r="BO38" s="12"/>
      <c r="BP38" s="12"/>
      <c r="BQ38" s="160"/>
      <c r="BR38" s="467" t="b">
        <f t="array" ref="BR38:BR39">UNIQUE(IF( ('アイテム別限界値DB'!$B:$B = BR$4) * ('アイテム別限界値DB'!$A:$A = "縫製"),  IF('アイテム別限界値DB'!$B:$B = BR$4, 'アイテム別限界値DB'!$G:$G, "") ))</f>
        <v>0</v>
      </c>
      <c r="BS38" s="12"/>
      <c r="BT38" s="12"/>
      <c r="BU38" s="12"/>
      <c r="BV38" s="12"/>
      <c r="BW38" s="160"/>
      <c r="BX38" s="467" t="b">
        <f t="array" ref="BX38:BX39">UNIQUE(IF( ('アイテム別限界値DB'!$B:$B = BX$4) * ('アイテム別限界値DB'!$A:$A = "縫製"),  IF('アイテム別限界値DB'!$B:$B = BX$4, 'アイテム別限界値DB'!$G:$G, "") ))</f>
        <v>0</v>
      </c>
      <c r="BY38" s="12"/>
      <c r="BZ38" s="12"/>
      <c r="CA38" s="12"/>
      <c r="CB38" s="12"/>
      <c r="CC38" s="93"/>
      <c r="CD38" s="468" t="b">
        <f t="array" ref="CD38">UNIQUE(IF( ('アイテム別限界値DB'!$B:$B = CD$4) * ('アイテム別限界値DB'!$A:$A = "縫製"),  IF('アイテム別限界値DB'!$B:$B = CD$4, 'アイテム別限界値DB'!$E:$E, "") ))</f>
        <v>0</v>
      </c>
      <c r="CE38" s="392" t="s">
        <v>230</v>
      </c>
      <c r="CG38" s="387"/>
      <c r="CH38" s="469"/>
      <c r="CI38" s="469"/>
    </row>
    <row r="39" ht="18.75" hidden="1" customHeight="1">
      <c r="A39" s="160"/>
      <c r="B39" s="470"/>
      <c r="C39" s="229"/>
      <c r="D39" s="246" t="s">
        <v>51</v>
      </c>
      <c r="E39" s="303" t="s">
        <v>51</v>
      </c>
      <c r="F39" s="471"/>
      <c r="G39" s="471" t="str">
        <f>IF(COUNTA(G40:G70)&gt;0, "プレスあり", "")</f>
        <v/>
      </c>
      <c r="H39" s="195"/>
      <c r="I39" s="227" t="str">
        <f t="array" ref="I39">IF(
  G39 = "", 
  "", 
  IFERROR(
    INDEX(
      'アイテム別限界値DB'!$N:$N, 
      MATCH(
        1, 
        ('アイテム別限界値DB'!$B:$B = D$4) * 
        ('アイテム別限界値DB'!$G:$G = D39), 
        0
      )
    ), 
    "再製作"
  )
)
</f>
        <v/>
      </c>
      <c r="J39" s="472"/>
      <c r="K39" s="246" t="s">
        <v>51</v>
      </c>
      <c r="L39" s="303" t="s">
        <v>51</v>
      </c>
      <c r="M39" s="224"/>
      <c r="N39" s="219" t="str">
        <f>IF(COUNTA(N40:N70)&gt;0, "プレスあり", "")</f>
        <v/>
      </c>
      <c r="O39" s="195"/>
      <c r="P39" s="473" t="str">
        <f t="array" ref="P39">IF(
  N39 = "", 
  "", 
  IFERROR(
    INDEX(
      'アイテム別限界値DB'!$N:$N, 
      MATCH(
        1, 
        ('アイテム別限界値DB'!$B:$B = K$4) * 
        ('アイテム別限界値DB'!$G:$G = K39), 
        0
      )
    ) * MAX(M40:M70), 
    "再製作"
  )
)
</f>
        <v/>
      </c>
      <c r="Q39" s="93"/>
      <c r="R39" s="474" t="s">
        <v>51</v>
      </c>
      <c r="S39" s="303" t="s">
        <v>51</v>
      </c>
      <c r="T39" s="217"/>
      <c r="U39" s="217" t="str">
        <f>IF(COUNTA(U40:U70)&gt;0, "プレスあり", "")</f>
        <v/>
      </c>
      <c r="V39" s="195"/>
      <c r="W39" s="218" t="str">
        <f t="array" ref="W39">IF(
  U39 = "", 
  "", 
  IFERROR(
    INDEX(
      'アイテム別限界値DB'!$N:$N, 
      MATCH(
        1, 
        ('アイテム別限界値DB'!$B:$B = R$4) * 
        ('アイテム別限界値DB'!$G:$G = R39), 
        0
      )
    ), 
    "再製作"
  )
)
</f>
        <v/>
      </c>
      <c r="X39" s="93"/>
      <c r="Y39" s="474" t="s">
        <v>51</v>
      </c>
      <c r="Z39" s="303" t="s">
        <v>51</v>
      </c>
      <c r="AA39" s="217"/>
      <c r="AB39" s="217" t="str">
        <f>IF(COUNTA(AB40:AB70)&gt;0, "プレスあり", "")</f>
        <v/>
      </c>
      <c r="AC39" s="195"/>
      <c r="AD39" s="218" t="str">
        <f t="array" ref="AD39">IF(
  AB39 = "", 
  "", 
  IFERROR(
    INDEX(
      'アイテム別限界値DB'!$N:$N, 
      MATCH(
        1, 
        ('アイテム別限界値DB'!$B:$B = Y$4) * 
        ('アイテム別限界値DB'!$G:$G = Y39), 
        0
      )
    ), 
    "再製作"
  )
)
</f>
        <v/>
      </c>
      <c r="AE39" s="93"/>
      <c r="AF39" s="93" t="s">
        <v>51</v>
      </c>
      <c r="AG39" s="303" t="s">
        <v>51</v>
      </c>
      <c r="AH39" s="217"/>
      <c r="AI39" s="217" t="str">
        <f>IF(COUNTA(AI40:AI70)&gt;0, "プレスあり", "")</f>
        <v/>
      </c>
      <c r="AJ39" s="195"/>
      <c r="AK39" s="218" t="str">
        <f t="array" ref="AK39">IF(
  AI39 = "", 
  "", 
  IFERROR(
    INDEX(
      'アイテム別限界値DB'!$N:$N, 
      MATCH(
        1, 
        ('アイテム別限界値DB'!$B:$B = AF$4) * 
        ('アイテム別限界値DB'!$G:$G = AF39), 
        0
      )
    ), 
    "再製作"
  )
)
</f>
        <v/>
      </c>
      <c r="AL39" s="160"/>
      <c r="AM39" s="93" t="s">
        <v>51</v>
      </c>
      <c r="AN39" s="474" t="s">
        <v>51</v>
      </c>
      <c r="AO39" s="217"/>
      <c r="AP39" s="217" t="str">
        <f>IF(COUNTA(AP40:AP70)&gt;0, "プレスあり", "")</f>
        <v/>
      </c>
      <c r="AQ39" s="195"/>
      <c r="AR39" s="218" t="str">
        <f t="array" ref="AR39">IF(
  AP39 = "", 
  "", 
  IFERROR(
    INDEX(
      'アイテム別限界値DB'!$N:$N, 
      MATCH(
        1, 
        ('アイテム別限界値DB'!$B:$B = AM$4) * 
        ('アイテム別限界値DB'!$G:$G = AM39), 
        0
      )
    ), 
    "再製作"
  )
)
</f>
        <v/>
      </c>
      <c r="AS39" s="160"/>
      <c r="AT39" s="93" t="s">
        <v>51</v>
      </c>
      <c r="AU39" s="217"/>
      <c r="AV39" s="217" t="str">
        <f>IF(COUNTA(AV40:AV70)&gt;0, "プレスあり", "")</f>
        <v/>
      </c>
      <c r="AW39" s="195"/>
      <c r="AX39" s="218" t="str">
        <f t="array" ref="AX39">IF(
  AV39 = "", 
  "", 
  IFERROR(
    INDEX(
      'アイテム別限界値DB'!$N:$N, 
      MATCH(
        1, 
        ('アイテム別限界値DB'!$B:$B = AT$4) * 
        ('アイテム別限界値DB'!$G:$G = AT39), 
        0
      )
    ), 
    "再製作"
  )
)
</f>
        <v/>
      </c>
      <c r="AY39" s="160"/>
      <c r="AZ39" s="93" t="s">
        <v>51</v>
      </c>
      <c r="BA39" s="217"/>
      <c r="BB39" s="217" t="str">
        <f>IF(COUNTA(BB40:BB70)&gt;0, "プレスあり", "")</f>
        <v/>
      </c>
      <c r="BC39" s="195"/>
      <c r="BD39" s="218" t="str">
        <f t="array" ref="BD39">IF(
  BB39 = "", 
  "", 
  IFERROR(
    INDEX(
      'アイテム別限界値DB'!$N:$N, 
      MATCH(
        1, 
        ('アイテム別限界値DB'!$B:$B = AZ$4) * 
        ('アイテム別限界値DB'!$G:$G = AZ39), 
        0
      )
    ), 
    "再製作"
  )
)
</f>
        <v/>
      </c>
      <c r="BE39" s="160"/>
      <c r="BF39" s="93" t="s">
        <v>51</v>
      </c>
      <c r="BG39" s="217"/>
      <c r="BH39" s="217" t="str">
        <f>IF(COUNTA(BH40:BH70)&gt;0, "プレスあり", "")</f>
        <v/>
      </c>
      <c r="BI39" s="195"/>
      <c r="BJ39" s="218" t="str">
        <f t="array" ref="BJ39">IF(
  BH39 = "", 
  "", 
  IFERROR(
    INDEX(
      'アイテム別限界値DB'!$N:$N, 
      MATCH(
        1, 
        ('アイテム別限界値DB'!$B:$B = BF$4) * 
        ('アイテム別限界値DB'!$G:$G = BF39), 
        0
      )
    ), 
    "再製作"
  )
)
</f>
        <v/>
      </c>
      <c r="BK39" s="160"/>
      <c r="BL39" s="93" t="s">
        <v>51</v>
      </c>
      <c r="BM39" s="217"/>
      <c r="BN39" s="217" t="str">
        <f>IF(COUNTA(BN40:BN70)&gt;0, "プレスあり", "")</f>
        <v/>
      </c>
      <c r="BO39" s="195"/>
      <c r="BP39" s="218" t="str">
        <f t="array" ref="BP39">IF(
  BN39 = "", 
  "", 
  IFERROR(
    INDEX(
      'アイテム別限界値DB'!$N:$N, 
      MATCH(
        1, 
        ('アイテム別限界値DB'!$B:$B = BL$4) * 
        ('アイテム別限界値DB'!$G:$G = BL39), 
        0
      )
    ), 
    "再製作"
  )
)
</f>
        <v/>
      </c>
      <c r="BQ39" s="160"/>
      <c r="BR39" s="93" t="s">
        <v>51</v>
      </c>
      <c r="BS39" s="217"/>
      <c r="BT39" s="217" t="str">
        <f>IF(COUNTA(BT40:BT70)&gt;0, "プレスあり", "")</f>
        <v/>
      </c>
      <c r="BU39" s="195"/>
      <c r="BV39" s="218" t="str">
        <f t="array" ref="BV39">IF(
  BT39 = "", 
  "", 
  IFERROR(
    INDEX(
      'アイテム別限界値DB'!$N:$N, 
      MATCH(
        1, 
        ('アイテム別限界値DB'!$B:$B = BR$4) * 
        ('アイテム別限界値DB'!$G:$G = BR39), 
        0
      )
    ), 
    "再製作"
  )
)
</f>
        <v/>
      </c>
      <c r="BW39" s="160"/>
      <c r="BX39" s="93" t="s">
        <v>51</v>
      </c>
      <c r="BY39" s="217"/>
      <c r="BZ39" s="217" t="str">
        <f>IF(COUNTA(BZ40:BZ70)&gt;0, "プレスあり", "")</f>
        <v/>
      </c>
      <c r="CA39" s="195"/>
      <c r="CB39" s="218" t="str">
        <f t="array" ref="CB39">IF(
  BZ39 = "", 
  "", 
  IFERROR(
    INDEX(
      'アイテム別限界値DB'!$N:$N, 
      MATCH(
        1, 
        ('アイテム別限界値DB'!$B:$B = BX$4) * 
        ('アイテム別限界値DB'!$G:$G = BX39), 
        0
      )
    ), 
    "再製作"
  )
)
</f>
        <v/>
      </c>
      <c r="CC39" s="475"/>
      <c r="CD39" s="474"/>
      <c r="CE39" s="476" t="str">
        <f>IF(COUNTA(CE42:CE70)&gt;0, "プレスあり", "")</f>
        <v/>
      </c>
      <c r="CF39" s="396"/>
      <c r="CG39" s="397" t="str">
        <f t="array" ref="CG39">IF(
  CE39 = "", 
  "", 
  IFERROR(
    INDEX(
      'アイテム別限界値DB'!$N:$N, 
      MATCH(
        1, 
        ('アイテム別限界値DB'!$B:$B = CD$4) * 
        ('アイテム別限界値DB'!$G:$G = CD39), 
        0
      )
    ), 
    "再製作"
  )
)
</f>
        <v/>
      </c>
      <c r="CH39" s="469"/>
      <c r="CI39" s="469"/>
    </row>
    <row r="40">
      <c r="A40" s="229"/>
      <c r="B40" s="470"/>
      <c r="C40" s="470"/>
      <c r="D40" s="477" t="s">
        <v>231</v>
      </c>
      <c r="E40" s="478" t="s">
        <v>231</v>
      </c>
      <c r="F40" s="423"/>
      <c r="G40" s="423"/>
      <c r="H40" s="405" t="str">
        <f t="array" ref="H40">IF(
  G40 = 0, 
  "", 
  IFERROR(
    INDEX(
      'アイテム別限界値DB'!$K:$K, 
      MATCH(
        1, 
        ('アイテム別限界値DB'!$B:$B = D$4) * 
        ('アイテム別限界値DB'!$G:$G = D40) , 
        0
      )
    ), 
    "再製作"
  )
)
</f>
        <v/>
      </c>
      <c r="I40" s="397" t="str">
        <f t="array" ref="I40">IF(
  G40 = "", 
  "", 
  IFERROR(
    INDEX(
      'アイテム別限界値DB'!$N:$N, 
      MATCH(
        1, 
        ('アイテム別限界値DB'!$B:$B = D$4) * 
        ('アイテム別限界値DB'!$G:$G = D40), 
        0
      )
    )*$G40*F40, 
    "再製作"
  )
)
</f>
        <v/>
      </c>
      <c r="J40" s="479"/>
      <c r="K40" s="246" t="s">
        <v>231</v>
      </c>
      <c r="L40" s="478" t="s">
        <v>231</v>
      </c>
      <c r="M40" s="423"/>
      <c r="N40" s="423"/>
      <c r="O40" s="405" t="str">
        <f t="array" ref="O40">IF(
  N40 = 0, 
  "", 
  IFERROR(
    INDEX(
      'アイテム別限界値DB'!$K:$K, 
      MATCH(
        1, 
        ('アイテム別限界値DB'!$B:$B = K$4) * 
        ('アイテム別限界値DB'!$G:$G = K40) , 
        0
      )
    ), 
    "再製作"
  )
)
</f>
        <v/>
      </c>
      <c r="P40" s="397" t="str">
        <f t="array" ref="P40">IF(
  N40 = "", 
  "", 
  IFERROR(
    INDEX(
      'アイテム別限界値DB'!$N:$N, 
      MATCH(
        1, 
        ('アイテム別限界値DB'!$B:$B = K$4) * 
        ('アイテム別限界値DB'!$G:$G = K40), 
        0
      )
    )*$N40*M40, 
    "再製作"
  )
)
</f>
        <v/>
      </c>
      <c r="Q40" s="480"/>
      <c r="R40" s="468" t="s">
        <v>231</v>
      </c>
      <c r="S40" s="478" t="s">
        <v>231</v>
      </c>
      <c r="T40" s="423"/>
      <c r="U40" s="423"/>
      <c r="V40" s="405" t="str">
        <f t="array" ref="V40">IF(
  U40 = 0, 
  "", 
  IFERROR(
    INDEX(
      'アイテム別限界値DB'!$K:$K, 
      MATCH(
        1, 
        ('アイテム別限界値DB'!$B:$B = R$4) * 
        ('アイテム別限界値DB'!$G:$G = R40) , 
        0
      )
    ), 
    "再製作"
  )
)
</f>
        <v/>
      </c>
      <c r="W40" s="397" t="str">
        <f t="array" ref="W40">IF(
  U40 = "", 
  "", 
  IFERROR(
    INDEX(
      'アイテム別限界値DB'!$N:$N, 
      MATCH(
        1, 
        ('アイテム別限界値DB'!$B:$B = R$4) * 
        ('アイテム別限界値DB'!$G:$G = R40), 
        0
      )
    )*U40*T40, 
    "再製作"
  )
)
</f>
        <v/>
      </c>
      <c r="X40" s="480"/>
      <c r="Y40" s="481" t="s">
        <v>231</v>
      </c>
      <c r="Z40" s="478" t="s">
        <v>231</v>
      </c>
      <c r="AA40" s="423"/>
      <c r="AB40" s="423"/>
      <c r="AC40" s="405" t="str">
        <f t="array" ref="AC40">IF(
  AB40 = 0, 
  "", 
  IFERROR(
    INDEX(
      'アイテム別限界値DB'!$K:$K, 
      MATCH(
        1, 
        ('アイテム別限界値DB'!$B:$B = Y$4) * 
        ('アイテム別限界値DB'!$G:$G = Y40) , 
        0
      )
    ), 
    "再製作"
  )
)
</f>
        <v/>
      </c>
      <c r="AD40" s="397" t="str">
        <f t="array" ref="AD40">IF(
  AB40 = "", 
  "", 
  IFERROR(
    INDEX(
      'アイテム別限界値DB'!$N:$N, 
      MATCH(
        1, 
        ('アイテム別限界値DB'!$B:$B = Y$4) * 
        ('アイテム別限界値DB'!$G:$G = Y40), 
        0
      )
    )*AB40*AA40, 
    "再製作"
  )
)
</f>
        <v/>
      </c>
      <c r="AE40" s="480"/>
      <c r="AF40" s="93" t="s">
        <v>231</v>
      </c>
      <c r="AG40" s="478" t="s">
        <v>231</v>
      </c>
      <c r="AH40" s="423"/>
      <c r="AI40" s="423"/>
      <c r="AJ40" s="405" t="str">
        <f t="array" ref="AJ40">IF(
  AI40 = 0, 
  "", 
  IFERROR(
    INDEX(
      'アイテム別限界値DB'!$K:$K, 
      MATCH(
        1, 
        ('アイテム別限界値DB'!$B:$B = AF$4) * 
        ('アイテム別限界値DB'!$G:$G = AF40) , 
        0
      )
    ), 
    "再製作"
  )
)
</f>
        <v/>
      </c>
      <c r="AK40" s="397"/>
      <c r="AL40" s="469"/>
      <c r="AM40" s="93" t="s">
        <v>231</v>
      </c>
      <c r="AN40" s="474" t="s">
        <v>231</v>
      </c>
      <c r="AO40" s="423"/>
      <c r="AP40" s="423"/>
      <c r="AQ40" s="405" t="str">
        <f t="array" ref="AQ40">IF(
  AP40 = 0, 
  "", 
  IFERROR(
    INDEX(
      'アイテム別限界値DB'!$K:$K, 
      MATCH(
        1, 
        ('アイテム別限界値DB'!$B:$B = AM$4) * 
        ('アイテム別限界値DB'!$G:$G = AM40) , 
        0
      )
    ), 
    "再製作"
  )
)
</f>
        <v/>
      </c>
      <c r="AR40" s="397" t="str">
        <f t="array" ref="AR40">IF(
  AP40 = "", 
  "", 
  IFERROR(
    INDEX(
      'アイテム別限界値DB'!$N:$N, 
      MATCH(
        1, 
        ('アイテム別限界値DB'!$B:$B = AM$4) * 
        ('アイテム別限界値DB'!$G:$G = AM40), 
        0
      )
    )*AP40*AO40, 
    "再製作"
  )
)
</f>
        <v/>
      </c>
      <c r="AS40" s="469"/>
      <c r="AT40" s="474"/>
      <c r="AU40" s="423"/>
      <c r="AV40" s="423"/>
      <c r="AW40" s="405" t="str">
        <f t="array" ref="AW40">IF(
  AV40 = 0, 
  "", 
  IFERROR(
    INDEX(
      'アイテム別限界値DB'!$K:$K, 
      MATCH(
        1, 
        ('アイテム別限界値DB'!$B:$B = AS$4) * 
        ('アイテム別限界値DB'!$G:$G = AS40) , 
        0
      )
    ), 
    "再製作"
  )
)
</f>
        <v/>
      </c>
      <c r="AX40" s="397" t="str">
        <f t="array" ref="AX40">IF(
  AV40 = "", 
  "", 
  IFERROR(
    INDEX(
      'アイテム別限界値DB'!$N:$N, 
      MATCH(
        1, 
        ('アイテム別限界値DB'!$B:$B = AS$4) * 
        ('アイテム別限界値DB'!$G:$G = AS40), 
        0
      )
    )*AV40*AU40, 
    "再製作"
  )
)
</f>
        <v/>
      </c>
      <c r="AY40" s="469"/>
      <c r="AZ40" s="474"/>
      <c r="BA40" s="423"/>
      <c r="BB40" s="423"/>
      <c r="BC40" s="405" t="str">
        <f t="array" ref="BC40">IF(
  BB40 = 0, 
  "", 
  IFERROR(
    INDEX(
      'アイテム別限界値DB'!$K:$K, 
      MATCH(
        1, 
        ('アイテム別限界値DB'!$B:$B = AY$4) * 
        ('アイテム別限界値DB'!$G:$G = AY40) , 
        0
      )
    ), 
    "再製作"
  )
)
</f>
        <v/>
      </c>
      <c r="BD40" s="397" t="str">
        <f t="array" ref="BD40">IF(
  BB40 = "", 
  "", 
  IFERROR(
    INDEX(
      'アイテム別限界値DB'!$N:$N, 
      MATCH(
        1, 
        ('アイテム別限界値DB'!$B:$B = AZ$4) * 
        ('アイテム別限界値DB'!$G:$G = BB40), 
        0
      )
    )*BB40*BA40, 
    "再製作"
  )
)
</f>
        <v/>
      </c>
      <c r="BE40" s="469"/>
      <c r="BF40" s="474"/>
      <c r="BG40" s="423"/>
      <c r="BH40" s="423"/>
      <c r="BI40" s="405" t="str">
        <f t="array" ref="BI40">IF(
  BH40 = 0, 
  "", 
  IFERROR(
    INDEX(
      'アイテム別限界値DB'!$K:$K, 
      MATCH(
        1, 
        ('アイテム別限界値DB'!$B:$B = BE$4) * 
        ('アイテム別限界値DB'!$G:$G = BE40) , 
        0
      )
    ), 
    "再製作"
  )
)
</f>
        <v/>
      </c>
      <c r="BJ40" s="397"/>
      <c r="BK40" s="469"/>
      <c r="BL40" s="474"/>
      <c r="BM40" s="423"/>
      <c r="BN40" s="423"/>
      <c r="BO40" s="405"/>
      <c r="BP40" s="397" t="str">
        <f t="array" ref="BP40">IF(
  BN40 = "", 
  "", 
  IFERROR(
    INDEX(
      'アイテム別限界値DB'!$N:$N, 
      MATCH(
        1, 
        ('アイテム別限界値DB'!$B:$B = BL$4) * 
        ('アイテム別限界値DB'!$G:$G = BL40), 
        0
      )
    )*BN40, 
    "再製作"
  )
)
</f>
        <v/>
      </c>
      <c r="BQ40" s="469"/>
      <c r="BR40" s="474"/>
      <c r="BS40" s="423"/>
      <c r="BT40" s="423"/>
      <c r="BU40" s="405" t="str">
        <f t="array" ref="BU40">IF(
  BT40 = 0, 
  "", 
  IFERROR(
    INDEX(
      'アイテム別限界値DB'!$K:$K, 
      MATCH(
        1, 
        ('アイテム別限界値DB'!$B:$B = BQ$4) * 
        ('アイテム別限界値DB'!$G:$G = BQ40) , 
        0
      )
    ), 
    "再製作"
  )
)
</f>
        <v/>
      </c>
      <c r="BV40" s="397" t="str">
        <f t="array" ref="BV40">IF(
  BT40 = "", 
  "", 
  IFERROR(
    INDEX(
      'アイテム別限界値DB'!$N:$N, 
      MATCH(
        1, 
        ('アイテム別限界値DB'!$B:$B = BR$4) * 
        ('アイテム別限界値DB'!$G:$G = BR40), 
        0
      )
    )*BT40*BS40, 
    "再製作"
  )
)
</f>
        <v/>
      </c>
      <c r="BW40" s="469"/>
      <c r="BX40" s="474"/>
      <c r="BY40" s="423"/>
      <c r="BZ40" s="423"/>
      <c r="CA40" s="405" t="str">
        <f t="array" ref="CA40">IF(
  BZ40 = 0, 
  "", 
  IFERROR(
    INDEX(
      'アイテム別限界値DB'!$K:$K, 
      MATCH(
        1, 
        ('アイテム別限界値DB'!$B:$B = BW$4) * 
        ('アイテム別限界値DB'!$G:$G = BW40) , 
        0
      )
    ), 
    "再製作"
  )
)
</f>
        <v/>
      </c>
      <c r="CB40" s="397" t="str">
        <f t="array" ref="CB40">IF(
  BZ40 = "", 
  "", 
  IFERROR(
    INDEX(
      'アイテム別限界値DB'!$N:$N, 
      MATCH(
        1, 
        ('アイテム別限界値DB'!$B:$B = BX$4) * 
        ('アイテム別限界値DB'!$G:$G = BX40), 
        0
      )
    )*BZ40*BY40, 
    "再製作"
  )
)
</f>
        <v/>
      </c>
      <c r="CC40" s="402"/>
      <c r="CD40" s="397"/>
      <c r="CE40" s="397"/>
      <c r="CF40" s="397"/>
      <c r="CG40" s="397"/>
      <c r="CH40" s="469"/>
      <c r="CI40" s="469"/>
    </row>
    <row r="41">
      <c r="A41" s="457"/>
      <c r="B41" s="482"/>
      <c r="C41" s="482"/>
      <c r="D41" s="483" t="s">
        <v>232</v>
      </c>
      <c r="E41" s="484" t="s">
        <v>233</v>
      </c>
      <c r="F41" s="403"/>
      <c r="G41" s="485"/>
      <c r="H41" s="405" t="str">
        <f t="array" ref="H41">IF(
  G41 = 0, 
  "", 
  IFERROR(
    INDEX(
      'アイテム別限界値DB'!$K:$K, 
      MATCH(
        1, 
        ('アイテム別限界値DB'!$B:$B = D$4) * 
        ('アイテム別限界値DB'!$G:$G = D41) , 
        0
      )
    ), 
    "再製作"
  )
)
</f>
        <v/>
      </c>
      <c r="I41" s="397" t="str">
        <f t="array" ref="I41">IF(
  G41 = "", 
  "", 
  IFERROR(
    INDEX(
      'アイテム別限界値DB'!$N:$N, 
      MATCH(
        1, 
        ('アイテム別限界値DB'!$B:$B = D$4) * 
        ('アイテム別限界値DB'!$G:$G = D41), 
        0
      )
    )*$G41*F41, 
    "再製作"
  )
)
</f>
        <v/>
      </c>
      <c r="J41" s="479"/>
      <c r="K41" s="246" t="s">
        <v>232</v>
      </c>
      <c r="L41" s="414" t="s">
        <v>233</v>
      </c>
      <c r="M41" s="423"/>
      <c r="N41" s="485"/>
      <c r="O41" s="405" t="str">
        <f t="array" ref="O41">IF(
  N41 = 0, 
  "", 
  IFERROR(
    INDEX(
      'アイテム別限界値DB'!$K:$K, 
      MATCH(
        1, 
        ('アイテム別限界値DB'!$B:$B = K$4) * 
        ('アイテム別限界値DB'!$G:$G = K41) , 
        0
      )
    ), 
    "再製作"
  )
)
</f>
        <v/>
      </c>
      <c r="P41" s="397" t="str">
        <f t="array" ref="P41">IF(
  N41 = "", 
  "", 
  IFERROR(
    INDEX(
      'アイテム別限界値DB'!$N:$N, 
      MATCH(
        1, 
        ('アイテム別限界値DB'!$B:$B = K$4) * 
        ('アイテム別限界値DB'!$G:$G = K41), 
        0
      )
    )*$N41*M41, 
    "再製作"
  )
)
</f>
        <v/>
      </c>
      <c r="Q41" s="480"/>
      <c r="R41" s="481" t="s">
        <v>232</v>
      </c>
      <c r="S41" s="484" t="s">
        <v>233</v>
      </c>
      <c r="T41" s="423"/>
      <c r="U41" s="485"/>
      <c r="V41" s="405" t="str">
        <f t="array" ref="V41">IF(
  U41 = 0, 
  "", 
  IFERROR(
    INDEX(
      'アイテム別限界値DB'!$K:$K, 
      MATCH(
        1, 
        ('アイテム別限界値DB'!$B:$B = R$4) * 
        ('アイテム別限界値DB'!$G:$G = R41) , 
        0
      )
    ), 
    "再製作"
  )
)
</f>
        <v/>
      </c>
      <c r="W41" s="397" t="str">
        <f t="array" ref="W41">IF(
  U41 = "", 
  "", 
  IFERROR(
    INDEX(
      'アイテム別限界値DB'!$N:$N, 
      MATCH(
        1, 
        ('アイテム別限界値DB'!$B:$B = R$4) * 
        ('アイテム別限界値DB'!$G:$G = R41), 
        0
      )
    )*U41*T41, 
    "再製作"
  )
)
</f>
        <v/>
      </c>
      <c r="X41" s="480"/>
      <c r="Y41" s="481" t="s">
        <v>232</v>
      </c>
      <c r="Z41" s="484" t="s">
        <v>233</v>
      </c>
      <c r="AA41" s="423"/>
      <c r="AB41" s="485"/>
      <c r="AC41" s="405" t="str">
        <f t="array" ref="AC41">IF(
  AB41 = 0, 
  "", 
  IFERROR(
    INDEX(
      'アイテム別限界値DB'!$K:$K, 
      MATCH(
        1, 
        ('アイテム別限界値DB'!$B:$B = Y$4) * 
        ('アイテム別限界値DB'!$G:$G = Y41) , 
        0
      )
    ), 
    "再製作"
  )
)
</f>
        <v/>
      </c>
      <c r="AD41" s="397" t="str">
        <f t="array" ref="AD41">IF(
  AB41 = "", 
  "", 
  IFERROR(
    INDEX(
      'アイテム別限界値DB'!$N:$N, 
      MATCH(
        1, 
        ('アイテム別限界値DB'!$B:$B = Y$4) * 
        ('アイテム別限界値DB'!$G:$G = Y41), 
        0
      )
    )*AB41*AA41, 
    "再製作"
  )
)
</f>
        <v/>
      </c>
      <c r="AE41" s="486"/>
      <c r="AF41" s="487" t="s">
        <v>232</v>
      </c>
      <c r="AG41" s="484" t="s">
        <v>233</v>
      </c>
      <c r="AH41" s="423"/>
      <c r="AI41" s="485"/>
      <c r="AJ41" s="405" t="str">
        <f t="array" ref="AJ41">IF(
  AI41 = 0, 
  "", 
  IFERROR(
    INDEX(
      'アイテム別限界値DB'!$K:$K, 
      MATCH(
        1, 
        ('アイテム別限界値DB'!$B:$B = AF$4) * 
        ('アイテム別限界値DB'!$G:$G = AF41) , 
        0
      )
    ), 
    "再製作"
  )
)
</f>
        <v/>
      </c>
      <c r="AK41" s="397"/>
      <c r="AL41" s="469"/>
      <c r="AM41" s="487" t="s">
        <v>232</v>
      </c>
      <c r="AN41" s="488" t="s">
        <v>233</v>
      </c>
      <c r="AO41" s="423"/>
      <c r="AP41" s="485"/>
      <c r="AQ41" s="405" t="str">
        <f t="array" ref="AQ41">IF(
  AP41 = 0, 
  "", 
  IFERROR(
    INDEX(
      'アイテム別限界値DB'!$K:$K, 
      MATCH(
        1, 
        ('アイテム別限界値DB'!$B:$B = AM$4) * 
        ('アイテム別限界値DB'!$G:$G = AM41) , 
        0
      )
    ), 
    "再製作"
  )
)
</f>
        <v/>
      </c>
      <c r="AR41" s="397" t="str">
        <f t="array" ref="AR41">IF(
  AP41 = "", 
  "", 
  IFERROR(
    INDEX(
      'アイテム別限界値DB'!$N:$N, 
      MATCH(
        1, 
        ('アイテム別限界値DB'!$B:$B = AM$4) * 
        ('アイテム別限界値DB'!$G:$G = AM41), 
        0
      )
    )*AP41*AO41, 
    "再製作"
  )
)
</f>
        <v/>
      </c>
      <c r="AS41" s="469"/>
      <c r="AT41" s="488"/>
      <c r="AU41" s="423"/>
      <c r="AV41" s="485"/>
      <c r="AW41" s="405" t="str">
        <f t="array" ref="AW41">IF(
  AV41 = 0, 
  "", 
  IFERROR(
    INDEX(
      'アイテム別限界値DB'!$K:$K, 
      MATCH(
        1, 
        ('アイテム別限界値DB'!$B:$B = AS$4) * 
        ('アイテム別限界値DB'!$G:$G = AS41) , 
        0
      )
    ), 
    "再製作"
  )
)
</f>
        <v/>
      </c>
      <c r="AX41" s="397" t="str">
        <f t="array" ref="AX41">IF(
  AV41 = "", 
  "", 
  IFERROR(
    INDEX(
      'アイテム別限界値DB'!$N:$N, 
      MATCH(
        1, 
        ('アイテム別限界値DB'!$B:$B = AS$4) * 
        ('アイテム別限界値DB'!$G:$G = AS41), 
        0
      )
    )*AV41*AU41, 
    "再製作"
  )
)
</f>
        <v/>
      </c>
      <c r="AY41" s="469"/>
      <c r="AZ41" s="488"/>
      <c r="BA41" s="423"/>
      <c r="BB41" s="485"/>
      <c r="BC41" s="405" t="str">
        <f t="array" ref="BC41">IF(
  BB41 = 0, 
  "", 
  IFERROR(
    INDEX(
      'アイテム別限界値DB'!$K:$K, 
      MATCH(
        1, 
        ('アイテム別限界値DB'!$B:$B = AY$4) * 
        ('アイテム別限界値DB'!$G:$G = AY41) , 
        0
      )
    ), 
    "再製作"
  )
)
</f>
        <v/>
      </c>
      <c r="BD41" s="397" t="str">
        <f t="array" ref="BD41">IF(
  BB41 = "", 
  "", 
  IFERROR(
    INDEX(
      'アイテム別限界値DB'!$N:$N, 
      MATCH(
        1, 
        ('アイテム別限界値DB'!$B:$B = AZ$4) * 
        ('アイテム別限界値DB'!$G:$G = BB41), 
        0
      )
    )*BB41*BA41, 
    "再製作"
  )
)
</f>
        <v/>
      </c>
      <c r="BE41" s="469"/>
      <c r="BF41" s="488"/>
      <c r="BG41" s="423"/>
      <c r="BH41" s="485"/>
      <c r="BI41" s="405" t="str">
        <f t="array" ref="BI41">IF(
  BH41 = 0, 
  "", 
  IFERROR(
    INDEX(
      'アイテム別限界値DB'!$K:$K, 
      MATCH(
        1, 
        ('アイテム別限界値DB'!$B:$B = BE$4) * 
        ('アイテム別限界値DB'!$G:$G = BE41) , 
        0
      )
    ), 
    "再製作"
  )
)
</f>
        <v/>
      </c>
      <c r="BJ41" s="397"/>
      <c r="BK41" s="469"/>
      <c r="BL41" s="488"/>
      <c r="BM41" s="423"/>
      <c r="BN41" s="485"/>
      <c r="BO41" s="405"/>
      <c r="BP41" s="397" t="str">
        <f t="array" ref="BP41">IF(
  BN41 = "", 
  "", 
  IFERROR(
    INDEX(
      'アイテム別限界値DB'!$N:$N, 
      MATCH(
        1, 
        ('アイテム別限界値DB'!$B:$B = BL$4) * 
        ('アイテム別限界値DB'!$G:$G = BL41), 
        0
      )
    )*BN41, 
    "再製作"
  )
)
</f>
        <v/>
      </c>
      <c r="BQ41" s="469"/>
      <c r="BR41" s="488"/>
      <c r="BS41" s="423"/>
      <c r="BT41" s="485"/>
      <c r="BU41" s="405" t="str">
        <f t="array" ref="BU41">IF(
  BT41 = 0, 
  "", 
  IFERROR(
    INDEX(
      'アイテム別限界値DB'!$K:$K, 
      MATCH(
        1, 
        ('アイテム別限界値DB'!$B:$B = BQ$4) * 
        ('アイテム別限界値DB'!$G:$G = BQ41) , 
        0
      )
    ), 
    "再製作"
  )
)
</f>
        <v/>
      </c>
      <c r="BV41" s="397" t="str">
        <f t="array" ref="BV41">IF(
  BT41 = "", 
  "", 
  IFERROR(
    INDEX(
      'アイテム別限界値DB'!$N:$N, 
      MATCH(
        1, 
        ('アイテム別限界値DB'!$B:$B = BR$4) * 
        ('アイテム別限界値DB'!$G:$G = BR41), 
        0
      )
    )*BT41*BS41, 
    "再製作"
  )
)
</f>
        <v/>
      </c>
      <c r="BW41" s="469"/>
      <c r="BX41" s="488"/>
      <c r="BY41" s="423"/>
      <c r="BZ41" s="485"/>
      <c r="CA41" s="405" t="str">
        <f t="array" ref="CA41">IF(
  BZ41 = 0, 
  "", 
  IFERROR(
    INDEX(
      'アイテム別限界値DB'!$K:$K, 
      MATCH(
        1, 
        ('アイテム別限界値DB'!$B:$B = BW$4) * 
        ('アイテム別限界値DB'!$G:$G = BW41) , 
        0
      )
    ), 
    "再製作"
  )
)
</f>
        <v/>
      </c>
      <c r="CB41" s="397" t="str">
        <f t="array" ref="CB41">IF(
  BZ41 = "", 
  "", 
  IFERROR(
    INDEX(
      'アイテム別限界値DB'!$N:$N, 
      MATCH(
        1, 
        ('アイテム別限界値DB'!$B:$B = BX$4) * 
        ('アイテム別限界値DB'!$G:$G = BX41), 
        0
      )
    )*BZ41*BY41, 
    "再製作"
  )
)
</f>
        <v/>
      </c>
      <c r="CC41" s="402"/>
      <c r="CD41" s="397"/>
      <c r="CE41" s="397"/>
      <c r="CF41" s="397"/>
      <c r="CG41" s="397"/>
      <c r="CH41" s="469"/>
      <c r="CI41" s="469"/>
    </row>
    <row r="42">
      <c r="A42" s="160"/>
      <c r="B42" s="470"/>
      <c r="C42" s="470"/>
      <c r="D42" s="477" t="s">
        <v>234</v>
      </c>
      <c r="E42" s="489" t="s">
        <v>235</v>
      </c>
      <c r="F42" s="403"/>
      <c r="G42" s="490"/>
      <c r="H42" s="405" t="str">
        <f t="array" ref="H42">IF(
  G42 = 0, 
  "", 
  IFERROR(
    INDEX(
      'アイテム別限界値DB'!$K:$K, 
      MATCH(
        1, 
        ('アイテム別限界値DB'!$B:$B = D$4) * 
        ('アイテム別限界値DB'!$G:$G = D42) , 
        0
      )
    ), 
    "再製作"
  )
)
</f>
        <v/>
      </c>
      <c r="I42" s="397" t="str">
        <f t="array" ref="I42">IF(
  G42 = "", 
  "", 
  IFERROR(
    INDEX(
      'アイテム別限界値DB'!$N:$N, 
      MATCH(
        1, 
        ('アイテム別限界値DB'!$B:$B = D$4) * 
        ('アイテム別限界値DB'!$G:$G = D42), 
        0
      )
    )*$G42*F42, 
    "再製作"
  )
)
</f>
        <v/>
      </c>
      <c r="J42" s="479"/>
      <c r="K42" s="491" t="s">
        <v>235</v>
      </c>
      <c r="L42" s="414" t="s">
        <v>235</v>
      </c>
      <c r="M42" s="423"/>
      <c r="N42" s="490"/>
      <c r="O42" s="405" t="str">
        <f t="array" ref="O42">IF(
  N42 = 0, 
  "", 
  IFERROR(
    INDEX(
      'アイテム別限界値DB'!$K:$K, 
      MATCH(
        1, 
        ('アイテム別限界値DB'!$B:$B = K$4) * 
        ('アイテム別限界値DB'!$G:$G = K42) , 
        0
      )
    ), 
    "再製作"
  )
)
</f>
        <v/>
      </c>
      <c r="P42" s="397" t="str">
        <f t="array" ref="P42">IF(
  N42 = "", 
  "", 
  IFERROR(
    INDEX(
      'アイテム別限界値DB'!$N:$N, 
      MATCH(
        1, 
        ('アイテム別限界値DB'!$B:$B = K$4) * 
        ('アイテム別限界値DB'!$G:$G = K42), 
        0
      )
    )*$N42*M42, 
    "再製作"
  )
)
</f>
        <v/>
      </c>
      <c r="Q42" s="480"/>
      <c r="R42" s="481" t="s">
        <v>235</v>
      </c>
      <c r="S42" s="484" t="s">
        <v>235</v>
      </c>
      <c r="T42" s="423"/>
      <c r="U42" s="490"/>
      <c r="V42" s="405" t="str">
        <f t="array" ref="V42">IF(
  U42 = 0, 
  "", 
  IFERROR(
    INDEX(
      'アイテム別限界値DB'!$K:$K, 
      MATCH(
        1, 
        ('アイテム別限界値DB'!$B:$B = R$4) * 
        ('アイテム別限界値DB'!$G:$G = R42) , 
        0
      )
    ), 
    "再製作"
  )
)
</f>
        <v/>
      </c>
      <c r="W42" s="397" t="str">
        <f t="array" ref="W42">IF(
  U42 = "", 
  "", 
  IFERROR(
    INDEX(
      'アイテム別限界値DB'!$N:$N, 
      MATCH(
        1, 
        ('アイテム別限界値DB'!$B:$B = R$4) * 
        ('アイテム別限界値DB'!$G:$G = R42), 
        0
      )
    )*U42*T42, 
    "再製作"
  )
)
</f>
        <v/>
      </c>
      <c r="X42" s="469"/>
      <c r="Y42" s="492" t="s">
        <v>235</v>
      </c>
      <c r="Z42" s="484" t="s">
        <v>235</v>
      </c>
      <c r="AA42" s="423"/>
      <c r="AB42" s="490"/>
      <c r="AC42" s="405" t="str">
        <f t="array" ref="AC42">IF(
  AB42 = 0, 
  "", 
  IFERROR(
    INDEX(
      'アイテム別限界値DB'!$K:$K, 
      MATCH(
        1, 
        ('アイテム別限界値DB'!$B:$B = Y$4) * 
        ('アイテム別限界値DB'!$G:$G = Y42) , 
        0
      )
    ), 
    "再製作"
  )
)
</f>
        <v/>
      </c>
      <c r="AD42" s="397" t="str">
        <f t="array" ref="AD42">IF(
  AB42 = "", 
  "", 
  IFERROR(
    INDEX(
      'アイテム別限界値DB'!$N:$N, 
      MATCH(
        1, 
        ('アイテム別限界値DB'!$B:$B = Y$4) * 
        ('アイテム別限界値DB'!$G:$G = Y42), 
        0
      )
    )*AB42*AA42, 
    "再製作"
  )
)
</f>
        <v/>
      </c>
      <c r="AE42" s="486"/>
      <c r="AF42" s="487" t="s">
        <v>235</v>
      </c>
      <c r="AG42" s="484" t="s">
        <v>235</v>
      </c>
      <c r="AH42" s="423"/>
      <c r="AI42" s="485"/>
      <c r="AJ42" s="405" t="str">
        <f t="array" ref="AJ42">IF(
  AI42 = 0, 
  "", 
  IFERROR(
    INDEX(
      'アイテム別限界値DB'!$K:$K, 
      MATCH(
        1, 
        ('アイテム別限界値DB'!$B:$B = AF$4) * 
        ('アイテム別限界値DB'!$G:$G = AF42) , 
        0
      )
    ), 
    "再製作"
  )
)
</f>
        <v/>
      </c>
      <c r="AK42" s="397"/>
      <c r="AL42" s="469"/>
      <c r="AM42" s="469" t="s">
        <v>235</v>
      </c>
      <c r="AN42" s="493" t="s">
        <v>235</v>
      </c>
      <c r="AO42" s="423"/>
      <c r="AP42" s="485"/>
      <c r="AQ42" s="405" t="str">
        <f t="array" ref="AQ42">IF(
  AP42 = 0, 
  "", 
  IFERROR(
    INDEX(
      'アイテム別限界値DB'!$K:$K, 
      MATCH(
        1, 
        ('アイテム別限界値DB'!$B:$B = AM$4) * 
        ('アイテム別限界値DB'!$G:$G = AM42) , 
        0
      )
    ), 
    "再製作"
  )
)
</f>
        <v/>
      </c>
      <c r="AR42" s="397" t="str">
        <f t="array" ref="AR42">IF(
  AP42 = "", 
  "", 
  IFERROR(
    INDEX(
      'アイテム別限界値DB'!$N:$N, 
      MATCH(
        1, 
        ('アイテム別限界値DB'!$B:$B = AM$4) * 
        ('アイテム別限界値DB'!$G:$G = AM42), 
        0
      )
    )*AP42*AO42, 
    "再製作"
  )
)
</f>
        <v/>
      </c>
      <c r="AS42" s="469"/>
      <c r="AT42" s="493"/>
      <c r="AU42" s="423"/>
      <c r="AV42" s="485"/>
      <c r="AW42" s="405" t="str">
        <f t="array" ref="AW42">IF(
  AV42 = 0, 
  "", 
  IFERROR(
    INDEX(
      'アイテム別限界値DB'!$K:$K, 
      MATCH(
        1, 
        ('アイテム別限界値DB'!$B:$B = AS$4) * 
        ('アイテム別限界値DB'!$G:$G = AS42) , 
        0
      )
    ), 
    "再製作"
  )
)
</f>
        <v/>
      </c>
      <c r="AX42" s="397" t="str">
        <f t="array" ref="AX42">IF(
  AV42 = "", 
  "", 
  IFERROR(
    INDEX(
      'アイテム別限界値DB'!$N:$N, 
      MATCH(
        1, 
        ('アイテム別限界値DB'!$B:$B = AS$4) * 
        ('アイテム別限界値DB'!$G:$G = AS42), 
        0
      )
    )*AV42*AU42, 
    "再製作"
  )
)
</f>
        <v/>
      </c>
      <c r="AY42" s="469"/>
      <c r="AZ42" s="493"/>
      <c r="BA42" s="423"/>
      <c r="BB42" s="485"/>
      <c r="BC42" s="405" t="str">
        <f t="array" ref="BC42">IF(
  BB42 = 0, 
  "", 
  IFERROR(
    INDEX(
      'アイテム別限界値DB'!$K:$K, 
      MATCH(
        1, 
        ('アイテム別限界値DB'!$B:$B = AY$4) * 
        ('アイテム別限界値DB'!$G:$G = AY42) , 
        0
      )
    ), 
    "再製作"
  )
)
</f>
        <v/>
      </c>
      <c r="BD42" s="397" t="str">
        <f t="array" ref="BD42">IF(
  BB42 = "", 
  "", 
  IFERROR(
    INDEX(
      'アイテム別限界値DB'!$N:$N, 
      MATCH(
        1, 
        ('アイテム別限界値DB'!$B:$B = AZ$4) * 
        ('アイテム別限界値DB'!$G:$G = BB42), 
        0
      )
    )*BB42*BA42, 
    "再製作"
  )
)
</f>
        <v/>
      </c>
      <c r="BE42" s="469"/>
      <c r="BF42" s="493"/>
      <c r="BG42" s="423"/>
      <c r="BH42" s="485"/>
      <c r="BI42" s="405" t="str">
        <f t="array" ref="BI42">IF(
  BH42 = 0, 
  "", 
  IFERROR(
    INDEX(
      'アイテム別限界値DB'!$K:$K, 
      MATCH(
        1, 
        ('アイテム別限界値DB'!$B:$B = BE$4) * 
        ('アイテム別限界値DB'!$G:$G = BE42) , 
        0
      )
    ), 
    "再製作"
  )
)
</f>
        <v/>
      </c>
      <c r="BJ42" s="397"/>
      <c r="BK42" s="469"/>
      <c r="BL42" s="493"/>
      <c r="BM42" s="423"/>
      <c r="BN42" s="485"/>
      <c r="BO42" s="405"/>
      <c r="BP42" s="397" t="str">
        <f t="array" ref="BP42">IF(
  BN42 = "", 
  "", 
  IFERROR(
    INDEX(
      'アイテム別限界値DB'!$N:$N, 
      MATCH(
        1, 
        ('アイテム別限界値DB'!$B:$B = BL$4) * 
        ('アイテム別限界値DB'!$G:$G = BL42), 
        0
      )
    )*BN42, 
    "再製作"
  )
)
</f>
        <v/>
      </c>
      <c r="BQ42" s="469"/>
      <c r="BR42" s="493"/>
      <c r="BS42" s="423"/>
      <c r="BT42" s="485"/>
      <c r="BU42" s="405" t="str">
        <f t="array" ref="BU42">IF(
  BT42 = 0, 
  "", 
  IFERROR(
    INDEX(
      'アイテム別限界値DB'!$K:$K, 
      MATCH(
        1, 
        ('アイテム別限界値DB'!$B:$B = BQ$4) * 
        ('アイテム別限界値DB'!$G:$G = BQ42) , 
        0
      )
    ), 
    "再製作"
  )
)
</f>
        <v/>
      </c>
      <c r="BV42" s="397" t="str">
        <f t="array" ref="BV42">IF(
  BT42 = "", 
  "", 
  IFERROR(
    INDEX(
      'アイテム別限界値DB'!$N:$N, 
      MATCH(
        1, 
        ('アイテム別限界値DB'!$B:$B = BR$4) * 
        ('アイテム別限界値DB'!$G:$G = BR42), 
        0
      )
    )*BT42*BS42, 
    "再製作"
  )
)
</f>
        <v/>
      </c>
      <c r="BW42" s="469"/>
      <c r="BX42" s="493"/>
      <c r="BY42" s="423"/>
      <c r="BZ42" s="485"/>
      <c r="CA42" s="405" t="str">
        <f t="array" ref="CA42">IF(
  BZ42 = 0, 
  "", 
  IFERROR(
    INDEX(
      'アイテム別限界値DB'!$K:$K, 
      MATCH(
        1, 
        ('アイテム別限界値DB'!$B:$B = BW$4) * 
        ('アイテム別限界値DB'!$G:$G = BW42) , 
        0
      )
    ), 
    "再製作"
  )
)
</f>
        <v/>
      </c>
      <c r="CB42" s="397" t="str">
        <f t="array" ref="CB42">IF(
  BZ42 = "", 
  "", 
  IFERROR(
    INDEX(
      'アイテム別限界値DB'!$N:$N, 
      MATCH(
        1, 
        ('アイテム別限界値DB'!$B:$B = BX$4) * 
        ('アイテム別限界値DB'!$G:$G = BX42), 
        0
      )
    )*BZ42*BY42, 
    "再製作"
  )
)
</f>
        <v/>
      </c>
      <c r="CC42" s="402"/>
      <c r="CD42" s="397"/>
      <c r="CE42" s="397"/>
      <c r="CF42" s="397"/>
      <c r="CG42" s="397"/>
      <c r="CH42" s="469"/>
      <c r="CI42" s="469"/>
    </row>
    <row r="43">
      <c r="A43" s="229"/>
      <c r="B43" s="494"/>
      <c r="C43" s="494"/>
      <c r="D43" s="495" t="s">
        <v>236</v>
      </c>
      <c r="E43" s="484" t="s">
        <v>236</v>
      </c>
      <c r="F43" s="403"/>
      <c r="G43" s="485"/>
      <c r="H43" s="405" t="str">
        <f t="array" ref="H43">IF(
  G43 = 0, 
  "", 
  IFERROR(
    INDEX(
      'アイテム別限界値DB'!$K:$K, 
      MATCH(
        1, 
        ('アイテム別限界値DB'!$B:$B = D$4) * 
        ('アイテム別限界値DB'!$G:$G = D43) , 
        0
      )
    ), 
    "再製作"
  )
)
</f>
        <v/>
      </c>
      <c r="I43" s="397" t="str">
        <f t="array" ref="I43">IF(
  G43 = "", 
  "", 
  IFERROR(
    INDEX(
      'アイテム別限界値DB'!$N:$N, 
      MATCH(
        1, 
        ('アイテム別限界値DB'!$B:$B = D$4) * 
        ('アイテム別限界値DB'!$G:$G = D43), 
        0
      )
    )*$G43*F43, 
    "再製作"
  )
)
</f>
        <v/>
      </c>
      <c r="J43" s="479"/>
      <c r="K43" s="491" t="s">
        <v>236</v>
      </c>
      <c r="L43" s="414" t="s">
        <v>236</v>
      </c>
      <c r="M43" s="423"/>
      <c r="N43" s="496"/>
      <c r="O43" s="405" t="str">
        <f t="array" ref="O43">IF(
  N43 = 0, 
  "", 
  IFERROR(
    INDEX(
      'アイテム別限界値DB'!$K:$K, 
      MATCH(
        1, 
        ('アイテム別限界値DB'!$B:$B = K$4) * 
        ('アイテム別限界値DB'!$G:$G = K43) , 
        0
      )
    ), 
    "再製作"
  )
)
</f>
        <v/>
      </c>
      <c r="P43" s="397" t="str">
        <f t="array" ref="P43">IF(
  N43 = "", 
  "", 
  IFERROR(
    INDEX(
      'アイテム別限界値DB'!$N:$N, 
      MATCH(
        1, 
        ('アイテム別限界値DB'!$B:$B = K$4) * 
        ('アイテム別限界値DB'!$G:$G = K43), 
        0
      )
    )*$N43*M43, 
    "再製作"
  )
)
</f>
        <v/>
      </c>
      <c r="Q43" s="480"/>
      <c r="R43" s="497" t="s">
        <v>236</v>
      </c>
      <c r="S43" s="484" t="s">
        <v>236</v>
      </c>
      <c r="T43" s="423"/>
      <c r="U43" s="485"/>
      <c r="V43" s="405" t="str">
        <f t="array" ref="V43">IF(
  U43 = 0, 
  "", 
  IFERROR(
    INDEX(
      'アイテム別限界値DB'!$K:$K, 
      MATCH(
        1, 
        ('アイテム別限界値DB'!$B:$B = R$4) * 
        ('アイテム別限界値DB'!$G:$G = R43) , 
        0
      )
    ), 
    "再製作"
  )
)
</f>
        <v/>
      </c>
      <c r="W43" s="397" t="str">
        <f t="array" ref="W43">IF(
  U43 = "", 
  "", 
  IFERROR(
    INDEX(
      'アイテム別限界値DB'!$N:$N, 
      MATCH(
        1, 
        ('アイテム別限界値DB'!$B:$B = R$4) * 
        ('アイテム別限界値DB'!$G:$G = R43), 
        0
      )
    )*U43*T43, 
    "再製作"
  )
)
</f>
        <v/>
      </c>
      <c r="X43" s="469"/>
      <c r="Y43" s="492" t="s">
        <v>236</v>
      </c>
      <c r="Z43" s="484" t="s">
        <v>236</v>
      </c>
      <c r="AA43" s="423"/>
      <c r="AB43" s="485"/>
      <c r="AC43" s="405" t="str">
        <f t="array" ref="AC43">IF(
  AB43 = 0, 
  "", 
  IFERROR(
    INDEX(
      'アイテム別限界値DB'!$K:$K, 
      MATCH(
        1, 
        ('アイテム別限界値DB'!$B:$B = Y$4) * 
        ('アイテム別限界値DB'!$G:$G = Y43) , 
        0
      )
    ), 
    "再製作"
  )
)
</f>
        <v/>
      </c>
      <c r="AD43" s="397" t="str">
        <f t="array" ref="AD43">IF(
  AB43 = "", 
  "", 
  IFERROR(
    INDEX(
      'アイテム別限界値DB'!$N:$N, 
      MATCH(
        1, 
        ('アイテム別限界値DB'!$B:$B = Y$4) * 
        ('アイテム別限界値DB'!$G:$G = Y43), 
        0
      )
    )*AB43*AA43, 
    "再製作"
  )
)
</f>
        <v/>
      </c>
      <c r="AE43" s="498"/>
      <c r="AF43" s="487" t="s">
        <v>236</v>
      </c>
      <c r="AG43" s="484" t="s">
        <v>236</v>
      </c>
      <c r="AH43" s="423"/>
      <c r="AI43" s="485"/>
      <c r="AJ43" s="405" t="str">
        <f t="array" ref="AJ43">IF(
  AI43 = 0, 
  "", 
  IFERROR(
    INDEX(
      'アイテム別限界値DB'!$K:$K, 
      MATCH(
        1, 
        ('アイテム別限界値DB'!$B:$B = AF$4) * 
        ('アイテム別限界値DB'!$G:$G = AF43) , 
        0
      )
    ), 
    "再製作"
  )
)
</f>
        <v/>
      </c>
      <c r="AK43" s="397"/>
      <c r="AL43" s="469"/>
      <c r="AM43" s="487" t="s">
        <v>236</v>
      </c>
      <c r="AN43" s="488" t="s">
        <v>236</v>
      </c>
      <c r="AO43" s="423"/>
      <c r="AP43" s="485"/>
      <c r="AQ43" s="405" t="str">
        <f t="array" ref="AQ43">IF(
  AP43 = 0, 
  "", 
  IFERROR(
    INDEX(
      'アイテム別限界値DB'!$K:$K, 
      MATCH(
        1, 
        ('アイテム別限界値DB'!$B:$B = AM$4) * 
        ('アイテム別限界値DB'!$G:$G = AM43) , 
        0
      )
    ), 
    "再製作"
  )
)
</f>
        <v/>
      </c>
      <c r="AR43" s="397" t="str">
        <f t="array" ref="AR43">IF(
  AP43 = "", 
  "", 
  IFERROR(
    INDEX(
      'アイテム別限界値DB'!$N:$N, 
      MATCH(
        1, 
        ('アイテム別限界値DB'!$B:$B = AM$4) * 
        ('アイテム別限界値DB'!$G:$G = AM43), 
        0
      )
    )*AP43*AO43, 
    "再製作"
  )
)
</f>
        <v/>
      </c>
      <c r="AS43" s="469"/>
      <c r="AT43" s="488"/>
      <c r="AU43" s="423"/>
      <c r="AV43" s="485"/>
      <c r="AW43" s="405" t="str">
        <f t="array" ref="AW43">IF(
  AV43 = 0, 
  "", 
  IFERROR(
    INDEX(
      'アイテム別限界値DB'!$K:$K, 
      MATCH(
        1, 
        ('アイテム別限界値DB'!$B:$B = AS$4) * 
        ('アイテム別限界値DB'!$G:$G = AS43) , 
        0
      )
    ), 
    "再製作"
  )
)
</f>
        <v/>
      </c>
      <c r="AX43" s="397" t="str">
        <f t="array" ref="AX43">IF(
  AV43 = "", 
  "", 
  IFERROR(
    INDEX(
      'アイテム別限界値DB'!$N:$N, 
      MATCH(
        1, 
        ('アイテム別限界値DB'!$B:$B = AS$4) * 
        ('アイテム別限界値DB'!$G:$G = AS43), 
        0
      )
    )*AV43*AU43, 
    "再製作"
  )
)
</f>
        <v/>
      </c>
      <c r="AY43" s="469"/>
      <c r="AZ43" s="488"/>
      <c r="BA43" s="423"/>
      <c r="BB43" s="485"/>
      <c r="BC43" s="405" t="str">
        <f t="array" ref="BC43">IF(
  BB43 = 0, 
  "", 
  IFERROR(
    INDEX(
      'アイテム別限界値DB'!$K:$K, 
      MATCH(
        1, 
        ('アイテム別限界値DB'!$B:$B = AY$4) * 
        ('アイテム別限界値DB'!$G:$G = AY43) , 
        0
      )
    ), 
    "再製作"
  )
)
</f>
        <v/>
      </c>
      <c r="BD43" s="397" t="str">
        <f t="array" ref="BD43">IF(
  BB43 = "", 
  "", 
  IFERROR(
    INDEX(
      'アイテム別限界値DB'!$N:$N, 
      MATCH(
        1, 
        ('アイテム別限界値DB'!$B:$B = AZ$4) * 
        ('アイテム別限界値DB'!$G:$G = BB43), 
        0
      )
    )*BB43*BA43, 
    "再製作"
  )
)
</f>
        <v/>
      </c>
      <c r="BE43" s="469"/>
      <c r="BF43" s="488"/>
      <c r="BG43" s="423"/>
      <c r="BH43" s="485"/>
      <c r="BI43" s="405" t="str">
        <f t="array" ref="BI43">IF(
  BH43 = 0, 
  "", 
  IFERROR(
    INDEX(
      'アイテム別限界値DB'!$K:$K, 
      MATCH(
        1, 
        ('アイテム別限界値DB'!$B:$B = BE$4) * 
        ('アイテム別限界値DB'!$G:$G = BE43) , 
        0
      )
    ), 
    "再製作"
  )
)
</f>
        <v/>
      </c>
      <c r="BJ43" s="397"/>
      <c r="BK43" s="469"/>
      <c r="BL43" s="488"/>
      <c r="BM43" s="423"/>
      <c r="BN43" s="485"/>
      <c r="BO43" s="405"/>
      <c r="BP43" s="397" t="str">
        <f t="array" ref="BP43">IF(
  BN43 = "", 
  "", 
  IFERROR(
    INDEX(
      'アイテム別限界値DB'!$N:$N, 
      MATCH(
        1, 
        ('アイテム別限界値DB'!$B:$B = BL$4) * 
        ('アイテム別限界値DB'!$G:$G = BL43), 
        0
      )
    )*BN43, 
    "再製作"
  )
)
</f>
        <v/>
      </c>
      <c r="BQ43" s="469"/>
      <c r="BR43" s="488"/>
      <c r="BS43" s="423"/>
      <c r="BT43" s="485"/>
      <c r="BU43" s="405" t="str">
        <f t="array" ref="BU43">IF(
  BT43 = 0, 
  "", 
  IFERROR(
    INDEX(
      'アイテム別限界値DB'!$K:$K, 
      MATCH(
        1, 
        ('アイテム別限界値DB'!$B:$B = BQ$4) * 
        ('アイテム別限界値DB'!$G:$G = BQ43) , 
        0
      )
    ), 
    "再製作"
  )
)
</f>
        <v/>
      </c>
      <c r="BV43" s="397" t="str">
        <f t="array" ref="BV43">IF(
  BT43 = "", 
  "", 
  IFERROR(
    INDEX(
      'アイテム別限界値DB'!$N:$N, 
      MATCH(
        1, 
        ('アイテム別限界値DB'!$B:$B = BR$4) * 
        ('アイテム別限界値DB'!$G:$G = BR43), 
        0
      )
    )*BT43*BS43, 
    "再製作"
  )
)
</f>
        <v/>
      </c>
      <c r="BW43" s="469"/>
      <c r="BX43" s="488"/>
      <c r="BY43" s="423"/>
      <c r="BZ43" s="485"/>
      <c r="CA43" s="405" t="str">
        <f t="array" ref="CA43">IF(
  BZ43 = 0, 
  "", 
  IFERROR(
    INDEX(
      'アイテム別限界値DB'!$K:$K, 
      MATCH(
        1, 
        ('アイテム別限界値DB'!$B:$B = BW$4) * 
        ('アイテム別限界値DB'!$G:$G = BW43) , 
        0
      )
    ), 
    "再製作"
  )
)
</f>
        <v/>
      </c>
      <c r="CB43" s="397" t="str">
        <f t="array" ref="CB43">IF(
  BZ43 = "", 
  "", 
  IFERROR(
    INDEX(
      'アイテム別限界値DB'!$N:$N, 
      MATCH(
        1, 
        ('アイテム別限界値DB'!$B:$B = BX$4) * 
        ('アイテム別限界値DB'!$G:$G = BX43), 
        0
      )
    )*BZ43*BY43, 
    "再製作"
  )
)
</f>
        <v/>
      </c>
      <c r="CC43" s="402"/>
      <c r="CD43" s="397"/>
      <c r="CE43" s="397"/>
      <c r="CF43" s="397"/>
      <c r="CG43" s="397"/>
      <c r="CH43" s="469"/>
      <c r="CI43" s="469"/>
    </row>
    <row r="44">
      <c r="A44" s="457"/>
      <c r="B44" s="499"/>
      <c r="C44" s="499"/>
      <c r="D44" s="500" t="s">
        <v>237</v>
      </c>
      <c r="E44" s="489" t="s">
        <v>238</v>
      </c>
      <c r="F44" s="403"/>
      <c r="G44" s="490"/>
      <c r="H44" s="405" t="str">
        <f t="array" ref="H44">IF(
  G44 = 0, 
  "", 
  IFERROR(
    INDEX(
      'アイテム別限界値DB'!$K:$K, 
      MATCH(
        1, 
        ('アイテム別限界値DB'!$B:$B = D$4) * 
        ('アイテム別限界値DB'!$G:$G = D44) , 
        0
      )
    ), 
    "再製作"
  )
)
</f>
        <v/>
      </c>
      <c r="I44" s="397" t="str">
        <f t="array" ref="I44">IF(
  G44 = "", 
  "", 
  IFERROR(
    INDEX(
      'アイテム別限界値DB'!$N:$N, 
      MATCH(
        1, 
        ('アイテム別限界値DB'!$B:$B = D$4) * 
        ('アイテム別限界値DB'!$G:$G = D44), 
        0
      )
    )*$G44*F44, 
    "再製作"
  )
)
</f>
        <v/>
      </c>
      <c r="J44" s="479"/>
      <c r="K44" s="246" t="s">
        <v>239</v>
      </c>
      <c r="L44" s="414" t="s">
        <v>239</v>
      </c>
      <c r="M44" s="423"/>
      <c r="N44" s="490"/>
      <c r="O44" s="405" t="str">
        <f t="array" ref="O44">IF(
  N44 = 0, 
  "", 
  IFERROR(
    INDEX(
      'アイテム別限界値DB'!$K:$K, 
      MATCH(
        1, 
        ('アイテム別限界値DB'!$B:$B = K$4) * 
        ('アイテム別限界値DB'!$G:$G = K44) , 
        0
      )
    ), 
    "再製作"
  )
)
</f>
        <v/>
      </c>
      <c r="P44" s="397" t="str">
        <f t="array" ref="P44">IF(
  N44 = "", 
  "", 
  IFERROR(
    INDEX(
      'アイテム別限界値DB'!$N:$N, 
      MATCH(
        1, 
        ('アイテム別限界値DB'!$B:$B = K$4) * 
        ('アイテム別限界値DB'!$G:$G = K44), 
        0
      )
    )*$N44*M44, 
    "再製作"
  )
)
</f>
        <v/>
      </c>
      <c r="Q44" s="480"/>
      <c r="R44" s="501" t="s">
        <v>238</v>
      </c>
      <c r="S44" s="484" t="s">
        <v>238</v>
      </c>
      <c r="T44" s="423"/>
      <c r="U44" s="490"/>
      <c r="V44" s="405" t="str">
        <f t="array" ref="V44">IF(
  U44 = 0, 
  "", 
  IFERROR(
    INDEX(
      'アイテム別限界値DB'!$K:$K, 
      MATCH(
        1, 
        ('アイテム別限界値DB'!$B:$B = R$4) * 
        ('アイテム別限界値DB'!$G:$G = R44) , 
        0
      )
    ), 
    "再製作"
  )
)
</f>
        <v/>
      </c>
      <c r="W44" s="397" t="str">
        <f t="array" ref="W44">IF(
  U44 = "", 
  "", 
  IFERROR(
    INDEX(
      'アイテム別限界値DB'!$N:$N, 
      MATCH(
        1, 
        ('アイテム別限界値DB'!$B:$B = R$4) * 
        ('アイテム別限界値DB'!$G:$G = R44), 
        0
      )
    )*U44*T44, 
    "再製作"
  )
)
</f>
        <v/>
      </c>
      <c r="X44" s="469"/>
      <c r="Y44" s="481" t="s">
        <v>240</v>
      </c>
      <c r="Z44" s="484" t="s">
        <v>240</v>
      </c>
      <c r="AA44" s="423"/>
      <c r="AB44" s="490"/>
      <c r="AC44" s="405" t="str">
        <f t="array" ref="AC44">IF(
  AB44 = 0, 
  "", 
  IFERROR(
    INDEX(
      'アイテム別限界値DB'!$K:$K, 
      MATCH(
        1, 
        ('アイテム別限界値DB'!$B:$B = Y$4) * 
        ('アイテム別限界値DB'!$G:$G = Y44) , 
        0
      )
    ), 
    "再製作"
  )
)
</f>
        <v/>
      </c>
      <c r="AD44" s="397" t="str">
        <f t="array" ref="AD44">IF(
  AB44 = "", 
  "", 
  IFERROR(
    INDEX(
      'アイテム別限界値DB'!$N:$N, 
      MATCH(
        1, 
        ('アイテム別限界値DB'!$B:$B = Y$4) * 
        ('アイテム別限界値DB'!$G:$G = Y44), 
        0
      )
    )*AB44*AA44, 
    "再製作"
  )
)
</f>
        <v/>
      </c>
      <c r="AE44" s="498"/>
      <c r="AF44" s="487"/>
      <c r="AG44" s="437"/>
      <c r="AH44" s="440"/>
      <c r="AI44" s="440"/>
      <c r="AJ44" s="396" t="str">
        <f t="array" ref="AJ44">IF(
  AI44 = 0, 
  "", 
  IFERROR(
    INDEX(
      'アイテム別限界値DB'!$I:$I, 
      MATCH(
        1, 
        ('アイテム別限界値DB'!$B:$B = AF$4) * 
        ('アイテム別限界値DB'!$C:$C = AF44) * 
        ('アイテム別限界値DB'!$F:$F = AI44), 
        0
      )
    ), 
    "再製作"
  )
)
</f>
        <v/>
      </c>
      <c r="AK44" s="396"/>
      <c r="AL44" s="469"/>
      <c r="AM44" s="487"/>
      <c r="AN44" s="488"/>
      <c r="AO44" s="440"/>
      <c r="AP44" s="440"/>
      <c r="AQ44" s="396" t="str">
        <f t="array" ref="AQ44">IFS(
  AP44 = "", "", 
  AP44 = "バスト連動値", "", 
  AP44&lt;&gt;0,
  IFERROR(
    INDEX(
      'アイテム別限界値DB'!$I:$I, 
      MATCH(
        1, 
        ('アイテム別限界値DB'!$B:$B = AM$4) * 
        ('アイテム別限界値DB'!$C:$C = AM44) * 
        ('アイテム別限界値DB'!$F:$F = AP44), 
        0
      )
    ), 
    "再製作"
  )
)
</f>
        <v/>
      </c>
      <c r="AR44" s="396"/>
      <c r="AS44" s="469"/>
      <c r="AT44" s="488"/>
      <c r="AU44" s="440"/>
      <c r="AV44" s="440"/>
      <c r="AW44" s="396" t="str">
        <f t="array" ref="AW44">IFS(
  AV44 = "", "", 
  AV44 = "バスト連動値", "", 
  AV44&lt;&gt;0,
  IFERROR(
    INDEX(
      'アイテム別限界値DB'!$I:$I, 
      MATCH(
        1, 
        ('アイテム別限界値DB'!$B:$B = AT$4) * 
        ('アイテム別限界値DB'!$C:$C = AT44) * 
        ('アイテム別限界値DB'!$F:$F = AV44), 
        0
      )
    ), 
    "再製作"
  )
)
</f>
        <v/>
      </c>
      <c r="AX44" s="396"/>
      <c r="AY44" s="469"/>
      <c r="AZ44" s="488"/>
      <c r="BA44" s="440"/>
      <c r="BB44" s="440"/>
      <c r="BC44" s="396" t="str">
        <f t="array" ref="BC44">IFS(
  BB44 = "", "", 
  BB44 = "バスト連動値", "", 
  BB44&lt;&gt;0,
  IFERROR(
    INDEX(
      'アイテム別限界値DB'!$I:$I, 
      MATCH(
        1, 
        ('アイテム別限界値DB'!$B:$B = AZ$4) * 
        ('アイテム別限界値DB'!$C:$C = AZ44) * 
        ('アイテム別限界値DB'!$F:$F = BB44), 
        0
      )
    ), 
    "再製作"
  )
)
</f>
        <v/>
      </c>
      <c r="BD44" s="396"/>
      <c r="BE44" s="469"/>
      <c r="BF44" s="488"/>
      <c r="BG44" s="440"/>
      <c r="BH44" s="440"/>
      <c r="BI44" s="396" t="str">
        <f t="array" ref="BI44">IFS(
  BH44 = "", "", 
  BH44 = "バスト連動値", "", 
  BH44&lt;&gt;0,
  IFERROR(
    INDEX(
      'アイテム別限界値DB'!$I:$I, 
      MATCH(
        1, 
        ('アイテム別限界値DB'!$B:$B = BF$4) * 
        ('アイテム別限界値DB'!$C:$C = BF44) * 
        ('アイテム別限界値DB'!$F:$F = BH44), 
        0
      )
    ), 
    "再製作"
  )
)
</f>
        <v/>
      </c>
      <c r="BJ44" s="396"/>
      <c r="BK44" s="469"/>
      <c r="BL44" s="488"/>
      <c r="BM44" s="440"/>
      <c r="BN44" s="440"/>
      <c r="BO44" s="396"/>
      <c r="BP44" s="396"/>
      <c r="BQ44" s="469"/>
      <c r="BR44" s="488"/>
      <c r="BS44" s="440"/>
      <c r="BT44" s="440"/>
      <c r="BU44" s="396" t="str">
        <f t="array" ref="BU44">IFS(
  BT44 = "", "", 
  BT44 = "バスト連動値", "", 
  BT44&lt;&gt;0,
  IFERROR(
    INDEX(
      'アイテム別限界値DB'!$I:$I, 
      MATCH(
        1, 
        ('アイテム別限界値DB'!$B:$B = BR$4) * 
        ('アイテム別限界値DB'!$C:$C = BR44) * 
        ('アイテム別限界値DB'!$F:$F = BT44), 
        0
      )
    ), 
    "再製作"
  )
)
</f>
        <v/>
      </c>
      <c r="BV44" s="396"/>
      <c r="BW44" s="469"/>
      <c r="BX44" s="488"/>
      <c r="BY44" s="440"/>
      <c r="BZ44" s="440"/>
      <c r="CA44" s="396" t="str">
        <f t="array" ref="CA44">IFS(
  BZ44 = "", "", 
  BZ44 = "バスト連動値", "", 
  BZ44&lt;&gt;0,
  IFERROR(
    INDEX(
      'アイテム別限界値DB'!$I:$I, 
      MATCH(
        1, 
        ('アイテム別限界値DB'!$B:$B = BX$4) * 
        ('アイテム別限界値DB'!$C:$C = BX44) * 
        ('アイテム別限界値DB'!$F:$F = BZ44), 
        0
      )
    ), 
    "再製作"
  )
)
</f>
        <v/>
      </c>
      <c r="CB44" s="396"/>
      <c r="CC44" s="396"/>
      <c r="CD44" s="396"/>
      <c r="CE44" s="396"/>
      <c r="CF44" s="396"/>
      <c r="CG44" s="396"/>
      <c r="CH44" s="469"/>
      <c r="CI44" s="469"/>
    </row>
    <row r="45">
      <c r="A45" s="160"/>
      <c r="B45" s="502"/>
      <c r="C45" s="502"/>
      <c r="D45" s="503" t="s">
        <v>241</v>
      </c>
      <c r="E45" s="484" t="s">
        <v>242</v>
      </c>
      <c r="F45" s="403"/>
      <c r="G45" s="485"/>
      <c r="H45" s="405" t="str">
        <f t="array" ref="H45">IF(
  G45 = 0, 
  "", 
  IFERROR(
    INDEX(
      'アイテム別限界値DB'!$K:$K, 
      MATCH(
        1, 
        ('アイテム別限界値DB'!$B:$B = D$4) * 
        ('アイテム別限界値DB'!$G:$G = D45) , 
        0
      )
    ), 
    "再製作"
  )
)
</f>
        <v/>
      </c>
      <c r="I45" s="397" t="str">
        <f t="array" ref="I45">IF(
  G45 = "", 
  "", 
  IFERROR(
    INDEX(
      'アイテム別限界値DB'!$N:$N, 
      MATCH(
        1, 
        ('アイテム別限界値DB'!$B:$B = D$4) * 
        ('アイテム別限界値DB'!$G:$G = D45), 
        0
      )
    )*$G45*F45, 
    "再製作"
  )
)
</f>
        <v/>
      </c>
      <c r="J45" s="479"/>
      <c r="K45" s="246" t="s">
        <v>243</v>
      </c>
      <c r="L45" s="414" t="s">
        <v>244</v>
      </c>
      <c r="M45" s="423"/>
      <c r="N45" s="485"/>
      <c r="O45" s="405" t="str">
        <f t="array" ref="O45">IF(
  N45 = 0, 
  "", 
  IFERROR(
    INDEX(
      'アイテム別限界値DB'!$K:$K, 
      MATCH(
        1, 
        ('アイテム別限界値DB'!$B:$B = K$4) * 
        ('アイテム別限界値DB'!$G:$G = K45) , 
        0
      )
    ), 
    "再製作"
  )
)
</f>
        <v/>
      </c>
      <c r="P45" s="397" t="str">
        <f t="array" ref="P45">IF(
  N45 = "", 
  "", 
  IFERROR(
    INDEX(
      'アイテム別限界値DB'!$N:$N, 
      MATCH(
        1, 
        ('アイテム別限界値DB'!$B:$B = K$4) * 
        ('アイテム別限界値DB'!$G:$G = K45), 
        0
      )
    )*$N45*M45, 
    "再製作"
  )
)
</f>
        <v/>
      </c>
      <c r="Q45" s="480"/>
      <c r="R45" s="501" t="s">
        <v>245</v>
      </c>
      <c r="S45" s="484" t="s">
        <v>245</v>
      </c>
      <c r="T45" s="423"/>
      <c r="U45" s="485"/>
      <c r="V45" s="405" t="str">
        <f t="array" ref="V45">IF(
  U45 = 0, 
  "", 
  IFERROR(
    INDEX(
      'アイテム別限界値DB'!$K:$K, 
      MATCH(
        1, 
        ('アイテム別限界値DB'!$B:$B = R$4) * 
        ('アイテム別限界値DB'!$G:$G = R45) , 
        0
      )
    ), 
    "再製作"
  )
)
</f>
        <v/>
      </c>
      <c r="W45" s="397" t="str">
        <f t="array" ref="W45">IF(
  U45 = "", 
  "", 
  IFERROR(
    INDEX(
      'アイテム別限界値DB'!$N:$N, 
      MATCH(
        1, 
        ('アイテム別限界値DB'!$B:$B = R$4) * 
        ('アイテム別限界値DB'!$G:$G = R45), 
        0
      )
    )*U45*T45, 
    "再製作"
  )
)
</f>
        <v/>
      </c>
      <c r="X45" s="469"/>
      <c r="Y45" s="468" t="s">
        <v>246</v>
      </c>
      <c r="Z45" s="484" t="s">
        <v>247</v>
      </c>
      <c r="AA45" s="423"/>
      <c r="AB45" s="485"/>
      <c r="AC45" s="405" t="str">
        <f t="array" ref="AC45">IF(
  AB45 = 0, 
  "", 
  IFERROR(
    INDEX(
      'アイテム別限界値DB'!$K:$K, 
      MATCH(
        1, 
        ('アイテム別限界値DB'!$B:$B = Y$4) * 
        ('アイテム別限界値DB'!$G:$G = Y45) , 
        0
      )
    ), 
    "再製作"
  )
)
</f>
        <v/>
      </c>
      <c r="AD45" s="397" t="str">
        <f t="array" ref="AD45">IF(
  AB45 = "", 
  "", 
  IFERROR(
    INDEX(
      'アイテム別限界値DB'!$N:$N, 
      MATCH(
        1, 
        ('アイテム別限界値DB'!$B:$B = Y$4) * 
        ('アイテム別限界値DB'!$G:$G = Y45), 
        0
      )
    )*AB45*AA45, 
    "再製作"
  )
)
</f>
        <v/>
      </c>
      <c r="AE45" s="498"/>
      <c r="AF45" s="487"/>
      <c r="AG45" s="437"/>
      <c r="AH45" s="440"/>
      <c r="AI45" s="440"/>
      <c r="AJ45" s="396" t="str">
        <f t="array" ref="AJ45">IFS(
  AI45 = "", "", 
  AI45 = "バスト連動値", "", 
  AI45&lt;&gt;0,
  IFERROR(
    INDEX(
      'アイテム別限界値DB'!$I:$I, 
      MATCH(
        1, 
        ('アイテム別限界値DB'!$B:$B = AF$4) * 
        ('アイテム別限界値DB'!$C:$C = AF45) * 
        ('アイテム別限界値DB'!$F:$F = AI45), 
        0
      )
    ), 
    "再製作"
  )
)
</f>
        <v/>
      </c>
      <c r="AK45" s="396"/>
      <c r="AL45" s="469"/>
      <c r="AM45" s="487"/>
      <c r="AN45" s="488"/>
      <c r="AO45" s="504"/>
      <c r="AP45" s="504"/>
      <c r="AQ45" s="396" t="str">
        <f t="array" ref="AQ45">IF(
  AP45 = 0, 
  "", 
  IFERROR(
    INDEX(
      'アイテム別限界値DB'!$I:$I, 
      MATCH(
        1, 
        ('アイテム別限界値DB'!$B:$B = AM$4) * 
        ('アイテム別限界値DB'!$C:$C = AM45) * 
        ('アイテム別限界値DB'!$F:$F = AP45), 
        0
      )
    ), 
    "再製作"
  )
)
</f>
        <v/>
      </c>
      <c r="AR45" s="396"/>
      <c r="AS45" s="469"/>
      <c r="AT45" s="488"/>
      <c r="AU45" s="504"/>
      <c r="AV45" s="504"/>
      <c r="AW45" s="396" t="str">
        <f t="array" ref="AW45">IF(
  AV45 = 0, 
  "", 
  IFERROR(
    INDEX(
      'アイテム別限界値DB'!$I:$I, 
      MATCH(
        1, 
        ('アイテム別限界値DB'!$B:$B = AT$4) * 
        ('アイテム別限界値DB'!$C:$C = AT45) * 
        ('アイテム別限界値DB'!$F:$F = AV45), 
        0
      )
    ), 
    "再製作"
  )
)
</f>
        <v/>
      </c>
      <c r="AX45" s="396"/>
      <c r="AY45" s="469"/>
      <c r="AZ45" s="488"/>
      <c r="BA45" s="504"/>
      <c r="BB45" s="504"/>
      <c r="BC45" s="396" t="str">
        <f t="array" ref="BC45">IF(
  BB45 = 0, 
  "", 
  IFERROR(
    INDEX(
      'アイテム別限界値DB'!$I:$I, 
      MATCH(
        1, 
        ('アイテム別限界値DB'!$B:$B = AZ$4) * 
        ('アイテム別限界値DB'!$C:$C = AZ45) * 
        ('アイテム別限界値DB'!$F:$F = BB45), 
        0
      )
    ), 
    "再製作"
  )
)
</f>
        <v/>
      </c>
      <c r="BD45" s="396"/>
      <c r="BE45" s="469"/>
      <c r="BF45" s="488"/>
      <c r="BG45" s="504"/>
      <c r="BH45" s="504"/>
      <c r="BI45" s="396" t="str">
        <f t="array" ref="BI45">IF(
  BH45 = 0, 
  "", 
  IFERROR(
    INDEX(
      'アイテム別限界値DB'!$I:$I, 
      MATCH(
        1, 
        ('アイテム別限界値DB'!$B:$B = BF$4) * 
        ('アイテム別限界値DB'!$C:$C = BF45) * 
        ('アイテム別限界値DB'!$F:$F = BH45), 
        0
      )
    ), 
    "再製作"
  )
)
</f>
        <v/>
      </c>
      <c r="BJ45" s="396"/>
      <c r="BK45" s="469"/>
      <c r="BL45" s="488"/>
      <c r="BM45" s="504"/>
      <c r="BN45" s="504"/>
      <c r="BO45" s="396"/>
      <c r="BP45" s="396"/>
      <c r="BQ45" s="469"/>
      <c r="BR45" s="488"/>
      <c r="BS45" s="504"/>
      <c r="BT45" s="504"/>
      <c r="BU45" s="396" t="str">
        <f t="array" ref="BU45">IF(
  BT45 = 0, 
  "", 
  IFERROR(
    INDEX(
      'アイテム別限界値DB'!$I:$I, 
      MATCH(
        1, 
        ('アイテム別限界値DB'!$B:$B = BR$4) * 
        ('アイテム別限界値DB'!$C:$C = BR45) * 
        ('アイテム別限界値DB'!$F:$F = BT45), 
        0
      )
    ), 
    "再製作"
  )
)
</f>
        <v/>
      </c>
      <c r="BV45" s="396"/>
      <c r="BW45" s="469"/>
      <c r="BX45" s="488"/>
      <c r="BY45" s="504"/>
      <c r="BZ45" s="504"/>
      <c r="CA45" s="396" t="str">
        <f t="array" ref="CA45">IF(
  BZ45 = 0, 
  "", 
  IFERROR(
    INDEX(
      'アイテム別限界値DB'!$I:$I, 
      MATCH(
        1, 
        ('アイテム別限界値DB'!$B:$B = BX$4) * 
        ('アイテム別限界値DB'!$C:$C = BX45) * 
        ('アイテム別限界値DB'!$F:$F = BZ45), 
        0
      )
    ), 
    "再製作"
  )
)
</f>
        <v/>
      </c>
      <c r="CB45" s="396"/>
      <c r="CC45" s="396"/>
      <c r="CD45" s="396"/>
      <c r="CE45" s="396"/>
      <c r="CF45" s="396"/>
      <c r="CG45" s="396"/>
      <c r="CH45" s="469"/>
      <c r="CI45" s="469"/>
    </row>
    <row r="46">
      <c r="A46" s="229"/>
      <c r="B46" s="499"/>
      <c r="C46" s="499"/>
      <c r="D46" s="500" t="s">
        <v>248</v>
      </c>
      <c r="E46" s="489" t="s">
        <v>249</v>
      </c>
      <c r="F46" s="403"/>
      <c r="G46" s="490"/>
      <c r="H46" s="405" t="str">
        <f t="array" ref="H46">IF(
  G46 = 0, 
  "", 
  IFERROR(
    INDEX(
      'アイテム別限界値DB'!$K:$K, 
      MATCH(
        1, 
        ('アイテム別限界値DB'!$B:$B = D$4) * 
        ('アイテム別限界値DB'!$G:$G = D46) , 
        0
      )
    ), 
    "再製作"
  )
)
</f>
        <v/>
      </c>
      <c r="I46" s="397" t="str">
        <f t="array" ref="I46">IF(
  G46 = "", 
  "", 
  IFERROR(
    INDEX(
      'アイテム別限界値DB'!$N:$N, 
      MATCH(
        1, 
        ('アイテム別限界値DB'!$B:$B = D$4) * 
        ('アイテム別限界値DB'!$G:$G = D46), 
        0
      )
    )*$G46*F46, 
    "再製作"
  )
)
</f>
        <v/>
      </c>
      <c r="J46" s="479"/>
      <c r="K46" s="491" t="s">
        <v>238</v>
      </c>
      <c r="L46" s="414" t="s">
        <v>238</v>
      </c>
      <c r="M46" s="423"/>
      <c r="N46" s="490"/>
      <c r="O46" s="405" t="str">
        <f t="array" ref="O46">IF(
  N46 = 0, 
  "", 
  IFERROR(
    INDEX(
      'アイテム別限界値DB'!$K:$K, 
      MATCH(
        1, 
        ('アイテム別限界値DB'!$B:$B = K$4) * 
        ('アイテム別限界値DB'!$G:$G = K46) , 
        0
      )
    ), 
    "再製作"
  )
)
</f>
        <v/>
      </c>
      <c r="P46" s="397" t="str">
        <f t="array" ref="P46">IF(
  N46 = "", 
  "", 
  IFERROR(
    INDEX(
      'アイテム別限界値DB'!$N:$N, 
      MATCH(
        1, 
        ('アイテム別限界値DB'!$B:$B = K$4) * 
        ('アイテム別限界値DB'!$G:$G = K46), 
        0
      )
    )*$N46*M46, 
    "再製作"
  )
)
</f>
        <v/>
      </c>
      <c r="Q46" s="486"/>
      <c r="R46" s="493" t="s">
        <v>250</v>
      </c>
      <c r="S46" s="484" t="s">
        <v>251</v>
      </c>
      <c r="T46" s="423"/>
      <c r="U46" s="485"/>
      <c r="V46" s="405" t="str">
        <f t="array" ref="V46">IF(
  U46 = 0, 
  "", 
  IFERROR(
    INDEX(
      'アイテム別限界値DB'!$K:$K, 
      MATCH(
        1, 
        ('アイテム別限界値DB'!$B:$B = R$4) * 
        ('アイテム別限界値DB'!$G:$G = R46) , 
        0
      )
    ), 
    "再製作"
  )
)
</f>
        <v/>
      </c>
      <c r="W46" s="397" t="str">
        <f t="array" ref="W46">IF(
  U46 = "", 
  "", 
  IFERROR(
    INDEX(
      'アイテム別限界値DB'!$N:$N, 
      MATCH(
        1, 
        ('アイテム別限界値DB'!$B:$B = R$4) * 
        ('アイテム別限界値DB'!$G:$G = R46), 
        0
      )
    )*U46*T46, 
    "再製作"
  )
)
</f>
        <v/>
      </c>
      <c r="X46" s="469"/>
      <c r="Y46" s="481" t="s">
        <v>243</v>
      </c>
      <c r="Z46" s="484" t="s">
        <v>244</v>
      </c>
      <c r="AA46" s="423"/>
      <c r="AB46" s="490"/>
      <c r="AC46" s="405" t="str">
        <f t="array" ref="AC46">IF(
  AB46 = 0, 
  "", 
  IFERROR(
    INDEX(
      'アイテム別限界値DB'!$K:$K, 
      MATCH(
        1, 
        ('アイテム別限界値DB'!$B:$B = Y$4) * 
        ('アイテム別限界値DB'!$G:$G = Y46) , 
        0
      )
    ), 
    "再製作"
  )
)
</f>
        <v/>
      </c>
      <c r="AD46" s="397" t="str">
        <f t="array" ref="AD46">IF(
  AB46 = "", 
  "", 
  IFERROR(
    INDEX(
      'アイテム別限界値DB'!$N:$N, 
      MATCH(
        1, 
        ('アイテム別限界値DB'!$B:$B = Y$4) * 
        ('アイテム別限界値DB'!$G:$G = Y46), 
        0
      )
    )*AB46*AA46, 
    "再製作"
  )
)
</f>
        <v/>
      </c>
      <c r="AE46" s="498"/>
      <c r="AF46" s="93"/>
      <c r="AG46" s="437"/>
      <c r="AH46" s="440"/>
      <c r="AI46" s="440"/>
      <c r="AJ46" s="396" t="str">
        <f t="array" ref="AJ46">IF(
  AI46 = 0, 
  "", 
  IFERROR(
    INDEX(
      'アイテム別限界値DB'!$I:$I, 
      MATCH(
        1, 
        ('アイテム別限界値DB'!$B:$B = AF$4) * 
        ('アイテム別限界値DB'!$C:$C = AF46) * 
        ('アイテム別限界値DB'!$F:$F = AI46), 
        0
      )
    ), 
    "再製作"
  )
)
</f>
        <v/>
      </c>
      <c r="AK46" s="396"/>
      <c r="AL46" s="469"/>
      <c r="AM46" s="487"/>
      <c r="AN46" s="488"/>
      <c r="AO46" s="504"/>
      <c r="AP46" s="504"/>
      <c r="AQ46" s="396" t="str">
        <f t="array" ref="AQ46">IF(
  AP46 = 0, 
  "", 
  IFERROR(
    INDEX(
      'アイテム別限界値DB'!$I:$I, 
      MATCH(
        1, 
        ('アイテム別限界値DB'!$B:$B = AM$4) * 
        ('アイテム別限界値DB'!$C:$C = AM46) * 
        ('アイテム別限界値DB'!$F:$F = AP46), 
        0
      )
    ), 
    "再製作"
  )
)
</f>
        <v/>
      </c>
      <c r="AR46" s="396"/>
      <c r="AS46" s="469"/>
      <c r="AT46" s="488"/>
      <c r="AU46" s="504"/>
      <c r="AV46" s="504"/>
      <c r="AW46" s="396" t="str">
        <f t="array" ref="AW46">IF(
  AV46 = 0, 
  "", 
  IFERROR(
    INDEX(
      'アイテム別限界値DB'!$I:$I, 
      MATCH(
        1, 
        ('アイテム別限界値DB'!$B:$B = AT$4) * 
        ('アイテム別限界値DB'!$C:$C = AT46) * 
        ('アイテム別限界値DB'!$F:$F = AV46), 
        0
      )
    ), 
    "再製作"
  )
)
</f>
        <v/>
      </c>
      <c r="AX46" s="396"/>
      <c r="AY46" s="469"/>
      <c r="AZ46" s="488"/>
      <c r="BA46" s="504"/>
      <c r="BB46" s="504"/>
      <c r="BC46" s="396" t="str">
        <f t="array" ref="BC46">IF(
  BB46 = 0, 
  "", 
  IFERROR(
    INDEX(
      'アイテム別限界値DB'!$I:$I, 
      MATCH(
        1, 
        ('アイテム別限界値DB'!$B:$B = AZ$4) * 
        ('アイテム別限界値DB'!$C:$C = AZ46) * 
        ('アイテム別限界値DB'!$F:$F = BB46), 
        0
      )
    ), 
    "再製作"
  )
)
</f>
        <v/>
      </c>
      <c r="BD46" s="396"/>
      <c r="BE46" s="469"/>
      <c r="BF46" s="488"/>
      <c r="BG46" s="504"/>
      <c r="BH46" s="504"/>
      <c r="BI46" s="396" t="str">
        <f t="array" ref="BI46">IF(
  BH46 = 0, 
  "", 
  IFERROR(
    INDEX(
      'アイテム別限界値DB'!$I:$I, 
      MATCH(
        1, 
        ('アイテム別限界値DB'!$B:$B = BF$4) * 
        ('アイテム別限界値DB'!$C:$C = BF46) * 
        ('アイテム別限界値DB'!$F:$F = BH46), 
        0
      )
    ), 
    "再製作"
  )
)
</f>
        <v/>
      </c>
      <c r="BJ46" s="396"/>
      <c r="BK46" s="469"/>
      <c r="BL46" s="488"/>
      <c r="BM46" s="504"/>
      <c r="BN46" s="504"/>
      <c r="BO46" s="396"/>
      <c r="BP46" s="396"/>
      <c r="BQ46" s="469"/>
      <c r="BR46" s="488"/>
      <c r="BS46" s="504"/>
      <c r="BT46" s="504"/>
      <c r="BU46" s="396" t="str">
        <f t="array" ref="BU46">IF(
  BT46 = 0, 
  "", 
  IFERROR(
    INDEX(
      'アイテム別限界値DB'!$I:$I, 
      MATCH(
        1, 
        ('アイテム別限界値DB'!$B:$B = BR$4) * 
        ('アイテム別限界値DB'!$C:$C = BR46) * 
        ('アイテム別限界値DB'!$F:$F = BT46), 
        0
      )
    ), 
    "再製作"
  )
)
</f>
        <v/>
      </c>
      <c r="BV46" s="396"/>
      <c r="BW46" s="469"/>
      <c r="BX46" s="488"/>
      <c r="BY46" s="504"/>
      <c r="BZ46" s="504"/>
      <c r="CA46" s="396" t="str">
        <f t="array" ref="CA46">IF(
  BZ46 = 0, 
  "", 
  IFERROR(
    INDEX(
      'アイテム別限界値DB'!$I:$I, 
      MATCH(
        1, 
        ('アイテム別限界値DB'!$B:$B = BX$4) * 
        ('アイテム別限界値DB'!$C:$C = BX46) * 
        ('アイテム別限界値DB'!$F:$F = BZ46), 
        0
      )
    ), 
    "再製作"
  )
)
</f>
        <v/>
      </c>
      <c r="CB46" s="396"/>
      <c r="CC46" s="396"/>
      <c r="CD46" s="396"/>
      <c r="CE46" s="396"/>
      <c r="CF46" s="396"/>
      <c r="CG46" s="396"/>
      <c r="CH46" s="469"/>
      <c r="CI46" s="469"/>
    </row>
    <row r="47">
      <c r="A47" s="499"/>
      <c r="B47" s="499"/>
      <c r="C47" s="499"/>
      <c r="D47" s="500" t="s">
        <v>252</v>
      </c>
      <c r="E47" s="489" t="s">
        <v>253</v>
      </c>
      <c r="F47" s="403"/>
      <c r="G47" s="490"/>
      <c r="H47" s="405" t="str">
        <f t="array" ref="H47">IF(
  G47 = 0, 
  "", 
  IFERROR(
    INDEX(
      'アイテム別限界値DB'!$K:$K, 
      MATCH(
        1, 
        ('アイテム別限界値DB'!$B:$B = D$4) * 
        ('アイテム別限界値DB'!$G:$G = D47) , 
        0
      )
    ), 
    "再製作"
  )
)
</f>
        <v/>
      </c>
      <c r="I47" s="397" t="str">
        <f t="array" ref="I47">IF(
  G47 = "", 
  "", 
  IFERROR(
    INDEX(
      'アイテム別限界値DB'!$N:$N, 
      MATCH(
        1, 
        ('アイテム別限界値DB'!$B:$B = D$4) * 
        ('アイテム別限界値DB'!$G:$G = D47), 
        0
      )
    )*$G47*F47, 
    "再製作"
  )
)
</f>
        <v/>
      </c>
      <c r="J47" s="479"/>
      <c r="K47" s="505" t="s">
        <v>254</v>
      </c>
      <c r="L47" s="414" t="s">
        <v>251</v>
      </c>
      <c r="M47" s="423"/>
      <c r="N47" s="485"/>
      <c r="O47" s="405" t="str">
        <f t="array" ref="O47">IF(
  N47 = 0, 
  "", 
  IFERROR(
    INDEX(
      'アイテム別限界値DB'!$K:$K, 
      MATCH(
        1, 
        ('アイテム別限界値DB'!$B:$B = K$4) * 
        ('アイテム別限界値DB'!$G:$G = K47) , 
        0
      )
    ), 
    "再製作"
  )
)
</f>
        <v/>
      </c>
      <c r="P47" s="397" t="str">
        <f t="array" ref="P47">IF(
  N47 = "", 
  "", 
  IFERROR(
    INDEX(
      'アイテム別限界値DB'!$N:$N, 
      MATCH(
        1, 
        ('アイテム別限界値DB'!$B:$B = K$4) * 
        ('アイテム別限界値DB'!$G:$G = K47), 
        0
      )
    )*$N47*M47, 
    "再製作"
  )
)
</f>
        <v/>
      </c>
      <c r="Q47" s="498"/>
      <c r="R47" s="493" t="s">
        <v>255</v>
      </c>
      <c r="S47" s="484" t="s">
        <v>249</v>
      </c>
      <c r="T47" s="423"/>
      <c r="U47" s="490"/>
      <c r="V47" s="405" t="str">
        <f t="array" ref="V47">IF(
  U47 = 0, 
  "", 
  IFERROR(
    INDEX(
      'アイテム別限界値DB'!$K:$K, 
      MATCH(
        1, 
        ('アイテム別限界値DB'!$B:$B = R$4) * 
        ('アイテム別限界値DB'!$G:$G = R47) , 
        0
      )
    ), 
    "再製作"
  )
)
</f>
        <v/>
      </c>
      <c r="W47" s="397" t="str">
        <f t="array" ref="W47">IF(
  U47 = "", 
  "", 
  IFERROR(
    INDEX(
      'アイテム別限界値DB'!$N:$N, 
      MATCH(
        1, 
        ('アイテム別限界値DB'!$B:$B = R$4) * 
        ('アイテム別限界値DB'!$G:$G = R47), 
        0
      )
    )*U47*T47, 
    "再製作"
  )
)
</f>
        <v/>
      </c>
      <c r="X47" s="469"/>
      <c r="Y47" s="468" t="s">
        <v>256</v>
      </c>
      <c r="Z47" s="484" t="s">
        <v>249</v>
      </c>
      <c r="AA47" s="423"/>
      <c r="AB47" s="485"/>
      <c r="AC47" s="405" t="str">
        <f t="array" ref="AC47">IF(
  AB47 = 0, 
  "", 
  IFERROR(
    INDEX(
      'アイテム別限界値DB'!$K:$K, 
      MATCH(
        1, 
        ('アイテム別限界値DB'!$B:$B = Y$4) * 
        ('アイテム別限界値DB'!$G:$G = Y47) , 
        0
      )
    ), 
    "再製作"
  )
)
</f>
        <v/>
      </c>
      <c r="AD47" s="397" t="str">
        <f t="array" ref="AD47">IF(
  AB47 = "", 
  "", 
  IFERROR(
    INDEX(
      'アイテム別限界値DB'!$N:$N, 
      MATCH(
        1, 
        ('アイテム別限界値DB'!$B:$B = Y$4) * 
        ('アイテム別限界値DB'!$G:$G = Y47), 
        0
      )
    )*AB47*AA47, 
    "再製作"
  )
)
</f>
        <v/>
      </c>
      <c r="AE47" s="498"/>
      <c r="AF47" s="93"/>
      <c r="AG47" s="437"/>
      <c r="AH47" s="440"/>
      <c r="AI47" s="440"/>
      <c r="AJ47" s="396" t="str">
        <f t="array" ref="AJ47">IF(
  AI47 = 0, 
  "", 
  IFERROR(
    INDEX(
      'アイテム別限界値DB'!$I:$I, 
      MATCH(
        1, 
        ('アイテム別限界値DB'!$B:$B = AF$4) * 
        ('アイテム別限界値DB'!$C:$C = AF47) * 
        ('アイテム別限界値DB'!$F:$F = AI47), 
        0
      )
    ), 
    "再製作"
  )
)
</f>
        <v/>
      </c>
      <c r="AK47" s="396"/>
      <c r="AL47" s="469"/>
      <c r="AM47" s="93"/>
      <c r="AN47" s="474"/>
      <c r="AO47" s="504"/>
      <c r="AP47" s="504"/>
      <c r="AQ47" s="396" t="str">
        <f t="array" ref="AQ47">IF(
  AP47 = 0, 
  "", 
  IFERROR(
    INDEX(
      'アイテム別限界値DB'!$I:$I, 
      MATCH(
        1, 
        ('アイテム別限界値DB'!$B:$B = AM$4) * 
        ('アイテム別限界値DB'!$C:$C = AM47) * 
        ('アイテム別限界値DB'!$F:$F = AP47), 
        0
      )
    ), 
    "再製作"
  )
)
</f>
        <v/>
      </c>
      <c r="AR47" s="396"/>
      <c r="AS47" s="469"/>
      <c r="AT47" s="474"/>
      <c r="AU47" s="504"/>
      <c r="AV47" s="504"/>
      <c r="AW47" s="396" t="str">
        <f t="array" ref="AW47">IF(
  AV47 = 0, 
  "", 
  IFERROR(
    INDEX(
      'アイテム別限界値DB'!$I:$I, 
      MATCH(
        1, 
        ('アイテム別限界値DB'!$B:$B = AT$4) * 
        ('アイテム別限界値DB'!$C:$C = AT47) * 
        ('アイテム別限界値DB'!$F:$F = AV47), 
        0
      )
    ), 
    "再製作"
  )
)
</f>
        <v/>
      </c>
      <c r="AX47" s="396"/>
      <c r="AY47" s="469"/>
      <c r="AZ47" s="474"/>
      <c r="BA47" s="504"/>
      <c r="BB47" s="504"/>
      <c r="BC47" s="396" t="str">
        <f t="array" ref="BC47">IF(
  BB47 = 0, 
  "", 
  IFERROR(
    INDEX(
      'アイテム別限界値DB'!$I:$I, 
      MATCH(
        1, 
        ('アイテム別限界値DB'!$B:$B = AZ$4) * 
        ('アイテム別限界値DB'!$C:$C = AZ47) * 
        ('アイテム別限界値DB'!$F:$F = BB47), 
        0
      )
    ), 
    "再製作"
  )
)
</f>
        <v/>
      </c>
      <c r="BD47" s="396"/>
      <c r="BE47" s="469"/>
      <c r="BF47" s="474"/>
      <c r="BG47" s="504"/>
      <c r="BH47" s="504"/>
      <c r="BI47" s="396" t="str">
        <f t="array" ref="BI47">IF(
  BH47 = 0, 
  "", 
  IFERROR(
    INDEX(
      'アイテム別限界値DB'!$I:$I, 
      MATCH(
        1, 
        ('アイテム別限界値DB'!$B:$B = BF$4) * 
        ('アイテム別限界値DB'!$C:$C = BF47) * 
        ('アイテム別限界値DB'!$F:$F = BH47), 
        0
      )
    ), 
    "再製作"
  )
)
</f>
        <v/>
      </c>
      <c r="BJ47" s="396"/>
      <c r="BK47" s="469"/>
      <c r="BL47" s="474"/>
      <c r="BM47" s="504"/>
      <c r="BN47" s="504"/>
      <c r="BO47" s="396"/>
      <c r="BP47" s="396"/>
      <c r="BQ47" s="469"/>
      <c r="BR47" s="474"/>
      <c r="BS47" s="504"/>
      <c r="BT47" s="504"/>
      <c r="BU47" s="396" t="str">
        <f t="array" ref="BU47">IF(
  BT47 = 0, 
  "", 
  IFERROR(
    INDEX(
      'アイテム別限界値DB'!$I:$I, 
      MATCH(
        1, 
        ('アイテム別限界値DB'!$B:$B = BR$4) * 
        ('アイテム別限界値DB'!$C:$C = BR47) * 
        ('アイテム別限界値DB'!$F:$F = BT47), 
        0
      )
    ), 
    "再製作"
  )
)
</f>
        <v/>
      </c>
      <c r="BV47" s="396"/>
      <c r="BW47" s="469"/>
      <c r="BX47" s="474"/>
      <c r="BY47" s="504"/>
      <c r="BZ47" s="504"/>
      <c r="CA47" s="396" t="str">
        <f t="array" ref="CA47">IF(
  BZ47 = 0, 
  "", 
  IFERROR(
    INDEX(
      'アイテム別限界値DB'!$I:$I, 
      MATCH(
        1, 
        ('アイテム別限界値DB'!$B:$B = BX$4) * 
        ('アイテム別限界値DB'!$C:$C = BX47) * 
        ('アイテム別限界値DB'!$F:$F = BZ47), 
        0
      )
    ), 
    "再製作"
  )
)
</f>
        <v/>
      </c>
      <c r="CB47" s="396"/>
      <c r="CC47" s="396"/>
      <c r="CD47" s="396"/>
      <c r="CE47" s="396"/>
      <c r="CF47" s="396"/>
      <c r="CG47" s="396"/>
      <c r="CH47" s="469"/>
      <c r="CI47" s="469"/>
    </row>
    <row r="48">
      <c r="A48" s="502"/>
      <c r="B48" s="502"/>
      <c r="C48" s="502"/>
      <c r="D48" s="503" t="s">
        <v>257</v>
      </c>
      <c r="E48" s="489" t="s">
        <v>258</v>
      </c>
      <c r="F48" s="403"/>
      <c r="G48" s="490"/>
      <c r="H48" s="405" t="str">
        <f t="array" ref="H48">IF(
  G48 = 0, 
  "", 
  IFERROR(
    INDEX(
      'アイテム別限界値DB'!$K:$K, 
      MATCH(
        1, 
        ('アイテム別限界値DB'!$B:$B = D$4) * 
        ('アイテム別限界値DB'!$G:$G = D48) , 
        0
      )
    ), 
    "再製作"
  )
)
</f>
        <v/>
      </c>
      <c r="I48" s="397" t="str">
        <f t="array" ref="I48">IF(
  G48 = "", 
  "", 
  IFERROR(
    INDEX(
      'アイテム別限界値DB'!$N:$N, 
      MATCH(
        1, 
        ('アイテム別限界値DB'!$B:$B = D$4) * 
        ('アイテム別限界値DB'!$G:$G = D48), 
        0
      )
    )*$G48*F48, 
    "再製作"
  )
)
</f>
        <v/>
      </c>
      <c r="J48" s="479"/>
      <c r="K48" s="483" t="s">
        <v>259</v>
      </c>
      <c r="L48" s="414" t="s">
        <v>259</v>
      </c>
      <c r="M48" s="423"/>
      <c r="N48" s="485"/>
      <c r="O48" s="405" t="str">
        <f t="array" ref="O48">IF(
  N48 = 0, 
  "", 
  IFERROR(
    INDEX(
      'アイテム別限界値DB'!$K:$K, 
      MATCH(
        1, 
        ('アイテム別限界値DB'!$B:$B = K$4) * 
        ('アイテム別限界値DB'!$G:$G = K48) , 
        0
      )
    ), 
    "再製作"
  )
)
</f>
        <v/>
      </c>
      <c r="P48" s="397" t="str">
        <f t="array" ref="P48">IF(
  N48 = "", 
  "", 
  IFERROR(
    INDEX(
      'アイテム別限界値DB'!$N:$N, 
      MATCH(
        1, 
        ('アイテム別限界値DB'!$B:$B = K$4) * 
        ('アイテム別限界値DB'!$G:$G = K48), 
        0
      )
    )*$N48*M48, 
    "再製作"
  )
)
</f>
        <v/>
      </c>
      <c r="Q48" s="498"/>
      <c r="R48" s="493" t="s">
        <v>260</v>
      </c>
      <c r="S48" s="484" t="s">
        <v>253</v>
      </c>
      <c r="T48" s="423"/>
      <c r="U48" s="485"/>
      <c r="V48" s="405" t="str">
        <f t="array" ref="V48">IF(
  U48 = 0, 
  "", 
  IFERROR(
    INDEX(
      'アイテム別限界値DB'!$K:$K, 
      MATCH(
        1, 
        ('アイテム別限界値DB'!$B:$B = R$4) * 
        ('アイテム別限界値DB'!$G:$G = R48) , 
        0
      )
    ), 
    "再製作"
  )
)
</f>
        <v/>
      </c>
      <c r="W48" s="397" t="str">
        <f t="array" ref="W48">IF(
  U48 = "", 
  "", 
  IFERROR(
    INDEX(
      'アイテム別限界値DB'!$N:$N, 
      MATCH(
        1, 
        ('アイテム別限界値DB'!$B:$B = R$4) * 
        ('アイテム別限界値DB'!$G:$G = R48), 
        0
      )
    )*U48*T48, 
    "再製作"
  )
)
</f>
        <v/>
      </c>
      <c r="X48" s="469"/>
      <c r="Y48" s="468" t="s">
        <v>260</v>
      </c>
      <c r="Z48" s="484" t="s">
        <v>253</v>
      </c>
      <c r="AA48" s="423"/>
      <c r="AB48" s="490"/>
      <c r="AC48" s="405" t="str">
        <f t="array" ref="AC48">IF(
  AB48 = 0, 
  "", 
  IFERROR(
    INDEX(
      'アイテム別限界値DB'!$K:$K, 
      MATCH(
        1, 
        ('アイテム別限界値DB'!$B:$B = Y$4) * 
        ('アイテム別限界値DB'!$G:$G = Y48) , 
        0
      )
    ), 
    "再製作"
  )
)
</f>
        <v/>
      </c>
      <c r="AD48" s="397" t="str">
        <f t="array" ref="AD48">IF(
  AB48 = "", 
  "", 
  IFERROR(
    INDEX(
      'アイテム別限界値DB'!$N:$N, 
      MATCH(
        1, 
        ('アイテム別限界値DB'!$B:$B = Y$4) * 
        ('アイテム別限界値DB'!$G:$G = Y48), 
        0
      )
    )*AB48*AA48, 
    "再製作"
  )
)
</f>
        <v/>
      </c>
      <c r="AE48" s="498"/>
      <c r="AF48" s="487"/>
      <c r="AG48" s="506"/>
      <c r="AH48" s="507"/>
      <c r="AI48" s="507"/>
      <c r="AJ48" s="396" t="str">
        <f t="array" ref="AJ48">IF(
  AI48 = 0, 
  "", 
  IFERROR(
    INDEX(
      'アイテム別限界値DB'!$I:$I, 
      MATCH(
        1, 
        ('アイテム別限界値DB'!$B:$B = AF$4) * 
        ('アイテム別限界値DB'!$C:$C = AF48) * 
        ('アイテム別限界値DB'!$F:$F = AI48), 
        0
      )
    ), 
    "再製作"
  )
)
</f>
        <v/>
      </c>
      <c r="AK48" s="396"/>
      <c r="AL48" s="469"/>
      <c r="AM48" s="93"/>
      <c r="AN48" s="474"/>
      <c r="AO48" s="504"/>
      <c r="AP48" s="504"/>
      <c r="AQ48" s="396" t="str">
        <f t="array" ref="AQ48">IF(
  AP48 = 0, 
  "", 
  IFERROR(
    INDEX(
      'アイテム別限界値DB'!$I:$I, 
      MATCH(
        1, 
        ('アイテム別限界値DB'!$B:$B = AM$4) * 
        ('アイテム別限界値DB'!$C:$C = AM48) * 
        ('アイテム別限界値DB'!$F:$F = AP48), 
        0
      )
    ), 
    "再製作"
  )
)
</f>
        <v/>
      </c>
      <c r="AR48" s="396"/>
      <c r="AS48" s="469"/>
      <c r="AT48" s="474"/>
      <c r="AU48" s="504"/>
      <c r="AV48" s="504"/>
      <c r="AW48" s="396" t="str">
        <f t="array" ref="AW48">IF(
  AV48 = 0, 
  "", 
  IFERROR(
    INDEX(
      'アイテム別限界値DB'!$I:$I, 
      MATCH(
        1, 
        ('アイテム別限界値DB'!$B:$B = AT$4) * 
        ('アイテム別限界値DB'!$C:$C = AT48) * 
        ('アイテム別限界値DB'!$F:$F = AV48), 
        0
      )
    ), 
    "再製作"
  )
)
</f>
        <v/>
      </c>
      <c r="AX48" s="396"/>
      <c r="AY48" s="469"/>
      <c r="AZ48" s="474"/>
      <c r="BA48" s="504"/>
      <c r="BB48" s="504"/>
      <c r="BC48" s="396" t="str">
        <f t="array" ref="BC48">IF(
  BB48 = 0, 
  "", 
  IFERROR(
    INDEX(
      'アイテム別限界値DB'!$I:$I, 
      MATCH(
        1, 
        ('アイテム別限界値DB'!$B:$B = AZ$4) * 
        ('アイテム別限界値DB'!$C:$C = AZ48) * 
        ('アイテム別限界値DB'!$F:$F = BB48), 
        0
      )
    ), 
    "再製作"
  )
)
</f>
        <v/>
      </c>
      <c r="BD48" s="396"/>
      <c r="BE48" s="469"/>
      <c r="BF48" s="474"/>
      <c r="BG48" s="504"/>
      <c r="BH48" s="504"/>
      <c r="BI48" s="396" t="str">
        <f t="array" ref="BI48">IF(
  BH48 = 0, 
  "", 
  IFERROR(
    INDEX(
      'アイテム別限界値DB'!$I:$I, 
      MATCH(
        1, 
        ('アイテム別限界値DB'!$B:$B = BF$4) * 
        ('アイテム別限界値DB'!$C:$C = BF48) * 
        ('アイテム別限界値DB'!$F:$F = BH48), 
        0
      )
    ), 
    "再製作"
  )
)
</f>
        <v/>
      </c>
      <c r="BJ48" s="396"/>
      <c r="BK48" s="469"/>
      <c r="BL48" s="474"/>
      <c r="BM48" s="504"/>
      <c r="BN48" s="504"/>
      <c r="BO48" s="396"/>
      <c r="BP48" s="396"/>
      <c r="BQ48" s="469"/>
      <c r="BR48" s="474"/>
      <c r="BS48" s="504"/>
      <c r="BT48" s="504"/>
      <c r="BU48" s="396" t="str">
        <f t="array" ref="BU48">IF(
  BT48 = 0, 
  "", 
  IFERROR(
    INDEX(
      'アイテム別限界値DB'!$I:$I, 
      MATCH(
        1, 
        ('アイテム別限界値DB'!$B:$B = BR$4) * 
        ('アイテム別限界値DB'!$C:$C = BR48) * 
        ('アイテム別限界値DB'!$F:$F = BT48), 
        0
      )
    ), 
    "再製作"
  )
)
</f>
        <v/>
      </c>
      <c r="BV48" s="396"/>
      <c r="BW48" s="469"/>
      <c r="BX48" s="474"/>
      <c r="BY48" s="504"/>
      <c r="BZ48" s="504"/>
      <c r="CA48" s="396" t="str">
        <f t="array" ref="CA48">IF(
  BZ48 = 0, 
  "", 
  IFERROR(
    INDEX(
      'アイテム別限界値DB'!$I:$I, 
      MATCH(
        1, 
        ('アイテム別限界値DB'!$B:$B = BX$4) * 
        ('アイテム別限界値DB'!$C:$C = BX48) * 
        ('アイテム別限界値DB'!$F:$F = BZ48), 
        0
      )
    ), 
    "再製作"
  )
)
</f>
        <v/>
      </c>
      <c r="CB48" s="396"/>
      <c r="CC48" s="396"/>
      <c r="CD48" s="396"/>
      <c r="CE48" s="396"/>
      <c r="CF48" s="396"/>
      <c r="CG48" s="396"/>
      <c r="CH48" s="469"/>
      <c r="CI48" s="469"/>
    </row>
    <row r="49">
      <c r="A49" s="503"/>
      <c r="B49" s="503"/>
      <c r="C49" s="503"/>
      <c r="D49" s="503"/>
      <c r="E49" s="508"/>
      <c r="F49" s="509"/>
      <c r="G49" s="509"/>
      <c r="H49" s="396"/>
      <c r="I49" s="402"/>
      <c r="J49" s="468"/>
      <c r="K49" s="483" t="s">
        <v>261</v>
      </c>
      <c r="L49" s="414" t="s">
        <v>262</v>
      </c>
      <c r="M49" s="423"/>
      <c r="N49" s="485"/>
      <c r="O49" s="405" t="str">
        <f t="array" ref="O49">IF(
  N49 = 0, 
  "", 
  IFERROR(
    INDEX(
      'アイテム別限界値DB'!$K:$K, 
      MATCH(
        1, 
        ('アイテム別限界値DB'!$B:$B = K$4) * 
        ('アイテム別限界値DB'!$G:$G = K49) , 
        0
      )
    ), 
    "再製作"
  )
)
</f>
        <v/>
      </c>
      <c r="P49" s="397" t="str">
        <f t="array" ref="P49">IF(
  N49 = "", 
  "", 
  IFERROR(
    INDEX(
      'アイテム別限界値DB'!$N:$N, 
      MATCH(
        1, 
        ('アイテム別限界値DB'!$B:$B = K$4) * 
        ('アイテム別限界値DB'!$G:$G = K49), 
        0
      )
    )*$N49*M49, 
    "再製作"
  )
)
</f>
        <v/>
      </c>
      <c r="Q49" s="501"/>
      <c r="R49" s="493" t="s">
        <v>263</v>
      </c>
      <c r="S49" s="484" t="s">
        <v>258</v>
      </c>
      <c r="T49" s="423"/>
      <c r="U49" s="490"/>
      <c r="V49" s="405" t="str">
        <f t="array" ref="V49">IF(
  U49 = 0, 
  "", 
  IFERROR(
    INDEX(
      'アイテム別限界値DB'!$K:$K, 
      MATCH(
        1, 
        ('アイテム別限界値DB'!$B:$B = R$4) * 
        ('アイテム別限界値DB'!$G:$G = R49) , 
        0
      )
    ), 
    "再製作"
  )
)
</f>
        <v/>
      </c>
      <c r="W49" s="397" t="str">
        <f t="array" ref="W49">IF(
  U49 = "", 
  "", 
  IFERROR(
    INDEX(
      'アイテム別限界値DB'!$N:$N, 
      MATCH(
        1, 
        ('アイテム別限界値DB'!$B:$B = R$4) * 
        ('アイテム別限界値DB'!$G:$G = R49), 
        0
      )
    )*U49*T49, 
    "再製作"
  )
)
</f>
        <v/>
      </c>
      <c r="X49" s="493"/>
      <c r="Y49" s="468" t="s">
        <v>264</v>
      </c>
      <c r="Z49" s="484" t="s">
        <v>265</v>
      </c>
      <c r="AA49" s="423"/>
      <c r="AB49" s="485"/>
      <c r="AC49" s="405" t="str">
        <f t="array" ref="AC49">IF(
  AB49 = 0, 
  "", 
  IFERROR(
    INDEX(
      'アイテム別限界値DB'!$K:$K, 
      MATCH(
        1, 
        ('アイテム別限界値DB'!$B:$B = Y$4) * 
        ('アイテム別限界値DB'!$G:$G = Y49) , 
        0
      )
    ), 
    "再製作"
  )
)
</f>
        <v/>
      </c>
      <c r="AD49" s="397" t="str">
        <f t="array" ref="AD49">IF(
  AB49 = "", 
  "", 
  IFERROR(
    INDEX(
      'アイテム別限界値DB'!$N:$N, 
      MATCH(
        1, 
        ('アイテム別限界値DB'!$B:$B = Y$4) * 
        ('アイテム別限界値DB'!$G:$G = Y49), 
        0
      )
    )*AB49*AA49, 
    "再製作"
  )
)
</f>
        <v/>
      </c>
      <c r="AE49" s="501"/>
      <c r="AF49" s="497"/>
      <c r="AG49" s="510"/>
      <c r="AH49" s="386"/>
      <c r="AI49" s="386"/>
      <c r="AJ49" s="396" t="str">
        <f t="array" ref="AJ49">IF(
  AI49 = 0, 
  "", 
  IFERROR(
    INDEX(
      'アイテム別限界値DB'!$I:$I, 
      MATCH(
        1, 
        ('アイテム別限界値DB'!$B:$B = AF$4) * 
        ('アイテム別限界値DB'!$C:$C = AF49) * 
        ('アイテム別限界値DB'!$F:$F = AI49), 
        0
      )
    ), 
    "再製作"
  )
)
</f>
        <v/>
      </c>
      <c r="AK49" s="396"/>
      <c r="AL49" s="493"/>
      <c r="AM49" s="487"/>
      <c r="AN49" s="488"/>
      <c r="AO49" s="511"/>
      <c r="AP49" s="511"/>
      <c r="AQ49" s="396" t="str">
        <f t="array" ref="AQ49">IF(
  AP49 = 0, 
  "", 
  IFERROR(
    INDEX(
      'アイテム別限界値DB'!$I:$I, 
      MATCH(
        1, 
        ('アイテム別限界値DB'!$B:$B = AM$4) * 
        ('アイテム別限界値DB'!$C:$C = AM49) * 
        ('アイテム別限界値DB'!$F:$F = AP49), 
        0
      )
    ), 
    "再製作"
  )
)
</f>
        <v/>
      </c>
      <c r="AR49" s="396"/>
      <c r="AS49" s="493"/>
      <c r="AT49" s="488"/>
      <c r="AU49" s="511"/>
      <c r="AV49" s="511"/>
      <c r="AW49" s="396" t="str">
        <f t="array" ref="AW49">IF(
  AV49 = 0, 
  "", 
  IFERROR(
    INDEX(
      'アイテム別限界値DB'!$I:$I, 
      MATCH(
        1, 
        ('アイテム別限界値DB'!$B:$B = AT$4) * 
        ('アイテム別限界値DB'!$C:$C = AT49) * 
        ('アイテム別限界値DB'!$F:$F = AV49), 
        0
      )
    ), 
    "再製作"
  )
)
</f>
        <v/>
      </c>
      <c r="AX49" s="396"/>
      <c r="AY49" s="493"/>
      <c r="AZ49" s="488"/>
      <c r="BA49" s="511"/>
      <c r="BB49" s="511"/>
      <c r="BC49" s="396" t="str">
        <f t="array" ref="BC49">IF(
  BB49 = 0, 
  "", 
  IFERROR(
    INDEX(
      'アイテム別限界値DB'!$I:$I, 
      MATCH(
        1, 
        ('アイテム別限界値DB'!$B:$B = AZ$4) * 
        ('アイテム別限界値DB'!$C:$C = AZ49) * 
        ('アイテム別限界値DB'!$F:$F = BB49), 
        0
      )
    ), 
    "再製作"
  )
)
</f>
        <v/>
      </c>
      <c r="BD49" s="396"/>
      <c r="BE49" s="493"/>
      <c r="BF49" s="488"/>
      <c r="BG49" s="511"/>
      <c r="BH49" s="511"/>
      <c r="BI49" s="396" t="str">
        <f t="array" ref="BI49">IF(
  BH49 = 0, 
  "", 
  IFERROR(
    INDEX(
      'アイテム別限界値DB'!$I:$I, 
      MATCH(
        1, 
        ('アイテム別限界値DB'!$B:$B = BF$4) * 
        ('アイテム別限界値DB'!$C:$C = BF49) * 
        ('アイテム別限界値DB'!$F:$F = BH49), 
        0
      )
    ), 
    "再製作"
  )
)
</f>
        <v/>
      </c>
      <c r="BJ49" s="396"/>
      <c r="BK49" s="493"/>
      <c r="BL49" s="488"/>
      <c r="BM49" s="511"/>
      <c r="BN49" s="511"/>
      <c r="BO49" s="396"/>
      <c r="BP49" s="396"/>
      <c r="BQ49" s="493"/>
      <c r="BR49" s="488"/>
      <c r="BS49" s="511"/>
      <c r="BT49" s="511"/>
      <c r="BU49" s="396" t="str">
        <f t="array" ref="BU49">IF(
  BT49 = 0, 
  "", 
  IFERROR(
    INDEX(
      'アイテム別限界値DB'!$I:$I, 
      MATCH(
        1, 
        ('アイテム別限界値DB'!$B:$B = BR$4) * 
        ('アイテム別限界値DB'!$C:$C = BR49) * 
        ('アイテム別限界値DB'!$F:$F = BT49), 
        0
      )
    ), 
    "再製作"
  )
)
</f>
        <v/>
      </c>
      <c r="BV49" s="396"/>
      <c r="BW49" s="493"/>
      <c r="BX49" s="488"/>
      <c r="BY49" s="511"/>
      <c r="BZ49" s="511"/>
      <c r="CA49" s="396" t="str">
        <f t="array" ref="CA49">IF(
  BZ49 = 0, 
  "", 
  IFERROR(
    INDEX(
      'アイテム別限界値DB'!$I:$I, 
      MATCH(
        1, 
        ('アイテム別限界値DB'!$B:$B = BX$4) * 
        ('アイテム別限界値DB'!$C:$C = BX49) * 
        ('アイテム別限界値DB'!$F:$F = BZ49), 
        0
      )
    ), 
    "再製作"
  )
)
</f>
        <v/>
      </c>
      <c r="CB49" s="396"/>
      <c r="CC49" s="396"/>
      <c r="CD49" s="396"/>
      <c r="CE49" s="396"/>
      <c r="CF49" s="396"/>
      <c r="CG49" s="396"/>
      <c r="CH49" s="493"/>
      <c r="CI49" s="493"/>
    </row>
    <row r="50">
      <c r="A50" s="503"/>
      <c r="B50" s="503"/>
      <c r="C50" s="503"/>
      <c r="D50" s="503"/>
      <c r="E50" s="509"/>
      <c r="F50" s="509"/>
      <c r="G50" s="509"/>
      <c r="H50" s="396"/>
      <c r="I50" s="402"/>
      <c r="J50" s="468"/>
      <c r="K50" s="483" t="s">
        <v>266</v>
      </c>
      <c r="L50" s="414" t="s">
        <v>240</v>
      </c>
      <c r="M50" s="423"/>
      <c r="N50" s="485"/>
      <c r="O50" s="405" t="str">
        <f t="array" ref="O50">IF(
  N50 = 0, 
  "", 
  IFERROR(
    INDEX(
      'アイテム別限界値DB'!$K:$K, 
      MATCH(
        1, 
        ('アイテム別限界値DB'!$B:$B = K$4) * 
        ('アイテム別限界値DB'!$G:$G = K50) , 
        0
      )
    ), 
    "再製作"
  )
)
</f>
        <v/>
      </c>
      <c r="P50" s="397" t="str">
        <f t="array" ref="P50">IF(
  N50 = "", 
  "", 
  IFERROR(
    INDEX(
      'アイテム別限界値DB'!$N:$N, 
      MATCH(
        1, 
        ('アイテム別限界値DB'!$B:$B = K$4) * 
        ('アイテム別限界値DB'!$G:$G = K50), 
        0
      )
    )*$N50*M50, 
    "再製作"
  )
)
</f>
        <v/>
      </c>
      <c r="Q50" s="501"/>
      <c r="R50" s="493"/>
      <c r="S50" s="493"/>
      <c r="T50" s="493"/>
      <c r="U50" s="493"/>
      <c r="V50" s="317"/>
      <c r="W50" s="317"/>
      <c r="X50" s="493"/>
      <c r="Y50" s="468"/>
      <c r="Z50" s="448"/>
      <c r="AA50" s="386"/>
      <c r="AB50" s="386"/>
      <c r="AC50" s="396"/>
      <c r="AD50" s="396"/>
      <c r="AE50" s="501"/>
      <c r="AF50" s="497"/>
      <c r="AG50" s="510"/>
      <c r="AH50" s="386"/>
      <c r="AI50" s="386"/>
      <c r="AJ50" s="396"/>
      <c r="AK50" s="396"/>
      <c r="AL50" s="493"/>
      <c r="AM50" s="487"/>
      <c r="AN50" s="488"/>
      <c r="AO50" s="511"/>
      <c r="AP50" s="511"/>
      <c r="AQ50" s="396"/>
      <c r="AR50" s="396"/>
      <c r="AS50" s="493"/>
      <c r="AT50" s="488"/>
      <c r="AU50" s="511"/>
      <c r="AV50" s="511"/>
      <c r="AW50" s="396"/>
      <c r="AX50" s="396"/>
      <c r="AY50" s="493"/>
      <c r="AZ50" s="488"/>
      <c r="BA50" s="511"/>
      <c r="BB50" s="511"/>
      <c r="BC50" s="396"/>
      <c r="BD50" s="396"/>
      <c r="BE50" s="493"/>
      <c r="BF50" s="488"/>
      <c r="BG50" s="511"/>
      <c r="BH50" s="511"/>
      <c r="BI50" s="396"/>
      <c r="BJ50" s="396"/>
      <c r="BK50" s="493"/>
      <c r="BL50" s="488"/>
      <c r="BM50" s="511"/>
      <c r="BN50" s="511"/>
      <c r="BO50" s="396"/>
      <c r="BP50" s="396"/>
      <c r="BQ50" s="493"/>
      <c r="BR50" s="488"/>
      <c r="BS50" s="511"/>
      <c r="BT50" s="511"/>
      <c r="BU50" s="396"/>
      <c r="BV50" s="396"/>
      <c r="BW50" s="493"/>
      <c r="BX50" s="488"/>
      <c r="BY50" s="511"/>
      <c r="BZ50" s="511"/>
      <c r="CA50" s="396"/>
      <c r="CB50" s="396"/>
      <c r="CC50" s="396"/>
      <c r="CD50" s="396"/>
      <c r="CE50" s="396"/>
      <c r="CF50" s="396"/>
      <c r="CG50" s="396"/>
      <c r="CH50" s="493"/>
      <c r="CI50" s="493"/>
    </row>
    <row r="51">
      <c r="A51" s="503"/>
      <c r="B51" s="503"/>
      <c r="C51" s="503"/>
      <c r="D51" s="503"/>
      <c r="E51" s="509"/>
      <c r="F51" s="509"/>
      <c r="G51" s="509"/>
      <c r="H51" s="396"/>
      <c r="I51" s="402"/>
      <c r="J51" s="468"/>
      <c r="K51" s="483" t="s">
        <v>267</v>
      </c>
      <c r="L51" s="414" t="s">
        <v>247</v>
      </c>
      <c r="M51" s="423"/>
      <c r="N51" s="485"/>
      <c r="O51" s="405" t="str">
        <f t="array" ref="O51">IF(
  N51 = 0, 
  "", 
  IFERROR(
    INDEX(
      'アイテム別限界値DB'!$K:$K, 
      MATCH(
        1, 
        ('アイテム別限界値DB'!$B:$B = K$4) * 
        ('アイテム別限界値DB'!$G:$G = K51) , 
        0
      )
    ), 
    "再製作"
  )
)
</f>
        <v/>
      </c>
      <c r="P51" s="397" t="str">
        <f t="array" ref="P51">IF(
  N51 = "", 
  "", 
  IFERROR(
    INDEX(
      'アイテム別限界値DB'!$N:$N, 
      MATCH(
        1, 
        ('アイテム別限界値DB'!$B:$B = K$4) * 
        ('アイテム別限界値DB'!$G:$G = K51), 
        0
      )
    )*$N51*M51, 
    "再製作"
  )
)
</f>
        <v/>
      </c>
      <c r="Q51" s="501"/>
      <c r="R51" s="493"/>
      <c r="S51" s="316"/>
      <c r="T51" s="317"/>
      <c r="U51" s="317"/>
      <c r="V51" s="317"/>
      <c r="W51" s="317"/>
      <c r="X51" s="493"/>
      <c r="Y51" s="468"/>
      <c r="Z51" s="448"/>
      <c r="AA51" s="386"/>
      <c r="AB51" s="386"/>
      <c r="AC51" s="396"/>
      <c r="AD51" s="396"/>
      <c r="AE51" s="501"/>
      <c r="AF51" s="497"/>
      <c r="AG51" s="510"/>
      <c r="AH51" s="386"/>
      <c r="AI51" s="386"/>
      <c r="AJ51" s="396"/>
      <c r="AK51" s="396"/>
      <c r="AL51" s="493"/>
      <c r="AM51" s="487"/>
      <c r="AN51" s="488"/>
      <c r="AO51" s="511"/>
      <c r="AP51" s="511"/>
      <c r="AQ51" s="396"/>
      <c r="AR51" s="396"/>
      <c r="AS51" s="493"/>
      <c r="AT51" s="488"/>
      <c r="AU51" s="511"/>
      <c r="AV51" s="511"/>
      <c r="AW51" s="396"/>
      <c r="AX51" s="396"/>
      <c r="AY51" s="493"/>
      <c r="AZ51" s="488"/>
      <c r="BA51" s="511"/>
      <c r="BB51" s="511"/>
      <c r="BC51" s="396"/>
      <c r="BD51" s="396"/>
      <c r="BE51" s="493"/>
      <c r="BF51" s="488"/>
      <c r="BG51" s="511"/>
      <c r="BH51" s="511"/>
      <c r="BI51" s="396"/>
      <c r="BJ51" s="396"/>
      <c r="BK51" s="493"/>
      <c r="BL51" s="488"/>
      <c r="BM51" s="511"/>
      <c r="BN51" s="511"/>
      <c r="BO51" s="396"/>
      <c r="BP51" s="396"/>
      <c r="BQ51" s="493"/>
      <c r="BR51" s="488"/>
      <c r="BS51" s="511"/>
      <c r="BT51" s="511"/>
      <c r="BU51" s="396"/>
      <c r="BV51" s="396"/>
      <c r="BW51" s="493"/>
      <c r="BX51" s="488"/>
      <c r="BY51" s="511"/>
      <c r="BZ51" s="511"/>
      <c r="CA51" s="396"/>
      <c r="CB51" s="396"/>
      <c r="CC51" s="396"/>
      <c r="CD51" s="396"/>
      <c r="CE51" s="396"/>
      <c r="CF51" s="396"/>
      <c r="CG51" s="396"/>
      <c r="CH51" s="493"/>
      <c r="CI51" s="493"/>
    </row>
    <row r="52">
      <c r="A52" s="503"/>
      <c r="B52" s="503"/>
      <c r="C52" s="503"/>
      <c r="D52" s="503"/>
      <c r="E52" s="509"/>
      <c r="F52" s="509"/>
      <c r="G52" s="509"/>
      <c r="H52" s="396"/>
      <c r="I52" s="402"/>
      <c r="J52" s="468"/>
      <c r="K52" s="483" t="s">
        <v>256</v>
      </c>
      <c r="L52" s="414" t="s">
        <v>249</v>
      </c>
      <c r="M52" s="423"/>
      <c r="N52" s="485"/>
      <c r="O52" s="405" t="str">
        <f t="array" ref="O52">IF(
  N52 = 0, 
  "", 
  IFERROR(
    INDEX(
      'アイテム別限界値DB'!$K:$K, 
      MATCH(
        1, 
        ('アイテム別限界値DB'!$B:$B = K$4) * 
        ('アイテム別限界値DB'!$G:$G = K52) , 
        0
      )
    ), 
    "再製作"
  )
)
</f>
        <v/>
      </c>
      <c r="P52" s="397" t="str">
        <f t="array" ref="P52">IF(
  N52 = "", 
  "", 
  IFERROR(
    INDEX(
      'アイテム別限界値DB'!$N:$N, 
      MATCH(
        1, 
        ('アイテム別限界値DB'!$B:$B = K$4) * 
        ('アイテム別限界値DB'!$G:$G = K52), 
        0
      )
    )*$N52*M52, 
    "再製作"
  )
)
</f>
        <v/>
      </c>
      <c r="Q52" s="501"/>
      <c r="R52" s="493"/>
      <c r="S52" s="316"/>
      <c r="T52" s="317"/>
      <c r="U52" s="317"/>
      <c r="V52" s="317"/>
      <c r="W52" s="317"/>
      <c r="X52" s="493"/>
      <c r="Y52" s="468"/>
      <c r="Z52" s="448"/>
      <c r="AA52" s="386"/>
      <c r="AB52" s="386"/>
      <c r="AC52" s="396"/>
      <c r="AD52" s="396"/>
      <c r="AE52" s="501"/>
      <c r="AF52" s="497"/>
      <c r="AG52" s="510"/>
      <c r="AH52" s="386"/>
      <c r="AI52" s="386"/>
      <c r="AJ52" s="396"/>
      <c r="AK52" s="396"/>
      <c r="AL52" s="493"/>
      <c r="AM52" s="487"/>
      <c r="AN52" s="488"/>
      <c r="AO52" s="511"/>
      <c r="AP52" s="511"/>
      <c r="AQ52" s="396"/>
      <c r="AR52" s="396"/>
      <c r="AS52" s="493"/>
      <c r="AT52" s="488"/>
      <c r="AU52" s="511"/>
      <c r="AV52" s="511"/>
      <c r="AW52" s="396"/>
      <c r="AX52" s="396"/>
      <c r="AY52" s="493"/>
      <c r="AZ52" s="488"/>
      <c r="BA52" s="511"/>
      <c r="BB52" s="511"/>
      <c r="BC52" s="396"/>
      <c r="BD52" s="396"/>
      <c r="BE52" s="493"/>
      <c r="BF52" s="488"/>
      <c r="BG52" s="511"/>
      <c r="BH52" s="511"/>
      <c r="BI52" s="396"/>
      <c r="BJ52" s="396"/>
      <c r="BK52" s="493"/>
      <c r="BL52" s="488"/>
      <c r="BM52" s="511"/>
      <c r="BN52" s="511"/>
      <c r="BO52" s="396"/>
      <c r="BP52" s="396"/>
      <c r="BQ52" s="493"/>
      <c r="BR52" s="488"/>
      <c r="BS52" s="511"/>
      <c r="BT52" s="511"/>
      <c r="BU52" s="396"/>
      <c r="BV52" s="396"/>
      <c r="BW52" s="493"/>
      <c r="BX52" s="488"/>
      <c r="BY52" s="511"/>
      <c r="BZ52" s="511"/>
      <c r="CA52" s="396"/>
      <c r="CB52" s="396"/>
      <c r="CC52" s="396"/>
      <c r="CD52" s="396"/>
      <c r="CE52" s="396"/>
      <c r="CF52" s="396"/>
      <c r="CG52" s="396"/>
      <c r="CH52" s="493"/>
      <c r="CI52" s="493"/>
    </row>
    <row r="53">
      <c r="A53" s="503"/>
      <c r="B53" s="503"/>
      <c r="C53" s="503"/>
      <c r="D53" s="503"/>
      <c r="E53" s="509"/>
      <c r="F53" s="509"/>
      <c r="G53" s="509"/>
      <c r="H53" s="396"/>
      <c r="I53" s="402"/>
      <c r="J53" s="468"/>
      <c r="K53" s="483" t="s">
        <v>260</v>
      </c>
      <c r="L53" s="414" t="s">
        <v>253</v>
      </c>
      <c r="M53" s="423"/>
      <c r="N53" s="485"/>
      <c r="O53" s="405" t="str">
        <f t="array" ref="O53">IF(
  N53 = 0, 
  "", 
  IFERROR(
    INDEX(
      'アイテム別限界値DB'!$K:$K, 
      MATCH(
        1, 
        ('アイテム別限界値DB'!$B:$B = K$4) * 
        ('アイテム別限界値DB'!$G:$G = K53) , 
        0
      )
    ), 
    "再製作"
  )
)
</f>
        <v/>
      </c>
      <c r="P53" s="397" t="str">
        <f t="array" ref="P53">IF(
  N53 = "", 
  "", 
  IFERROR(
    INDEX(
      'アイテム別限界値DB'!$N:$N, 
      MATCH(
        1, 
        ('アイテム別限界値DB'!$B:$B = K$4) * 
        ('アイテム別限界値DB'!$G:$G = K53), 
        0
      )
    )*$N53*M53, 
    "再製作"
  )
)
</f>
        <v/>
      </c>
      <c r="Q53" s="501"/>
      <c r="R53" s="493"/>
      <c r="S53" s="316"/>
      <c r="T53" s="317"/>
      <c r="U53" s="317"/>
      <c r="V53" s="317"/>
      <c r="W53" s="317"/>
      <c r="X53" s="493"/>
      <c r="Y53" s="468"/>
      <c r="Z53" s="448"/>
      <c r="AA53" s="386"/>
      <c r="AB53" s="386"/>
      <c r="AC53" s="396"/>
      <c r="AD53" s="396"/>
      <c r="AE53" s="501"/>
      <c r="AF53" s="497"/>
      <c r="AG53" s="510"/>
      <c r="AH53" s="386"/>
      <c r="AI53" s="386"/>
      <c r="AJ53" s="396"/>
      <c r="AK53" s="396"/>
      <c r="AL53" s="493"/>
      <c r="AM53" s="487"/>
      <c r="AN53" s="488"/>
      <c r="AO53" s="511"/>
      <c r="AP53" s="511"/>
      <c r="AQ53" s="396"/>
      <c r="AR53" s="396"/>
      <c r="AS53" s="493"/>
      <c r="AT53" s="488"/>
      <c r="AU53" s="511"/>
      <c r="AV53" s="511"/>
      <c r="AW53" s="396"/>
      <c r="AX53" s="396"/>
      <c r="AY53" s="493"/>
      <c r="AZ53" s="488"/>
      <c r="BA53" s="511"/>
      <c r="BB53" s="511"/>
      <c r="BC53" s="396"/>
      <c r="BD53" s="396"/>
      <c r="BE53" s="493"/>
      <c r="BF53" s="488"/>
      <c r="BG53" s="511"/>
      <c r="BH53" s="511"/>
      <c r="BI53" s="396"/>
      <c r="BJ53" s="396"/>
      <c r="BK53" s="493"/>
      <c r="BL53" s="488"/>
      <c r="BM53" s="511"/>
      <c r="BN53" s="511"/>
      <c r="BO53" s="396"/>
      <c r="BP53" s="396"/>
      <c r="BQ53" s="493"/>
      <c r="BR53" s="488"/>
      <c r="BS53" s="511"/>
      <c r="BT53" s="511"/>
      <c r="BU53" s="396"/>
      <c r="BV53" s="396"/>
      <c r="BW53" s="493"/>
      <c r="BX53" s="488"/>
      <c r="BY53" s="511"/>
      <c r="BZ53" s="511"/>
      <c r="CA53" s="396"/>
      <c r="CB53" s="396"/>
      <c r="CC53" s="396"/>
      <c r="CD53" s="396"/>
      <c r="CE53" s="396"/>
      <c r="CF53" s="396"/>
      <c r="CG53" s="396"/>
      <c r="CH53" s="493"/>
      <c r="CI53" s="493"/>
    </row>
    <row r="54">
      <c r="A54" s="503"/>
      <c r="B54" s="503"/>
      <c r="C54" s="503"/>
      <c r="D54" s="503"/>
      <c r="E54" s="509"/>
      <c r="F54" s="509"/>
      <c r="G54" s="509"/>
      <c r="H54" s="396"/>
      <c r="I54" s="402"/>
      <c r="J54" s="468"/>
      <c r="K54" s="483" t="s">
        <v>263</v>
      </c>
      <c r="L54" s="414" t="s">
        <v>258</v>
      </c>
      <c r="M54" s="423"/>
      <c r="N54" s="485"/>
      <c r="O54" s="405" t="str">
        <f t="array" ref="O54">IF(
  N54 = 0, 
  "", 
  IFERROR(
    INDEX(
      'アイテム別限界値DB'!$K:$K, 
      MATCH(
        1, 
        ('アイテム別限界値DB'!$B:$B = K$4) * 
        ('アイテム別限界値DB'!$G:$G = K54) , 
        0
      )
    ), 
    "再製作"
  )
)
</f>
        <v/>
      </c>
      <c r="P54" s="397" t="str">
        <f t="array" ref="P54">IF(
  N54 = "", 
  "", 
  IFERROR(
    INDEX(
      'アイテム別限界値DB'!$N:$N, 
      MATCH(
        1, 
        ('アイテム別限界値DB'!$B:$B = K$4) * 
        ('アイテム別限界値DB'!$G:$G = K54), 
        0
      )
    )*$N54*M54, 
    "再製作"
  )
)
</f>
        <v/>
      </c>
      <c r="Q54" s="501"/>
      <c r="R54" s="493"/>
      <c r="S54" s="316"/>
      <c r="T54" s="317"/>
      <c r="U54" s="317"/>
      <c r="V54" s="317"/>
      <c r="W54" s="317"/>
      <c r="X54" s="493"/>
      <c r="Y54" s="468"/>
      <c r="Z54" s="448"/>
      <c r="AA54" s="386"/>
      <c r="AB54" s="386"/>
      <c r="AC54" s="396"/>
      <c r="AD54" s="396"/>
      <c r="AE54" s="501"/>
      <c r="AF54" s="497"/>
      <c r="AG54" s="510"/>
      <c r="AH54" s="386"/>
      <c r="AI54" s="386"/>
      <c r="AJ54" s="396"/>
      <c r="AK54" s="396"/>
      <c r="AL54" s="493"/>
      <c r="AM54" s="487"/>
      <c r="AN54" s="488"/>
      <c r="AO54" s="511"/>
      <c r="AP54" s="511"/>
      <c r="AQ54" s="396"/>
      <c r="AR54" s="396"/>
      <c r="AS54" s="493"/>
      <c r="AT54" s="488"/>
      <c r="AU54" s="511"/>
      <c r="AV54" s="511"/>
      <c r="AW54" s="396"/>
      <c r="AX54" s="396"/>
      <c r="AY54" s="493"/>
      <c r="AZ54" s="488"/>
      <c r="BA54" s="511"/>
      <c r="BB54" s="511"/>
      <c r="BC54" s="396"/>
      <c r="BD54" s="396"/>
      <c r="BE54" s="493"/>
      <c r="BF54" s="488"/>
      <c r="BG54" s="511"/>
      <c r="BH54" s="511"/>
      <c r="BI54" s="396"/>
      <c r="BJ54" s="396"/>
      <c r="BK54" s="493"/>
      <c r="BL54" s="488"/>
      <c r="BM54" s="511"/>
      <c r="BN54" s="511"/>
      <c r="BO54" s="396"/>
      <c r="BP54" s="396"/>
      <c r="BQ54" s="493"/>
      <c r="BR54" s="488"/>
      <c r="BS54" s="511"/>
      <c r="BT54" s="511"/>
      <c r="BU54" s="396"/>
      <c r="BV54" s="396"/>
      <c r="BW54" s="493"/>
      <c r="BX54" s="488"/>
      <c r="BY54" s="511"/>
      <c r="BZ54" s="511"/>
      <c r="CA54" s="396"/>
      <c r="CB54" s="396"/>
      <c r="CC54" s="396"/>
      <c r="CD54" s="396"/>
      <c r="CE54" s="396"/>
      <c r="CF54" s="396"/>
      <c r="CG54" s="396"/>
      <c r="CH54" s="493"/>
      <c r="CI54" s="493"/>
    </row>
    <row r="55">
      <c r="A55" s="503"/>
      <c r="B55" s="503"/>
      <c r="C55" s="503"/>
      <c r="D55" s="503"/>
      <c r="E55" s="509"/>
      <c r="F55" s="509"/>
      <c r="G55" s="509"/>
      <c r="H55" s="396"/>
      <c r="I55" s="402"/>
      <c r="J55" s="468"/>
      <c r="K55" s="483" t="s">
        <v>268</v>
      </c>
      <c r="L55" s="414" t="s">
        <v>269</v>
      </c>
      <c r="M55" s="423"/>
      <c r="N55" s="485"/>
      <c r="O55" s="405" t="str">
        <f t="array" ref="O55">IF(
  N55 = 0, 
  "", 
  IFERROR(
    INDEX(
      'アイテム別限界値DB'!$K:$K, 
      MATCH(
        1, 
        ('アイテム別限界値DB'!$B:$B = K$4) * 
        ('アイテム別限界値DB'!$G:$G = K55) , 
        0
      )
    ), 
    "再製作"
  )
)
</f>
        <v/>
      </c>
      <c r="P55" s="397" t="str">
        <f t="array" ref="P55">IF(
  N55 = "", 
  "", 
  IFERROR(
    INDEX(
      'アイテム別限界値DB'!$N:$N, 
      MATCH(
        1, 
        ('アイテム別限界値DB'!$B:$B = K$4) * 
        ('アイテム別限界値DB'!$G:$G = K55), 
        0
      )
    )*$N55*M55, 
    "再製作"
  )
)
</f>
        <v/>
      </c>
      <c r="Q55" s="501"/>
      <c r="R55" s="493"/>
      <c r="S55" s="316"/>
      <c r="T55" s="317"/>
      <c r="U55" s="317"/>
      <c r="V55" s="317"/>
      <c r="W55" s="317"/>
      <c r="X55" s="493"/>
      <c r="Y55" s="468"/>
      <c r="Z55" s="448"/>
      <c r="AA55" s="386"/>
      <c r="AB55" s="386"/>
      <c r="AC55" s="396"/>
      <c r="AD55" s="396"/>
      <c r="AE55" s="501"/>
      <c r="AF55" s="497"/>
      <c r="AG55" s="510"/>
      <c r="AH55" s="386"/>
      <c r="AI55" s="386"/>
      <c r="AJ55" s="396"/>
      <c r="AK55" s="396"/>
      <c r="AL55" s="493"/>
      <c r="AM55" s="487"/>
      <c r="AN55" s="488"/>
      <c r="AO55" s="511"/>
      <c r="AP55" s="511"/>
      <c r="AQ55" s="396"/>
      <c r="AR55" s="396"/>
      <c r="AS55" s="493"/>
      <c r="AT55" s="488"/>
      <c r="AU55" s="511"/>
      <c r="AV55" s="511"/>
      <c r="AW55" s="396"/>
      <c r="AX55" s="396"/>
      <c r="AY55" s="493"/>
      <c r="AZ55" s="488"/>
      <c r="BA55" s="511"/>
      <c r="BB55" s="511"/>
      <c r="BC55" s="396"/>
      <c r="BD55" s="396"/>
      <c r="BE55" s="493"/>
      <c r="BF55" s="488"/>
      <c r="BG55" s="511"/>
      <c r="BH55" s="511"/>
      <c r="BI55" s="396"/>
      <c r="BJ55" s="396"/>
      <c r="BK55" s="493"/>
      <c r="BL55" s="488"/>
      <c r="BM55" s="511"/>
      <c r="BN55" s="511"/>
      <c r="BO55" s="396"/>
      <c r="BP55" s="396"/>
      <c r="BQ55" s="493"/>
      <c r="BR55" s="488"/>
      <c r="BS55" s="511"/>
      <c r="BT55" s="511"/>
      <c r="BU55" s="396"/>
      <c r="BV55" s="396"/>
      <c r="BW55" s="493"/>
      <c r="BX55" s="488"/>
      <c r="BY55" s="511"/>
      <c r="BZ55" s="511"/>
      <c r="CA55" s="396"/>
      <c r="CB55" s="396"/>
      <c r="CC55" s="396"/>
      <c r="CD55" s="396"/>
      <c r="CE55" s="396"/>
      <c r="CF55" s="396"/>
      <c r="CG55" s="396"/>
      <c r="CH55" s="493"/>
      <c r="CI55" s="493"/>
    </row>
    <row r="56">
      <c r="A56" s="503"/>
      <c r="B56" s="503"/>
      <c r="C56" s="503"/>
      <c r="D56" s="503"/>
      <c r="E56" s="509"/>
      <c r="F56" s="509"/>
      <c r="G56" s="509"/>
      <c r="H56" s="396"/>
      <c r="I56" s="402"/>
      <c r="J56" s="468"/>
      <c r="K56" s="483" t="s">
        <v>270</v>
      </c>
      <c r="L56" s="448" t="s">
        <v>271</v>
      </c>
      <c r="M56" s="423"/>
      <c r="N56" s="485"/>
      <c r="O56" s="405" t="str">
        <f t="array" ref="O56">IF(
  N56 = 0, 
  "", 
  IFERROR(
    INDEX(
      'アイテム別限界値DB'!$K:$K, 
      MATCH(
        1, 
        ('アイテム別限界値DB'!$B:$B = K$4) * 
        ('アイテム別限界値DB'!$G:$G = K56) , 
        0
      )
    ), 
    "再製作"
  )
)
</f>
        <v/>
      </c>
      <c r="P56" s="397" t="str">
        <f t="array" ref="P56">IF(
  N56 = "", 
  "", 
  IFERROR(
    INDEX(
      'アイテム別限界値DB'!$N:$N, 
      MATCH(
        1, 
        ('アイテム別限界値DB'!$B:$B = K$4) * 
        ('アイテム別限界値DB'!$G:$G = K56), 
        0
      )
    )*$N56*M56, 
    "再製作"
  )
)
</f>
        <v/>
      </c>
      <c r="Q56" s="501"/>
      <c r="R56" s="493"/>
      <c r="S56" s="316"/>
      <c r="T56" s="317"/>
      <c r="U56" s="317"/>
      <c r="V56" s="317"/>
      <c r="W56" s="317"/>
      <c r="X56" s="493"/>
      <c r="Y56" s="468"/>
      <c r="Z56" s="448"/>
      <c r="AA56" s="386"/>
      <c r="AB56" s="386"/>
      <c r="AC56" s="396"/>
      <c r="AD56" s="396"/>
      <c r="AE56" s="501"/>
      <c r="AF56" s="497"/>
      <c r="AG56" s="510"/>
      <c r="AH56" s="386"/>
      <c r="AI56" s="386"/>
      <c r="AJ56" s="396"/>
      <c r="AK56" s="396"/>
      <c r="AL56" s="493"/>
      <c r="AM56" s="487"/>
      <c r="AN56" s="488"/>
      <c r="AO56" s="511"/>
      <c r="AP56" s="511"/>
      <c r="AQ56" s="396"/>
      <c r="AR56" s="396"/>
      <c r="AS56" s="493"/>
      <c r="AT56" s="488"/>
      <c r="AU56" s="511"/>
      <c r="AV56" s="511"/>
      <c r="AW56" s="396"/>
      <c r="AX56" s="396"/>
      <c r="AY56" s="493"/>
      <c r="AZ56" s="488"/>
      <c r="BA56" s="511"/>
      <c r="BB56" s="511"/>
      <c r="BC56" s="396"/>
      <c r="BD56" s="396"/>
      <c r="BE56" s="493"/>
      <c r="BF56" s="488"/>
      <c r="BG56" s="511"/>
      <c r="BH56" s="511"/>
      <c r="BI56" s="396"/>
      <c r="BJ56" s="396"/>
      <c r="BK56" s="493"/>
      <c r="BL56" s="488"/>
      <c r="BM56" s="511"/>
      <c r="BN56" s="511"/>
      <c r="BO56" s="396"/>
      <c r="BP56" s="396"/>
      <c r="BQ56" s="493"/>
      <c r="BR56" s="488"/>
      <c r="BS56" s="511"/>
      <c r="BT56" s="511"/>
      <c r="BU56" s="396"/>
      <c r="BV56" s="396"/>
      <c r="BW56" s="493"/>
      <c r="BX56" s="488"/>
      <c r="BY56" s="511"/>
      <c r="BZ56" s="511"/>
      <c r="CA56" s="396"/>
      <c r="CB56" s="396"/>
      <c r="CC56" s="396"/>
      <c r="CD56" s="396"/>
      <c r="CE56" s="396"/>
      <c r="CF56" s="396"/>
      <c r="CG56" s="396"/>
      <c r="CH56" s="493"/>
      <c r="CI56" s="493"/>
    </row>
    <row r="57">
      <c r="A57" s="503"/>
      <c r="B57" s="503"/>
      <c r="C57" s="503"/>
      <c r="D57" s="503"/>
      <c r="E57" s="509"/>
      <c r="F57" s="509"/>
      <c r="G57" s="509"/>
      <c r="H57" s="396"/>
      <c r="I57" s="402"/>
      <c r="J57" s="468"/>
      <c r="K57" s="483"/>
      <c r="L57" s="448"/>
      <c r="M57" s="386"/>
      <c r="N57" s="512"/>
      <c r="O57" s="396"/>
      <c r="P57" s="396"/>
      <c r="Q57" s="501"/>
      <c r="R57" s="493"/>
      <c r="S57" s="316"/>
      <c r="T57" s="317"/>
      <c r="U57" s="317"/>
      <c r="V57" s="317"/>
      <c r="W57" s="317"/>
      <c r="X57" s="493"/>
      <c r="Y57" s="468"/>
      <c r="Z57" s="448"/>
      <c r="AA57" s="386"/>
      <c r="AB57" s="386"/>
      <c r="AC57" s="396"/>
      <c r="AD57" s="396"/>
      <c r="AE57" s="501"/>
      <c r="AF57" s="497"/>
      <c r="AG57" s="510"/>
      <c r="AH57" s="386"/>
      <c r="AI57" s="386"/>
      <c r="AJ57" s="396"/>
      <c r="AK57" s="396"/>
      <c r="AL57" s="493"/>
      <c r="AM57" s="487"/>
      <c r="AN57" s="488"/>
      <c r="AO57" s="511"/>
      <c r="AP57" s="511"/>
      <c r="AQ57" s="396"/>
      <c r="AR57" s="396"/>
      <c r="AS57" s="493"/>
      <c r="AT57" s="488"/>
      <c r="AU57" s="511"/>
      <c r="AV57" s="511"/>
      <c r="AW57" s="396"/>
      <c r="AX57" s="396"/>
      <c r="AY57" s="493"/>
      <c r="AZ57" s="488"/>
      <c r="BA57" s="511"/>
      <c r="BB57" s="511"/>
      <c r="BC57" s="396"/>
      <c r="BD57" s="396"/>
      <c r="BE57" s="493"/>
      <c r="BF57" s="488"/>
      <c r="BG57" s="511"/>
      <c r="BH57" s="511"/>
      <c r="BI57" s="396"/>
      <c r="BJ57" s="396"/>
      <c r="BK57" s="493"/>
      <c r="BL57" s="488"/>
      <c r="BM57" s="511"/>
      <c r="BN57" s="511"/>
      <c r="BO57" s="396"/>
      <c r="BP57" s="396"/>
      <c r="BQ57" s="493"/>
      <c r="BR57" s="488"/>
      <c r="BS57" s="511"/>
      <c r="BT57" s="511"/>
      <c r="BU57" s="396"/>
      <c r="BV57" s="396"/>
      <c r="BW57" s="493"/>
      <c r="BX57" s="488"/>
      <c r="BY57" s="511"/>
      <c r="BZ57" s="511"/>
      <c r="CA57" s="396"/>
      <c r="CB57" s="396"/>
      <c r="CC57" s="396"/>
      <c r="CD57" s="396"/>
      <c r="CE57" s="396"/>
      <c r="CF57" s="396"/>
      <c r="CG57" s="396"/>
      <c r="CH57" s="493"/>
      <c r="CI57" s="493"/>
    </row>
    <row r="58">
      <c r="A58" s="503"/>
      <c r="B58" s="503"/>
      <c r="C58" s="503"/>
      <c r="D58" s="503"/>
      <c r="E58" s="509"/>
      <c r="F58" s="509"/>
      <c r="G58" s="509"/>
      <c r="H58" s="396"/>
      <c r="I58" s="402"/>
      <c r="J58" s="468"/>
      <c r="K58" s="483"/>
      <c r="L58" s="448"/>
      <c r="M58" s="386"/>
      <c r="N58" s="512"/>
      <c r="O58" s="396"/>
      <c r="P58" s="396"/>
      <c r="Q58" s="501"/>
      <c r="R58" s="493"/>
      <c r="S58" s="316"/>
      <c r="T58" s="317"/>
      <c r="U58" s="317"/>
      <c r="V58" s="317"/>
      <c r="W58" s="317"/>
      <c r="X58" s="493"/>
      <c r="Y58" s="468"/>
      <c r="Z58" s="448"/>
      <c r="AA58" s="386"/>
      <c r="AB58" s="386"/>
      <c r="AC58" s="396"/>
      <c r="AD58" s="396"/>
      <c r="AE58" s="501"/>
      <c r="AF58" s="497"/>
      <c r="AG58" s="510"/>
      <c r="AH58" s="386"/>
      <c r="AI58" s="386"/>
      <c r="AJ58" s="396"/>
      <c r="AK58" s="396"/>
      <c r="AL58" s="493"/>
      <c r="AM58" s="487"/>
      <c r="AN58" s="488"/>
      <c r="AO58" s="511"/>
      <c r="AP58" s="511"/>
      <c r="AQ58" s="396"/>
      <c r="AR58" s="396"/>
      <c r="AS58" s="493"/>
      <c r="AT58" s="488"/>
      <c r="AU58" s="511"/>
      <c r="AV58" s="511"/>
      <c r="AW58" s="396"/>
      <c r="AX58" s="396"/>
      <c r="AY58" s="493"/>
      <c r="AZ58" s="488"/>
      <c r="BA58" s="511"/>
      <c r="BB58" s="511"/>
      <c r="BC58" s="396"/>
      <c r="BD58" s="396"/>
      <c r="BE58" s="493"/>
      <c r="BF58" s="488"/>
      <c r="BG58" s="511"/>
      <c r="BH58" s="511"/>
      <c r="BI58" s="396"/>
      <c r="BJ58" s="396"/>
      <c r="BK58" s="493"/>
      <c r="BL58" s="488"/>
      <c r="BM58" s="511"/>
      <c r="BN58" s="511"/>
      <c r="BO58" s="396"/>
      <c r="BP58" s="396"/>
      <c r="BQ58" s="493"/>
      <c r="BR58" s="488"/>
      <c r="BS58" s="511"/>
      <c r="BT58" s="511"/>
      <c r="BU58" s="396"/>
      <c r="BV58" s="396"/>
      <c r="BW58" s="493"/>
      <c r="BX58" s="488"/>
      <c r="BY58" s="511"/>
      <c r="BZ58" s="511"/>
      <c r="CA58" s="396"/>
      <c r="CB58" s="396"/>
      <c r="CC58" s="396"/>
      <c r="CD58" s="396"/>
      <c r="CE58" s="396"/>
      <c r="CF58" s="396"/>
      <c r="CG58" s="396"/>
      <c r="CH58" s="493"/>
      <c r="CI58" s="493"/>
    </row>
    <row r="59">
      <c r="A59" s="503"/>
      <c r="B59" s="503"/>
      <c r="C59" s="503"/>
      <c r="D59" s="503"/>
      <c r="E59" s="509"/>
      <c r="F59" s="509"/>
      <c r="G59" s="509"/>
      <c r="H59" s="396"/>
      <c r="I59" s="402"/>
      <c r="J59" s="468"/>
      <c r="K59" s="483"/>
      <c r="L59" s="448"/>
      <c r="M59" s="386"/>
      <c r="N59" s="512"/>
      <c r="O59" s="396"/>
      <c r="P59" s="396"/>
      <c r="Q59" s="501"/>
      <c r="R59" s="493"/>
      <c r="S59" s="316"/>
      <c r="T59" s="317"/>
      <c r="U59" s="317"/>
      <c r="V59" s="317"/>
      <c r="W59" s="317"/>
      <c r="X59" s="493"/>
      <c r="Y59" s="468"/>
      <c r="Z59" s="448"/>
      <c r="AA59" s="386"/>
      <c r="AB59" s="386"/>
      <c r="AC59" s="396"/>
      <c r="AD59" s="396"/>
      <c r="AE59" s="501"/>
      <c r="AF59" s="497"/>
      <c r="AG59" s="510"/>
      <c r="AH59" s="386"/>
      <c r="AI59" s="386"/>
      <c r="AJ59" s="396"/>
      <c r="AK59" s="396"/>
      <c r="AL59" s="493"/>
      <c r="AM59" s="487"/>
      <c r="AN59" s="488"/>
      <c r="AO59" s="511"/>
      <c r="AP59" s="511"/>
      <c r="AQ59" s="396"/>
      <c r="AR59" s="396"/>
      <c r="AS59" s="493"/>
      <c r="AT59" s="488"/>
      <c r="AU59" s="511"/>
      <c r="AV59" s="511"/>
      <c r="AW59" s="396"/>
      <c r="AX59" s="396"/>
      <c r="AY59" s="493"/>
      <c r="AZ59" s="488"/>
      <c r="BA59" s="511"/>
      <c r="BB59" s="511"/>
      <c r="BC59" s="396"/>
      <c r="BD59" s="396"/>
      <c r="BE59" s="493"/>
      <c r="BF59" s="488"/>
      <c r="BG59" s="511"/>
      <c r="BH59" s="511"/>
      <c r="BI59" s="396"/>
      <c r="BJ59" s="396"/>
      <c r="BK59" s="493"/>
      <c r="BL59" s="488"/>
      <c r="BM59" s="511"/>
      <c r="BN59" s="511"/>
      <c r="BO59" s="396"/>
      <c r="BP59" s="396"/>
      <c r="BQ59" s="493"/>
      <c r="BR59" s="488"/>
      <c r="BS59" s="511"/>
      <c r="BT59" s="511"/>
      <c r="BU59" s="396"/>
      <c r="BV59" s="396"/>
      <c r="BW59" s="493"/>
      <c r="BX59" s="488"/>
      <c r="BY59" s="511"/>
      <c r="BZ59" s="511"/>
      <c r="CA59" s="396"/>
      <c r="CB59" s="396"/>
      <c r="CC59" s="396"/>
      <c r="CD59" s="396"/>
      <c r="CE59" s="396"/>
      <c r="CF59" s="396"/>
      <c r="CG59" s="396"/>
      <c r="CH59" s="493"/>
      <c r="CI59" s="493"/>
    </row>
    <row r="60">
      <c r="A60" s="503"/>
      <c r="B60" s="503"/>
      <c r="C60" s="503"/>
      <c r="D60" s="503"/>
      <c r="E60" s="509"/>
      <c r="F60" s="509"/>
      <c r="G60" s="509"/>
      <c r="H60" s="396"/>
      <c r="I60" s="402"/>
      <c r="J60" s="468"/>
      <c r="K60" s="483"/>
      <c r="L60" s="448"/>
      <c r="M60" s="386"/>
      <c r="N60" s="512"/>
      <c r="O60" s="396"/>
      <c r="P60" s="396"/>
      <c r="Q60" s="501"/>
      <c r="R60" s="493"/>
      <c r="S60" s="316"/>
      <c r="T60" s="317"/>
      <c r="U60" s="317"/>
      <c r="V60" s="317"/>
      <c r="W60" s="317"/>
      <c r="X60" s="493"/>
      <c r="Y60" s="468"/>
      <c r="Z60" s="448"/>
      <c r="AA60" s="386"/>
      <c r="AB60" s="386"/>
      <c r="AC60" s="396"/>
      <c r="AD60" s="396"/>
      <c r="AE60" s="501"/>
      <c r="AF60" s="497"/>
      <c r="AG60" s="510"/>
      <c r="AH60" s="386"/>
      <c r="AI60" s="386"/>
      <c r="AJ60" s="396"/>
      <c r="AK60" s="396"/>
      <c r="AL60" s="493"/>
      <c r="AM60" s="487"/>
      <c r="AN60" s="488"/>
      <c r="AO60" s="511"/>
      <c r="AP60" s="511"/>
      <c r="AQ60" s="396"/>
      <c r="AR60" s="396"/>
      <c r="AS60" s="493"/>
      <c r="AT60" s="488"/>
      <c r="AU60" s="511"/>
      <c r="AV60" s="511"/>
      <c r="AW60" s="396"/>
      <c r="AX60" s="396"/>
      <c r="AY60" s="493"/>
      <c r="AZ60" s="488"/>
      <c r="BA60" s="511"/>
      <c r="BB60" s="511"/>
      <c r="BC60" s="396"/>
      <c r="BD60" s="396"/>
      <c r="BE60" s="493"/>
      <c r="BF60" s="488"/>
      <c r="BG60" s="511"/>
      <c r="BH60" s="511"/>
      <c r="BI60" s="396"/>
      <c r="BJ60" s="396"/>
      <c r="BK60" s="493"/>
      <c r="BL60" s="488"/>
      <c r="BM60" s="511"/>
      <c r="BN60" s="511"/>
      <c r="BO60" s="396"/>
      <c r="BP60" s="396"/>
      <c r="BQ60" s="493"/>
      <c r="BR60" s="488"/>
      <c r="BS60" s="511"/>
      <c r="BT60" s="511"/>
      <c r="BU60" s="396"/>
      <c r="BV60" s="396"/>
      <c r="BW60" s="493"/>
      <c r="BX60" s="488"/>
      <c r="BY60" s="511"/>
      <c r="BZ60" s="511"/>
      <c r="CA60" s="396"/>
      <c r="CB60" s="396"/>
      <c r="CC60" s="396"/>
      <c r="CD60" s="396"/>
      <c r="CE60" s="396"/>
      <c r="CF60" s="396"/>
      <c r="CG60" s="396"/>
      <c r="CH60" s="493"/>
      <c r="CI60" s="493"/>
    </row>
    <row r="61">
      <c r="A61" s="503"/>
      <c r="B61" s="503"/>
      <c r="C61" s="503"/>
      <c r="D61" s="503"/>
      <c r="E61" s="509"/>
      <c r="F61" s="509"/>
      <c r="G61" s="509"/>
      <c r="H61" s="396"/>
      <c r="I61" s="402"/>
      <c r="J61" s="468"/>
      <c r="K61" s="483"/>
      <c r="L61" s="448"/>
      <c r="M61" s="386"/>
      <c r="N61" s="512"/>
      <c r="O61" s="396"/>
      <c r="P61" s="396"/>
      <c r="Q61" s="501"/>
      <c r="R61" s="493"/>
      <c r="S61" s="316"/>
      <c r="T61" s="317"/>
      <c r="U61" s="317"/>
      <c r="V61" s="317"/>
      <c r="W61" s="317"/>
      <c r="X61" s="493"/>
      <c r="Y61" s="468"/>
      <c r="Z61" s="448"/>
      <c r="AA61" s="386"/>
      <c r="AB61" s="386"/>
      <c r="AC61" s="396"/>
      <c r="AD61" s="396"/>
      <c r="AE61" s="501"/>
      <c r="AF61" s="497"/>
      <c r="AG61" s="510"/>
      <c r="AH61" s="386"/>
      <c r="AI61" s="386"/>
      <c r="AJ61" s="396"/>
      <c r="AK61" s="396"/>
      <c r="AL61" s="493"/>
      <c r="AM61" s="487"/>
      <c r="AN61" s="488"/>
      <c r="AO61" s="511"/>
      <c r="AP61" s="511"/>
      <c r="AQ61" s="396"/>
      <c r="AR61" s="396"/>
      <c r="AS61" s="493"/>
      <c r="AT61" s="488"/>
      <c r="AU61" s="511"/>
      <c r="AV61" s="511"/>
      <c r="AW61" s="396"/>
      <c r="AX61" s="396"/>
      <c r="AY61" s="493"/>
      <c r="AZ61" s="488"/>
      <c r="BA61" s="511"/>
      <c r="BB61" s="511"/>
      <c r="BC61" s="396"/>
      <c r="BD61" s="396"/>
      <c r="BE61" s="493"/>
      <c r="BF61" s="488"/>
      <c r="BG61" s="511"/>
      <c r="BH61" s="511"/>
      <c r="BI61" s="396"/>
      <c r="BJ61" s="396"/>
      <c r="BK61" s="493"/>
      <c r="BL61" s="488"/>
      <c r="BM61" s="511"/>
      <c r="BN61" s="511"/>
      <c r="BO61" s="396"/>
      <c r="BP61" s="396"/>
      <c r="BQ61" s="493"/>
      <c r="BR61" s="488"/>
      <c r="BS61" s="511"/>
      <c r="BT61" s="511"/>
      <c r="BU61" s="396"/>
      <c r="BV61" s="396"/>
      <c r="BW61" s="493"/>
      <c r="BX61" s="488"/>
      <c r="BY61" s="511"/>
      <c r="BZ61" s="511"/>
      <c r="CA61" s="396"/>
      <c r="CB61" s="396"/>
      <c r="CC61" s="396"/>
      <c r="CD61" s="396"/>
      <c r="CE61" s="396"/>
      <c r="CF61" s="396"/>
      <c r="CG61" s="396"/>
      <c r="CH61" s="493"/>
      <c r="CI61" s="493"/>
    </row>
    <row r="62">
      <c r="A62" s="503"/>
      <c r="B62" s="503"/>
      <c r="C62" s="503"/>
      <c r="D62" s="503"/>
      <c r="E62" s="509"/>
      <c r="F62" s="509"/>
      <c r="G62" s="509"/>
      <c r="H62" s="396"/>
      <c r="I62" s="402"/>
      <c r="J62" s="468"/>
      <c r="K62" s="483"/>
      <c r="L62" s="448"/>
      <c r="M62" s="386"/>
      <c r="N62" s="512"/>
      <c r="O62" s="396"/>
      <c r="P62" s="396"/>
      <c r="Q62" s="501"/>
      <c r="R62" s="493"/>
      <c r="S62" s="316"/>
      <c r="T62" s="317"/>
      <c r="U62" s="317"/>
      <c r="V62" s="317"/>
      <c r="W62" s="317"/>
      <c r="X62" s="493"/>
      <c r="Y62" s="468"/>
      <c r="Z62" s="448"/>
      <c r="AA62" s="386"/>
      <c r="AB62" s="386"/>
      <c r="AC62" s="396"/>
      <c r="AD62" s="396"/>
      <c r="AE62" s="501"/>
      <c r="AF62" s="497"/>
      <c r="AG62" s="510"/>
      <c r="AH62" s="386"/>
      <c r="AI62" s="386"/>
      <c r="AJ62" s="396"/>
      <c r="AK62" s="396"/>
      <c r="AL62" s="493"/>
      <c r="AM62" s="487"/>
      <c r="AN62" s="488"/>
      <c r="AO62" s="511"/>
      <c r="AP62" s="511"/>
      <c r="AQ62" s="396"/>
      <c r="AR62" s="396"/>
      <c r="AS62" s="493"/>
      <c r="AT62" s="488"/>
      <c r="AU62" s="511"/>
      <c r="AV62" s="511"/>
      <c r="AW62" s="396"/>
      <c r="AX62" s="396"/>
      <c r="AY62" s="493"/>
      <c r="AZ62" s="488"/>
      <c r="BA62" s="511"/>
      <c r="BB62" s="511"/>
      <c r="BC62" s="396"/>
      <c r="BD62" s="396"/>
      <c r="BE62" s="493"/>
      <c r="BF62" s="488"/>
      <c r="BG62" s="511"/>
      <c r="BH62" s="511"/>
      <c r="BI62" s="396"/>
      <c r="BJ62" s="396"/>
      <c r="BK62" s="493"/>
      <c r="BL62" s="488"/>
      <c r="BM62" s="511"/>
      <c r="BN62" s="511"/>
      <c r="BO62" s="396"/>
      <c r="BP62" s="396"/>
      <c r="BQ62" s="493"/>
      <c r="BR62" s="488"/>
      <c r="BS62" s="511"/>
      <c r="BT62" s="511"/>
      <c r="BU62" s="396"/>
      <c r="BV62" s="396"/>
      <c r="BW62" s="493"/>
      <c r="BX62" s="488"/>
      <c r="BY62" s="511"/>
      <c r="BZ62" s="511"/>
      <c r="CA62" s="396"/>
      <c r="CB62" s="396"/>
      <c r="CC62" s="396"/>
      <c r="CD62" s="396"/>
      <c r="CE62" s="396"/>
      <c r="CF62" s="396"/>
      <c r="CG62" s="396"/>
      <c r="CH62" s="493"/>
      <c r="CI62" s="493"/>
    </row>
    <row r="63">
      <c r="A63" s="503"/>
      <c r="B63" s="503"/>
      <c r="C63" s="503"/>
      <c r="D63" s="503"/>
      <c r="E63" s="509"/>
      <c r="F63" s="509"/>
      <c r="G63" s="509"/>
      <c r="H63" s="396"/>
      <c r="I63" s="402"/>
      <c r="J63" s="468"/>
      <c r="K63" s="483"/>
      <c r="L63" s="448"/>
      <c r="M63" s="386"/>
      <c r="N63" s="512"/>
      <c r="O63" s="396"/>
      <c r="P63" s="396"/>
      <c r="Q63" s="501"/>
      <c r="R63" s="493"/>
      <c r="S63" s="316"/>
      <c r="T63" s="317"/>
      <c r="U63" s="317"/>
      <c r="V63" s="317"/>
      <c r="W63" s="317"/>
      <c r="X63" s="493"/>
      <c r="Y63" s="468"/>
      <c r="Z63" s="448"/>
      <c r="AA63" s="386"/>
      <c r="AB63" s="386"/>
      <c r="AC63" s="396"/>
      <c r="AD63" s="396"/>
      <c r="AE63" s="501"/>
      <c r="AF63" s="497"/>
      <c r="AG63" s="510"/>
      <c r="AH63" s="386"/>
      <c r="AI63" s="386"/>
      <c r="AJ63" s="396"/>
      <c r="AK63" s="396"/>
      <c r="AL63" s="493"/>
      <c r="AM63" s="487"/>
      <c r="AN63" s="488"/>
      <c r="AO63" s="511"/>
      <c r="AP63" s="511"/>
      <c r="AQ63" s="396"/>
      <c r="AR63" s="396"/>
      <c r="AS63" s="493"/>
      <c r="AT63" s="488"/>
      <c r="AU63" s="511"/>
      <c r="AV63" s="511"/>
      <c r="AW63" s="396"/>
      <c r="AX63" s="396"/>
      <c r="AY63" s="493"/>
      <c r="AZ63" s="488"/>
      <c r="BA63" s="511"/>
      <c r="BB63" s="511"/>
      <c r="BC63" s="396"/>
      <c r="BD63" s="396"/>
      <c r="BE63" s="493"/>
      <c r="BF63" s="488"/>
      <c r="BG63" s="511"/>
      <c r="BH63" s="511"/>
      <c r="BI63" s="396"/>
      <c r="BJ63" s="396"/>
      <c r="BK63" s="493"/>
      <c r="BL63" s="488"/>
      <c r="BM63" s="511"/>
      <c r="BN63" s="511"/>
      <c r="BO63" s="396"/>
      <c r="BP63" s="396"/>
      <c r="BQ63" s="493"/>
      <c r="BR63" s="488"/>
      <c r="BS63" s="511"/>
      <c r="BT63" s="511"/>
      <c r="BU63" s="396"/>
      <c r="BV63" s="396"/>
      <c r="BW63" s="493"/>
      <c r="BX63" s="488"/>
      <c r="BY63" s="511"/>
      <c r="BZ63" s="511"/>
      <c r="CA63" s="396"/>
      <c r="CB63" s="396"/>
      <c r="CC63" s="396"/>
      <c r="CD63" s="396"/>
      <c r="CE63" s="396"/>
      <c r="CF63" s="396"/>
      <c r="CG63" s="396"/>
      <c r="CH63" s="493"/>
      <c r="CI63" s="493"/>
    </row>
    <row r="64">
      <c r="A64" s="503"/>
      <c r="B64" s="503"/>
      <c r="C64" s="503"/>
      <c r="D64" s="503"/>
      <c r="E64" s="509"/>
      <c r="F64" s="509"/>
      <c r="G64" s="509"/>
      <c r="H64" s="396"/>
      <c r="I64" s="402"/>
      <c r="J64" s="468"/>
      <c r="K64" s="483"/>
      <c r="L64" s="448"/>
      <c r="M64" s="386"/>
      <c r="N64" s="512"/>
      <c r="O64" s="396"/>
      <c r="P64" s="396"/>
      <c r="Q64" s="501"/>
      <c r="R64" s="493"/>
      <c r="S64" s="316"/>
      <c r="T64" s="317"/>
      <c r="U64" s="317"/>
      <c r="V64" s="317"/>
      <c r="W64" s="317"/>
      <c r="X64" s="493"/>
      <c r="Y64" s="468"/>
      <c r="Z64" s="448"/>
      <c r="AA64" s="386"/>
      <c r="AB64" s="386"/>
      <c r="AC64" s="396"/>
      <c r="AD64" s="396"/>
      <c r="AE64" s="501"/>
      <c r="AF64" s="497"/>
      <c r="AG64" s="510"/>
      <c r="AH64" s="386"/>
      <c r="AI64" s="386"/>
      <c r="AJ64" s="396"/>
      <c r="AK64" s="396"/>
      <c r="AL64" s="493"/>
      <c r="AM64" s="487"/>
      <c r="AN64" s="488"/>
      <c r="AO64" s="511"/>
      <c r="AP64" s="511"/>
      <c r="AQ64" s="396"/>
      <c r="AR64" s="396"/>
      <c r="AS64" s="493"/>
      <c r="AT64" s="488"/>
      <c r="AU64" s="511"/>
      <c r="AV64" s="511"/>
      <c r="AW64" s="396"/>
      <c r="AX64" s="396"/>
      <c r="AY64" s="493"/>
      <c r="AZ64" s="488"/>
      <c r="BA64" s="511"/>
      <c r="BB64" s="511"/>
      <c r="BC64" s="396"/>
      <c r="BD64" s="396"/>
      <c r="BE64" s="493"/>
      <c r="BF64" s="488"/>
      <c r="BG64" s="511"/>
      <c r="BH64" s="511"/>
      <c r="BI64" s="396"/>
      <c r="BJ64" s="396"/>
      <c r="BK64" s="493"/>
      <c r="BL64" s="488"/>
      <c r="BM64" s="511"/>
      <c r="BN64" s="511"/>
      <c r="BO64" s="396"/>
      <c r="BP64" s="396"/>
      <c r="BQ64" s="493"/>
      <c r="BR64" s="488"/>
      <c r="BS64" s="511"/>
      <c r="BT64" s="511"/>
      <c r="BU64" s="396"/>
      <c r="BV64" s="396"/>
      <c r="BW64" s="493"/>
      <c r="BX64" s="488"/>
      <c r="BY64" s="511"/>
      <c r="BZ64" s="511"/>
      <c r="CA64" s="396"/>
      <c r="CB64" s="396"/>
      <c r="CC64" s="396"/>
      <c r="CD64" s="396"/>
      <c r="CE64" s="396"/>
      <c r="CF64" s="396"/>
      <c r="CG64" s="396"/>
      <c r="CH64" s="493"/>
      <c r="CI64" s="493"/>
    </row>
    <row r="65">
      <c r="A65" s="503"/>
      <c r="B65" s="503"/>
      <c r="C65" s="503"/>
      <c r="D65" s="503"/>
      <c r="E65" s="509"/>
      <c r="F65" s="509"/>
      <c r="G65" s="509"/>
      <c r="H65" s="396"/>
      <c r="I65" s="402"/>
      <c r="J65" s="468"/>
      <c r="K65" s="483"/>
      <c r="L65" s="448"/>
      <c r="M65" s="386"/>
      <c r="N65" s="512"/>
      <c r="O65" s="396"/>
      <c r="P65" s="396"/>
      <c r="Q65" s="501"/>
      <c r="R65" s="493"/>
      <c r="S65" s="316"/>
      <c r="T65" s="317"/>
      <c r="U65" s="317"/>
      <c r="V65" s="317"/>
      <c r="W65" s="317"/>
      <c r="X65" s="493"/>
      <c r="Y65" s="468"/>
      <c r="Z65" s="448"/>
      <c r="AA65" s="386"/>
      <c r="AB65" s="386"/>
      <c r="AC65" s="396"/>
      <c r="AD65" s="396"/>
      <c r="AE65" s="501"/>
      <c r="AF65" s="497"/>
      <c r="AG65" s="510"/>
      <c r="AH65" s="386"/>
      <c r="AI65" s="386"/>
      <c r="AJ65" s="396"/>
      <c r="AK65" s="396"/>
      <c r="AL65" s="493"/>
      <c r="AM65" s="487"/>
      <c r="AN65" s="488"/>
      <c r="AO65" s="511"/>
      <c r="AP65" s="511"/>
      <c r="AQ65" s="396"/>
      <c r="AR65" s="396"/>
      <c r="AS65" s="493"/>
      <c r="AT65" s="488"/>
      <c r="AU65" s="511"/>
      <c r="AV65" s="511"/>
      <c r="AW65" s="396"/>
      <c r="AX65" s="396"/>
      <c r="AY65" s="493"/>
      <c r="AZ65" s="488"/>
      <c r="BA65" s="511"/>
      <c r="BB65" s="511"/>
      <c r="BC65" s="396"/>
      <c r="BD65" s="396"/>
      <c r="BE65" s="493"/>
      <c r="BF65" s="488"/>
      <c r="BG65" s="511"/>
      <c r="BH65" s="511"/>
      <c r="BI65" s="396"/>
      <c r="BJ65" s="396"/>
      <c r="BK65" s="493"/>
      <c r="BL65" s="488"/>
      <c r="BM65" s="511"/>
      <c r="BN65" s="511"/>
      <c r="BO65" s="396"/>
      <c r="BP65" s="396"/>
      <c r="BQ65" s="493"/>
      <c r="BR65" s="488"/>
      <c r="BS65" s="511"/>
      <c r="BT65" s="511"/>
      <c r="BU65" s="396"/>
      <c r="BV65" s="396"/>
      <c r="BW65" s="493"/>
      <c r="BX65" s="488"/>
      <c r="BY65" s="511"/>
      <c r="BZ65" s="511"/>
      <c r="CA65" s="396"/>
      <c r="CB65" s="396"/>
      <c r="CC65" s="396"/>
      <c r="CD65" s="396"/>
      <c r="CE65" s="396"/>
      <c r="CF65" s="396"/>
      <c r="CG65" s="396"/>
      <c r="CH65" s="493"/>
      <c r="CI65" s="493"/>
    </row>
    <row r="66">
      <c r="A66" s="503"/>
      <c r="B66" s="503"/>
      <c r="C66" s="503"/>
      <c r="D66" s="503"/>
      <c r="E66" s="509"/>
      <c r="F66" s="509"/>
      <c r="G66" s="509"/>
      <c r="H66" s="396"/>
      <c r="I66" s="402"/>
      <c r="J66" s="468"/>
      <c r="K66" s="483"/>
      <c r="L66" s="448"/>
      <c r="M66" s="386"/>
      <c r="N66" s="512"/>
      <c r="O66" s="396"/>
      <c r="P66" s="396"/>
      <c r="Q66" s="501"/>
      <c r="R66" s="493"/>
      <c r="S66" s="316"/>
      <c r="T66" s="317"/>
      <c r="U66" s="317"/>
      <c r="V66" s="317"/>
      <c r="W66" s="317"/>
      <c r="X66" s="493"/>
      <c r="Y66" s="468"/>
      <c r="Z66" s="448"/>
      <c r="AA66" s="386"/>
      <c r="AB66" s="386"/>
      <c r="AC66" s="396"/>
      <c r="AD66" s="396"/>
      <c r="AE66" s="501"/>
      <c r="AF66" s="497"/>
      <c r="AG66" s="510"/>
      <c r="AH66" s="386"/>
      <c r="AI66" s="386"/>
      <c r="AJ66" s="396"/>
      <c r="AK66" s="396"/>
      <c r="AL66" s="493"/>
      <c r="AM66" s="487"/>
      <c r="AN66" s="488"/>
      <c r="AO66" s="511"/>
      <c r="AP66" s="511"/>
      <c r="AQ66" s="396"/>
      <c r="AR66" s="396"/>
      <c r="AS66" s="493"/>
      <c r="AT66" s="488"/>
      <c r="AU66" s="511"/>
      <c r="AV66" s="511"/>
      <c r="AW66" s="396"/>
      <c r="AX66" s="396"/>
      <c r="AY66" s="493"/>
      <c r="AZ66" s="488"/>
      <c r="BA66" s="511"/>
      <c r="BB66" s="511"/>
      <c r="BC66" s="396"/>
      <c r="BD66" s="396"/>
      <c r="BE66" s="493"/>
      <c r="BF66" s="488"/>
      <c r="BG66" s="511"/>
      <c r="BH66" s="511"/>
      <c r="BI66" s="396"/>
      <c r="BJ66" s="396"/>
      <c r="BK66" s="493"/>
      <c r="BL66" s="488"/>
      <c r="BM66" s="511"/>
      <c r="BN66" s="511"/>
      <c r="BO66" s="396"/>
      <c r="BP66" s="396"/>
      <c r="BQ66" s="493"/>
      <c r="BR66" s="488"/>
      <c r="BS66" s="511"/>
      <c r="BT66" s="511"/>
      <c r="BU66" s="396"/>
      <c r="BV66" s="396"/>
      <c r="BW66" s="493"/>
      <c r="BX66" s="488"/>
      <c r="BY66" s="511"/>
      <c r="BZ66" s="511"/>
      <c r="CA66" s="396"/>
      <c r="CB66" s="396"/>
      <c r="CC66" s="396"/>
      <c r="CD66" s="396"/>
      <c r="CE66" s="396"/>
      <c r="CF66" s="396"/>
      <c r="CG66" s="396"/>
      <c r="CH66" s="493"/>
      <c r="CI66" s="493"/>
    </row>
    <row r="67">
      <c r="A67" s="503"/>
      <c r="B67" s="503"/>
      <c r="C67" s="503"/>
      <c r="D67" s="503"/>
      <c r="E67" s="509"/>
      <c r="F67" s="509"/>
      <c r="G67" s="509"/>
      <c r="H67" s="396"/>
      <c r="I67" s="402"/>
      <c r="J67" s="468"/>
      <c r="K67" s="483"/>
      <c r="L67" s="448"/>
      <c r="M67" s="386"/>
      <c r="N67" s="512"/>
      <c r="O67" s="396"/>
      <c r="P67" s="396"/>
      <c r="Q67" s="501"/>
      <c r="R67" s="493"/>
      <c r="S67" s="316"/>
      <c r="T67" s="317"/>
      <c r="U67" s="317"/>
      <c r="V67" s="317"/>
      <c r="W67" s="317"/>
      <c r="X67" s="493"/>
      <c r="Y67" s="468"/>
      <c r="Z67" s="448"/>
      <c r="AA67" s="386"/>
      <c r="AB67" s="386"/>
      <c r="AC67" s="396"/>
      <c r="AD67" s="396"/>
      <c r="AE67" s="501"/>
      <c r="AF67" s="497"/>
      <c r="AG67" s="510"/>
      <c r="AH67" s="386"/>
      <c r="AI67" s="386"/>
      <c r="AJ67" s="396"/>
      <c r="AK67" s="396"/>
      <c r="AL67" s="493"/>
      <c r="AM67" s="487"/>
      <c r="AN67" s="488"/>
      <c r="AO67" s="511"/>
      <c r="AP67" s="511"/>
      <c r="AQ67" s="396"/>
      <c r="AR67" s="396"/>
      <c r="AS67" s="493"/>
      <c r="AT67" s="488"/>
      <c r="AU67" s="511"/>
      <c r="AV67" s="511"/>
      <c r="AW67" s="396"/>
      <c r="AX67" s="396"/>
      <c r="AY67" s="493"/>
      <c r="AZ67" s="488"/>
      <c r="BA67" s="511"/>
      <c r="BB67" s="511"/>
      <c r="BC67" s="396"/>
      <c r="BD67" s="396"/>
      <c r="BE67" s="493"/>
      <c r="BF67" s="488"/>
      <c r="BG67" s="511"/>
      <c r="BH67" s="511"/>
      <c r="BI67" s="396"/>
      <c r="BJ67" s="396"/>
      <c r="BK67" s="493"/>
      <c r="BL67" s="488"/>
      <c r="BM67" s="511"/>
      <c r="BN67" s="511"/>
      <c r="BO67" s="396"/>
      <c r="BP67" s="396"/>
      <c r="BQ67" s="493"/>
      <c r="BR67" s="488"/>
      <c r="BS67" s="511"/>
      <c r="BT67" s="511"/>
      <c r="BU67" s="396"/>
      <c r="BV67" s="396"/>
      <c r="BW67" s="493"/>
      <c r="BX67" s="488"/>
      <c r="BY67" s="511"/>
      <c r="BZ67" s="511"/>
      <c r="CA67" s="396"/>
      <c r="CB67" s="396"/>
      <c r="CC67" s="396"/>
      <c r="CD67" s="396"/>
      <c r="CE67" s="396"/>
      <c r="CF67" s="396"/>
      <c r="CG67" s="396"/>
      <c r="CH67" s="493"/>
      <c r="CI67" s="493"/>
    </row>
    <row r="68">
      <c r="A68" s="503"/>
      <c r="B68" s="503"/>
      <c r="C68" s="503"/>
      <c r="D68" s="503"/>
      <c r="E68" s="509"/>
      <c r="F68" s="509"/>
      <c r="G68" s="509"/>
      <c r="H68" s="396"/>
      <c r="I68" s="402"/>
      <c r="J68" s="468"/>
      <c r="K68" s="483"/>
      <c r="L68" s="448"/>
      <c r="M68" s="386"/>
      <c r="N68" s="512"/>
      <c r="O68" s="396"/>
      <c r="P68" s="396"/>
      <c r="Q68" s="501"/>
      <c r="R68" s="493"/>
      <c r="S68" s="316"/>
      <c r="T68" s="317"/>
      <c r="U68" s="317"/>
      <c r="V68" s="317"/>
      <c r="W68" s="317"/>
      <c r="X68" s="493"/>
      <c r="Y68" s="468"/>
      <c r="Z68" s="448"/>
      <c r="AA68" s="386"/>
      <c r="AB68" s="386"/>
      <c r="AC68" s="396"/>
      <c r="AD68" s="396"/>
      <c r="AE68" s="501"/>
      <c r="AF68" s="497"/>
      <c r="AG68" s="510"/>
      <c r="AH68" s="386"/>
      <c r="AI68" s="386"/>
      <c r="AJ68" s="396"/>
      <c r="AK68" s="396"/>
      <c r="AL68" s="493"/>
      <c r="AM68" s="487"/>
      <c r="AN68" s="488"/>
      <c r="AO68" s="511"/>
      <c r="AP68" s="511"/>
      <c r="AQ68" s="396"/>
      <c r="AR68" s="396"/>
      <c r="AS68" s="493"/>
      <c r="AT68" s="488"/>
      <c r="AU68" s="511"/>
      <c r="AV68" s="511"/>
      <c r="AW68" s="396"/>
      <c r="AX68" s="396"/>
      <c r="AY68" s="493"/>
      <c r="AZ68" s="488"/>
      <c r="BA68" s="511"/>
      <c r="BB68" s="511"/>
      <c r="BC68" s="396"/>
      <c r="BD68" s="396"/>
      <c r="BE68" s="493"/>
      <c r="BF68" s="488"/>
      <c r="BG68" s="511"/>
      <c r="BH68" s="511"/>
      <c r="BI68" s="396"/>
      <c r="BJ68" s="396"/>
      <c r="BK68" s="493"/>
      <c r="BL68" s="488"/>
      <c r="BM68" s="511"/>
      <c r="BN68" s="511"/>
      <c r="BO68" s="396"/>
      <c r="BP68" s="396"/>
      <c r="BQ68" s="493"/>
      <c r="BR68" s="488"/>
      <c r="BS68" s="511"/>
      <c r="BT68" s="511"/>
      <c r="BU68" s="396"/>
      <c r="BV68" s="396"/>
      <c r="BW68" s="493"/>
      <c r="BX68" s="488"/>
      <c r="BY68" s="511"/>
      <c r="BZ68" s="511"/>
      <c r="CA68" s="396"/>
      <c r="CB68" s="396"/>
      <c r="CC68" s="396"/>
      <c r="CD68" s="396"/>
      <c r="CE68" s="396"/>
      <c r="CF68" s="396"/>
      <c r="CG68" s="396"/>
      <c r="CH68" s="493"/>
      <c r="CI68" s="493"/>
    </row>
    <row r="69">
      <c r="A69" s="503"/>
      <c r="B69" s="503"/>
      <c r="C69" s="503"/>
      <c r="D69" s="503"/>
      <c r="E69" s="509"/>
      <c r="F69" s="509"/>
      <c r="G69" s="509"/>
      <c r="H69" s="396"/>
      <c r="I69" s="402"/>
      <c r="J69" s="468"/>
      <c r="K69" s="483"/>
      <c r="L69" s="448"/>
      <c r="M69" s="386"/>
      <c r="N69" s="512"/>
      <c r="O69" s="396"/>
      <c r="P69" s="396"/>
      <c r="Q69" s="501"/>
      <c r="R69" s="493"/>
      <c r="S69" s="316"/>
      <c r="T69" s="317"/>
      <c r="U69" s="317"/>
      <c r="V69" s="317"/>
      <c r="W69" s="317"/>
      <c r="X69" s="493"/>
      <c r="Y69" s="468"/>
      <c r="Z69" s="448"/>
      <c r="AA69" s="386"/>
      <c r="AB69" s="386"/>
      <c r="AC69" s="396"/>
      <c r="AD69" s="396"/>
      <c r="AE69" s="501"/>
      <c r="AF69" s="497"/>
      <c r="AG69" s="510"/>
      <c r="AH69" s="386"/>
      <c r="AI69" s="386"/>
      <c r="AJ69" s="396"/>
      <c r="AK69" s="396"/>
      <c r="AL69" s="493"/>
      <c r="AM69" s="487"/>
      <c r="AN69" s="488"/>
      <c r="AO69" s="511"/>
      <c r="AP69" s="511"/>
      <c r="AQ69" s="396"/>
      <c r="AR69" s="396"/>
      <c r="AS69" s="493"/>
      <c r="AT69" s="488"/>
      <c r="AU69" s="511"/>
      <c r="AV69" s="511"/>
      <c r="AW69" s="396"/>
      <c r="AX69" s="396"/>
      <c r="AY69" s="493"/>
      <c r="AZ69" s="488"/>
      <c r="BA69" s="511"/>
      <c r="BB69" s="511"/>
      <c r="BC69" s="396"/>
      <c r="BD69" s="396"/>
      <c r="BE69" s="493"/>
      <c r="BF69" s="488"/>
      <c r="BG69" s="511"/>
      <c r="BH69" s="511"/>
      <c r="BI69" s="396"/>
      <c r="BJ69" s="396"/>
      <c r="BK69" s="493"/>
      <c r="BL69" s="488"/>
      <c r="BM69" s="511"/>
      <c r="BN69" s="511"/>
      <c r="BO69" s="396"/>
      <c r="BP69" s="396"/>
      <c r="BQ69" s="493"/>
      <c r="BR69" s="488"/>
      <c r="BS69" s="511"/>
      <c r="BT69" s="511"/>
      <c r="BU69" s="396"/>
      <c r="BV69" s="396"/>
      <c r="BW69" s="493"/>
      <c r="BX69" s="488"/>
      <c r="BY69" s="511"/>
      <c r="BZ69" s="511"/>
      <c r="CA69" s="396"/>
      <c r="CB69" s="396"/>
      <c r="CC69" s="396"/>
      <c r="CD69" s="396"/>
      <c r="CE69" s="396"/>
      <c r="CF69" s="396"/>
      <c r="CG69" s="396"/>
      <c r="CH69" s="493"/>
      <c r="CI69" s="493"/>
    </row>
    <row r="70">
      <c r="A70" s="503"/>
      <c r="B70" s="503"/>
      <c r="C70" s="503"/>
      <c r="D70" s="503"/>
      <c r="E70" s="509"/>
      <c r="F70" s="509"/>
      <c r="G70" s="509"/>
      <c r="H70" s="396"/>
      <c r="I70" s="402"/>
      <c r="J70" s="468"/>
      <c r="K70" s="483"/>
      <c r="L70" s="448"/>
      <c r="M70" s="386"/>
      <c r="N70" s="512"/>
      <c r="O70" s="396"/>
      <c r="P70" s="396"/>
      <c r="Q70" s="501"/>
      <c r="R70" s="493"/>
      <c r="S70" s="316"/>
      <c r="T70" s="317"/>
      <c r="U70" s="317"/>
      <c r="V70" s="317"/>
      <c r="W70" s="317"/>
      <c r="X70" s="493"/>
      <c r="Y70" s="468"/>
      <c r="Z70" s="448"/>
      <c r="AA70" s="386"/>
      <c r="AB70" s="386"/>
      <c r="AC70" s="396"/>
      <c r="AD70" s="396"/>
      <c r="AE70" s="501"/>
      <c r="AF70" s="497"/>
      <c r="AG70" s="510"/>
      <c r="AH70" s="386"/>
      <c r="AI70" s="386"/>
      <c r="AJ70" s="396"/>
      <c r="AK70" s="396"/>
      <c r="AL70" s="493"/>
      <c r="AM70" s="487"/>
      <c r="AN70" s="488"/>
      <c r="AO70" s="511"/>
      <c r="AP70" s="511"/>
      <c r="AQ70" s="396"/>
      <c r="AR70" s="396"/>
      <c r="AS70" s="493"/>
      <c r="AT70" s="488"/>
      <c r="AU70" s="511"/>
      <c r="AV70" s="511"/>
      <c r="AW70" s="396"/>
      <c r="AX70" s="396"/>
      <c r="AY70" s="493"/>
      <c r="AZ70" s="488"/>
      <c r="BA70" s="511"/>
      <c r="BB70" s="511"/>
      <c r="BC70" s="396"/>
      <c r="BD70" s="396"/>
      <c r="BE70" s="493"/>
      <c r="BF70" s="488"/>
      <c r="BG70" s="511"/>
      <c r="BH70" s="511"/>
      <c r="BI70" s="396"/>
      <c r="BJ70" s="396"/>
      <c r="BK70" s="493"/>
      <c r="BL70" s="488"/>
      <c r="BM70" s="511"/>
      <c r="BN70" s="511"/>
      <c r="BO70" s="396"/>
      <c r="BP70" s="396"/>
      <c r="BQ70" s="493"/>
      <c r="BR70" s="488"/>
      <c r="BS70" s="511"/>
      <c r="BT70" s="511"/>
      <c r="BU70" s="396"/>
      <c r="BV70" s="396"/>
      <c r="BW70" s="493"/>
      <c r="BX70" s="488"/>
      <c r="BY70" s="511"/>
      <c r="BZ70" s="511"/>
      <c r="CA70" s="396"/>
      <c r="CB70" s="396"/>
      <c r="CC70" s="396"/>
      <c r="CD70" s="396"/>
      <c r="CE70" s="396"/>
      <c r="CF70" s="396"/>
      <c r="CG70" s="396"/>
      <c r="CH70" s="493"/>
      <c r="CI70" s="493"/>
    </row>
  </sheetData>
  <mergeCells count="2">
    <mergeCell ref="H2:I2"/>
    <mergeCell ref="H3:I3"/>
  </mergeCells>
  <dataValidations>
    <dataValidation type="list" allowBlank="1" sqref="D3 F3">
      <formula1>"店舗預かり,ご自宅配送"</formula1>
    </dataValidation>
  </dataValidations>
  <hyperlinks>
    <hyperlink r:id="rId1" ref="P1"/>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hidden="1" min="1" max="1" width="5.13"/>
    <col customWidth="1" hidden="1" min="2" max="2" width="30.13"/>
    <col customWidth="1" min="3" max="3" width="5.13"/>
    <col customWidth="1" min="4" max="4" width="40.13"/>
    <col customWidth="1" hidden="1" min="5" max="5" width="6.38"/>
    <col customWidth="1" min="6" max="7" width="18.88"/>
    <col customWidth="1" min="8" max="9" width="12.63"/>
    <col customWidth="1" min="10" max="10" width="6.38"/>
    <col customWidth="1" min="11" max="11" width="37.63"/>
    <col customWidth="1" hidden="1" min="12" max="12" width="9.75"/>
    <col customWidth="1" min="13" max="13" width="12.63"/>
    <col customWidth="1" min="14" max="14" width="18.88"/>
    <col customWidth="1" min="15" max="16" width="12.63"/>
    <col customWidth="1" min="17" max="17" width="6.38"/>
    <col customWidth="1" min="18" max="18" width="37.63"/>
    <col customWidth="1" hidden="1" min="19" max="19" width="6.38"/>
    <col customWidth="1" min="20" max="21" width="18.88"/>
    <col customWidth="1" min="22" max="23" width="12.63"/>
    <col customWidth="1" min="24" max="24" width="6.25"/>
    <col customWidth="1" min="25" max="25" width="37.63"/>
    <col customWidth="1" hidden="1" min="26" max="26" width="6.38"/>
    <col customWidth="1" min="27" max="28" width="18.88"/>
    <col customWidth="1" min="29" max="30" width="12.63"/>
    <col customWidth="1" min="31" max="31" width="6.38"/>
    <col customWidth="1" min="32" max="32" width="25.13"/>
    <col customWidth="1" hidden="1" min="33" max="33" width="6.38"/>
    <col customWidth="1" min="34" max="35" width="18.88"/>
    <col customWidth="1" min="36" max="37" width="12.63"/>
    <col customWidth="1" min="38" max="38" width="6.38"/>
    <col customWidth="1" min="39" max="39" width="25.13"/>
    <col customWidth="1" hidden="1" min="40" max="40" width="6.38"/>
    <col customWidth="1" min="41" max="42" width="18.88"/>
    <col customWidth="1" min="43" max="44" width="12.63"/>
    <col customWidth="1" min="45" max="45" width="7.13"/>
    <col customWidth="1" min="46" max="46" width="25.13"/>
    <col customWidth="1" min="47" max="48" width="18.88"/>
    <col customWidth="1" min="49" max="50" width="12.63"/>
    <col customWidth="1" min="51" max="51" width="7.13"/>
    <col customWidth="1" min="52" max="52" width="25.13"/>
    <col customWidth="1" min="53" max="54" width="18.88"/>
    <col customWidth="1" min="55" max="56" width="12.63"/>
    <col customWidth="1" min="57" max="57" width="7.13"/>
    <col customWidth="1" min="58" max="58" width="25.13"/>
    <col customWidth="1" min="59" max="60" width="18.88"/>
    <col customWidth="1" min="61" max="62" width="12.63"/>
    <col customWidth="1" min="63" max="63" width="7.13"/>
    <col customWidth="1" min="64" max="64" width="25.13"/>
    <col customWidth="1" min="65" max="66" width="18.88"/>
    <col customWidth="1" min="67" max="68" width="12.63"/>
    <col customWidth="1" min="69" max="69" width="7.13"/>
    <col customWidth="1" min="70" max="70" width="25.13"/>
    <col customWidth="1" min="71" max="72" width="18.88"/>
    <col customWidth="1" min="73" max="74" width="12.63"/>
    <col customWidth="1" min="75" max="75" width="7.13"/>
    <col customWidth="1" min="76" max="76" width="25.13"/>
    <col customWidth="1" min="77" max="78" width="18.88"/>
    <col customWidth="1" min="79" max="80" width="12.63"/>
    <col customWidth="1" hidden="1" min="81" max="81" width="12.63"/>
    <col customWidth="1" hidden="1" min="82" max="82" width="25.13"/>
    <col customWidth="1" hidden="1" min="83" max="85" width="12.63"/>
    <col customWidth="1" hidden="1" min="86" max="87" width="7.13"/>
  </cols>
  <sheetData>
    <row r="1" ht="67.5" customHeight="1">
      <c r="A1" s="310"/>
      <c r="B1" s="311"/>
      <c r="C1" s="311"/>
      <c r="D1" s="312" t="s">
        <v>175</v>
      </c>
      <c r="E1" s="183"/>
      <c r="H1" s="313"/>
      <c r="I1" s="314"/>
      <c r="J1" s="315"/>
      <c r="L1" s="316"/>
      <c r="M1" s="317"/>
      <c r="N1" s="317"/>
      <c r="O1" s="317"/>
      <c r="P1" s="317"/>
      <c r="R1" s="318" t="s">
        <v>176</v>
      </c>
      <c r="S1" s="319"/>
      <c r="T1" s="320"/>
      <c r="U1" s="320"/>
      <c r="V1" s="317"/>
      <c r="W1" s="317"/>
      <c r="X1" s="321"/>
      <c r="Y1" s="322"/>
      <c r="Z1" s="323"/>
      <c r="AA1" s="324"/>
      <c r="AB1" s="324"/>
      <c r="AC1" s="324"/>
      <c r="AD1" s="324"/>
      <c r="AE1" s="325"/>
      <c r="AF1" s="325"/>
      <c r="AG1" s="326"/>
      <c r="AH1" s="317"/>
      <c r="AI1" s="317"/>
      <c r="AJ1" s="317"/>
      <c r="AK1" s="317"/>
      <c r="AL1" s="327"/>
      <c r="AM1" s="328"/>
      <c r="AN1" s="329"/>
      <c r="AO1" s="330"/>
      <c r="AP1" s="330"/>
      <c r="AQ1" s="330"/>
      <c r="AR1" s="330"/>
      <c r="AS1" s="331"/>
      <c r="AT1" s="329"/>
      <c r="AU1" s="330"/>
      <c r="AV1" s="330"/>
      <c r="AW1" s="330"/>
      <c r="AX1" s="330"/>
      <c r="AY1" s="331"/>
      <c r="AZ1" s="329"/>
      <c r="BA1" s="330"/>
      <c r="BB1" s="330"/>
      <c r="BC1" s="330"/>
      <c r="BD1" s="330"/>
      <c r="BE1" s="332"/>
      <c r="BF1" s="329"/>
      <c r="BG1" s="330"/>
      <c r="BH1" s="330"/>
      <c r="BI1" s="330"/>
      <c r="BJ1" s="330"/>
      <c r="BK1" s="332"/>
      <c r="BL1" s="329"/>
      <c r="BM1" s="330"/>
      <c r="BN1" s="330"/>
      <c r="BO1" s="330"/>
      <c r="BP1" s="330"/>
      <c r="BQ1" s="332"/>
      <c r="BR1" s="329"/>
      <c r="BS1" s="330"/>
      <c r="BT1" s="330"/>
      <c r="BU1" s="330"/>
      <c r="BV1" s="330"/>
      <c r="BW1" s="332"/>
      <c r="BX1" s="329"/>
      <c r="BY1" s="330"/>
      <c r="BZ1" s="330"/>
      <c r="CA1" s="330"/>
      <c r="CB1" s="330"/>
      <c r="CC1" s="330"/>
      <c r="CD1" s="333" t="s">
        <v>177</v>
      </c>
      <c r="CE1" s="334" t="s">
        <v>178</v>
      </c>
      <c r="CF1" s="330"/>
      <c r="CG1" s="330"/>
      <c r="CH1" s="332"/>
      <c r="CI1" s="332"/>
    </row>
    <row r="2">
      <c r="A2" s="317"/>
      <c r="B2" s="317"/>
      <c r="C2" s="317"/>
      <c r="D2" s="335" t="s">
        <v>179</v>
      </c>
      <c r="E2" s="336"/>
      <c r="F2" s="337" t="s">
        <v>180</v>
      </c>
      <c r="G2" s="338" t="s">
        <v>181</v>
      </c>
      <c r="H2" s="339" t="s">
        <v>182</v>
      </c>
      <c r="I2" s="340"/>
      <c r="J2" s="317"/>
      <c r="K2" s="341" t="s">
        <v>183</v>
      </c>
      <c r="L2" s="316"/>
      <c r="M2" s="317"/>
      <c r="N2" s="342"/>
      <c r="Q2" s="317"/>
      <c r="S2" s="343"/>
      <c r="V2" s="317"/>
      <c r="W2" s="317"/>
      <c r="X2" s="344"/>
      <c r="Y2" s="345"/>
      <c r="Z2" s="323"/>
      <c r="AA2" s="324"/>
      <c r="AB2" s="324"/>
      <c r="AC2" s="324"/>
      <c r="AD2" s="324"/>
      <c r="AE2" s="324"/>
      <c r="AF2" s="324"/>
      <c r="AG2" s="326"/>
      <c r="AH2" s="317"/>
      <c r="AI2" s="317"/>
      <c r="AJ2" s="317"/>
      <c r="AK2" s="317"/>
      <c r="AL2" s="317"/>
      <c r="AM2" s="330"/>
      <c r="AN2" s="346"/>
      <c r="AO2" s="330"/>
      <c r="AP2" s="330"/>
      <c r="AQ2" s="330"/>
      <c r="AR2" s="330"/>
      <c r="AS2" s="347"/>
      <c r="AT2" s="346"/>
      <c r="AU2" s="330"/>
      <c r="AV2" s="330"/>
      <c r="AW2" s="330"/>
      <c r="AX2" s="330"/>
      <c r="AY2" s="347"/>
      <c r="AZ2" s="346"/>
      <c r="BA2" s="330"/>
      <c r="BB2" s="330"/>
      <c r="BC2" s="330"/>
      <c r="BD2" s="330"/>
      <c r="BE2" s="330"/>
      <c r="BF2" s="346"/>
      <c r="BG2" s="330"/>
      <c r="BH2" s="330"/>
      <c r="BI2" s="330"/>
      <c r="BJ2" s="330"/>
      <c r="BK2" s="330"/>
      <c r="BL2" s="346"/>
      <c r="BM2" s="330"/>
      <c r="BN2" s="330"/>
      <c r="BO2" s="330"/>
      <c r="BP2" s="330"/>
      <c r="BQ2" s="330"/>
      <c r="BR2" s="346"/>
      <c r="BS2" s="330"/>
      <c r="BT2" s="330"/>
      <c r="BU2" s="330"/>
      <c r="BV2" s="330"/>
      <c r="BW2" s="330"/>
      <c r="BX2" s="346"/>
      <c r="BY2" s="330"/>
      <c r="BZ2" s="330"/>
      <c r="CA2" s="330"/>
      <c r="CB2" s="330"/>
      <c r="CC2" s="330"/>
      <c r="CD2" s="330"/>
      <c r="CE2" s="330"/>
      <c r="CF2" s="330"/>
      <c r="CG2" s="330"/>
      <c r="CH2" s="330"/>
      <c r="CI2" s="330"/>
    </row>
    <row r="3">
      <c r="A3" s="317"/>
      <c r="B3" s="317"/>
      <c r="C3" s="317"/>
      <c r="D3" s="348"/>
      <c r="E3" s="349"/>
      <c r="F3" s="348"/>
      <c r="G3" s="350"/>
      <c r="H3" s="513">
        <f>SUMIFS('アイテム別限界値DB'!$Y$3:$Y$7,'アイテム別限界値DB'!$W$3:$W$7,$D$3,'アイテム別限界値DB'!$X$3:$X$7,$F$3)*$G$3</f>
        <v>0</v>
      </c>
      <c r="I3" s="352"/>
      <c r="J3" s="317"/>
      <c r="K3" s="353">
        <f>ROUND(SUM($D$5,$K$5,$R$5,$Y$5,$AF$5,$AM$5,$AT$5,,$AZ$5,$BF$5,$BL$5,$BR$5,$BX$5,$D$37,$K$37,$R$37,$Y$37,$AF$37,$AM$37,$AT$37,$AZ$37,$BF$37,$BL$37,$BR$37,$BX$37)+$H$3,0)</f>
        <v>5640</v>
      </c>
      <c r="L3" s="354"/>
      <c r="M3" s="355" t="s">
        <v>186</v>
      </c>
      <c r="N3" s="356"/>
      <c r="O3" s="357"/>
      <c r="P3" s="357"/>
      <c r="Q3" s="358"/>
      <c r="R3" s="359" t="s">
        <v>187</v>
      </c>
      <c r="S3" s="343"/>
      <c r="V3" s="317"/>
      <c r="W3" s="317"/>
      <c r="X3" s="344"/>
      <c r="Y3" s="345"/>
      <c r="Z3" s="323"/>
      <c r="AA3" s="324"/>
      <c r="AB3" s="324"/>
      <c r="AC3" s="324"/>
      <c r="AD3" s="324"/>
      <c r="AE3" s="324"/>
      <c r="AF3" s="324"/>
      <c r="AG3" s="326"/>
      <c r="AH3" s="317"/>
      <c r="AI3" s="317"/>
      <c r="AJ3" s="317"/>
      <c r="AK3" s="317"/>
      <c r="AL3" s="317"/>
      <c r="AM3" s="330"/>
      <c r="AN3" s="346"/>
      <c r="AO3" s="330"/>
      <c r="AP3" s="330"/>
      <c r="AQ3" s="330"/>
      <c r="AR3" s="330"/>
      <c r="AS3" s="347"/>
      <c r="AT3" s="346"/>
      <c r="AU3" s="330"/>
      <c r="AV3" s="330"/>
      <c r="AW3" s="330"/>
      <c r="AX3" s="330"/>
      <c r="AY3" s="347"/>
      <c r="AZ3" s="346"/>
      <c r="BA3" s="330"/>
      <c r="BB3" s="330"/>
      <c r="BC3" s="330"/>
      <c r="BD3" s="330"/>
      <c r="BE3" s="330"/>
      <c r="BF3" s="346"/>
      <c r="BG3" s="330"/>
      <c r="BH3" s="330"/>
      <c r="BI3" s="330"/>
      <c r="BJ3" s="330"/>
      <c r="BK3" s="330"/>
      <c r="BL3" s="346"/>
      <c r="BM3" s="330"/>
      <c r="BN3" s="330"/>
      <c r="BO3" s="330"/>
      <c r="BP3" s="330"/>
      <c r="BQ3" s="330"/>
      <c r="BR3" s="346"/>
      <c r="BS3" s="330"/>
      <c r="BT3" s="330"/>
      <c r="BU3" s="330"/>
      <c r="BV3" s="330"/>
      <c r="BW3" s="330"/>
      <c r="BX3" s="346"/>
      <c r="BY3" s="330"/>
      <c r="BZ3" s="330"/>
      <c r="CA3" s="330"/>
      <c r="CB3" s="330"/>
      <c r="CC3" s="330"/>
      <c r="CD3" s="330"/>
      <c r="CE3" s="330"/>
      <c r="CF3" s="330"/>
      <c r="CG3" s="330"/>
      <c r="CH3" s="330"/>
      <c r="CI3" s="330"/>
    </row>
    <row r="4">
      <c r="A4" s="360"/>
      <c r="B4" s="360"/>
      <c r="C4" s="360"/>
      <c r="D4" s="361" t="s">
        <v>34</v>
      </c>
      <c r="E4" s="362"/>
      <c r="F4" s="362"/>
      <c r="G4" s="362"/>
      <c r="H4" s="363"/>
      <c r="I4" s="363"/>
      <c r="J4" s="364"/>
      <c r="K4" s="365" t="s">
        <v>36</v>
      </c>
      <c r="L4" s="366"/>
      <c r="M4" s="363"/>
      <c r="N4" s="363"/>
      <c r="O4" s="363"/>
      <c r="P4" s="363"/>
      <c r="Q4" s="332"/>
      <c r="R4" s="367" t="s">
        <v>37</v>
      </c>
      <c r="S4" s="366"/>
      <c r="T4" s="363"/>
      <c r="U4" s="363"/>
      <c r="V4" s="363"/>
      <c r="W4" s="363"/>
      <c r="X4" s="327"/>
      <c r="Y4" s="368" t="s">
        <v>38</v>
      </c>
      <c r="Z4" s="366"/>
      <c r="AA4" s="363"/>
      <c r="AB4" s="363"/>
      <c r="AC4" s="363"/>
      <c r="AD4" s="363"/>
      <c r="AE4" s="332"/>
      <c r="AF4" s="299" t="s">
        <v>39</v>
      </c>
      <c r="AG4" s="369"/>
      <c r="AH4" s="363"/>
      <c r="AI4" s="363"/>
      <c r="AJ4" s="363"/>
      <c r="AK4" s="363"/>
      <c r="AL4" s="332"/>
      <c r="AM4" s="299" t="s">
        <v>40</v>
      </c>
      <c r="AN4" s="365"/>
      <c r="AO4" s="363"/>
      <c r="AP4" s="363"/>
      <c r="AQ4" s="363"/>
      <c r="AR4" s="363"/>
      <c r="AS4" s="332"/>
      <c r="AT4" s="365" t="s">
        <v>41</v>
      </c>
      <c r="AU4" s="363"/>
      <c r="AV4" s="363"/>
      <c r="AW4" s="363"/>
      <c r="AX4" s="363"/>
      <c r="AY4" s="332"/>
      <c r="AZ4" s="365" t="s">
        <v>42</v>
      </c>
      <c r="BA4" s="363"/>
      <c r="BB4" s="363"/>
      <c r="BC4" s="363"/>
      <c r="BD4" s="363"/>
      <c r="BE4" s="332"/>
      <c r="BF4" s="365" t="s">
        <v>43</v>
      </c>
      <c r="BG4" s="363"/>
      <c r="BH4" s="363"/>
      <c r="BI4" s="363"/>
      <c r="BJ4" s="363"/>
      <c r="BK4" s="332"/>
      <c r="BL4" s="365" t="s">
        <v>44</v>
      </c>
      <c r="BM4" s="363"/>
      <c r="BN4" s="363"/>
      <c r="BO4" s="363"/>
      <c r="BP4" s="363"/>
      <c r="BQ4" s="332"/>
      <c r="BR4" s="365" t="s">
        <v>45</v>
      </c>
      <c r="BS4" s="363"/>
      <c r="BT4" s="363"/>
      <c r="BU4" s="363"/>
      <c r="BV4" s="363"/>
      <c r="BW4" s="332"/>
      <c r="BX4" s="365" t="s">
        <v>46</v>
      </c>
      <c r="BY4" s="363"/>
      <c r="BZ4" s="363"/>
      <c r="CA4" s="363"/>
      <c r="CB4" s="363"/>
      <c r="CC4" s="330"/>
      <c r="CD4" s="365" t="s">
        <v>188</v>
      </c>
      <c r="CE4" s="363"/>
      <c r="CF4" s="363"/>
      <c r="CG4" s="363"/>
      <c r="CH4" s="332"/>
      <c r="CI4" s="332"/>
    </row>
    <row r="5" ht="37.5" customHeight="1">
      <c r="A5" s="370"/>
      <c r="B5" s="302" t="s">
        <v>162</v>
      </c>
      <c r="C5" s="370"/>
      <c r="D5" s="371">
        <f>round(if(sum(I7:I34)=I7, "", sum(I7:I34)) ,0)</f>
        <v>0</v>
      </c>
      <c r="E5" s="372"/>
      <c r="F5" s="373" t="s">
        <v>189</v>
      </c>
      <c r="G5" s="374" t="str">
        <f t="array" ref="G5">IFS(
  COUNTA(H$8:H34) = 0, "", 
  COUNTIF(H$8:H34, "再製作") &gt; 0, "再製作", 
  COUNTIF(H$8:H34, "&gt;0") = 1, INDEX(H$8:H34, MATCH(TRUE, ISNUMBER(H$8:H34), 0)), 
  COUNTIF(H$8:H34, "&gt;0") = 2, 'アイテム別限界値DB'!$S$4, 
  COUNTIF(H$8:H34, "&gt;0") &gt;= 3, 'アイテム別限界値DB'!$S$6, 
  TRUE, ""
)
</f>
        <v/>
      </c>
      <c r="H5" s="375" t="s">
        <v>190</v>
      </c>
      <c r="I5" s="375" t="s">
        <v>191</v>
      </c>
      <c r="J5" s="376"/>
      <c r="K5" s="371">
        <f>ROUND(
  IF(SUM(P7:P34)=P7, P7*M6, SUM(P6:P34)),
  0
)
</f>
        <v>0</v>
      </c>
      <c r="L5" s="377"/>
      <c r="M5" s="373" t="s">
        <v>192</v>
      </c>
      <c r="N5" s="374" t="str">
        <f t="array" ref="N5">IFS(
  COUNTA(O$8:O34) = 0, "", 
  COUNTIF(O$8:O34, "再製作") &gt; 0, "再製作", 
  COUNTIF(O$8:O34, "&gt;0") = 1, INDEX(O$8:O34, MATCH(TRUE, ISNUMBER(O$8:O34), 0)), 
  COUNTIF(O$8:O34, "&gt;0") = 2, 'アイテム別限界値DB'!$S$8, 
  COUNTIF(O$8:O34, "&gt;0") &gt;= 3, 'アイテム別限界値DB'!$S$10, 
  TRUE, ""
)
</f>
        <v/>
      </c>
      <c r="O5" s="375" t="s">
        <v>190</v>
      </c>
      <c r="P5" s="375" t="s">
        <v>191</v>
      </c>
      <c r="Q5" s="378"/>
      <c r="R5" s="371">
        <f>round(if(sum(W7:W34)=W7, "", sum(W7:W34)) ,0)</f>
        <v>0</v>
      </c>
      <c r="S5" s="379"/>
      <c r="T5" s="373" t="s">
        <v>189</v>
      </c>
      <c r="U5" s="374" t="str">
        <f t="array" ref="U5">IFS(
  COUNTA(V$8:V34) = 0, "", 
  COUNTIF(V$8:V34, "再製作") &gt; 0, "再製作", 
  COUNTIF(V$8:V34, "&gt;0") = 1, INDEX(V$8:V34, MATCH(TRUE, ISNUMBER(V$8:V34), 0)), 
  COUNTIF(V$8:V34, "&gt;0") = 2, 'アイテム別限界値DB'!$S$4, 
  COUNTIF(V$8:V34, "&gt;0") &gt;= 3, 'アイテム別限界値DB'!$S$6, 
  TRUE, ""
)
</f>
        <v/>
      </c>
      <c r="V5" s="375" t="s">
        <v>190</v>
      </c>
      <c r="W5" s="375" t="s">
        <v>191</v>
      </c>
      <c r="X5" s="327"/>
      <c r="Y5" s="371">
        <f>round(if(sum(AD7:AD34)=AD7, "", sum(AD7:AD34)) ,0)</f>
        <v>0</v>
      </c>
      <c r="Z5" s="379"/>
      <c r="AA5" s="373" t="s">
        <v>189</v>
      </c>
      <c r="AB5" s="374" t="str">
        <f t="array" ref="AB5">IFS(
  COUNTA(AC$8:AC34) = 0, "", 
  COUNTIF(AC$8:AC34, "再製作") &gt; 0, "再製作", 
  COUNTIF(AC$8:AC34, "&gt;0") = 1, INDEX(AC$8:AC34, MATCH(TRUE, ISNUMBER(AC$8:AC34), 0)), 
  COUNTIF(AC$8:AC34, "&gt;0") = 2, 'アイテム別限界値DB'!$S$4, 
  COUNTIF(AC$8:AC34, "&gt;0") &gt;= 3, 'アイテム別限界値DB'!$S$6, 
  TRUE, ""
)
</f>
        <v/>
      </c>
      <c r="AC5" s="375" t="s">
        <v>190</v>
      </c>
      <c r="AD5" s="375" t="s">
        <v>191</v>
      </c>
      <c r="AE5" s="380"/>
      <c r="AF5" s="371">
        <f>round(if(sum(AK7:AK34)=AK7, "", sum(AK7:AK34)) ,0)</f>
        <v>0</v>
      </c>
      <c r="AG5" s="372"/>
      <c r="AH5" s="373" t="s">
        <v>189</v>
      </c>
      <c r="AI5" s="374" t="str">
        <f t="array" ref="AI5">IFS(
  COUNTA(AJ$8:AJ34) = 0, "", 
  COUNTIF(AJ$8:AJ34, "再製作") &gt; 0, "再製作", 
  COUNTIF(AJ$8:AJ34, "&gt;0") = 1, INDEX(AJ$8:AJ34, MATCH(TRUE, ISNUMBER(AJ$8:AJ34), 0)), 
  COUNTIF(AJ$8:AJ34, "&gt;0") = 2, 'アイテム別限界値DB'!$S$4, 
  COUNTIF(AJ$8:AJ34, "&gt;0") &gt;= 3, 'アイテム別限界値DB'!$S$6, 
  TRUE, ""
)
</f>
        <v/>
      </c>
      <c r="AJ5" s="375" t="s">
        <v>190</v>
      </c>
      <c r="AK5" s="375" t="s">
        <v>191</v>
      </c>
      <c r="AL5" s="327"/>
      <c r="AM5" s="371">
        <f>round(if(sum(AR7:AR34)=AR7, "", sum(AR7:AR34)) ,0)</f>
        <v>0</v>
      </c>
      <c r="AN5" s="371"/>
      <c r="AO5" s="373" t="s">
        <v>189</v>
      </c>
      <c r="AP5" s="374" t="str">
        <f t="array" ref="AP5">IFS(
  COUNTA(AQ$8:AQ34) = 0, "", 
  COUNTIF(AQ$8:AQ34, "再製作") &gt; 0, "再製作", 
  COUNTIF(AQ$8:AQ34, "&gt;0") = 1, INDEX(AQ$8:AQ34, MATCH(TRUE, ISNUMBER(AQ$8:AQ34), 0)), 
  COUNTIF(AQ$8:AQ34, "&gt;0") = 2, 'アイテム別限界値DB'!$S$4, 
  COUNTIF(AQ$8:AQ34, "&gt;0") &gt;= 3, 'アイテム別限界値DB'!$S$6, 
  TRUE, ""
)
</f>
        <v/>
      </c>
      <c r="AQ5" s="375" t="s">
        <v>190</v>
      </c>
      <c r="AR5" s="375" t="s">
        <v>191</v>
      </c>
      <c r="AS5" s="327"/>
      <c r="AT5" s="371">
        <f>round(if(sum(AX7:AX34)=AX7, "", sum(AX7:AX34)) ,0)</f>
        <v>0</v>
      </c>
      <c r="AU5" s="373" t="s">
        <v>189</v>
      </c>
      <c r="AV5" s="374" t="str">
        <f t="array" ref="AV5">IFS(
  COUNTA(AW$8:AW34) = 0, "", 
  COUNTIF(AW$8:AW34, "再製作") &gt; 0, "再製作", 
  COUNTIF(AW$8:AW34, "&gt;0") = 1, INDEX(AW$8:AW34, MATCH(TRUE, ISNUMBER(AW$8:AW34), 0)), 
  COUNTIF(AW$8:AW34, "&gt;0") = 2, 'アイテム別限界値DB'!$S$4, 
  COUNTIF(AW$8:AW34, "&gt;0") &gt;= 3, 'アイテム別限界値DB'!$S$6, 
  TRUE, ""
)
</f>
        <v/>
      </c>
      <c r="AW5" s="375" t="s">
        <v>190</v>
      </c>
      <c r="AX5" s="375" t="s">
        <v>191</v>
      </c>
      <c r="AY5" s="327"/>
      <c r="AZ5" s="371">
        <f>round(if(sum(BD7:BD34)=BD7, "", sum(BD7:BD34)) ,0)</f>
        <v>0</v>
      </c>
      <c r="BA5" s="373" t="s">
        <v>189</v>
      </c>
      <c r="BB5" s="374" t="str">
        <f t="array" ref="BB5">IFS(
  COUNTA(BC$8:BC34) = 0, "", 
  COUNTIF(BC$8:BC34, "再製作") &gt; 0, "再製作", 
  COUNTIF(BC$8:BC34, "&gt;0") = 1, INDEX(BC$8:BC34, MATCH(TRUE, ISNUMBER(BC$8:BC34), 0)), 
  COUNTIF(BC$8:BC34, "&gt;0") = 2, 'アイテム別限界値DB'!$S$4, 
  COUNTIF(BC$8:BC34, "&gt;0") &gt;= 3, 'アイテム別限界値DB'!$S$6, 
  TRUE, ""
)
</f>
        <v/>
      </c>
      <c r="BC5" s="375" t="s">
        <v>190</v>
      </c>
      <c r="BD5" s="375" t="s">
        <v>191</v>
      </c>
      <c r="BE5" s="327"/>
      <c r="BF5" s="371">
        <f>round(if(sum(BJ7:BJ34)=BJ7, "", sum(BJ7:BJ34)) ,0)</f>
        <v>0</v>
      </c>
      <c r="BG5" s="373" t="s">
        <v>189</v>
      </c>
      <c r="BH5" s="374" t="str">
        <f t="array" ref="BH5">IFS(
  COUNTA(BI$8:BI34) = 0, "", 
  COUNTIF(BI$8:BI34, "再製作") &gt; 0, "再製作", 
  COUNTIF(BI$8:BI34, "&gt;0") = 1, INDEX(BI$8:BI34, MATCH(TRUE, ISNUMBER(BI$8:BI34), 0)), 
  COUNTIF(BI$8:BI34, "&gt;0") = 2, 'アイテム別限界値DB'!$S$4, 
  COUNTIF(BI$8:BI34, "&gt;0") &gt;= 3, 'アイテム別限界値DB'!$S$6, 
  TRUE, ""
)
</f>
        <v/>
      </c>
      <c r="BI5" s="375" t="s">
        <v>190</v>
      </c>
      <c r="BJ5" s="375" t="s">
        <v>191</v>
      </c>
      <c r="BK5" s="327"/>
      <c r="BL5" s="371">
        <f>round(if(sum(BP7:BP34)=BP7, "", sum(BP7:BP34)) ,0)</f>
        <v>0</v>
      </c>
      <c r="BM5" s="373" t="s">
        <v>189</v>
      </c>
      <c r="BN5" s="374" t="str">
        <f t="array" ref="BN5">IFS(
  COUNTA(BO$8:BO34) = 0, "", 
  COUNTIF(BO$8:BO34, "再製作") &gt; 0, "再製作", 
  COUNTIF(BO$8:BO34, "&gt;0") = 1, INDEX(BO$8:BO34, MATCH(TRUE, ISNUMBER(BO$8:BO34), 0)), 
  COUNTIF(BO$8:BO34, "&gt;0") = 2, 'アイテム別限界値DB'!$S$4, 
  COUNTIF(BO$8:BO34, "&gt;0") &gt;= 3, 'アイテム別限界値DB'!$S$6, 
  TRUE, ""
)
</f>
        <v/>
      </c>
      <c r="BO5" s="375" t="s">
        <v>190</v>
      </c>
      <c r="BP5" s="375" t="s">
        <v>191</v>
      </c>
      <c r="BQ5" s="327"/>
      <c r="BR5" s="371">
        <f>round(if(sum(BV7:BV34)=BV7, "", sum(BV7:BV34)) ,0)</f>
        <v>0</v>
      </c>
      <c r="BS5" s="373" t="s">
        <v>189</v>
      </c>
      <c r="BT5" s="374" t="str">
        <f t="array" ref="BT5">IFS(
  COUNTA(BU$8:BU34) = 0, "", 
  COUNTIF(BU$8:BU34, "再製作") &gt; 0, "再製作", 
  COUNTIF(BU$8:BU34, "&gt;0") = 1, INDEX(BU$8:BU34, MATCH(TRUE, ISNUMBER(BU$8:BU34), 0)), 
  COUNTIF(BU$8:BU34, "&gt;0") = 2, 'アイテム別限界値DB'!$S$4, 
  COUNTIF(BU$8:BU34, "&gt;0") &gt;= 3, 'アイテム別限界値DB'!$S$6, 
  TRUE, ""
)
</f>
        <v/>
      </c>
      <c r="BU5" s="375" t="s">
        <v>190</v>
      </c>
      <c r="BV5" s="375" t="s">
        <v>191</v>
      </c>
      <c r="BW5" s="327"/>
      <c r="BX5" s="371">
        <f>round(if(sum(CB7:CB34)=CB7, "", sum(CB7:CB34)) ,0)</f>
        <v>0</v>
      </c>
      <c r="BY5" s="373" t="s">
        <v>189</v>
      </c>
      <c r="BZ5" s="374" t="str">
        <f t="array" ref="BZ5">IFS(
  COUNTA(CA$8:CA34) = 0, "", 
  COUNTIF(CA$8:CA34, "再製作") &gt; 0, "再製作", 
  COUNTIF(CA$8:CA34, "&gt;0") = 1, INDEX(CA$8:CA34, MATCH(TRUE, ISNUMBER(CA$8:CA34), 0)), 
  COUNTIF(CA$8:CA34, "&gt;0") = 2, 'アイテム別限界値DB'!$S$4, 
  COUNTIF(CA$8:CA34, "&gt;0") &gt;= 3, 'アイテム別限界値DB'!$S$6, 
  TRUE, ""
)
</f>
        <v/>
      </c>
      <c r="CA5" s="375" t="s">
        <v>190</v>
      </c>
      <c r="CB5" s="375" t="s">
        <v>191</v>
      </c>
      <c r="CC5" s="381"/>
      <c r="CD5" s="371">
        <f>round(if(sum(CG7:CG34)=CG7, "", sum(CG7:CG34)) ,0)</f>
        <v>0</v>
      </c>
      <c r="CE5" s="374" t="str">
        <f t="array" ref="CE5">IFS(
  COUNTA(CF$8:CF34) = 0, "", 
  COUNTIF(CF$8:CF34, "再製作") &gt; 0, "再製作", 
  COUNTIF(CF$8:CF34, "&gt;0") = 1, INDEX(CF$8:CF34, MATCH(TRUE, ISNUMBER(CF$8:CF34), 0)), 
  COUNTIF(CF$8:CF34, "&gt;0") = 2, 'アイテム別限界値DB'!$Q$4, 
  COUNTIF(CF$8:CF34, "&gt;0") &gt;= 3, 'アイテム別限界値DB'!$Q$6, 
  TRUE, ""
)
</f>
        <v>再製作</v>
      </c>
      <c r="CF5" s="375" t="s">
        <v>190</v>
      </c>
      <c r="CG5" s="375" t="s">
        <v>191</v>
      </c>
      <c r="CH5" s="327"/>
      <c r="CI5" s="327"/>
    </row>
    <row r="6" ht="18.75" hidden="1" customHeight="1">
      <c r="A6" s="382"/>
      <c r="C6" s="382"/>
      <c r="D6" s="383" t="b">
        <f t="array" ref="D6:D35">UNIQUE(IF( ('アイテム別限界値DB'!$B:$B = D$4) * ('アイテム別限界値DB'!$A:$A = "サイズ"),  IF('アイテム別限界値DB'!$B:$B = D$4, 'アイテム別限界値DB'!$G:$G, "") ))</f>
        <v>0</v>
      </c>
      <c r="E6" s="384" t="b">
        <f t="array" ref="E6:E30">UNIQUE(IF( ('アイテム別限界値DB'!$B:$B = D$4) * ('アイテム別限界値DB'!$A:$A = "サイズ"),  IF('アイテム別限界値DB'!$B:$B = D$4, 'アイテム別限界値DB'!$C:$C, "") ))</f>
        <v>0</v>
      </c>
      <c r="F6" s="385">
        <f>MAX(F7:F35)</f>
        <v>0</v>
      </c>
      <c r="G6" s="386"/>
      <c r="H6" s="387"/>
      <c r="I6" s="317"/>
      <c r="J6" s="388"/>
      <c r="K6" s="383" t="b">
        <f t="array" ref="K6:K20">UNIQUE(IF( ('アイテム別限界値DB'!$B:$B = K$4) * ('アイテム別限界値DB'!$A:$A = "サイズ"),  IF('アイテム別限界値DB'!$B:$B = K$4, 'アイテム別限界値DB'!$G:$G, "") ))</f>
        <v>0</v>
      </c>
      <c r="L6" s="384" t="b">
        <f t="array" ref="L6:L17">UNIQUE(IF( ('アイテム別限界値DB'!$B:$B = K$4) * ('アイテム別限界値DB'!$A:$A = "サイズ"),  IF('アイテム別限界値DB'!$B:$B = K$4, 'アイテム別限界値DB'!$C:$C, "") ))</f>
        <v>0</v>
      </c>
      <c r="M6" s="385">
        <v>1.0</v>
      </c>
      <c r="N6" s="386"/>
      <c r="O6" s="387"/>
      <c r="P6" s="317"/>
      <c r="Q6" s="389"/>
      <c r="R6" s="383" t="b">
        <f t="array" ref="R6:R14">UNIQUE(IF( ('アイテム別限界値DB'!$B:$B = R$4) * ('アイテム別限界値DB'!$A:$A = "サイズ"),  IF('アイテム別限界値DB'!$B:$B = R$4, 'アイテム別限界値DB'!$G:$G, "") ))</f>
        <v>0</v>
      </c>
      <c r="S6" s="384" t="b">
        <f t="array" ref="S6:S14">UNIQUE(IF( ('アイテム別限界値DB'!$B:$B = R$4) * ('アイテム別限界値DB'!$A:$A = "サイズ"),  IF('アイテム別限界値DB'!$B:$B = R$4, 'アイテム別限界値DB'!$C:$C, "") ))</f>
        <v>0</v>
      </c>
      <c r="T6" s="385">
        <f>MAX(T7:T25)</f>
        <v>0</v>
      </c>
      <c r="U6" s="386"/>
      <c r="V6" s="387"/>
      <c r="W6" s="317"/>
      <c r="X6" s="327"/>
      <c r="Y6" s="383" t="b">
        <f t="array" ref="Y6:Y21">UNIQUE(IF( ('アイテム別限界値DB'!$B:$B = Y$4) * ('アイテム別限界値DB'!$A:$A = "サイズ"),  IF('アイテム別限界値DB'!$B:$B = Y$4, 'アイテム別限界値DB'!$G:$G, "") ))</f>
        <v>0</v>
      </c>
      <c r="Z6" s="384" t="b">
        <f t="array" ref="Z6:Z17">UNIQUE(IF( ('アイテム別限界値DB'!$B:$B = Y$4) * ('アイテム別限界値DB'!$A:$A = "サイズ"),  IF('アイテム別限界値DB'!$B:$B = Y$4, 'アイテム別限界値DB'!$C:$C, "") ))</f>
        <v>0</v>
      </c>
      <c r="AA6" s="385">
        <f>MAX(AA7:AA25)</f>
        <v>0</v>
      </c>
      <c r="AB6" s="386"/>
      <c r="AC6" s="387"/>
      <c r="AD6" s="317"/>
      <c r="AE6" s="389"/>
      <c r="AF6" s="383" t="b">
        <f t="array" ref="AF6:AF24">UNIQUE(IF( ('アイテム別限界値DB'!$B:$B = AF$4) * ('アイテム別限界値DB'!$A:$A = "サイズ"),  IF('アイテム別限界値DB'!$B:$B = AF$4, 'アイテム別限界値DB'!$G:$G, "") ))</f>
        <v>0</v>
      </c>
      <c r="AG6" s="384" t="b">
        <f t="array" ref="AG6:AG24">UNIQUE(IF( ('アイテム別限界値DB'!$B:$B = AF$4) * ('アイテム別限界値DB'!$A:$A = "サイズ"),  IF('アイテム別限界値DB'!$B:$B = AF$4, 'アイテム別限界値DB'!$C:$C, "") ))</f>
        <v>0</v>
      </c>
      <c r="AH6" s="385">
        <f>MAX(AH7:AH25)</f>
        <v>0</v>
      </c>
      <c r="AI6" s="386"/>
      <c r="AJ6" s="387"/>
      <c r="AK6" s="317"/>
      <c r="AL6" s="327"/>
      <c r="AM6" s="383" t="b">
        <f t="array" ref="AM6:AM22">UNIQUE(IF( ('アイテム別限界値DB'!$B:$B = AM$4) * ('アイテム別限界値DB'!$A:$A = "サイズ"),  IF('アイテム別限界値DB'!$B:$B = AM$4, 'アイテム別限界値DB'!$G:$G, "") ))</f>
        <v>0</v>
      </c>
      <c r="AN6" s="384" t="b">
        <f t="array" ref="AN6:AN22">UNIQUE(IF( ('アイテム別限界値DB'!$B:$B = AM$4) * ('アイテム別限界値DB'!$A:$A = "サイズ"),  IF('アイテム別限界値DB'!$B:$B = AM$4, 'アイテム別限界値DB'!$C:$C, "") ))</f>
        <v>0</v>
      </c>
      <c r="AO6" s="385">
        <f>MAX(AO7:AO25)</f>
        <v>0</v>
      </c>
      <c r="AP6" s="386"/>
      <c r="AQ6" s="387"/>
      <c r="AR6" s="317"/>
      <c r="AS6" s="327"/>
      <c r="AT6" s="384" t="b">
        <f t="array" ref="AT6:AT13">UNIQUE(IF( ('アイテム別限界値DB'!$B:$B = AT$4) * ('アイテム別限界値DB'!$A:$A = "サイズ"),  IF('アイテム別限界値DB'!$B:$B = AT$4, 'アイテム別限界値DB'!$G:$G, "") ))</f>
        <v>0</v>
      </c>
      <c r="AU6" s="385">
        <f>MAX(AU7:AU25)</f>
        <v>0</v>
      </c>
      <c r="AV6" s="386"/>
      <c r="AW6" s="387"/>
      <c r="AX6" s="317"/>
      <c r="AY6" s="327"/>
      <c r="AZ6" s="384" t="b">
        <f t="array" ref="AZ6:AZ13">UNIQUE(IF( ('アイテム別限界値DB'!$B:$B = AZ$4) * ('アイテム別限界値DB'!$A:$A = "サイズ"),  IF('アイテム別限界値DB'!$B:$B = AZ$4, 'アイテム別限界値DB'!$G:$G, "") ))</f>
        <v>0</v>
      </c>
      <c r="BA6" s="385">
        <f>MAX(BA7:BA25)</f>
        <v>0</v>
      </c>
      <c r="BB6" s="386"/>
      <c r="BC6" s="387"/>
      <c r="BD6" s="317"/>
      <c r="BE6" s="327"/>
      <c r="BF6" s="384" t="b">
        <f t="array" ref="BF6:BF13">UNIQUE(IF( ('アイテム別限界値DB'!$B:$B = BF$4) * ('アイテム別限界値DB'!$A:$A = "サイズ"),  IF('アイテム別限界値DB'!$B:$B = BF$4, 'アイテム別限界値DB'!$G:$G, "") ))</f>
        <v>0</v>
      </c>
      <c r="BG6" s="385">
        <f>MAX(BG7:BG25)</f>
        <v>0</v>
      </c>
      <c r="BH6" s="386"/>
      <c r="BI6" s="387"/>
      <c r="BJ6" s="317"/>
      <c r="BK6" s="327"/>
      <c r="BL6" s="384" t="b">
        <f t="array" ref="BL6:BL13">UNIQUE(IF( ('アイテム別限界値DB'!$B:$B = BL$4) * ('アイテム別限界値DB'!$A:$A = "サイズ"),  IF('アイテム別限界値DB'!$B:$B = BL$4, 'アイテム別限界値DB'!$G:$G, "") ))</f>
        <v>0</v>
      </c>
      <c r="BM6" s="385">
        <f>MAX(BM7:BM25)</f>
        <v>0</v>
      </c>
      <c r="BN6" s="386"/>
      <c r="BO6" s="387"/>
      <c r="BP6" s="317"/>
      <c r="BQ6" s="327"/>
      <c r="BR6" s="384" t="b">
        <f t="array" ref="BR6:BR13">UNIQUE(IF( ('アイテム別限界値DB'!$B:$B = BR$4) * ('アイテム別限界値DB'!$A:$A = "サイズ"),  IF('アイテム別限界値DB'!$B:$B = BR$4, 'アイテム別限界値DB'!$G:$G, "") ))</f>
        <v>0</v>
      </c>
      <c r="BS6" s="385">
        <f>MAX(BS7:BS25)</f>
        <v>0</v>
      </c>
      <c r="BT6" s="386"/>
      <c r="BU6" s="387"/>
      <c r="BV6" s="317"/>
      <c r="BW6" s="327"/>
      <c r="BX6" s="384" t="b">
        <f t="array" ref="BX6:BX13">UNIQUE(IF( ('アイテム別限界値DB'!$B:$B = BX$4) * ('アイテム別限界値DB'!$A:$A = "サイズ"),  IF('アイテム別限界値DB'!$B:$B = BX$4, 'アイテム別限界値DB'!$G:$G, "") ))</f>
        <v>0</v>
      </c>
      <c r="BY6" s="385">
        <f>MAX(BY7:BY25)</f>
        <v>0</v>
      </c>
      <c r="BZ6" s="386"/>
      <c r="CA6" s="387"/>
      <c r="CB6" s="317"/>
      <c r="CC6" s="390" t="s">
        <v>193</v>
      </c>
      <c r="CD6" s="384" t="b">
        <f t="array" ref="CD6">UNIQUE(IF( ('アイテム別限界値DB'!$B:$B = CD$4) * ('アイテム別限界値DB'!$A:$A = "サイズ"),  IF('アイテム別限界値DB'!$B:$B = CD$4, 'アイテム別限界値DB'!$G:$G, "") ))</f>
        <v>0</v>
      </c>
      <c r="CE6" s="391" t="s">
        <v>194</v>
      </c>
      <c r="CF6" s="392" t="s">
        <v>195</v>
      </c>
      <c r="CG6" s="317"/>
      <c r="CH6" s="327"/>
      <c r="CI6" s="327"/>
    </row>
    <row r="7" ht="15.75" hidden="1" customHeight="1">
      <c r="A7" s="393"/>
      <c r="B7" s="228" t="str">
        <f>IFERROR(__xludf.DUMMYFUNCTION("TEXTJOIN(CHAR(10),TRUE,FILTER(ARRAYFORMULA(IF(G$8:G35&lt;&gt;"""",D$8:D35&amp;"" : ""&amp; G$8:G35 &amp;"" cm"" &amp; "" (¥"" &amp; I$8:I$35 &amp; ""）"","""")), G$8:G35 &lt;&gt;""""))"),"#N/A")</f>
        <v>#N/A</v>
      </c>
      <c r="C7" s="393"/>
      <c r="D7" s="394" t="s">
        <v>51</v>
      </c>
      <c r="E7" s="395" t="s">
        <v>51</v>
      </c>
      <c r="F7" s="395"/>
      <c r="G7" s="395" t="str">
        <f>IF(AND($G$5&lt;&gt;"", $G$39&lt;&gt;""), "", IF(AND($G$5&lt;&gt;"", $G$39=""), IF($G$5="再製作", "再製作", "お直し"), ""))</f>
        <v/>
      </c>
      <c r="H7" s="396"/>
      <c r="I7" s="397" t="str">
        <f t="array" ref="I7">IF(
  G7 = "", 
  "", 
  IFERROR(
    INDEX(
      'アイテム別限界値DB'!$N:$N, 
      MATCH(
        1, 
        ('アイテム別限界値DB'!$B:$B = D$4) * 
        ('アイテム別限界値DB'!$G:$G = D7), 
        0
      )
    )*F6, 
    "再製作"
  )
)
</f>
        <v/>
      </c>
      <c r="J7" s="388"/>
      <c r="K7" s="394" t="s">
        <v>51</v>
      </c>
      <c r="L7" s="398" t="s">
        <v>51</v>
      </c>
      <c r="M7" s="385"/>
      <c r="N7" s="395" t="str">
        <f>IF(AND($N$5&lt;&gt;"", $N$39&lt;&gt;""), "", IF(AND($N$5&lt;&gt;"", $N$39=""), IF($N$5="再製作", "再製作", "お直し"), ""))</f>
        <v/>
      </c>
      <c r="O7" s="396"/>
      <c r="P7" s="397" t="str">
        <f t="array" ref="P7">IF(
  N7 = "", 
  "", 
  IFERROR(
    INDEX(
      'アイテム別限界値DB'!$N:$N, 
      MATCH(
        1, 
        ('アイテム別限界値DB'!$B:$B = K$4) * 
        ('アイテム別限界値DB'!$G:$G = K7), 
        0
      )
    )*M6, 
    "再製作"
  )
)
</f>
        <v/>
      </c>
      <c r="Q7" s="399"/>
      <c r="R7" s="394" t="s">
        <v>51</v>
      </c>
      <c r="S7" s="400" t="s">
        <v>51</v>
      </c>
      <c r="T7" s="385"/>
      <c r="U7" s="395" t="str">
        <f>IF(AND($U$5&lt;&gt;"", $U$39&lt;&gt;""), "", IF(AND($U$5&lt;&gt;"", $U$39=""), IF($U$5="再製作", "再製作", "お直し"), ""))</f>
        <v/>
      </c>
      <c r="V7" s="396"/>
      <c r="W7" s="397" t="str">
        <f t="array" ref="W7">IF(
  U7 = "", 
  "", 
  IFERROR(
    INDEX(
      'アイテム別限界値DB'!$N:$N, 
      MATCH(
        1, 
        ('アイテム別限界値DB'!$B:$B = R$4) * 
        ('アイテム別限界値DB'!$G:$G = R7), 
        0
      )
    )*T6, 
    "再製作"
  )
)
</f>
        <v/>
      </c>
      <c r="X7" s="327"/>
      <c r="Y7" s="394" t="s">
        <v>51</v>
      </c>
      <c r="Z7" s="400" t="s">
        <v>51</v>
      </c>
      <c r="AA7" s="385"/>
      <c r="AB7" s="395" t="str">
        <f>IF(AND($AB$5&lt;&gt;"", $AB$39&lt;&gt;""), "", IF(AND($AB$5&lt;&gt;"", $AB$39=""), IF($AB$5="再製作", "再製作", "お直し"), ""))</f>
        <v/>
      </c>
      <c r="AC7" s="396"/>
      <c r="AD7" s="397" t="str">
        <f t="array" ref="AD7">IF(
  AB7 = "", 
  "", 
  IFERROR(
    INDEX(
      'アイテム別限界値DB'!$N:$N, 
      MATCH(
        1, 
        ('アイテム別限界値DB'!$B:$B = Y$4) * 
        ('アイテム別限界値DB'!$G:$G = Y7), 
        0
      )
    )*AA6, 
    "再製作"
  )
)
</f>
        <v/>
      </c>
      <c r="AE7" s="389"/>
      <c r="AF7" s="394" t="s">
        <v>51</v>
      </c>
      <c r="AG7" s="401" t="s">
        <v>51</v>
      </c>
      <c r="AH7" s="385"/>
      <c r="AI7" s="395" t="str">
        <f>IF(AND($AI$5&lt;&gt;"", $AI$39&lt;&gt;""), "", IF(AND($AI$5&lt;&gt;"", $AI$39=""), IF($AI$5="再製作", "再製作", "お直し"), ""))</f>
        <v/>
      </c>
      <c r="AJ7" s="396"/>
      <c r="AK7" s="397" t="str">
        <f t="array" ref="AK7">IF(
  AI7 = "", 
  "", 
  IFERROR(
    INDEX(
      'アイテム別限界値DB'!$N:$N, 
      MATCH(
        1, 
        ('アイテム別限界値DB'!$B:$B = AF$4) * 
        ('アイテム別限界値DB'!$G:$G = AF7), 
        0
      )
    )*AH6, 
    "再製作"
  )
)
</f>
        <v/>
      </c>
      <c r="AL7" s="327"/>
      <c r="AM7" s="394" t="s">
        <v>51</v>
      </c>
      <c r="AN7" s="393" t="s">
        <v>51</v>
      </c>
      <c r="AO7" s="385"/>
      <c r="AP7" s="395" t="str">
        <f>IF(AND($AP$5&lt;&gt;"", $AP$39&lt;&gt;""), "", IF(AND($AP$5&lt;&gt;"", $AP$39=""), IF($AP$5="再製作", "再製作", "お直し"), ""))</f>
        <v/>
      </c>
      <c r="AQ7" s="396"/>
      <c r="AR7" s="397" t="str">
        <f t="array" ref="AR7">IF(
  AP7 = "", 
  "", 
  IFERROR(
    INDEX(
      'アイテム別限界値DB'!$N:$N, 
      MATCH(
        1, 
        ('アイテム別限界値DB'!$B:$B = AM$4) * 
        ('アイテム別限界値DB'!$G:$G = AM7), 
        0
      )
    )*AO6, 
    "再製作"
  )
)
</f>
        <v/>
      </c>
      <c r="AS7" s="327"/>
      <c r="AT7" s="394" t="s">
        <v>51</v>
      </c>
      <c r="AU7" s="385"/>
      <c r="AV7" s="395" t="str">
        <f>IF(AND($AV$5&lt;&gt;"", $AV$39&lt;&gt;""), "", IF(AND($AV$5&lt;&gt;"", $AV$39=""), IF($AV$5="再製作", "再製作", "お直し"), ""))</f>
        <v/>
      </c>
      <c r="AW7" s="396"/>
      <c r="AX7" s="397" t="str">
        <f t="array" ref="AX7">IF(
  AV7 = "", 
  "", 
  IFERROR(
    INDEX(
      'アイテム別限界値DB'!$N:$N, 
      MATCH(
        1, 
        ('アイテム別限界値DB'!$B:$B = AT$4) * 
        ('アイテム別限界値DB'!$G:$G = AT7), 
        0
      )
    )*AU6, 
    "再製作"
  )
)
</f>
        <v/>
      </c>
      <c r="AY7" s="327"/>
      <c r="AZ7" s="394" t="s">
        <v>51</v>
      </c>
      <c r="BA7" s="385"/>
      <c r="BB7" s="395" t="str">
        <f>IF(AND($BB$5&lt;&gt;"", $BB$39&lt;&gt;""), "", IF(AND($BB$5&lt;&gt;"", $BB$39=""), IF($BB$5="再製作", "再製作", "お直し"), ""))</f>
        <v/>
      </c>
      <c r="BC7" s="396"/>
      <c r="BD7" s="397" t="str">
        <f t="array" ref="BD7">IF(
  BB7 = "", 
  "", 
  IFERROR(
    INDEX(
      'アイテム別限界値DB'!$N:$N, 
      MATCH(
        1, 
        ('アイテム別限界値DB'!$B:$B = AZ$4) * 
        ('アイテム別限界値DB'!$G:$G = AZ7), 
        0
      )
    )*BA6, 
    "再製作"
  )
)
</f>
        <v/>
      </c>
      <c r="BE7" s="327"/>
      <c r="BF7" s="394" t="s">
        <v>51</v>
      </c>
      <c r="BG7" s="385"/>
      <c r="BH7" s="395" t="str">
        <f>IF(AND($BH$5&lt;&gt;"", $BH$39&lt;&gt;""), "", IF(AND($BH$5&lt;&gt;"", $BH$39=""), IF($BH$5="再製作", "再製作", "お直し"), ""))</f>
        <v/>
      </c>
      <c r="BI7" s="396"/>
      <c r="BJ7" s="397" t="str">
        <f t="array" ref="BJ7">IF(
  BH7 = "", 
  "", 
  IFERROR(
    INDEX(
      'アイテム別限界値DB'!$N:$N, 
      MATCH(
        1, 
        ('アイテム別限界値DB'!$B:$B = BF$4) * 
        ('アイテム別限界値DB'!$G:$G = BF7), 
        0
      )
    )*BG6, 
    "再製作"
  )
)
</f>
        <v/>
      </c>
      <c r="BK7" s="327"/>
      <c r="BL7" s="393" t="s">
        <v>51</v>
      </c>
      <c r="BM7" s="385"/>
      <c r="BN7" s="395" t="str">
        <f>IF(AND($BN$5&lt;&gt;"", $BN$39&lt;&gt;""), "", IF(AND($BN$5&lt;&gt;"", $BN$39=""), IF($BN$5="再製作", "再製作", "お直し"), ""))</f>
        <v/>
      </c>
      <c r="BO7" s="396"/>
      <c r="BP7" s="397" t="str">
        <f t="array" ref="BP7">IF(
  BN7 = "", 
  "", 
  IFERROR(
    INDEX(
      'アイテム別限界値DB'!$N:$N, 
      MATCH(
        1, 
        ('アイテム別限界値DB'!$B:$B = BL$4) * 
        ('アイテム別限界値DB'!$G:$G = BL7), 
        0
      )
    )*BM6, 
    "再製作"
  )
)
</f>
        <v/>
      </c>
      <c r="BQ7" s="327"/>
      <c r="BR7" s="393" t="s">
        <v>51</v>
      </c>
      <c r="BS7" s="385"/>
      <c r="BT7" s="395" t="str">
        <f>IF(AND($BT$5&lt;&gt;"", $BT$39&lt;&gt;""), "", IF(AND($BT$5&lt;&gt;"", $BT$39=""), IF($BT$5="再製作", "再製作", "お直し"), ""))</f>
        <v/>
      </c>
      <c r="BU7" s="396"/>
      <c r="BV7" s="397" t="str">
        <f t="array" ref="BV7">IF(
  BT7 = "", 
  "", 
  IFERROR(
    INDEX(
      'アイテム別限界値DB'!$N:$N, 
      MATCH(
        1, 
        ('アイテム別限界値DB'!$B:$B = BR$4) * 
        ('アイテム別限界値DB'!$G:$G = BR7), 
        0
      )
    )*BS6, 
    "再製作"
  )
)
</f>
        <v/>
      </c>
      <c r="BW7" s="327"/>
      <c r="BX7" s="393" t="s">
        <v>51</v>
      </c>
      <c r="BY7" s="385"/>
      <c r="BZ7" s="395" t="str">
        <f>IF(AND($BZ$5&lt;&gt;"", $BZ$39&lt;&gt;""), "", IF(AND($BZ$5&lt;&gt;"", $BZ$39=""), IF($BZ$5="再製作", "再製作", "お直し"), ""))</f>
        <v/>
      </c>
      <c r="CA7" s="396"/>
      <c r="CB7" s="397" t="str">
        <f t="array" ref="CB7">IF(
  BZ7 = "", 
  "", 
  IFERROR(
    INDEX(
      'アイテム別限界値DB'!$N:$N, 
      MATCH(
        1, 
        ('アイテム別限界値DB'!$B:$B = BX$4) * 
        ('アイテム別限界値DB'!$G:$G = BX7), 
        0
      )
    )*BY6, 
    "再製作"
  )
)
</f>
        <v/>
      </c>
      <c r="CC7" s="402"/>
      <c r="CD7" s="393" t="s">
        <v>51</v>
      </c>
      <c r="CE7" s="395" t="str">
        <f>IF(AND(CE5&lt;&gt;"", CE39&lt;&gt;""), "", IF(AND(CE5&lt;&gt;"", CE39=""), IF(CE5="再製作", "再製作", "お直し"), ""))</f>
        <v>再製作</v>
      </c>
      <c r="CF7" s="396"/>
      <c r="CG7" s="397" t="str">
        <f t="array" ref="CG7">IF(
  CE7 = "", 
  "", 
  IFERROR(
    INDEX(
      'アイテム別限界値DB'!$N:$N, 
      MATCH(
        1, 
        ('アイテム別限界値DB'!$B:$B = CC$4) * 
        ('アイテム別限界値DB'!$G:$G = CC7), 
        0
      )
    ), 
    "再製作"
  )
)
</f>
        <v/>
      </c>
      <c r="CH7" s="327"/>
      <c r="CI7" s="327"/>
    </row>
    <row r="8" ht="15.75" customHeight="1">
      <c r="A8" s="393"/>
      <c r="B8" s="228" t="str">
        <f>IFERROR(__xludf.DUMMYFUNCTION("TEXTJOIN(CHAR(10),TRUE,FILTER(ARRAYFORMULA(IF(G$8:G37&lt;&gt;"""",D$8:D37&amp;"" : ""&amp; G$8:G37 &amp;"" cm"" &amp; "" (¥"" &amp; I$8:I$35 &amp; ""）"","""")), G$8:G37 &lt;&gt;""""))"),"#N/A")</f>
        <v>#N/A</v>
      </c>
      <c r="C8" s="393"/>
      <c r="D8" s="394" t="s">
        <v>53</v>
      </c>
      <c r="E8" s="395" t="s">
        <v>53</v>
      </c>
      <c r="F8" s="403"/>
      <c r="G8" s="408"/>
      <c r="H8" s="405" t="str">
        <f t="array" ref="H8">IF(
  G8 = 0, 
  "", 
  IFERROR(
    INDEX(
      'アイテム別限界値DB'!$K:$K, 
      MATCH(
        1, 
        ('アイテム別限界値DB'!$B:$B = D$4) * 
        ('アイテム別限界値DB'!$G:$G = D8) * 
        ('アイテム別限界値DB'!$H:$H = G8), 
        0
      )
    ), 
    "再製作"
  )
)
</f>
        <v/>
      </c>
      <c r="I8" s="397" t="str">
        <f t="array" ref="I8">IF(
  $G8 = 0, 
  "", 
  IFERROR(
    INDEX(
      'アイテム別限界値DB'!$N:$N, 
      MATCH(
        1, 
        ('アイテム別限界値DB'!$B:$B = $D$4) * 
        ('アイテム別限界値DB'!$G:$G = $D8) * 
        ('アイテム別限界値DB'!$H:$H = $G8), 
        0
      )
    )*F8, 
    "再製作"
  )
)
</f>
        <v/>
      </c>
      <c r="J8" s="388"/>
      <c r="K8" s="394" t="s">
        <v>54</v>
      </c>
      <c r="L8" s="398" t="s">
        <v>54</v>
      </c>
      <c r="M8" s="406"/>
      <c r="N8" s="407"/>
      <c r="O8" s="405" t="str">
        <f t="array" ref="O8">IF(
  $N8 = 0, 
  "", 
  IFERROR(
    INDEX(
      'アイテム別限界値DB'!$K:$K, 
      MATCH(
        1, 
        ('アイテム別限界値DB'!$B:$B = $K$4) * 
        ('アイテム別限界値DB'!$G:$G = $K8) * 
        ('アイテム別限界値DB'!$H:$H = $N8), 
        0
      )
    ), 
    "再製作"
  )
)
</f>
        <v/>
      </c>
      <c r="P8" s="397" t="str">
        <f t="array" ref="P8">IF(
  $N8 = 0, 
  "", 
  IFERROR(
    INDEX(
      'アイテム別限界値DB'!$N:$N, 
      MATCH(
        1, 
        ('アイテム別限界値DB'!$B:$B = $K$4) * 
        ('アイテム別限界値DB'!$G:$G = $K8) * 
        ('アイテム別限界値DB'!$H:$H = $N8), 
        0
      )
    )*$M8, 
    "再製作"
  )
)
</f>
        <v/>
      </c>
      <c r="Q8" s="399"/>
      <c r="R8" s="394" t="s">
        <v>55</v>
      </c>
      <c r="S8" s="400" t="s">
        <v>55</v>
      </c>
      <c r="T8" s="406"/>
      <c r="U8" s="408"/>
      <c r="V8" s="405" t="str">
        <f t="array" ref="V8">IF(
  $U8 = 0, 
  "", 
  IFERROR(
    INDEX(
      'アイテム別限界値DB'!$K:$K, 
      MATCH(
        1, 
        ('アイテム別限界値DB'!$B:$B = $R$4) * 
        ('アイテム別限界値DB'!$G:$G = $R8) * 
        ('アイテム別限界値DB'!$H:$H = $U8), 
        0
      )
    ), 
    "再製作"
  )
)
</f>
        <v/>
      </c>
      <c r="W8" s="397" t="str">
        <f t="array" ref="W8">IF(
  $U8 = 0, 
  "", 
  IFERROR(
    INDEX(
      'アイテム別限界値DB'!$N:$N, 
      MATCH(
        1, 
        ('アイテム別限界値DB'!$B:$B = $R$4) * 
        ('アイテム別限界値DB'!$G:$G = $R8) * 
        ('アイテム別限界値DB'!$H:$H = $U8), 
        0
      )
    )*T8, 
    "再製作"
  )
)
</f>
        <v/>
      </c>
      <c r="X8" s="327"/>
      <c r="Y8" s="394" t="s">
        <v>54</v>
      </c>
      <c r="Z8" s="400" t="s">
        <v>54</v>
      </c>
      <c r="AA8" s="406"/>
      <c r="AB8" s="409"/>
      <c r="AC8" s="405" t="str">
        <f t="array" ref="AC8">IF(
  $AB8 = 0, 
  "", 
  IFERROR(
    INDEX(
      'アイテム別限界値DB'!$K:$K, 
      MATCH(
        1, 
        ('アイテム別限界値DB'!$B:$B = $Y$4) * 
        ('アイテム別限界値DB'!$G:$G = $Y8) * 
        ('アイテム別限界値DB'!$H:$H = $AB8), 
        0
      )
    ), 
    "再製作"
  )
)
</f>
        <v/>
      </c>
      <c r="AD8" s="397" t="str">
        <f t="array" ref="AD8">IF(
  $AB8 = 0, 
  "", 
  IFERROR(
    INDEX(
      'アイテム別限界値DB'!$N:$N, 
      MATCH(
        1, 
        ('アイテム別限界値DB'!$B:$B = $Y$4) * 
        ('アイテム別限界値DB'!$G:$G = $Y8) * 
        ('アイテム別限界値DB'!$H:$H = $AB8), 
        0
      )
    )*AA8, 
    "再製作"
  )
)
</f>
        <v/>
      </c>
      <c r="AE8" s="389"/>
      <c r="AF8" s="394" t="s">
        <v>53</v>
      </c>
      <c r="AG8" s="401" t="s">
        <v>53</v>
      </c>
      <c r="AH8" s="406"/>
      <c r="AI8" s="409"/>
      <c r="AJ8" s="405" t="str">
        <f t="array" ref="AJ8">IF(
  $AI8 = 0, 
  "", 
  IFERROR(
    INDEX(
      'アイテム別限界値DB'!$K:$K, 
      MATCH(
        1, 
        ('アイテム別限界値DB'!$B:$B = AF$4) * 
        ('アイテム別限界値DB'!$G:$G = $AF8) * 
        ('アイテム別限界値DB'!$H:$H = $AI8), 
        0
      )
    ), 
    "再製作"
  )
)
</f>
        <v/>
      </c>
      <c r="AK8" s="397" t="str">
        <f t="array" ref="AK8">IF(
  $AI8 = 0, 
  "", 
  IFERROR(
    INDEX(
      'アイテム別限界値DB'!$N:$N, 
      MATCH(
        1, 
        ('アイテム別限界値DB'!$B:$B = $AF$4) * 
        ('アイテム別限界値DB'!$G:$G = $AF8) * 
        ('アイテム別限界値DB'!$H:$H = $AI8), 
        0
      )
    )*AH8, 
    "再製作"
  )
)
</f>
        <v/>
      </c>
      <c r="AL8" s="327"/>
      <c r="AM8" s="394" t="s">
        <v>53</v>
      </c>
      <c r="AN8" s="393" t="s">
        <v>53</v>
      </c>
      <c r="AO8" s="406"/>
      <c r="AP8" s="410"/>
      <c r="AQ8" s="405" t="str">
        <f t="array" ref="AQ8">IF(
  $AP8 = 0, 
  "", 
  IFERROR(
    INDEX(
      'アイテム別限界値DB'!$K:$K, 
      MATCH(
        1, 
        ('アイテム別限界値DB'!$B:$B = $AM$4) * 
        ('アイテム別限界値DB'!$G:$G = $AM8) * 
        ('アイテム別限界値DB'!$H:$H = $AP8), 
        0
      )
    ), 
    "再製作"
  )
)
</f>
        <v/>
      </c>
      <c r="AR8" s="397" t="str">
        <f t="array" ref="AR8">IF(
  $AP8 = 0, 
  "", 
  IFERROR(
    INDEX(
      'アイテム別限界値DB'!$N:$N, 
      MATCH(
        1, 
        ('アイテム別限界値DB'!$B:$B = $AM$4) * 
        ('アイテム別限界値DB'!$G:$G = $AM8) * 
        ('アイテム別限界値DB'!$H:$H = $AP8), 
        0
      )
    )*AO8, 
    "再製作"
  )
)
</f>
        <v/>
      </c>
      <c r="AS8" s="327"/>
      <c r="AT8" s="394" t="s">
        <v>53</v>
      </c>
      <c r="AU8" s="406"/>
      <c r="AV8" s="411"/>
      <c r="AW8" s="405" t="str">
        <f t="array" ref="AW8">IF(
  $AV8 = 0, 
  "", 
  IFERROR(
    INDEX(
      'アイテム別限界値DB'!$K:$K, 
      MATCH(
        1, 
        ('アイテム別限界値DB'!$B:$B = $AT$4) * 
        ('アイテム別限界値DB'!$G:$G = $AT8) * 
        ('アイテム別限界値DB'!$H:$H = $AV8), 
        0
      )
    ), 
    "再製作"
  )
)
</f>
        <v/>
      </c>
      <c r="AX8" s="397" t="str">
        <f t="array" ref="AX8">IF(
  $AV8 = 0, 
  "", 
  IFERROR(
    INDEX(
      'アイテム別限界値DB'!$N:$N, 
      MATCH(
        1, 
        ('アイテム別限界値DB'!$B:$B = $AT$4) * 
        ('アイテム別限界値DB'!$G:$G = $AT8) * 
        ('アイテム別限界値DB'!$H:$H = $AV8), 
        0
      )
    )*AU8, 
    "再製作"
  )
)
</f>
        <v/>
      </c>
      <c r="AY8" s="327"/>
      <c r="AZ8" s="394" t="s">
        <v>53</v>
      </c>
      <c r="BA8" s="406"/>
      <c r="BB8" s="410"/>
      <c r="BC8" s="405" t="str">
        <f t="array" ref="BC8">IF(
  $BB8 = 0, 
  "", 
  IFERROR(
    INDEX(
      'アイテム別限界値DB'!$K:$K, 
      MATCH(
        1, 
        ('アイテム別限界値DB'!$B:$B = $AZ$4) * 
        ('アイテム別限界値DB'!$G:$G = $AZ8) * 
        ('アイテム別限界値DB'!$H:$H = $BB8), 
        0
      )
    ), 
    "再製作"
  )
)
</f>
        <v/>
      </c>
      <c r="BD8" s="397" t="str">
        <f t="array" ref="BD8">IF(
  $BB8 = 0, 
  "", 
  IFERROR(
    INDEX(
      'アイテム別限界値DB'!$N:$N, 
      MATCH(
        1, 
        ('アイテム別限界値DB'!$B:$B = $AZ$4) * 
        ('アイテム別限界値DB'!$G:$G = $AZ8) * 
        ('アイテム別限界値DB'!$H:$H = $BB8), 
        0
      )
    )*BA8, 
    "再製作"
  )
)
</f>
        <v/>
      </c>
      <c r="BE8" s="327"/>
      <c r="BF8" s="394" t="s">
        <v>53</v>
      </c>
      <c r="BG8" s="406"/>
      <c r="BH8" s="410"/>
      <c r="BI8" s="405" t="str">
        <f t="array" ref="BI8">IF(
  $BH8 = 0, 
  "", 
  IFERROR(
    INDEX(
      'アイテム別限界値DB'!$K:$K, 
      MATCH(
        1, 
        ('アイテム別限界値DB'!$B:$B = $BF$4) * 
        ('アイテム別限界値DB'!$G:$G = $BF8) * 
        ('アイテム別限界値DB'!$H:$H = $BH8), 
        0
      )
    ), 
    "再製作"
  )
)
</f>
        <v/>
      </c>
      <c r="BJ8" s="397" t="str">
        <f t="array" ref="BJ8">IF(
  $BH8 = 0, 
  "", 
  IFERROR(
    INDEX(
      'アイテム別限界値DB'!$N:$N, 
      MATCH(
        1, 
        ('アイテム別限界値DB'!$B:$B = $BF$4) * 
        ('アイテム別限界値DB'!$G:$G = $BF8) * 
        ('アイテム別限界値DB'!$H:$H = $BH8), 
        0
      )
    )*BG8, 
    "再製作"
  )
)
</f>
        <v/>
      </c>
      <c r="BK8" s="327"/>
      <c r="BL8" s="393" t="s">
        <v>196</v>
      </c>
      <c r="BM8" s="406"/>
      <c r="BN8" s="410"/>
      <c r="BO8" s="405" t="str">
        <f t="array" ref="BO8">IF(
  $BN8 = 0, 
  "", 
  IFERROR(
    INDEX(
      'アイテム別限界値DB'!$K:$K, 
      MATCH(
        1, 
        ('アイテム別限界値DB'!$B:$B = $BL$4) * 
        ('アイテム別限界値DB'!$G:$G = $BL8) * 
        ('アイテム別限界値DB'!$H:$H = $BN8), 
        0
      )
    ), 
    "再製作"
  )
)
</f>
        <v/>
      </c>
      <c r="BP8" s="397" t="str">
        <f t="array" ref="BP8">IF(
  $BN8 = 0, 
  "", 
  IFERROR(
    INDEX(
      'アイテム別限界値DB'!$N:$N, 
      MATCH(
        1, 
        ('アイテム別限界値DB'!$B:$B = $BL$4) * 
        ('アイテム別限界値DB'!$G:$G = $BL8) * 
        ('アイテム別限界値DB'!$H:$H = $BN8), 
        0
      )
    )*BM8, 
    "再製作"
  )
)
</f>
        <v/>
      </c>
      <c r="BQ8" s="327"/>
      <c r="BR8" s="393" t="s">
        <v>53</v>
      </c>
      <c r="BS8" s="406"/>
      <c r="BT8" s="404"/>
      <c r="BU8" s="405" t="str">
        <f t="array" ref="BU8">IF(
  $BT8 = 0, 
  "", 
  IFERROR(
    INDEX(
      'アイテム別限界値DB'!$K:$K, 
      MATCH(
        1, 
        ('アイテム別限界値DB'!$B:$B = $BR$4) * 
        ('アイテム別限界値DB'!$G:$G = $BR8) * 
        ('アイテム別限界値DB'!$H:$H = $BT8), 
        0
      )
    ), 
    "再製作"
  )
)
</f>
        <v/>
      </c>
      <c r="BV8" s="397" t="str">
        <f t="array" ref="BV8">IF(
  $BT8 = 0, 
  "", 
  IFERROR(
    INDEX(
      'アイテム別限界値DB'!$N:$N, 
      MATCH(
        1, 
        ('アイテム別限界値DB'!$B:$B = $BR$4) * 
        ('アイテム別限界値DB'!$G:$G = $BR8) * 
        ('アイテム別限界値DB'!$H:$H = $BT8), 
        0
      )
    )*BS8, 
    "再製作"
  )
)
</f>
        <v/>
      </c>
      <c r="BW8" s="327"/>
      <c r="BX8" s="393" t="s">
        <v>53</v>
      </c>
      <c r="BY8" s="406"/>
      <c r="BZ8" s="404"/>
      <c r="CA8" s="405" t="str">
        <f t="array" ref="CA8">IF(
  $BZ8 = 0, 
  "", 
  IFERROR(
    INDEX(
      'アイテム別限界値DB'!$K:$K, 
      MATCH(
        1, 
        ('アイテム別限界値DB'!$B:$B = $BX$4) * 
        ('アイテム別限界値DB'!$G:$G = $BX8) * 
        ('アイテム別限界値DB'!$H:$H = $BZ8), 
        0
      )
    ), 
    "再製作"
  )
)
</f>
        <v/>
      </c>
      <c r="CB8" s="397" t="str">
        <f t="array" ref="CB8">IF(
  $BZ8 = 0, 
  "", 
  IFERROR(
    INDEX(
      'アイテム別限界値DB'!$N:$N, 
      MATCH(
        1, 
        ('アイテム別限界値DB'!$B:$B = $BX$4) * 
        ('アイテム別限界値DB'!$G:$G = $BX8) * 
        ('アイテム別限界値DB'!$H:$H = $BZ8), 
        0
      )
    )*BY8, 
    "再製作"
  )
)
</f>
        <v/>
      </c>
      <c r="CC8" s="402"/>
      <c r="CD8" s="393" t="s">
        <v>51</v>
      </c>
      <c r="CE8" s="395" t="str">
        <f>IF(AND(CE6&lt;&gt;"", CE41&lt;&gt;""), "", IF(AND(CE6&lt;&gt;"", CE41=""), IF(CE6="再製作", "再製作", "お直し"), ""))</f>
        <v>お直し</v>
      </c>
      <c r="CF8" s="396"/>
      <c r="CG8" s="397" t="str">
        <f t="array" ref="CG8">IF(
  CE8 = "", 
  "", 
  IFERROR(
    INDEX(
      'アイテム別限界値DB'!$N:$N, 
      MATCH(
        1, 
        ('アイテム別限界値DB'!$B:$B = CC$4) * 
        ('アイテム別限界値DB'!$G:$G = CC8), 
        0
      )
    ), 
    "再製作"
  )
)
</f>
        <v/>
      </c>
      <c r="CH8" s="327"/>
      <c r="CI8" s="327"/>
    </row>
    <row r="9" ht="26.25" customHeight="1">
      <c r="A9" s="412"/>
      <c r="B9" s="228" t="str">
        <f>IFERROR(__xludf.DUMMYFUNCTION("TEXTJOIN(CHAR(10),TRUE,FILTER(ARRAYFORMULA(IF(N$8:N35&lt;&gt;"""",K$8:K35&amp;"" : ""&amp; N$8:N35 &amp;"" cm"" &amp; "" (¥"" &amp; P$8:P$35 &amp; ""）"","""")), N$8:N35 &lt;&gt;""""))"),"#N/A")</f>
        <v>#N/A</v>
      </c>
      <c r="C9" s="412"/>
      <c r="D9" s="412" t="s">
        <v>55</v>
      </c>
      <c r="E9" s="413" t="s">
        <v>55</v>
      </c>
      <c r="F9" s="403"/>
      <c r="G9" s="404"/>
      <c r="H9" s="405" t="str">
        <f t="array" ref="H9">IF(
  G9 = 0, 
  "", 
  IFERROR(
    INDEX(
      'アイテム別限界値DB'!$K:$K, 
      MATCH(
        1, 
        ('アイテム別限界値DB'!$B:$B = D$4) * 
        ('アイテム別限界値DB'!$G:$G = D9) * 
        ('アイテム別限界値DB'!$H:$H = G9), 
        0
      )
    ), 
    "再製作"
  )
)
</f>
        <v/>
      </c>
      <c r="I9" s="397" t="str">
        <f t="array" ref="I9">IF(
  $G9 = 0, 
  "", 
  IFERROR(
    INDEX(
      'アイテム別限界値DB'!$N:$N, 
      MATCH(
        1, 
        ('アイテム別限界値DB'!$B:$B = $D$4) * 
        ('アイテム別限界値DB'!$G:$G = $D9) * 
        ('アイテム別限界値DB'!$H:$H = $G9), 
        0
      )
    )*F9, 
    "再製作"
  )
)
</f>
        <v/>
      </c>
      <c r="J9" s="388"/>
      <c r="K9" s="412" t="s">
        <v>56</v>
      </c>
      <c r="L9" s="414" t="s">
        <v>56</v>
      </c>
      <c r="M9" s="403"/>
      <c r="N9" s="415"/>
      <c r="O9" s="405" t="str">
        <f t="array" ref="O9">IF(
  $N9 = 0, 
  "", 
  IFERROR(
    INDEX(
      'アイテム別限界値DB'!$K:$K, 
      MATCH(
        1, 
        ('アイテム別限界値DB'!$B:$B = $K$4) * 
        ('アイテム別限界値DB'!$G:$G = $K9) * 
        ('アイテム別限界値DB'!$H:$H = $N9), 
        0
      )
    ), 
    "再製作"
  )
)
</f>
        <v/>
      </c>
      <c r="P9" s="397" t="str">
        <f t="array" ref="P9">IF(
  $N9 = 0, 
  "", 
  IFERROR(
    INDEX(
      'アイテム別限界値DB'!$N:$N, 
      MATCH(
        1, 
        ('アイテム別限界値DB'!$B:$B = $K$4) * 
        ('アイテム別限界値DB'!$G:$G = $K9) * 
        ('アイテム別限界値DB'!$H:$H = $N9), 
        0
      )
    )*$M9, 
    "再製作"
  )
)
</f>
        <v/>
      </c>
      <c r="Q9" s="389"/>
      <c r="R9" s="412" t="s">
        <v>57</v>
      </c>
      <c r="S9" s="413" t="s">
        <v>57</v>
      </c>
      <c r="T9" s="403"/>
      <c r="U9" s="404"/>
      <c r="V9" s="405" t="str">
        <f t="array" ref="V9">IF(
  $U9 = 0, 
  "", 
  IFERROR(
    INDEX(
      'アイテム別限界値DB'!$K:$K, 
      MATCH(
        1, 
        ('アイテム別限界値DB'!$B:$B = $R$4) * 
        ('アイテム別限界値DB'!$G:$G = $R9) * 
        ('アイテム別限界値DB'!$H:$H = $U9), 
        0
      )
    ), 
    "再製作"
  )
)
</f>
        <v/>
      </c>
      <c r="W9" s="397" t="str">
        <f t="array" ref="W9">IF(
  $U9 = 0, 
  "", 
  IFERROR(
    INDEX(
      'アイテム別限界値DB'!$N:$N, 
      MATCH(
        1, 
        ('アイテム別限界値DB'!$B:$B = $R$4) * 
        ('アイテム別限界値DB'!$G:$G = $R9) * 
        ('アイテム別限界値DB'!$H:$H = $U9), 
        0
      )
    )*T9, 
    "再製作"
  )
)
</f>
        <v/>
      </c>
      <c r="X9" s="389"/>
      <c r="Y9" s="412" t="s">
        <v>56</v>
      </c>
      <c r="Z9" s="413" t="s">
        <v>56</v>
      </c>
      <c r="AA9" s="403"/>
      <c r="AB9" s="404"/>
      <c r="AC9" s="405" t="str">
        <f t="array" ref="AC9">IF(
  $AB9 = 0, 
  "", 
  IFERROR(
    INDEX(
      'アイテム別限界値DB'!$K:$K, 
      MATCH(
        1, 
        ('アイテム別限界値DB'!$B:$B = $Y$4) * 
        ('アイテム別限界値DB'!$G:$G = $Y9) * 
        ('アイテム別限界値DB'!$H:$H = $AB9), 
        0
      )
    ), 
    "再製作"
  )
)
</f>
        <v/>
      </c>
      <c r="AD9" s="397" t="str">
        <f t="array" ref="AD9">IF(
  $AB9 = 0, 
  "", 
  IFERROR(
    INDEX(
      'アイテム別限界値DB'!$N:$N, 
      MATCH(
        1, 
        ('アイテム別限界値DB'!$B:$B = $Y$4) * 
        ('アイテム別限界値DB'!$G:$G = $Y9) * 
        ('アイテム別限界値DB'!$H:$H = $AB9), 
        0
      )
    )*AA9, 
    "再製作"
  )
)
</f>
        <v/>
      </c>
      <c r="AE9" s="389"/>
      <c r="AF9" s="412" t="s">
        <v>58</v>
      </c>
      <c r="AG9" s="413" t="s">
        <v>58</v>
      </c>
      <c r="AH9" s="403"/>
      <c r="AI9" s="404"/>
      <c r="AJ9" s="405" t="str">
        <f t="array" ref="AJ9">IF(
  $AI9 = 0, 
  "", 
  IFERROR(
    INDEX(
      'アイテム別限界値DB'!$K:$K, 
      MATCH(
        1, 
        ('アイテム別限界値DB'!$B:$B = AF$4) * 
        ('アイテム別限界値DB'!$G:$G = $AF9) * 
        ('アイテム別限界値DB'!$H:$H = $AI9), 
        0
      )
    ), 
    "再製作"
  )
)
</f>
        <v/>
      </c>
      <c r="AK9" s="397" t="str">
        <f t="array" ref="AK9">IF(
  $AI9 = 0, 
  "", 
  IFERROR(
    INDEX(
      'アイテム別限界値DB'!$N:$N, 
      MATCH(
        1, 
        ('アイテム別限界値DB'!$B:$B = $AF$4) * 
        ('アイテム別限界値DB'!$G:$G = $AF9) * 
        ('アイテム別限界値DB'!$H:$H = $AI9), 
        0
      )
    )*AH9, 
    "再製作"
  )
)
</f>
        <v/>
      </c>
      <c r="AL9" s="327"/>
      <c r="AM9" s="412" t="s">
        <v>55</v>
      </c>
      <c r="AN9" s="416" t="s">
        <v>55</v>
      </c>
      <c r="AO9" s="403"/>
      <c r="AP9" s="404"/>
      <c r="AQ9" s="405" t="str">
        <f t="array" ref="AQ9">IF(
  $AP9 = 0, 
  "", 
  IFERROR(
    INDEX(
      'アイテム別限界値DB'!$K:$K, 
      MATCH(
        1, 
        ('アイテム別限界値DB'!$B:$B = $AM$4) * 
        ('アイテム別限界値DB'!$G:$G = $AM9) * 
        ('アイテム別限界値DB'!$H:$H = $AP9), 
        0
      )
    ), 
    "再製作"
  )
)
</f>
        <v/>
      </c>
      <c r="AR9" s="397" t="str">
        <f t="array" ref="AR9">IF(
  $AP9 = 0, 
  "", 
  IFERROR(
    INDEX(
      'アイテム別限界値DB'!$N:$N, 
      MATCH(
        1, 
        ('アイテム別限界値DB'!$B:$B = $AM$4) * 
        ('アイテム別限界値DB'!$G:$G = $AM9) * 
        ('アイテム別限界値DB'!$H:$H = $AP9), 
        0
      )
    )*AO9, 
    "再製作"
  )
)
</f>
        <v/>
      </c>
      <c r="AS9" s="327"/>
      <c r="AT9" s="416" t="s">
        <v>55</v>
      </c>
      <c r="AU9" s="403"/>
      <c r="AV9" s="417"/>
      <c r="AW9" s="405" t="str">
        <f t="array" ref="AW9">IF(
  $AV9 = 0, 
  "", 
  IFERROR(
    INDEX(
      'アイテム別限界値DB'!$K:$K, 
      MATCH(
        1, 
        ('アイテム別限界値DB'!$B:$B = $AT$4) * 
        ('アイテム別限界値DB'!$G:$G = $AT9) * 
        ('アイテム別限界値DB'!$H:$H = $AV9), 
        0
      )
    ), 
    "再製作"
  )
)
</f>
        <v/>
      </c>
      <c r="AX9" s="397" t="str">
        <f t="array" ref="AX9">IF(
  $AV9 = 0, 
  "", 
  IFERROR(
    INDEX(
      'アイテム別限界値DB'!$N:$N, 
      MATCH(
        1, 
        ('アイテム別限界値DB'!$B:$B = $AT$4) * 
        ('アイテム別限界値DB'!$G:$G = $AT9) * 
        ('アイテム別限界値DB'!$H:$H = $AV9), 
        0
      )
    )*AU9, 
    "再製作"
  )
)
</f>
        <v/>
      </c>
      <c r="AY9" s="327"/>
      <c r="AZ9" s="416" t="s">
        <v>55</v>
      </c>
      <c r="BA9" s="403"/>
      <c r="BB9" s="404"/>
      <c r="BC9" s="405" t="str">
        <f t="array" ref="BC9">IF(
  $BB9 = 0, 
  "", 
  IFERROR(
    INDEX(
      'アイテム別限界値DB'!$K:$K, 
      MATCH(
        1, 
        ('アイテム別限界値DB'!$B:$B = $AZ$4) * 
        ('アイテム別限界値DB'!$G:$G = $AZ9) * 
        ('アイテム別限界値DB'!$H:$H = $BB9), 
        0
      )
    ), 
    "再製作"
  )
)
</f>
        <v/>
      </c>
      <c r="BD9" s="397" t="str">
        <f t="array" ref="BD9">IF(
  $BB9 = 0, 
  "", 
  IFERROR(
    INDEX(
      'アイテム別限界値DB'!$N:$N, 
      MATCH(
        1, 
        ('アイテム別限界値DB'!$B:$B = $AZ$4) * 
        ('アイテム別限界値DB'!$G:$G = $AZ9) * 
        ('アイテム別限界値DB'!$H:$H = $BB9), 
        0
      )
    )*BA9, 
    "再製作"
  )
)
</f>
        <v/>
      </c>
      <c r="BE9" s="327"/>
      <c r="BF9" s="416" t="s">
        <v>55</v>
      </c>
      <c r="BG9" s="403"/>
      <c r="BH9" s="404"/>
      <c r="BI9" s="405" t="str">
        <f t="array" ref="BI9">IF(
  $BH9 = 0, 
  "", 
  IFERROR(
    INDEX(
      'アイテム別限界値DB'!$K:$K, 
      MATCH(
        1, 
        ('アイテム別限界値DB'!$B:$B = $BF$4) * 
        ('アイテム別限界値DB'!$G:$G = $BF9) * 
        ('アイテム別限界値DB'!$H:$H = $BH9), 
        0
      )
    ), 
    "再製作"
  )
)
</f>
        <v/>
      </c>
      <c r="BJ9" s="397" t="str">
        <f t="array" ref="BJ9">IF(
  $BH9 = 0, 
  "", 
  IFERROR(
    INDEX(
      'アイテム別限界値DB'!$N:$N, 
      MATCH(
        1, 
        ('アイテム別限界値DB'!$B:$B = $BF$4) * 
        ('アイテム別限界値DB'!$G:$G = $BF9) * 
        ('アイテム別限界値DB'!$H:$H = $BH9), 
        0
      )
    )*BG9, 
    "再製作"
  )
)
</f>
        <v/>
      </c>
      <c r="BK9" s="327"/>
      <c r="BL9" s="416" t="s">
        <v>55</v>
      </c>
      <c r="BM9" s="403"/>
      <c r="BN9" s="404"/>
      <c r="BO9" s="405" t="str">
        <f t="array" ref="BO9">IF(
  $BN9 = 0, 
  "", 
  IFERROR(
    INDEX(
      'アイテム別限界値DB'!$K:$K, 
      MATCH(
        1, 
        ('アイテム別限界値DB'!$B:$B = $BL$4) * 
        ('アイテム別限界値DB'!$G:$G = $BL9) * 
        ('アイテム別限界値DB'!$H:$H = $BN9), 
        0
      )
    ), 
    "再製作"
  )
)
</f>
        <v/>
      </c>
      <c r="BP9" s="397" t="str">
        <f t="array" ref="BP9">IF(
  $BN9 = 0, 
  "", 
  IFERROR(
    INDEX(
      'アイテム別限界値DB'!$N:$N, 
      MATCH(
        1, 
        ('アイテム別限界値DB'!$B:$B = $BL$4) * 
        ('アイテム別限界値DB'!$G:$G = $BL9) * 
        ('アイテム別限界値DB'!$H:$H = $BN9), 
        0
      )
    )*BM9, 
    "再製作"
  )
)
</f>
        <v/>
      </c>
      <c r="BQ9" s="327"/>
      <c r="BR9" s="416" t="s">
        <v>55</v>
      </c>
      <c r="BS9" s="403"/>
      <c r="BT9" s="404"/>
      <c r="BU9" s="405" t="str">
        <f t="array" ref="BU9">IF(
  $BT9 = 0, 
  "", 
  IFERROR(
    INDEX(
      'アイテム別限界値DB'!$K:$K, 
      MATCH(
        1, 
        ('アイテム別限界値DB'!$B:$B = $BR$4) * 
        ('アイテム別限界値DB'!$G:$G = $BR9) * 
        ('アイテム別限界値DB'!$H:$H = $BT9), 
        0
      )
    ), 
    "再製作"
  )
)
</f>
        <v/>
      </c>
      <c r="BV9" s="397" t="str">
        <f t="array" ref="BV9">IF(
  $BT9 = 0, 
  "", 
  IFERROR(
    INDEX(
      'アイテム別限界値DB'!$N:$N, 
      MATCH(
        1, 
        ('アイテム別限界値DB'!$B:$B = $BR$4) * 
        ('アイテム別限界値DB'!$G:$G = $BR9) * 
        ('アイテム別限界値DB'!$H:$H = $BT9), 
        0
      )
    )*BS9, 
    "再製作"
  )
)
</f>
        <v/>
      </c>
      <c r="BW9" s="327"/>
      <c r="BX9" s="416" t="s">
        <v>55</v>
      </c>
      <c r="BY9" s="403"/>
      <c r="BZ9" s="404"/>
      <c r="CA9" s="405" t="str">
        <f t="array" ref="CA9">IF(
  $BZ9 = 0, 
  "", 
  IFERROR(
    INDEX(
      'アイテム別限界値DB'!$K:$K, 
      MATCH(
        1, 
        ('アイテム別限界値DB'!$B:$B = $BX$4) * 
        ('アイテム別限界値DB'!$G:$G = $BX9) * 
        ('アイテム別限界値DB'!$H:$H = $BZ9), 
        0
      )
    ), 
    "再製作"
  )
)
</f>
        <v/>
      </c>
      <c r="CB9" s="397" t="str">
        <f t="array" ref="CB9">IF(
  $BZ9 = 0, 
  "", 
  IFERROR(
    INDEX(
      'アイテム別限界値DB'!$N:$N, 
      MATCH(
        1, 
        ('アイテム別限界値DB'!$B:$B = $BX$4) * 
        ('アイテム別限界値DB'!$G:$G = $BX9) * 
        ('アイテム別限界値DB'!$H:$H = $BZ9), 
        0
      )
    )*BY9, 
    "再製作"
  )
)
</f>
        <v/>
      </c>
      <c r="CC9" s="402"/>
      <c r="CD9" s="416"/>
      <c r="CE9" s="418" t="s">
        <v>59</v>
      </c>
      <c r="CF9" s="405" t="str">
        <f t="array" ref="CF9">IF(
  CE9 = 0, 
  "", 
  IFERROR(
    INDEX(
      'アイテム別限界値DB'!$K:$K, 
      MATCH(
        1, 
        ('アイテム別限界値DB'!$B:$B = CD$4) * 
        ('アイテム別限界値DB'!$G:$G = CD9) * 
        ('アイテム別限界値DB'!$H:$H = CE9), 
        0
      )
    ), 
    "再製作"
  )
)
</f>
        <v>再製作</v>
      </c>
      <c r="CG9" s="419" t="str">
        <f t="array" ref="CG9">IF(
  CE9 = 0, 
  "", 
  IFERROR(
    INDEX(
      'アイテム別限界値DB'!$N:$N, 
      MATCH(
        1, 
        ('アイテム別限界値DB'!$B:$B = CD$4) * 
        ('アイテム別限界値DB'!$G:$G = CD9) * 
        ('アイテム別限界値DB'!$H:$H = CE9), 
        0
      )
    ), 
    "再製作"
  )
)
</f>
        <v>再製作</v>
      </c>
      <c r="CH9" s="327"/>
      <c r="CI9" s="327"/>
    </row>
    <row r="10" ht="26.25" customHeight="1">
      <c r="A10" s="420"/>
      <c r="B10" s="305" t="s">
        <v>197</v>
      </c>
      <c r="C10" s="420"/>
      <c r="D10" s="420" t="s">
        <v>60</v>
      </c>
      <c r="E10" s="421" t="s">
        <v>57</v>
      </c>
      <c r="F10" s="403"/>
      <c r="G10" s="422"/>
      <c r="H10" s="405" t="str">
        <f t="array" ref="H10">IF(
  G10 = 0, 
  "", 
  IFERROR(
    INDEX(
      'アイテム別限界値DB'!$K:$K, 
      MATCH(
        1, 
        ('アイテム別限界値DB'!$B:$B = D$4) * 
        ('アイテム別限界値DB'!$G:$G = D10) * 
        ('アイテム別限界値DB'!$H:$H = G10), 
        0
      )
    ), 
    "再製作"
  )
)
</f>
        <v/>
      </c>
      <c r="I10" s="397" t="str">
        <f t="array" ref="I10">IF(
  $G10 = 0, 
  "", 
  IFERROR(
    INDEX(
      'アイテム別限界値DB'!$N:$N, 
      MATCH(
        1, 
        ('アイテム別限界値DB'!$B:$B = $D$4) * 
        ('アイテム別限界値DB'!$G:$G = $D10) * 
        ('アイテム別限界値DB'!$H:$H = $G10), 
        0
      )
    )*F10, 
    "再製作"
  )
)
</f>
        <v/>
      </c>
      <c r="J10" s="388"/>
      <c r="K10" s="420" t="s">
        <v>198</v>
      </c>
      <c r="L10" s="414" t="s">
        <v>174</v>
      </c>
      <c r="M10" s="423"/>
      <c r="N10" s="422"/>
      <c r="O10" s="405" t="str">
        <f t="array" ref="O10">IF(
  $N10 = 0, 
  "", 
  IFERROR(
    INDEX(
      'アイテム別限界値DB'!$K:$K, 
      MATCH(
        1, 
        ('アイテム別限界値DB'!$B:$B = $K$4) * 
        ('アイテム別限界値DB'!$G:$G = $K10) * 
        ('アイテム別限界値DB'!$H:$H = $N10), 
        0
      )
    ), 
    "再製作"
  )
)
</f>
        <v/>
      </c>
      <c r="P10" s="397" t="str">
        <f t="array" ref="P10">IF(
  $N10 = 0, 
  "", 
  IFERROR(
    INDEX(
      'アイテム別限界値DB'!$N:$N, 
      MATCH(
        1, 
        ('アイテム別限界値DB'!$B:$B = $K$4) * 
        ('アイテム別限界値DB'!$G:$G = $K10) * 
        ('アイテム別限界値DB'!$H:$H = $N10), 
        0
      )
    )*$M10, 
    "再製作"
  )
)
</f>
        <v/>
      </c>
      <c r="Q10" s="389"/>
      <c r="R10" s="420" t="s">
        <v>199</v>
      </c>
      <c r="S10" s="421" t="s">
        <v>62</v>
      </c>
      <c r="T10" s="423"/>
      <c r="U10" s="422"/>
      <c r="V10" s="405" t="str">
        <f t="array" ref="V10">IF(
  $U10 = 0, 
  "", 
  IFERROR(
    INDEX(
      'アイテム別限界値DB'!$K:$K, 
      MATCH(
        1, 
        ('アイテム別限界値DB'!$B:$B = $R$4) * 
        ('アイテム別限界値DB'!$G:$G = $R10) * 
        ('アイテム別限界値DB'!$H:$H = $U10), 
        0
      )
    ), 
    "再製作"
  )
)
</f>
        <v/>
      </c>
      <c r="W10" s="397" t="str">
        <f t="array" ref="W10">IF(
  $U10 = 0, 
  "", 
  IFERROR(
    INDEX(
      'アイテム別限界値DB'!$N:$N, 
      MATCH(
        1, 
        ('アイテム別限界値DB'!$B:$B = $R$4) * 
        ('アイテム別限界値DB'!$G:$G = $R10) * 
        ('アイテム別限界値DB'!$H:$H = $U10), 
        0
      )
    )*T10, 
    "再製作"
  )
)
</f>
        <v/>
      </c>
      <c r="X10" s="389"/>
      <c r="Y10" s="420" t="s">
        <v>198</v>
      </c>
      <c r="Z10" s="421" t="s">
        <v>174</v>
      </c>
      <c r="AA10" s="423"/>
      <c r="AB10" s="422"/>
      <c r="AC10" s="405" t="str">
        <f t="array" ref="AC10">IF(
  $AB10 = 0, 
  "", 
  IFERROR(
    INDEX(
      'アイテム別限界値DB'!$K:$K, 
      MATCH(
        1, 
        ('アイテム別限界値DB'!$B:$B = $Y$4) * 
        ('アイテム別限界値DB'!$G:$G = $Y10) * 
        ('アイテム別限界値DB'!$H:$H = $AB10), 
        0
      )
    ), 
    "再製作"
  )
)
</f>
        <v/>
      </c>
      <c r="AD10" s="397" t="str">
        <f t="array" ref="AD10">IF(
  $AB10 = 0, 
  "", 
  IFERROR(
    INDEX(
      'アイテム別限界値DB'!$N:$N, 
      MATCH(
        1, 
        ('アイテム別限界値DB'!$B:$B = $Y$4) * 
        ('アイテム別限界値DB'!$G:$G = $Y10) * 
        ('アイテム別限界値DB'!$H:$H = $AB10), 
        0
      )
    )*AA10, 
    "再製作"
  )
)
</f>
        <v/>
      </c>
      <c r="AE10" s="424"/>
      <c r="AF10" s="420" t="s">
        <v>63</v>
      </c>
      <c r="AG10" s="421" t="s">
        <v>63</v>
      </c>
      <c r="AH10" s="423"/>
      <c r="AI10" s="422"/>
      <c r="AJ10" s="405" t="str">
        <f t="array" ref="AJ10">IF(
  $AI10 = 0, 
  "", 
  IFERROR(
    INDEX(
      'アイテム別限界値DB'!$K:$K, 
      MATCH(
        1, 
        ('アイテム別限界値DB'!$B:$B = AF$4) * 
        ('アイテム別限界値DB'!$G:$G = $AF10) * 
        ('アイテム別限界値DB'!$H:$H = $AI10), 
        0
      )
    ), 
    "再製作"
  )
)
</f>
        <v/>
      </c>
      <c r="AK10" s="397" t="str">
        <f t="array" ref="AK10">IF(
  $AI10 = 0, 
  "", 
  IFERROR(
    INDEX(
      'アイテム別限界値DB'!$N:$N, 
      MATCH(
        1, 
        ('アイテム別限界値DB'!$B:$B = $AF$4) * 
        ('アイテム別限界値DB'!$G:$G = $AF10) * 
        ('アイテム別限界値DB'!$H:$H = $AI10), 
        0
      )
    )*AH10, 
    "再製作"
  )
)
</f>
        <v/>
      </c>
      <c r="AL10" s="327"/>
      <c r="AM10" s="420" t="s">
        <v>57</v>
      </c>
      <c r="AN10" s="425" t="s">
        <v>57</v>
      </c>
      <c r="AO10" s="423"/>
      <c r="AP10" s="422"/>
      <c r="AQ10" s="405" t="str">
        <f t="array" ref="AQ10">IF(
  $AP10 = 0, 
  "", 
  IFERROR(
    INDEX(
      'アイテム別限界値DB'!$K:$K, 
      MATCH(
        1, 
        ('アイテム別限界値DB'!$B:$B = $AM$4) * 
        ('アイテム別限界値DB'!$G:$G = $AM10) * 
        ('アイテム別限界値DB'!$H:$H = $AP10), 
        0
      )
    ), 
    "再製作"
  )
)
</f>
        <v/>
      </c>
      <c r="AR10" s="397" t="str">
        <f t="array" ref="AR10">IF(
  $AP10 = 0, 
  "", 
  IFERROR(
    INDEX(
      'アイテム別限界値DB'!$N:$N, 
      MATCH(
        1, 
        ('アイテム別限界値DB'!$B:$B = $AM$4) * 
        ('アイテム別限界値DB'!$G:$G = $AM10) * 
        ('アイテム別限界値DB'!$H:$H = $AP10), 
        0
      )
    )*AO10, 
    "再製作"
  )
)
</f>
        <v/>
      </c>
      <c r="AS10" s="327"/>
      <c r="AT10" s="425" t="s">
        <v>200</v>
      </c>
      <c r="AU10" s="423"/>
      <c r="AV10" s="426"/>
      <c r="AW10" s="405" t="str">
        <f t="array" ref="AW10">IF(
  $AV10 = 0, 
  "", 
  IFERROR(
    INDEX(
      'アイテム別限界値DB'!$K:$K, 
      MATCH(
        1, 
        ('アイテム別限界値DB'!$B:$B = $AT$4) * 
        ('アイテム別限界値DB'!$G:$G = $AT10) * 
        ('アイテム別限界値DB'!$H:$H = $AV10), 
        0
      )
    ), 
    "再製作"
  )
)
</f>
        <v/>
      </c>
      <c r="AX10" s="397" t="str">
        <f t="array" ref="AX10">IF(
  $AV10 = 0, 
  "", 
  IFERROR(
    INDEX(
      'アイテム別限界値DB'!$N:$N, 
      MATCH(
        1, 
        ('アイテム別限界値DB'!$B:$B = $AT$4) * 
        ('アイテム別限界値DB'!$G:$G = $AT10) * 
        ('アイテム別限界値DB'!$H:$H = $AV10), 
        0
      )
    )*AU10, 
    "再製作"
  )
)
</f>
        <v/>
      </c>
      <c r="AY10" s="327"/>
      <c r="AZ10" s="425" t="s">
        <v>200</v>
      </c>
      <c r="BA10" s="423"/>
      <c r="BB10" s="422"/>
      <c r="BC10" s="405" t="str">
        <f t="array" ref="BC10">IF(
  $BB10 = 0, 
  "", 
  IFERROR(
    INDEX(
      'アイテム別限界値DB'!$K:$K, 
      MATCH(
        1, 
        ('アイテム別限界値DB'!$B:$B = $AZ$4) * 
        ('アイテム別限界値DB'!$G:$G = $AZ10) * 
        ('アイテム別限界値DB'!$H:$H = $BB10), 
        0
      )
    ), 
    "再製作"
  )
)
</f>
        <v/>
      </c>
      <c r="BD10" s="397" t="str">
        <f t="array" ref="BD10">IF(
  $BB10 = 0, 
  "", 
  IFERROR(
    INDEX(
      'アイテム別限界値DB'!$N:$N, 
      MATCH(
        1, 
        ('アイテム別限界値DB'!$B:$B = $AZ$4) * 
        ('アイテム別限界値DB'!$G:$G = $AZ10) * 
        ('アイテム別限界値DB'!$H:$H = $BB10), 
        0
      )
    )*BA10, 
    "再製作"
  )
)
</f>
        <v/>
      </c>
      <c r="BE10" s="327"/>
      <c r="BF10" s="425" t="s">
        <v>200</v>
      </c>
      <c r="BG10" s="423"/>
      <c r="BH10" s="422"/>
      <c r="BI10" s="405" t="str">
        <f t="array" ref="BI10">IF(
  $BH10 = 0, 
  "", 
  IFERROR(
    INDEX(
      'アイテム別限界値DB'!$K:$K, 
      MATCH(
        1, 
        ('アイテム別限界値DB'!$B:$B = $BF$4) * 
        ('アイテム別限界値DB'!$G:$G = $BF10) * 
        ('アイテム別限界値DB'!$H:$H = $BH10), 
        0
      )
    ), 
    "再製作"
  )
)
</f>
        <v/>
      </c>
      <c r="BJ10" s="397" t="str">
        <f t="array" ref="BJ10">IF(
  $BH10 = 0, 
  "", 
  IFERROR(
    INDEX(
      'アイテム別限界値DB'!$N:$N, 
      MATCH(
        1, 
        ('アイテム別限界値DB'!$B:$B = $BF$4) * 
        ('アイテム別限界値DB'!$G:$G = $BF10) * 
        ('アイテム別限界値DB'!$H:$H = $BH10), 
        0
      )
    )*BG10, 
    "再製作"
  )
)
</f>
        <v/>
      </c>
      <c r="BK10" s="327"/>
      <c r="BL10" s="425" t="s">
        <v>201</v>
      </c>
      <c r="BM10" s="423"/>
      <c r="BN10" s="422"/>
      <c r="BO10" s="405" t="str">
        <f t="array" ref="BO10">IF(
  $BN10 = 0, 
  "", 
  IFERROR(
    INDEX(
      'アイテム別限界値DB'!$K:$K, 
      MATCH(
        1, 
        ('アイテム別限界値DB'!$B:$B = $BL$4) * 
        ('アイテム別限界値DB'!$G:$G = $BL10) * 
        ('アイテム別限界値DB'!$H:$H = $BN10), 
        0
      )
    ), 
    "再製作"
  )
)
</f>
        <v/>
      </c>
      <c r="BP10" s="397" t="str">
        <f t="array" ref="BP10">IF(
  $BN10 = 0, 
  "", 
  IFERROR(
    INDEX(
      'アイテム別限界値DB'!$N:$N, 
      MATCH(
        1, 
        ('アイテム別限界値DB'!$B:$B = $BL$4) * 
        ('アイテム別限界値DB'!$G:$G = $BL10) * 
        ('アイテム別限界値DB'!$H:$H = $BN10), 
        0
      )
    )*BM10, 
    "再製作"
  )
)
</f>
        <v/>
      </c>
      <c r="BQ10" s="327"/>
      <c r="BR10" s="425" t="s">
        <v>57</v>
      </c>
      <c r="BS10" s="423"/>
      <c r="BT10" s="422"/>
      <c r="BU10" s="405" t="str">
        <f t="array" ref="BU10">IF(
  $BT10 = 0, 
  "", 
  IFERROR(
    INDEX(
      'アイテム別限界値DB'!$K:$K, 
      MATCH(
        1, 
        ('アイテム別限界値DB'!$B:$B = $BR$4) * 
        ('アイテム別限界値DB'!$G:$G = $BR10) * 
        ('アイテム別限界値DB'!$H:$H = $BT10), 
        0
      )
    ), 
    "再製作"
  )
)
</f>
        <v/>
      </c>
      <c r="BV10" s="397" t="str">
        <f t="array" ref="BV10">IF(
  $BT10 = 0, 
  "", 
  IFERROR(
    INDEX(
      'アイテム別限界値DB'!$N:$N, 
      MATCH(
        1, 
        ('アイテム別限界値DB'!$B:$B = $BR$4) * 
        ('アイテム別限界値DB'!$G:$G = $BR10) * 
        ('アイテム別限界値DB'!$H:$H = $BT10), 
        0
      )
    )*BS10, 
    "再製作"
  )
)
</f>
        <v/>
      </c>
      <c r="BW10" s="327"/>
      <c r="BX10" s="425" t="s">
        <v>57</v>
      </c>
      <c r="BY10" s="423"/>
      <c r="BZ10" s="422"/>
      <c r="CA10" s="405" t="str">
        <f t="array" ref="CA10">IF(
  $BZ10 = 0, 
  "", 
  IFERROR(
    INDEX(
      'アイテム別限界値DB'!$K:$K, 
      MATCH(
        1, 
        ('アイテム別限界値DB'!$B:$B = $BX$4) * 
        ('アイテム別限界値DB'!$G:$G = $BX10) * 
        ('アイテム別限界値DB'!$H:$H = $BZ10), 
        0
      )
    ), 
    "再製作"
  )
)
</f>
        <v/>
      </c>
      <c r="CB10" s="397" t="str">
        <f t="array" ref="CB10">IF(
  $BZ10 = 0, 
  "", 
  IFERROR(
    INDEX(
      'アイテム別限界値DB'!$N:$N, 
      MATCH(
        1, 
        ('アイテム別限界値DB'!$B:$B = $BX$4) * 
        ('アイテム別限界値DB'!$G:$G = $BX10) * 
        ('アイテム別限界値DB'!$H:$H = $BZ10), 
        0
      )
    )*BY10, 
    "再製作"
  )
)
</f>
        <v/>
      </c>
      <c r="CC10" s="402"/>
      <c r="CD10" s="425"/>
      <c r="CE10" s="407" t="s">
        <v>59</v>
      </c>
      <c r="CF10" s="405" t="str">
        <f t="array" ref="CF10">IF(
  CE10 = 0, 
  "", 
  IFERROR(
    INDEX(
      'アイテム別限界値DB'!$K:$K, 
      MATCH(
        1, 
        ('アイテム別限界値DB'!$B:$B = CD$4) * 
        ('アイテム別限界値DB'!$G:$G = CD10) * 
        ('アイテム別限界値DB'!$H:$H = CE10), 
        0
      )
    ), 
    "再製作"
  )
)
</f>
        <v>再製作</v>
      </c>
      <c r="CG10" s="419" t="str">
        <f t="array" ref="CG10">IF(
  CE10 = 0, 
  "", 
  IFERROR(
    INDEX(
      'アイテム別限界値DB'!$N:$N, 
      MATCH(
        1, 
        ('アイテム別限界値DB'!$B:$B = CD$4) * 
        ('アイテム別限界値DB'!$G:$G = CD10) * 
        ('アイテム別限界値DB'!$H:$H = CE10), 
        0
      )
    ), 
    "再製作"
  )
)
</f>
        <v>再製作</v>
      </c>
      <c r="CH10" s="327"/>
      <c r="CI10" s="327"/>
    </row>
    <row r="11" ht="26.25" customHeight="1">
      <c r="A11" s="412"/>
      <c r="B11" s="228" t="str">
        <f>IFERROR(__xludf.DUMMYFUNCTION("TEXTJOIN(CHAR(10),TRUE,FILTER(ARRAYFORMULA(IF(Q$14:Q70&lt;&gt;"""",P$14:P70 &amp;"" : ""&amp; Q$14:Q70 &amp;"" cm"","""")), P$14:P70 &lt;&gt;""""))"),"")</f>
        <v/>
      </c>
      <c r="C11" s="412"/>
      <c r="D11" s="412" t="s">
        <v>65</v>
      </c>
      <c r="E11" s="413" t="s">
        <v>71</v>
      </c>
      <c r="F11" s="403"/>
      <c r="G11" s="404"/>
      <c r="H11" s="405" t="str">
        <f t="array" ref="H11">IF(
  G11 = 0, 
  "", 
  IFERROR(
    INDEX(
      'アイテム別限界値DB'!$K:$K, 
      MATCH(
        1, 
        ('アイテム別限界値DB'!$B:$B = D$4) * 
        ('アイテム別限界値DB'!$G:$G = D11) * 
        ('アイテム別限界値DB'!$H:$H = G11), 
        0
      )
    ), 
    "再製作"
  )
)
</f>
        <v/>
      </c>
      <c r="I11" s="397" t="str">
        <f t="array" ref="I11">IF(
  $G11 = 0, 
  "", 
  IFERROR(
    INDEX(
      'アイテム別限界値DB'!$N:$N, 
      MATCH(
        1, 
        ('アイテム別限界値DB'!$B:$B = $D$4) * 
        ('アイテム別限界値DB'!$G:$G = $D11) * 
        ('アイテム別限界値DB'!$H:$H = $G11), 
        0
      )
    )*F11, 
    "再製作"
  )
)
</f>
        <v/>
      </c>
      <c r="J11" s="388"/>
      <c r="K11" s="412" t="s">
        <v>202</v>
      </c>
      <c r="L11" s="414" t="s">
        <v>78</v>
      </c>
      <c r="M11" s="406"/>
      <c r="N11" s="404"/>
      <c r="O11" s="405" t="str">
        <f t="array" ref="O11">IF(
  $N11 = 0, 
  "", 
  IFERROR(
    INDEX(
      'アイテム別限界値DB'!$K:$K, 
      MATCH(
        1, 
        ('アイテム別限界値DB'!$B:$B = $K$4) * 
        ('アイテム別限界値DB'!$G:$G = $K11) * 
        ('アイテム別限界値DB'!$H:$H = $N11), 
        0
      )
    ), 
    "再製作"
  )
)
</f>
        <v/>
      </c>
      <c r="P11" s="397" t="str">
        <f t="array" ref="P11">IF(
  $N11 = 0, 
  "", 
  IFERROR(
    INDEX(
      'アイテム別限界値DB'!$N:$N, 
      MATCH(
        1, 
        ('アイテム別限界値DB'!$B:$B = $K$4) * 
        ('アイテム別限界値DB'!$G:$G = $K11) * 
        ('アイテム別限界値DB'!$H:$H = $N11), 
        0
      )
    )*$M11, 
    "再製作"
  )
)
</f>
        <v/>
      </c>
      <c r="Q11" s="389"/>
      <c r="R11" s="412" t="s">
        <v>67</v>
      </c>
      <c r="S11" s="413" t="s">
        <v>67</v>
      </c>
      <c r="T11" s="406"/>
      <c r="U11" s="404"/>
      <c r="V11" s="405" t="str">
        <f t="array" ref="V11">IF(
  $U11 = 0, 
  "", 
  IFERROR(
    INDEX(
      'アイテム別限界値DB'!$K:$K, 
      MATCH(
        1, 
        ('アイテム別限界値DB'!$B:$B = $R$4) * 
        ('アイテム別限界値DB'!$G:$G = $R11) * 
        ('アイテム別限界値DB'!$H:$H = $U11), 
        0
      )
    ), 
    "再製作"
  )
)
</f>
        <v/>
      </c>
      <c r="W11" s="397" t="str">
        <f t="array" ref="W11">IF(
  $U11 = 0, 
  "", 
  IFERROR(
    INDEX(
      'アイテム別限界値DB'!$N:$N, 
      MATCH(
        1, 
        ('アイテム別限界値DB'!$B:$B = $R$4) * 
        ('アイテム別限界値DB'!$G:$G = $R11) * 
        ('アイテム別限界値DB'!$H:$H = $U11), 
        0
      )
    )*T11, 
    "再製作"
  )
)
</f>
        <v/>
      </c>
      <c r="X11" s="327"/>
      <c r="Y11" s="412" t="s">
        <v>203</v>
      </c>
      <c r="Z11" s="413" t="s">
        <v>78</v>
      </c>
      <c r="AA11" s="406"/>
      <c r="AB11" s="404"/>
      <c r="AC11" s="405" t="str">
        <f t="array" ref="AC11">IF(
  $AB11 = 0, 
  "", 
  IFERROR(
    INDEX(
      'アイテム別限界値DB'!$K:$K, 
      MATCH(
        1, 
        ('アイテム別限界値DB'!$B:$B = $Y$4) * 
        ('アイテム別限界値DB'!$G:$G = $Y11) * 
        ('アイテム別限界値DB'!$H:$H = $AB11), 
        0
      )
    ), 
    "再製作"
  )
)
</f>
        <v/>
      </c>
      <c r="AD11" s="397" t="str">
        <f t="array" ref="AD11">IF(
  $AB11 = 0, 
  "", 
  IFERROR(
    INDEX(
      'アイテム別限界値DB'!$N:$N, 
      MATCH(
        1, 
        ('アイテム別限界値DB'!$B:$B = $Y$4) * 
        ('アイテム別限界値DB'!$G:$G = $Y11) * 
        ('アイテム別限界値DB'!$H:$H = $AB11), 
        0
      )
    )*AA11, 
    "再製作"
  )
)
</f>
        <v/>
      </c>
      <c r="AE11" s="424"/>
      <c r="AF11" s="412" t="s">
        <v>57</v>
      </c>
      <c r="AG11" s="413" t="s">
        <v>57</v>
      </c>
      <c r="AH11" s="406"/>
      <c r="AI11" s="404"/>
      <c r="AJ11" s="405" t="str">
        <f t="array" ref="AJ11">IF(
  $AI11 = 0, 
  "", 
  IFERROR(
    INDEX(
      'アイテム別限界値DB'!$K:$K, 
      MATCH(
        1, 
        ('アイテム別限界値DB'!$B:$B = AF$4) * 
        ('アイテム別限界値DB'!$G:$G = $AF11) * 
        ('アイテム別限界値DB'!$H:$H = $AI11), 
        0
      )
    ), 
    "再製作"
  )
)
</f>
        <v/>
      </c>
      <c r="AK11" s="397" t="str">
        <f t="array" ref="AK11">IF(
  $AI11 = 0, 
  "", 
  IFERROR(
    INDEX(
      'アイテム別限界値DB'!$N:$N, 
      MATCH(
        1, 
        ('アイテム別限界値DB'!$B:$B = $AF$4) * 
        ('アイテム別限界値DB'!$G:$G = $AF11) * 
        ('アイテム別限界値DB'!$H:$H = $AI11), 
        0
      )
    )*AH11, 
    "再製作"
  )
)
</f>
        <v/>
      </c>
      <c r="AL11" s="327"/>
      <c r="AM11" s="412" t="s">
        <v>69</v>
      </c>
      <c r="AN11" s="416" t="s">
        <v>69</v>
      </c>
      <c r="AO11" s="406"/>
      <c r="AP11" s="404"/>
      <c r="AQ11" s="405" t="str">
        <f t="array" ref="AQ11">IF(
  $AP11 = 0, 
  "", 
  IFERROR(
    INDEX(
      'アイテム別限界値DB'!$K:$K, 
      MATCH(
        1, 
        ('アイテム別限界値DB'!$B:$B = $AM$4) * 
        ('アイテム別限界値DB'!$G:$G = $AM11) * 
        ('アイテム別限界値DB'!$H:$H = $AP11), 
        0
      )
    ), 
    "再製作"
  )
)
</f>
        <v/>
      </c>
      <c r="AR11" s="397" t="str">
        <f t="array" ref="AR11">IF(
  $AP11 = 0, 
  "", 
  IFERROR(
    INDEX(
      'アイテム別限界値DB'!$N:$N, 
      MATCH(
        1, 
        ('アイテム別限界値DB'!$B:$B = $AM$4) * 
        ('アイテム別限界値DB'!$G:$G = $AM11) * 
        ('アイテム別限界値DB'!$H:$H = $AP11), 
        0
      )
    )*AO11, 
    "再製作"
  )
)
</f>
        <v/>
      </c>
      <c r="AS11" s="327"/>
      <c r="AT11" s="416" t="s">
        <v>204</v>
      </c>
      <c r="AU11" s="406"/>
      <c r="AV11" s="417"/>
      <c r="AW11" s="405" t="str">
        <f t="array" ref="AW11">IF(
  $AV11 = 0, 
  "", 
  IFERROR(
    INDEX(
      'アイテム別限界値DB'!$K:$K, 
      MATCH(
        1, 
        ('アイテム別限界値DB'!$B:$B = $AT$4) * 
        ('アイテム別限界値DB'!$G:$G = $AT11) * 
        ('アイテム別限界値DB'!$H:$H = $AV11), 
        0
      )
    ), 
    "再製作"
  )
)
</f>
        <v/>
      </c>
      <c r="AX11" s="397" t="str">
        <f t="array" ref="AX11">IF(
  $AV11 = 0, 
  "", 
  IFERROR(
    INDEX(
      'アイテム別限界値DB'!$N:$N, 
      MATCH(
        1, 
        ('アイテム別限界値DB'!$B:$B = $AT$4) * 
        ('アイテム別限界値DB'!$G:$G = $AT11) * 
        ('アイテム別限界値DB'!$H:$H = $AV11), 
        0
      )
    )*AU11, 
    "再製作"
  )
)
</f>
        <v/>
      </c>
      <c r="AY11" s="327"/>
      <c r="AZ11" s="416" t="s">
        <v>71</v>
      </c>
      <c r="BA11" s="406"/>
      <c r="BB11" s="404"/>
      <c r="BC11" s="405" t="str">
        <f t="array" ref="BC11">IF(
  $BB11 = 0, 
  "", 
  IFERROR(
    INDEX(
      'アイテム別限界値DB'!$K:$K, 
      MATCH(
        1, 
        ('アイテム別限界値DB'!$B:$B = $AZ$4) * 
        ('アイテム別限界値DB'!$G:$G = $AZ11) * 
        ('アイテム別限界値DB'!$H:$H = $BB11), 
        0
      )
    ), 
    "再製作"
  )
)
</f>
        <v/>
      </c>
      <c r="BD11" s="397" t="str">
        <f t="array" ref="BD11">IF(
  $BB11 = 0, 
  "", 
  IFERROR(
    INDEX(
      'アイテム別限界値DB'!$N:$N, 
      MATCH(
        1, 
        ('アイテム別限界値DB'!$B:$B = $AZ$4) * 
        ('アイテム別限界値DB'!$G:$G = $AZ11) * 
        ('アイテム別限界値DB'!$H:$H = $BB11), 
        0
      )
    )*BA11, 
    "再製作"
  )
)
</f>
        <v/>
      </c>
      <c r="BE11" s="327"/>
      <c r="BF11" s="416" t="s">
        <v>205</v>
      </c>
      <c r="BG11" s="406"/>
      <c r="BH11" s="404"/>
      <c r="BI11" s="405" t="str">
        <f t="array" ref="BI11">IF(
  $BH11 = 0, 
  "", 
  IFERROR(
    INDEX(
      'アイテム別限界値DB'!$K:$K, 
      MATCH(
        1, 
        ('アイテム別限界値DB'!$B:$B = $BF$4) * 
        ('アイテム別限界値DB'!$G:$G = $BF11) * 
        ('アイテム別限界値DB'!$H:$H = $BH11), 
        0
      )
    ), 
    "再製作"
  )
)
</f>
        <v/>
      </c>
      <c r="BJ11" s="397" t="str">
        <f t="array" ref="BJ11">IF(
  $BH11 = 0, 
  "", 
  IFERROR(
    INDEX(
      'アイテム別限界値DB'!$N:$N, 
      MATCH(
        1, 
        ('アイテム別限界値DB'!$B:$B = $BF$4) * 
        ('アイテム別限界値DB'!$G:$G = $BF11) * 
        ('アイテム別限界値DB'!$H:$H = $BH11), 
        0
      )
    )*BG11, 
    "再製作"
  )
)
</f>
        <v/>
      </c>
      <c r="BK11" s="327"/>
      <c r="BL11" s="416" t="s">
        <v>71</v>
      </c>
      <c r="BM11" s="406"/>
      <c r="BN11" s="404"/>
      <c r="BO11" s="405" t="str">
        <f t="array" ref="BO11">IF(
  $BN11 = 0, 
  "", 
  IFERROR(
    INDEX(
      'アイテム別限界値DB'!$K:$K, 
      MATCH(
        1, 
        ('アイテム別限界値DB'!$B:$B = $BL$4) * 
        ('アイテム別限界値DB'!$G:$G = $BL11) * 
        ('アイテム別限界値DB'!$H:$H = $BN11), 
        0
      )
    ), 
    "再製作"
  )
)
</f>
        <v/>
      </c>
      <c r="BP11" s="397" t="str">
        <f t="array" ref="BP11">IF(
  $BN11 = 0, 
  "", 
  IFERROR(
    INDEX(
      'アイテム別限界値DB'!$N:$N, 
      MATCH(
        1, 
        ('アイテム別限界値DB'!$B:$B = $BL$4) * 
        ('アイテム別限界値DB'!$G:$G = $BL11) * 
        ('アイテム別限界値DB'!$H:$H = $BN11), 
        0
      )
    )*BM11, 
    "再製作"
  )
)
</f>
        <v/>
      </c>
      <c r="BQ11" s="327"/>
      <c r="BR11" s="416" t="s">
        <v>71</v>
      </c>
      <c r="BS11" s="406"/>
      <c r="BT11" s="404"/>
      <c r="BU11" s="405" t="str">
        <f t="array" ref="BU11">IF(
  $BT11 = 0, 
  "", 
  IFERROR(
    INDEX(
      'アイテム別限界値DB'!$K:$K, 
      MATCH(
        1, 
        ('アイテム別限界値DB'!$B:$B = $BR$4) * 
        ('アイテム別限界値DB'!$G:$G = $BR11) * 
        ('アイテム別限界値DB'!$H:$H = $BT11), 
        0
      )
    ), 
    "再製作"
  )
)
</f>
        <v/>
      </c>
      <c r="BV11" s="397" t="str">
        <f t="array" ref="BV11">IF(
  $BT11 = 0, 
  "", 
  IFERROR(
    INDEX(
      'アイテム別限界値DB'!$N:$N, 
      MATCH(
        1, 
        ('アイテム別限界値DB'!$B:$B = $BR$4) * 
        ('アイテム別限界値DB'!$G:$G = $BR11) * 
        ('アイテム別限界値DB'!$H:$H = $BT11), 
        0
      )
    )*BS11, 
    "再製作"
  )
)
</f>
        <v/>
      </c>
      <c r="BW11" s="327"/>
      <c r="BX11" s="416" t="s">
        <v>71</v>
      </c>
      <c r="BY11" s="406"/>
      <c r="BZ11" s="404"/>
      <c r="CA11" s="405" t="str">
        <f t="array" ref="CA11">IF(
  $BZ11 = 0, 
  "", 
  IFERROR(
    INDEX(
      'アイテム別限界値DB'!$K:$K, 
      MATCH(
        1, 
        ('アイテム別限界値DB'!$B:$B = $BX$4) * 
        ('アイテム別限界値DB'!$G:$G = $BX11) * 
        ('アイテム別限界値DB'!$H:$H = $BZ11), 
        0
      )
    ), 
    "再製作"
  )
)
</f>
        <v/>
      </c>
      <c r="CB11" s="397" t="str">
        <f t="array" ref="CB11">IF(
  $BZ11 = 0, 
  "", 
  IFERROR(
    INDEX(
      'アイテム別限界値DB'!$N:$N, 
      MATCH(
        1, 
        ('アイテム別限界値DB'!$B:$B = $BX$4) * 
        ('アイテム別限界値DB'!$G:$G = $BX11) * 
        ('アイテム別限界値DB'!$H:$H = $BZ11), 
        0
      )
    )*BY11, 
    "再製作"
  )
)
</f>
        <v/>
      </c>
      <c r="CC11" s="402"/>
      <c r="CD11" s="416"/>
      <c r="CE11" s="418" t="s">
        <v>59</v>
      </c>
      <c r="CF11" s="405" t="str">
        <f t="array" ref="CF11">IF(
  CE11 = 0, 
  "", 
  IFERROR(
    INDEX(
      'アイテム別限界値DB'!$K:$K, 
      MATCH(
        1, 
        ('アイテム別限界値DB'!$B:$B = CD$4) * 
        ('アイテム別限界値DB'!$G:$G = CD11) * 
        ('アイテム別限界値DB'!$H:$H = CE11), 
        0
      )
    ), 
    "再製作"
  )
)
</f>
        <v>再製作</v>
      </c>
      <c r="CG11" s="419" t="str">
        <f t="array" ref="CG11">IF(
  CE11 = 0, 
  "", 
  IFERROR(
    INDEX(
      'アイテム別限界値DB'!$N:$N, 
      MATCH(
        1, 
        ('アイテム別限界値DB'!$B:$B = CD$4) * 
        ('アイテム別限界値DB'!$G:$G = CD11) * 
        ('アイテム別限界値DB'!$H:$H = CE11), 
        0
      )
    ), 
    "再製作"
  )
)
</f>
        <v>再製作</v>
      </c>
      <c r="CH11" s="327"/>
      <c r="CI11" s="327"/>
    </row>
    <row r="12" ht="26.25" customHeight="1">
      <c r="A12" s="427"/>
      <c r="B12" s="305" t="s">
        <v>206</v>
      </c>
      <c r="C12" s="427"/>
      <c r="D12" s="427" t="s">
        <v>72</v>
      </c>
      <c r="E12" s="421" t="s">
        <v>62</v>
      </c>
      <c r="F12" s="403"/>
      <c r="G12" s="422"/>
      <c r="H12" s="405" t="str">
        <f t="array" ref="H12">IF(
  G12 = 0, 
  "", 
  IFERROR(
    INDEX(
      'アイテム別限界値DB'!$K:$K, 
      MATCH(
        1, 
        ('アイテム別限界値DB'!$B:$B = D$4) * 
        ('アイテム別限界値DB'!$G:$G = D12) * 
        ('アイテム別限界値DB'!$H:$H = G12), 
        0
      )
    ), 
    "再製作"
  )
)
</f>
        <v/>
      </c>
      <c r="I12" s="397" t="str">
        <f t="array" ref="I12">IF(
  $G12 = 0, 
  "", 
  IFERROR(
    INDEX(
      'アイテム別限界値DB'!$N:$N, 
      MATCH(
        1, 
        ('アイテム別限界値DB'!$B:$B = $D$4) * 
        ('アイテム別限界値DB'!$G:$G = $D12) * 
        ('アイテム別限界値DB'!$H:$H = $G12), 
        0
      )
    )*F12, 
    "再製作"
  )
)
</f>
        <v/>
      </c>
      <c r="J12" s="388"/>
      <c r="K12" s="427" t="s">
        <v>207</v>
      </c>
      <c r="L12" s="414" t="s">
        <v>82</v>
      </c>
      <c r="M12" s="423"/>
      <c r="N12" s="422"/>
      <c r="O12" s="405" t="str">
        <f t="array" ref="O12">IF(
  $N12 = 0, 
  "", 
  IFERROR(
    INDEX(
      'アイテム別限界値DB'!$K:$K, 
      MATCH(
        1, 
        ('アイテム別限界値DB'!$B:$B = $K$4) * 
        ('アイテム別限界値DB'!$G:$G = $K12) * 
        ('アイテム別限界値DB'!$H:$H = $N12), 
        0
      )
    ), 
    "再製作"
  )
)
</f>
        <v/>
      </c>
      <c r="P12" s="397" t="str">
        <f t="array" ref="P12">IF(
  $N12 = 0, 
  "", 
  IFERROR(
    INDEX(
      'アイテム別限界値DB'!$N:$N, 
      MATCH(
        1, 
        ('アイテム別限界値DB'!$B:$B = $K$4) * 
        ('アイテム別限界値DB'!$G:$G = $K12) * 
        ('アイテム別限界値DB'!$H:$H = $N12), 
        0
      )
    )*$M12, 
    "再製作"
  )
)
</f>
        <v/>
      </c>
      <c r="Q12" s="389"/>
      <c r="R12" s="427" t="s">
        <v>74</v>
      </c>
      <c r="S12" s="421" t="s">
        <v>74</v>
      </c>
      <c r="T12" s="423"/>
      <c r="U12" s="404"/>
      <c r="V12" s="405" t="str">
        <f t="array" ref="V12">IF(
  $U12 = 0, 
  "", 
  IFERROR(
    INDEX(
      'アイテム別限界値DB'!$K:$K, 
      MATCH(
        1, 
        ('アイテム別限界値DB'!$B:$B = $R$4) * 
        ('アイテム別限界値DB'!$G:$G = $R12) * 
        ('アイテム別限界値DB'!$H:$H = $U12), 
        0
      )
    ), 
    "再製作"
  )
)
</f>
        <v/>
      </c>
      <c r="W12" s="397" t="str">
        <f t="array" ref="W12">IF(
  $U12 = 0, 
  "", 
  IFERROR(
    INDEX(
      'アイテム別限界値DB'!$N:$N, 
      MATCH(
        1, 
        ('アイテム別限界値DB'!$B:$B = $R$4) * 
        ('アイテム別限界値DB'!$G:$G = $R12) * 
        ('アイテム別限界値DB'!$H:$H = $U12), 
        0
      )
    )*T12, 
    "再製作"
  )
)
</f>
        <v/>
      </c>
      <c r="X12" s="327"/>
      <c r="Y12" s="427" t="s">
        <v>208</v>
      </c>
      <c r="Z12" s="421" t="s">
        <v>82</v>
      </c>
      <c r="AA12" s="423"/>
      <c r="AB12" s="404"/>
      <c r="AC12" s="405" t="str">
        <f t="array" ref="AC12">IF(
  $AB12 = 0, 
  "", 
  IFERROR(
    INDEX(
      'アイテム別限界値DB'!$K:$K, 
      MATCH(
        1, 
        ('アイテム別限界値DB'!$B:$B = $Y$4) * 
        ('アイテム別限界値DB'!$G:$G = $Y12) * 
        ('アイテム別限界値DB'!$H:$H = $AB12), 
        0
      )
    ), 
    "再製作"
  )
)
</f>
        <v/>
      </c>
      <c r="AD12" s="397" t="str">
        <f t="array" ref="AD12">IF(
  $AB12 = 0, 
  "", 
  IFERROR(
    INDEX(
      'アイテム別限界値DB'!$N:$N, 
      MATCH(
        1, 
        ('アイテム別限界値DB'!$B:$B = $Y$4) * 
        ('アイテム別限界値DB'!$G:$G = $Y12) * 
        ('アイテム別限界値DB'!$H:$H = $AB12), 
        0
      )
    )*AA12, 
    "再製作"
  )
)
</f>
        <v/>
      </c>
      <c r="AE12" s="332"/>
      <c r="AF12" s="427" t="s">
        <v>69</v>
      </c>
      <c r="AG12" s="421" t="s">
        <v>69</v>
      </c>
      <c r="AH12" s="423"/>
      <c r="AI12" s="422"/>
      <c r="AJ12" s="405" t="str">
        <f t="array" ref="AJ12">IF(
  $AI12 = 0, 
  "", 
  IFERROR(
    INDEX(
      'アイテム別限界値DB'!$K:$K, 
      MATCH(
        1, 
        ('アイテム別限界値DB'!$B:$B = AF$4) * 
        ('アイテム別限界値DB'!$G:$G = $AF12) * 
        ('アイテム別限界値DB'!$H:$H = $AI12), 
        0
      )
    ), 
    "再製作"
  )
)
</f>
        <v/>
      </c>
      <c r="AK12" s="397" t="str">
        <f t="array" ref="AK12">IF(
  $AI12 = 0, 
  "", 
  IFERROR(
    INDEX(
      'アイテム別限界値DB'!$N:$N, 
      MATCH(
        1, 
        ('アイテム別限界値DB'!$B:$B = $AF$4) * 
        ('アイテム別限界値DB'!$G:$G = $AF12) * 
        ('アイテム別限界値DB'!$H:$H = $AI12), 
        0
      )
    )*AH12, 
    "再製作"
  )
)
</f>
        <v/>
      </c>
      <c r="AL12" s="327"/>
      <c r="AM12" s="427" t="s">
        <v>76</v>
      </c>
      <c r="AN12" s="428" t="s">
        <v>76</v>
      </c>
      <c r="AO12" s="423"/>
      <c r="AP12" s="422"/>
      <c r="AQ12" s="405" t="str">
        <f t="array" ref="AQ12">IF(
  $AP12 = 0, 
  "", 
  IFERROR(
    INDEX(
      'アイテム別限界値DB'!$K:$K, 
      MATCH(
        1, 
        ('アイテム別限界値DB'!$B:$B = $AM$4) * 
        ('アイテム別限界値DB'!$G:$G = $AM12) * 
        ('アイテム別限界値DB'!$H:$H = $AP12), 
        0
      )
    ), 
    "再製作"
  )
)
</f>
        <v/>
      </c>
      <c r="AR12" s="397" t="str">
        <f t="array" ref="AR12">IF(
  $AP12 = 0, 
  "", 
  IFERROR(
    INDEX(
      'アイテム別限界値DB'!$N:$N, 
      MATCH(
        1, 
        ('アイテム別限界値DB'!$B:$B = $AM$4) * 
        ('アイテム別限界値DB'!$G:$G = $AM12) * 
        ('アイテム別限界値DB'!$H:$H = $AP12), 
        0
      )
    )*AO12, 
    "再製作"
  )
)
</f>
        <v/>
      </c>
      <c r="AS12" s="327"/>
      <c r="AT12" s="428" t="s">
        <v>71</v>
      </c>
      <c r="AU12" s="423"/>
      <c r="AV12" s="426"/>
      <c r="AW12" s="405" t="str">
        <f t="array" ref="AW12">IF(
  $AV12 = 0, 
  "", 
  IFERROR(
    INDEX(
      'アイテム別限界値DB'!$K:$K, 
      MATCH(
        1, 
        ('アイテム別限界値DB'!$B:$B = $AT$4) * 
        ('アイテム別限界値DB'!$G:$G = $AT12) * 
        ('アイテム別限界値DB'!$H:$H = $AV12), 
        0
      )
    ), 
    "再製作"
  )
)
</f>
        <v/>
      </c>
      <c r="AX12" s="397" t="str">
        <f t="array" ref="AX12">IF(
  $AV12 = 0, 
  "", 
  IFERROR(
    INDEX(
      'アイテム別限界値DB'!$N:$N, 
      MATCH(
        1, 
        ('アイテム別限界値DB'!$B:$B = $AT$4) * 
        ('アイテム別限界値DB'!$G:$G = $AT12) * 
        ('アイテム別限界値DB'!$H:$H = $AV12), 
        0
      )
    )*AU12, 
    "再製作"
  )
)
</f>
        <v/>
      </c>
      <c r="AY12" s="327"/>
      <c r="AZ12" s="428" t="s">
        <v>209</v>
      </c>
      <c r="BA12" s="423"/>
      <c r="BB12" s="422"/>
      <c r="BC12" s="405" t="str">
        <f t="array" ref="BC12">IF(
  $BB12 = 0, 
  "", 
  IFERROR(
    INDEX(
      'アイテム別限界値DB'!$K:$K, 
      MATCH(
        1, 
        ('アイテム別限界値DB'!$B:$B = $AZ$4) * 
        ('アイテム別限界値DB'!$G:$G = $AZ12) * 
        ('アイテム別限界値DB'!$H:$H = $BB12), 
        0
      )
    ), 
    "再製作"
  )
)
</f>
        <v/>
      </c>
      <c r="BD12" s="397" t="str">
        <f t="array" ref="BD12">IF(
  $BB12 = 0, 
  "", 
  IFERROR(
    INDEX(
      'アイテム別限界値DB'!$N:$N, 
      MATCH(
        1, 
        ('アイテム別限界値DB'!$B:$B = $AZ$4) * 
        ('アイテム別限界値DB'!$G:$G = $AZ12) * 
        ('アイテム別限界値DB'!$H:$H = $BB12), 
        0
      )
    )*BA12, 
    "再製作"
  )
)
</f>
        <v/>
      </c>
      <c r="BE12" s="327"/>
      <c r="BF12" s="428" t="s">
        <v>209</v>
      </c>
      <c r="BG12" s="423"/>
      <c r="BH12" s="422"/>
      <c r="BI12" s="405" t="str">
        <f t="array" ref="BI12">IF(
  $BH12 = 0, 
  "", 
  IFERROR(
    INDEX(
      'アイテム別限界値DB'!$K:$K, 
      MATCH(
        1, 
        ('アイテム別限界値DB'!$B:$B = $BF$4) * 
        ('アイテム別限界値DB'!$G:$G = $BF12) * 
        ('アイテム別限界値DB'!$H:$H = $BH12), 
        0
      )
    ), 
    "再製作"
  )
)
</f>
        <v/>
      </c>
      <c r="BJ12" s="397" t="str">
        <f t="array" ref="BJ12">IF(
  $BH12 = 0, 
  "", 
  IFERROR(
    INDEX(
      'アイテム別限界値DB'!$N:$N, 
      MATCH(
        1, 
        ('アイテム別限界値DB'!$B:$B = $BF$4) * 
        ('アイテム別限界値DB'!$G:$G = $BF12) * 
        ('アイテム別限界値DB'!$H:$H = $BH12), 
        0
      )
    )*BG12, 
    "再製作"
  )
)
</f>
        <v/>
      </c>
      <c r="BK12" s="327"/>
      <c r="BL12" s="428" t="s">
        <v>209</v>
      </c>
      <c r="BM12" s="423"/>
      <c r="BN12" s="422"/>
      <c r="BO12" s="405" t="str">
        <f t="array" ref="BO12">IF(
  $BN12 = 0, 
  "", 
  IFERROR(
    INDEX(
      'アイテム別限界値DB'!$K:$K, 
      MATCH(
        1, 
        ('アイテム別限界値DB'!$B:$B = $BL$4) * 
        ('アイテム別限界値DB'!$G:$G = $BL12) * 
        ('アイテム別限界値DB'!$H:$H = $BN12), 
        0
      )
    ), 
    "再製作"
  )
)
</f>
        <v/>
      </c>
      <c r="BP12" s="397" t="str">
        <f t="array" ref="BP12">IF(
  $BN12 = 0, 
  "", 
  IFERROR(
    INDEX(
      'アイテム別限界値DB'!$N:$N, 
      MATCH(
        1, 
        ('アイテム別限界値DB'!$B:$B = $BL$4) * 
        ('アイテム別限界値DB'!$G:$G = $BL12) * 
        ('アイテム別限界値DB'!$H:$H = $BN12), 
        0
      )
    )*BM12, 
    "再製作"
  )
)
</f>
        <v/>
      </c>
      <c r="BQ12" s="327"/>
      <c r="BR12" s="428" t="s">
        <v>62</v>
      </c>
      <c r="BS12" s="423"/>
      <c r="BT12" s="422"/>
      <c r="BU12" s="405" t="str">
        <f t="array" ref="BU12">IF(
  $BT12 = 0, 
  "", 
  IFERROR(
    INDEX(
      'アイテム別限界値DB'!$K:$K, 
      MATCH(
        1, 
        ('アイテム別限界値DB'!$B:$B = $BR$4) * 
        ('アイテム別限界値DB'!$G:$G = $BR12) * 
        ('アイテム別限界値DB'!$H:$H = $BT12), 
        0
      )
    ), 
    "再製作"
  )
)
</f>
        <v/>
      </c>
      <c r="BV12" s="397" t="str">
        <f t="array" ref="BV12">IF(
  $BT12 = 0, 
  "", 
  IFERROR(
    INDEX(
      'アイテム別限界値DB'!$N:$N, 
      MATCH(
        1, 
        ('アイテム別限界値DB'!$B:$B = $BR$4) * 
        ('アイテム別限界値DB'!$G:$G = $BR12) * 
        ('アイテム別限界値DB'!$H:$H = $BT12), 
        0
      )
    )*BS12, 
    "再製作"
  )
)
</f>
        <v/>
      </c>
      <c r="BW12" s="327"/>
      <c r="BX12" s="428" t="s">
        <v>62</v>
      </c>
      <c r="BY12" s="423"/>
      <c r="BZ12" s="422"/>
      <c r="CA12" s="405" t="str">
        <f t="array" ref="CA12">IF(
  $BZ12 = 0, 
  "", 
  IFERROR(
    INDEX(
      'アイテム別限界値DB'!$K:$K, 
      MATCH(
        1, 
        ('アイテム別限界値DB'!$B:$B = $BX$4) * 
        ('アイテム別限界値DB'!$G:$G = $BX12) * 
        ('アイテム別限界値DB'!$H:$H = $BZ12), 
        0
      )
    ), 
    "再製作"
  )
)
</f>
        <v/>
      </c>
      <c r="CB12" s="397" t="str">
        <f t="array" ref="CB12">IF(
  $BZ12 = 0, 
  "", 
  IFERROR(
    INDEX(
      'アイテム別限界値DB'!$N:$N, 
      MATCH(
        1, 
        ('アイテム別限界値DB'!$B:$B = $BX$4) * 
        ('アイテム別限界値DB'!$G:$G = $BX12) * 
        ('アイテム別限界値DB'!$H:$H = $BZ12), 
        0
      )
    )*BY12, 
    "再製作"
  )
)
</f>
        <v/>
      </c>
      <c r="CC12" s="402"/>
      <c r="CD12" s="428"/>
      <c r="CE12" s="407" t="s">
        <v>59</v>
      </c>
      <c r="CF12" s="405" t="str">
        <f t="array" ref="CF12">IF(
  CE12 = 0, 
  "", 
  IFERROR(
    INDEX(
      'アイテム別限界値DB'!$K:$K, 
      MATCH(
        1, 
        ('アイテム別限界値DB'!$B:$B = CD$4) * 
        ('アイテム別限界値DB'!$G:$G = CD12) * 
        ('アイテム別限界値DB'!$H:$H = CE12), 
        0
      )
    ), 
    "再製作"
  )
)
</f>
        <v>再製作</v>
      </c>
      <c r="CG12" s="419" t="str">
        <f t="array" ref="CG12">IF(
  CE12 = 0, 
  "", 
  IFERROR(
    INDEX(
      'アイテム別限界値DB'!$N:$N, 
      MATCH(
        1, 
        ('アイテム別限界値DB'!$B:$B = CD$4) * 
        ('アイテム別限界値DB'!$G:$G = CD12) * 
        ('アイテム別限界値DB'!$H:$H = CE12), 
        0
      )
    ), 
    "再製作"
  )
)
</f>
        <v>再製作</v>
      </c>
      <c r="CH12" s="327"/>
      <c r="CI12" s="327"/>
    </row>
    <row r="13" ht="26.25" customHeight="1">
      <c r="A13" s="429"/>
      <c r="B13" s="228" t="str">
        <f>IFERROR(__xludf.DUMMYFUNCTION("TEXTJOIN(CHAR(10),TRUE,FILTER(ARRAYFORMULA(IF(W$14:W70&lt;&gt;"""", V$14:V70 &amp;"" : ""&amp; W$14:W70 &amp;"" cm"","""")), V$14:V70 &lt;&gt;""""))"),"↓ 1箇所納期 ↓ : ↓ 税込料金↓ cm")</f>
        <v>↓ 1箇所納期 ↓ : ↓ 税込料金↓ cm</v>
      </c>
      <c r="C13" s="429"/>
      <c r="D13" s="429" t="s">
        <v>210</v>
      </c>
      <c r="E13" s="413" t="s">
        <v>98</v>
      </c>
      <c r="F13" s="403"/>
      <c r="G13" s="404"/>
      <c r="H13" s="405" t="str">
        <f t="array" ref="H13">IF(
  G13 = 0, 
  "", 
  IFERROR(
    INDEX(
      'アイテム別限界値DB'!$K:$K, 
      MATCH(
        1, 
        ('アイテム別限界値DB'!$B:$B = D$4) * 
        ('アイテム別限界値DB'!$G:$G = D13) * 
        ('アイテム別限界値DB'!$H:$H = G13), 
        0
      )
    ), 
    "再製作"
  )
)
</f>
        <v/>
      </c>
      <c r="I13" s="397" t="str">
        <f t="array" ref="I13">IF(
  $G13 = 0, 
  "", 
  IFERROR(
    INDEX(
      'アイテム別限界値DB'!$N:$N, 
      MATCH(
        1, 
        ('アイテム別限界値DB'!$B:$B = $D$4) * 
        ('アイテム別限界値DB'!$G:$G = $D13) * 
        ('アイテム別限界値DB'!$H:$H = $G13), 
        0
      )
    )*F13, 
    "再製作"
  )
)
</f>
        <v/>
      </c>
      <c r="J13" s="388"/>
      <c r="K13" s="429" t="s">
        <v>78</v>
      </c>
      <c r="L13" s="414" t="s">
        <v>211</v>
      </c>
      <c r="M13" s="406"/>
      <c r="N13" s="404"/>
      <c r="O13" s="405" t="str">
        <f t="array" ref="O13">IF(
  $N13 = 0, 
  "", 
  IFERROR(
    INDEX(
      'アイテム別限界値DB'!$K:$K, 
      MATCH(
        1, 
        ('アイテム別限界値DB'!$B:$B = $K$4) * 
        ('アイテム別限界値DB'!$G:$G = $K13) * 
        ('アイテム別限界値DB'!$H:$H = $N13), 
        0
      )
    ), 
    "再製作"
  )
)
</f>
        <v/>
      </c>
      <c r="P13" s="397" t="str">
        <f t="array" ref="P13">IF(
  $N13 = 0, 
  "", 
  IFERROR(
    INDEX(
      'アイテム別限界値DB'!$N:$N, 
      MATCH(
        1, 
        ('アイテム別限界値DB'!$B:$B = $K$4) * 
        ('アイテム別限界値DB'!$G:$G = $K13) * 
        ('アイテム別限界値DB'!$H:$H = $N13), 
        0
      )
    )*$M13, 
    "再製作"
  )
)
</f>
        <v/>
      </c>
      <c r="Q13" s="389"/>
      <c r="R13" s="429" t="s">
        <v>79</v>
      </c>
      <c r="S13" s="413" t="s">
        <v>79</v>
      </c>
      <c r="T13" s="406"/>
      <c r="U13" s="404"/>
      <c r="V13" s="405" t="str">
        <f t="array" ref="V13">IF(
  $U13 = 0, 
  "", 
  IFERROR(
    INDEX(
      'アイテム別限界値DB'!$K:$K, 
      MATCH(
        1, 
        ('アイテム別限界値DB'!$B:$B = $R$4) * 
        ('アイテム別限界値DB'!$G:$G = $R13) * 
        ('アイテム別限界値DB'!$H:$H = $U13), 
        0
      )
    ), 
    "再製作"
  )
)
</f>
        <v/>
      </c>
      <c r="W13" s="397" t="str">
        <f t="array" ref="W13">IF(
  $U13 = 0, 
  "", 
  IFERROR(
    INDEX(
      'アイテム別限界値DB'!$N:$N, 
      MATCH(
        1, 
        ('アイテム別限界値DB'!$B:$B = $R$4) * 
        ('アイテム別限界値DB'!$G:$G = $R13) * 
        ('アイテム別限界値DB'!$H:$H = $U13), 
        0
      )
    )*T13, 
    "再製作"
  )
)
</f>
        <v/>
      </c>
      <c r="X13" s="327"/>
      <c r="Y13" s="429" t="s">
        <v>78</v>
      </c>
      <c r="Z13" s="413" t="s">
        <v>211</v>
      </c>
      <c r="AA13" s="406"/>
      <c r="AB13" s="422"/>
      <c r="AC13" s="405" t="str">
        <f t="array" ref="AC13">IF(
  $AB13 = 0, 
  "", 
  IFERROR(
    INDEX(
      'アイテム別限界値DB'!$K:$K, 
      MATCH(
        1, 
        ('アイテム別限界値DB'!$B:$B = $Y$4) * 
        ('アイテム別限界値DB'!$G:$G = $Y13) * 
        ('アイテム別限界値DB'!$H:$H = $AB13), 
        0
      )
    ), 
    "再製作"
  )
)
</f>
        <v/>
      </c>
      <c r="AD13" s="397" t="str">
        <f t="array" ref="AD13">IF(
  $AB13 = 0, 
  "", 
  IFERROR(
    INDEX(
      'アイテム別限界値DB'!$N:$N, 
      MATCH(
        1, 
        ('アイテム別限界値DB'!$B:$B = $Y$4) * 
        ('アイテム別限界値DB'!$G:$G = $Y13) * 
        ('アイテム別限界値DB'!$H:$H = $AB13), 
        0
      )
    )*AA13, 
    "再製作"
  )
)
</f>
        <v/>
      </c>
      <c r="AE13" s="332"/>
      <c r="AF13" s="429" t="s">
        <v>76</v>
      </c>
      <c r="AG13" s="413" t="s">
        <v>76</v>
      </c>
      <c r="AH13" s="406"/>
      <c r="AI13" s="404"/>
      <c r="AJ13" s="405" t="str">
        <f t="array" ref="AJ13">IF(
  $AI13 = 0, 
  "", 
  IFERROR(
    INDEX(
      'アイテム別限界値DB'!$K:$K, 
      MATCH(
        1, 
        ('アイテム別限界値DB'!$B:$B = AF$4) * 
        ('アイテム別限界値DB'!$G:$G = $AF13) * 
        ('アイテム別限界値DB'!$H:$H = $AI13), 
        0
      )
    ), 
    "再製作"
  )
)
</f>
        <v/>
      </c>
      <c r="AK13" s="397" t="str">
        <f t="array" ref="AK13">IF(
  $AI13 = 0, 
  "", 
  IFERROR(
    INDEX(
      'アイテム別限界値DB'!$N:$N, 
      MATCH(
        1, 
        ('アイテム別限界値DB'!$B:$B = $AF$4) * 
        ('アイテム別限界値DB'!$G:$G = $AF13) * 
        ('アイテム別限界値DB'!$H:$H = $AI13), 
        0
      )
    )*AH13, 
    "再製作"
  )
)
</f>
        <v/>
      </c>
      <c r="AL13" s="327"/>
      <c r="AM13" s="429" t="s">
        <v>212</v>
      </c>
      <c r="AN13" s="432" t="s">
        <v>80</v>
      </c>
      <c r="AO13" s="406"/>
      <c r="AP13" s="404"/>
      <c r="AQ13" s="405" t="str">
        <f t="array" ref="AQ13">IF(
  $AP13 = 0, 
  "", 
  IFERROR(
    INDEX(
      'アイテム別限界値DB'!$K:$K, 
      MATCH(
        1, 
        ('アイテム別限界値DB'!$B:$B = $AM$4) * 
        ('アイテム別限界値DB'!$G:$G = $AM13) * 
        ('アイテム別限界値DB'!$H:$H = $AP13), 
        0
      )
    ), 
    "再製作"
  )
)
</f>
        <v/>
      </c>
      <c r="AR13" s="397" t="str">
        <f t="array" ref="AR13">IF(
  $AP13 = 0, 
  "", 
  IFERROR(
    INDEX(
      'アイテム別限界値DB'!$N:$N, 
      MATCH(
        1, 
        ('アイテム別限界値DB'!$B:$B = $AM$4) * 
        ('アイテム別限界値DB'!$G:$G = $AM13) * 
        ('アイテム別限界値DB'!$H:$H = $AP13), 
        0
      )
    )*AO13, 
    "再製作"
  )
)
</f>
        <v/>
      </c>
      <c r="AS13" s="327"/>
      <c r="AT13" s="432" t="s">
        <v>209</v>
      </c>
      <c r="AU13" s="406"/>
      <c r="AV13" s="417"/>
      <c r="AW13" s="405" t="str">
        <f t="array" ref="AW13">IF(
  $AV13 = 0, 
  "", 
  IFERROR(
    INDEX(
      'アイテム別限界値DB'!$K:$K, 
      MATCH(
        1, 
        ('アイテム別限界値DB'!$B:$B = $AT$4) * 
        ('アイテム別限界値DB'!$G:$G = $AT13) * 
        ('アイテム別限界値DB'!$H:$H = $AV13), 
        0
      )
    ), 
    "再製作"
  )
)
</f>
        <v/>
      </c>
      <c r="AX13" s="397" t="str">
        <f t="array" ref="AX13">IF(
  $AV13 = 0, 
  "", 
  IFERROR(
    INDEX(
      'アイテム別限界値DB'!$N:$N, 
      MATCH(
        1, 
        ('アイテム別限界値DB'!$B:$B = $AT$4) * 
        ('アイテム別限界値DB'!$G:$G = $AT13) * 
        ('アイテム別限界値DB'!$H:$H = $AV13), 
        0
      )
    )*AU13, 
    "再製作"
  )
)
</f>
        <v/>
      </c>
      <c r="AY13" s="327"/>
      <c r="AZ13" s="432" t="s">
        <v>213</v>
      </c>
      <c r="BA13" s="406"/>
      <c r="BB13" s="404"/>
      <c r="BC13" s="405" t="str">
        <f t="array" ref="BC13">IF(
  $BB13 = 0, 
  "", 
  IFERROR(
    INDEX(
      'アイテム別限界値DB'!$K:$K, 
      MATCH(
        1, 
        ('アイテム別限界値DB'!$B:$B = $AZ$4) * 
        ('アイテム別限界値DB'!$G:$G = $AZ13) * 
        ('アイテム別限界値DB'!$H:$H = $BB13), 
        0
      )
    ), 
    "再製作"
  )
)
</f>
        <v/>
      </c>
      <c r="BD13" s="397" t="str">
        <f t="array" ref="BD13">IF(
  $BB13 = 0, 
  "", 
  IFERROR(
    INDEX(
      'アイテム別限界値DB'!$N:$N, 
      MATCH(
        1, 
        ('アイテム別限界値DB'!$B:$B = $AZ$4) * 
        ('アイテム別限界値DB'!$G:$G = $AZ13) * 
        ('アイテム別限界値DB'!$H:$H = $BB13), 
        0
      )
    )*BA13, 
    "再製作"
  )
)
</f>
        <v/>
      </c>
      <c r="BE13" s="327"/>
      <c r="BF13" s="432" t="s">
        <v>204</v>
      </c>
      <c r="BG13" s="406"/>
      <c r="BH13" s="404"/>
      <c r="BI13" s="405" t="str">
        <f t="array" ref="BI13">IF(
  $BH13 = 0, 
  "", 
  IFERROR(
    INDEX(
      'アイテム別限界値DB'!$K:$K, 
      MATCH(
        1, 
        ('アイテム別限界値DB'!$B:$B = $BF$4) * 
        ('アイテム別限界値DB'!$G:$G = $BF13) * 
        ('アイテム別限界値DB'!$H:$H = $BH13), 
        0
      )
    ), 
    "再製作"
  )
)
</f>
        <v/>
      </c>
      <c r="BJ13" s="397" t="str">
        <f t="array" ref="BJ13">IF(
  $BH13 = 0, 
  "", 
  IFERROR(
    INDEX(
      'アイテム別限界値DB'!$N:$N, 
      MATCH(
        1, 
        ('アイテム別限界値DB'!$B:$B = $BF$4) * 
        ('アイテム別限界値DB'!$G:$G = $BF13) * 
        ('アイテム別限界値DB'!$H:$H = $BH13), 
        0
      )
    )*BG13, 
    "再製作"
  )
)
</f>
        <v/>
      </c>
      <c r="BK13" s="327"/>
      <c r="BL13" s="432" t="s">
        <v>204</v>
      </c>
      <c r="BM13" s="406"/>
      <c r="BN13" s="404"/>
      <c r="BO13" s="405" t="str">
        <f t="array" ref="BO13">IF(
  $BN13 = 0, 
  "", 
  IFERROR(
    INDEX(
      'アイテム別限界値DB'!$K:$K, 
      MATCH(
        1, 
        ('アイテム別限界値DB'!$B:$B = $BL$4) * 
        ('アイテム別限界値DB'!$G:$G = $BL13) * 
        ('アイテム別限界値DB'!$H:$H = $BN13), 
        0
      )
    ), 
    "再製作"
  )
)
</f>
        <v/>
      </c>
      <c r="BP13" s="397" t="str">
        <f t="array" ref="BP13">IF(
  $BN13 = 0, 
  "", 
  IFERROR(
    INDEX(
      'アイテム別限界値DB'!$N:$N, 
      MATCH(
        1, 
        ('アイテム別限界値DB'!$B:$B = $BL$4) * 
        ('アイテム別限界値DB'!$G:$G = $BL13) * 
        ('アイテム別限界値DB'!$H:$H = $BN13), 
        0
      )
    )*BM13, 
    "再製作"
  )
)
</f>
        <v/>
      </c>
      <c r="BQ13" s="327"/>
      <c r="BR13" s="432" t="s">
        <v>204</v>
      </c>
      <c r="BS13" s="406"/>
      <c r="BT13" s="404"/>
      <c r="BU13" s="405" t="str">
        <f t="array" ref="BU13">IF(
  $BT13 = 0, 
  "", 
  IFERROR(
    INDEX(
      'アイテム別限界値DB'!$K:$K, 
      MATCH(
        1, 
        ('アイテム別限界値DB'!$B:$B = $BR$4) * 
        ('アイテム別限界値DB'!$G:$G = $BR13) * 
        ('アイテム別限界値DB'!$H:$H = $BT13), 
        0
      )
    ), 
    "再製作"
  )
)
</f>
        <v/>
      </c>
      <c r="BV13" s="397" t="str">
        <f t="array" ref="BV13">IF(
  $BT13 = 0, 
  "", 
  IFERROR(
    INDEX(
      'アイテム別限界値DB'!$N:$N, 
      MATCH(
        1, 
        ('アイテム別限界値DB'!$B:$B = $BR$4) * 
        ('アイテム別限界値DB'!$G:$G = $BR13) * 
        ('アイテム別限界値DB'!$H:$H = $BT13), 
        0
      )
    )*BS13, 
    "再製作"
  )
)
</f>
        <v/>
      </c>
      <c r="BW13" s="327"/>
      <c r="BX13" s="432" t="s">
        <v>204</v>
      </c>
      <c r="BY13" s="406"/>
      <c r="BZ13" s="404"/>
      <c r="CA13" s="405" t="str">
        <f t="array" ref="CA13">IF(
  $BZ13 = 0, 
  "", 
  IFERROR(
    INDEX(
      'アイテム別限界値DB'!$K:$K, 
      MATCH(
        1, 
        ('アイテム別限界値DB'!$B:$B = $BX$4) * 
        ('アイテム別限界値DB'!$G:$G = $BX13) * 
        ('アイテム別限界値DB'!$H:$H = $BZ13), 
        0
      )
    ), 
    "再製作"
  )
)
</f>
        <v/>
      </c>
      <c r="CB13" s="397" t="str">
        <f t="array" ref="CB13">IF(
  $BZ13 = 0, 
  "", 
  IFERROR(
    INDEX(
      'アイテム別限界値DB'!$N:$N, 
      MATCH(
        1, 
        ('アイテム別限界値DB'!$B:$B = $BX$4) * 
        ('アイテム別限界値DB'!$G:$G = $BX13) * 
        ('アイテム別限界値DB'!$H:$H = $BZ13), 
        0
      )
    )*BY13, 
    "再製作"
  )
)
</f>
        <v/>
      </c>
      <c r="CC13" s="402"/>
      <c r="CD13" s="432"/>
      <c r="CE13" s="418" t="s">
        <v>59</v>
      </c>
      <c r="CF13" s="405" t="str">
        <f t="array" ref="CF13">IF(
  CE13 = 0, 
  "", 
  IFERROR(
    INDEX(
      'アイテム別限界値DB'!$K:$K, 
      MATCH(
        1, 
        ('アイテム別限界値DB'!$B:$B = CD$4) * 
        ('アイテム別限界値DB'!$G:$G = CD13) * 
        ('アイテム別限界値DB'!$H:$H = CE13), 
        0
      )
    ), 
    "再製作"
  )
)
</f>
        <v>再製作</v>
      </c>
      <c r="CG13" s="419" t="str">
        <f t="array" ref="CG13">IF(
  CE13 = 0, 
  "", 
  IFERROR(
    INDEX(
      'アイテム別限界値DB'!$N:$N, 
      MATCH(
        1, 
        ('アイテム別限界値DB'!$B:$B = CD$4) * 
        ('アイテム別限界値DB'!$G:$G = CD13) * 
        ('アイテム別限界値DB'!$H:$H = CE13), 
        0
      )
    ), 
    "再製作"
  )
)
</f>
        <v>再製作</v>
      </c>
      <c r="CH13" s="327"/>
      <c r="CI13" s="327"/>
    </row>
    <row r="14" ht="26.25" customHeight="1">
      <c r="A14" s="433"/>
      <c r="B14" s="305" t="s">
        <v>214</v>
      </c>
      <c r="C14" s="434"/>
      <c r="D14" s="434" t="s">
        <v>215</v>
      </c>
      <c r="E14" s="421" t="s">
        <v>74</v>
      </c>
      <c r="F14" s="403"/>
      <c r="G14" s="404"/>
      <c r="H14" s="405" t="str">
        <f t="array" ref="H14">IF(
  G14 = 0, 
  "", 
  IFERROR(
    INDEX(
      'アイテム別限界値DB'!$K:$K, 
      MATCH(
        1, 
        ('アイテム別限界値DB'!$B:$B = D$4) * 
        ('アイテム別限界値DB'!$G:$G = D14) * 
        ('アイテム別限界値DB'!$H:$H = G14), 
        0
      )
    ), 
    "再製作"
  )
)
</f>
        <v/>
      </c>
      <c r="I14" s="397" t="str">
        <f t="array" ref="I14">IF(
  $G14 = 0, 
  "", 
  IFERROR(
    INDEX(
      'アイテム別限界値DB'!$N:$N, 
      MATCH(
        1, 
        ('アイテム別限界値DB'!$B:$B = $D$4) * 
        ('アイテム別限界値DB'!$G:$G = $D14) * 
        ('アイテム別限界値DB'!$H:$H = $G14), 
        0
      )
    )*F14, 
    "再製作"
  )
)
</f>
        <v/>
      </c>
      <c r="J14" s="388"/>
      <c r="K14" s="434" t="s">
        <v>82</v>
      </c>
      <c r="L14" s="414" t="s">
        <v>95</v>
      </c>
      <c r="M14" s="423"/>
      <c r="N14" s="404"/>
      <c r="O14" s="405" t="str">
        <f t="array" ref="O14">IF(
  $N14 = 0, 
  "", 
  IFERROR(
    INDEX(
      'アイテム別限界値DB'!$K:$K, 
      MATCH(
        1, 
        ('アイテム別限界値DB'!$B:$B = $K$4) * 
        ('アイテム別限界値DB'!$G:$G = $K14) * 
        ('アイテム別限界値DB'!$H:$H = $N14), 
        0
      )
    ), 
    "再製作"
  )
)
</f>
        <v/>
      </c>
      <c r="P14" s="397" t="str">
        <f t="array" ref="P14">IF(
  $N14 = 0, 
  "", 
  IFERROR(
    INDEX(
      'アイテム別限界値DB'!$N:$N, 
      MATCH(
        1, 
        ('アイテム別限界値DB'!$B:$B = $K$4) * 
        ('アイテム別限界値DB'!$G:$G = $K14) * 
        ('アイテム別限界値DB'!$H:$H = $N14), 
        0
      )
    )*$M14, 
    "再製作"
  )
)
</f>
        <v/>
      </c>
      <c r="Q14" s="389"/>
      <c r="R14" s="434" t="s">
        <v>83</v>
      </c>
      <c r="S14" s="421" t="s">
        <v>83</v>
      </c>
      <c r="T14" s="423"/>
      <c r="U14" s="422"/>
      <c r="V14" s="405" t="str">
        <f t="array" ref="V14">IF(
  $U14 = 0, 
  "", 
  IFERROR(
    INDEX(
      'アイテム別限界値DB'!$K:$K, 
      MATCH(
        1, 
        ('アイテム別限界値DB'!$B:$B = $R$4) * 
        ('アイテム別限界値DB'!$G:$G = $R14) * 
        ('アイテム別限界値DB'!$H:$H = $U14), 
        0
      )
    ), 
    "再製作"
  )
)
</f>
        <v/>
      </c>
      <c r="W14" s="397" t="str">
        <f t="array" ref="W14">IF(
  $U14 = 0, 
  "", 
  IFERROR(
    INDEX(
      'アイテム別限界値DB'!$N:$N, 
      MATCH(
        1, 
        ('アイテム別限界値DB'!$B:$B = $R$4) * 
        ('アイテム別限界値DB'!$G:$G = $R14) * 
        ('アイテム別限界値DB'!$H:$H = $U14), 
        0
      )
    )*T14, 
    "再製作"
  )
)
</f>
        <v/>
      </c>
      <c r="X14" s="327"/>
      <c r="Y14" s="434" t="s">
        <v>82</v>
      </c>
      <c r="Z14" s="421" t="s">
        <v>100</v>
      </c>
      <c r="AA14" s="423"/>
      <c r="AB14" s="404"/>
      <c r="AC14" s="405" t="str">
        <f t="array" ref="AC14">IF(
  $AB14 = 0, 
  "", 
  IFERROR(
    INDEX(
      'アイテム別限界値DB'!$K:$K, 
      MATCH(
        1, 
        ('アイテム別限界値DB'!$B:$B = $Y$4) * 
        ('アイテム別限界値DB'!$G:$G = $Y14) * 
        ('アイテム別限界値DB'!$H:$H = $AB14), 
        0
      )
    ), 
    "再製作"
  )
)
</f>
        <v/>
      </c>
      <c r="AD14" s="397" t="str">
        <f t="array" ref="AD14">IF(
  $AB14 = 0, 
  "", 
  IFERROR(
    INDEX(
      'アイテム別限界値DB'!$N:$N, 
      MATCH(
        1, 
        ('アイテム別限界値DB'!$B:$B = $Y$4) * 
        ('アイテム別限界値DB'!$G:$G = $Y14) * 
        ('アイテム別限界値DB'!$H:$H = $AB14), 
        0
      )
    )*AA14, 
    "再製作"
  )
)
</f>
        <v/>
      </c>
      <c r="AE14" s="332"/>
      <c r="AF14" s="434" t="s">
        <v>216</v>
      </c>
      <c r="AG14" s="421" t="s">
        <v>84</v>
      </c>
      <c r="AH14" s="423"/>
      <c r="AI14" s="410"/>
      <c r="AJ14" s="435" t="str">
        <f t="array" ref="AJ14">IF(
  $BZ14 = 0, 
  "", 
  IFERROR(
    INDEX(
      'アイテム別限界値DB'!$K:$K, 
      MATCH(
        1, 
        ('アイテム別限界値DB'!$B:$B = $BX$4) * 
        ('アイテム別限界値DB'!$G:$G = $BX14) * 
        ('アイテム別限界値DB'!$H:$H = $BZ14), 
        0
      )
    ), 
    "再製作"
  )
)
</f>
        <v/>
      </c>
      <c r="AK14" s="397" t="str">
        <f t="array" ref="AK14">IF(
  $AI14 = 0, 
  "", 
  IFERROR(
    INDEX(
      'アイテム別限界値DB'!$N:$N, 
      MATCH(
        1, 
        ('アイテム別限界値DB'!$B:$B = $AF$4) * 
        ('アイテム別限界値DB'!$G:$G = $AF14) * 
        ('アイテム別限界値DB'!$H:$H = $AI14), 
        0
      )
    )*AH14, 
    "再製作"
  )
)
</f>
        <v/>
      </c>
      <c r="AL14" s="327"/>
      <c r="AM14" s="434" t="s">
        <v>217</v>
      </c>
      <c r="AN14" s="400" t="s">
        <v>85</v>
      </c>
      <c r="AO14" s="423"/>
      <c r="AP14" s="410"/>
      <c r="AQ14" s="435" t="str">
        <f t="array" ref="AQ14">IF(
  $BZ14 = 0, 
  "", 
  IFERROR(
    INDEX(
      'アイテム別限界値DB'!$K:$K, 
      MATCH(
        1, 
        ('アイテム別限界値DB'!$B:$B = $BX$4) * 
        ('アイテム別限界値DB'!$G:$G = $BX14) * 
        ('アイテム別限界値DB'!$H:$H = $BZ14), 
        0
      )
    ), 
    "再製作"
  )
)
</f>
        <v/>
      </c>
      <c r="AR14" s="397" t="str">
        <f t="array" ref="AR14">IF(
  $AP14 = 0, 
  "", 
  IFERROR(
    INDEX(
      'アイテム別限界値DB'!$N:$N, 
      MATCH(
        1, 
        ('アイテム別限界値DB'!$B:$B = $AM$4) * 
        ('アイテム別限界値DB'!$G:$G = $AM14) * 
        ('アイテム別限界値DB'!$H:$H = $AP14), 
        0
      )
    )*AO14, 
    "再製作"
  )
)
</f>
        <v/>
      </c>
      <c r="AS14" s="327"/>
      <c r="AT14" s="400"/>
      <c r="AU14" s="436"/>
      <c r="AV14" s="437"/>
      <c r="AW14" s="396"/>
      <c r="AX14" s="333"/>
      <c r="AY14" s="327"/>
      <c r="AZ14" s="400"/>
      <c r="BA14" s="436"/>
      <c r="BB14" s="436"/>
      <c r="BC14" s="438"/>
      <c r="BD14" s="333"/>
      <c r="BE14" s="327"/>
      <c r="BF14" s="400"/>
      <c r="BG14" s="436"/>
      <c r="BH14" s="436"/>
      <c r="BI14" s="438"/>
      <c r="BJ14" s="333"/>
      <c r="BK14" s="327"/>
      <c r="BL14" s="400"/>
      <c r="BM14" s="436"/>
      <c r="BN14" s="436"/>
      <c r="BO14" s="438"/>
      <c r="BP14" s="333"/>
      <c r="BQ14" s="327"/>
      <c r="BR14" s="400"/>
      <c r="BS14" s="436"/>
      <c r="BT14" s="436"/>
      <c r="BU14" s="438"/>
      <c r="BV14" s="333"/>
      <c r="BW14" s="327"/>
      <c r="BX14" s="400"/>
      <c r="BY14" s="436"/>
      <c r="BZ14" s="436"/>
      <c r="CA14" s="438"/>
      <c r="CB14" s="333"/>
      <c r="CC14" s="333"/>
      <c r="CE14" s="333"/>
      <c r="CF14" s="333"/>
      <c r="CG14" s="333"/>
      <c r="CH14" s="327"/>
      <c r="CI14" s="327"/>
    </row>
    <row r="15" ht="26.25" customHeight="1">
      <c r="A15" s="229"/>
      <c r="B15" s="228" t="str">
        <f>IFERROR(__xludf.DUMMYFUNCTION("TEXTJOIN(CHAR(10),TRUE,FILTER(ARRAYFORMULA(IF(AC$14:AC70&lt;&gt;"""", AB$14:AB70 &amp;"" : ""&amp; AC$14:AC70 &amp;"" cm"","""")), AB$14:AB70 &lt;&gt;""""))"),"お直し
↓箇所数↓ : ↓ 1箇所納期 ↓ cm")</f>
        <v>お直し
↓箇所数↓ : ↓ 1箇所納期 ↓ cm</v>
      </c>
      <c r="C15" s="429"/>
      <c r="D15" s="429" t="s">
        <v>86</v>
      </c>
      <c r="E15" s="413" t="s">
        <v>67</v>
      </c>
      <c r="F15" s="403"/>
      <c r="G15" s="404"/>
      <c r="H15" s="405" t="str">
        <f t="array" ref="H15">IF(
  G15 = 0, 
  "", 
  IFERROR(
    INDEX(
      'アイテム別限界値DB'!$K:$K, 
      MATCH(
        1, 
        ('アイテム別限界値DB'!$B:$B = D$4) * 
        ('アイテム別限界値DB'!$G:$G = D15) * 
        ('アイテム別限界値DB'!$H:$H = G15), 
        0
      )
    ), 
    "再製作"
  )
)
</f>
        <v/>
      </c>
      <c r="I15" s="397" t="str">
        <f t="array" ref="I15">IF(
  $G15 = 0, 
  "", 
  IFERROR(
    INDEX(
      'アイテム別限界値DB'!$N:$N, 
      MATCH(
        1, 
        ('アイテム別限界値DB'!$B:$B = $D$4) * 
        ('アイテム別限界値DB'!$G:$G = $D15) * 
        ('アイテム別限界値DB'!$H:$H = $G15), 
        0
      )
    )*F15, 
    "再製作"
  )
)
</f>
        <v/>
      </c>
      <c r="J15" s="388"/>
      <c r="K15" s="429" t="s">
        <v>87</v>
      </c>
      <c r="L15" s="414" t="s">
        <v>99</v>
      </c>
      <c r="M15" s="406"/>
      <c r="N15" s="404"/>
      <c r="O15" s="405" t="str">
        <f t="array" ref="O15">IF(
  $N15 = 0, 
  "", 
  IFERROR(
    INDEX(
      'アイテム別限界値DB'!$K:$K, 
      MATCH(
        1, 
        ('アイテム別限界値DB'!$B:$B = $K$4) * 
        ('アイテム別限界値DB'!$G:$G = $K15) * 
        ('アイテム別限界値DB'!$H:$H = $N15), 
        0
      )
    ), 
    "再製作"
  )
)
</f>
        <v/>
      </c>
      <c r="P15" s="397" t="str">
        <f t="array" ref="P15">IF(
  $N15 = 0, 
  "", 
  IFERROR(
    INDEX(
      'アイテム別限界値DB'!$N:$N, 
      MATCH(
        1, 
        ('アイテム別限界値DB'!$B:$B = $K$4) * 
        ('アイテム別限界値DB'!$G:$G = $K15) * 
        ('アイテム別限界値DB'!$H:$H = $N15), 
        0
      )
    )*$M15, 
    "再製作"
  )
)
</f>
        <v/>
      </c>
      <c r="Q15" s="424"/>
      <c r="R15" s="429"/>
      <c r="S15" s="413"/>
      <c r="T15" s="406"/>
      <c r="U15" s="404"/>
      <c r="V15" s="405" t="str">
        <f t="array" ref="V15">IF(
  $U15 = 0, 
  "", 
  IFERROR(
    INDEX(
      'アイテム別限界値DB'!$K:$K, 
      MATCH(
        1, 
        ('アイテム別限界値DB'!$B:$B = $R$4) * 
        ('アイテム別限界値DB'!$G:$G = $R15) * 
        ('アイテム別限界値DB'!$H:$H = $U15), 
        0
      )
    ), 
    "再製作"
  )
)
</f>
        <v/>
      </c>
      <c r="W15" s="397" t="str">
        <f t="array" ref="W15">IF(
  $U15 = 0, 
  "", 
  IFERROR(
    INDEX(
      'アイテム別限界値DB'!$N:$N, 
      MATCH(
        1, 
        ('アイテム別限界値DB'!$B:$B = $R$4) * 
        ('アイテム別限界値DB'!$G:$G = $R15) * 
        ('アイテム別限界値DB'!$H:$H = $U15), 
        0
      )
    )*T15, 
    "再製作"
  )
)
</f>
        <v/>
      </c>
      <c r="X15" s="327"/>
      <c r="Y15" s="429" t="s">
        <v>87</v>
      </c>
      <c r="Z15" s="413" t="s">
        <v>95</v>
      </c>
      <c r="AA15" s="406"/>
      <c r="AB15" s="422"/>
      <c r="AC15" s="405" t="str">
        <f t="array" ref="AC15">IF(
  $AB15 = 0, 
  "", 
  IFERROR(
    INDEX(
      'アイテム別限界値DB'!$K:$K, 
      MATCH(
        1, 
        ('アイテム別限界値DB'!$B:$B = $Y$4) * 
        ('アイテム別限界値DB'!$G:$G = $Y15) * 
        ('アイテム別限界値DB'!$H:$H = $AB15), 
        0
      )
    ), 
    "再製作"
  )
)
</f>
        <v/>
      </c>
      <c r="AD15" s="397" t="str">
        <f t="array" ref="AD15">IF(
  $AB15 = 0, 
  "", 
  IFERROR(
    INDEX(
      'アイテム別限界値DB'!$N:$N, 
      MATCH(
        1, 
        ('アイテム別限界値DB'!$B:$B = $Y$4) * 
        ('アイテム別限界値DB'!$G:$G = $Y15) * 
        ('アイテム別限界値DB'!$H:$H = $AB15), 
        0
      )
    )*AA15, 
    "再製作"
  )
)
</f>
        <v/>
      </c>
      <c r="AE15" s="332"/>
      <c r="AF15" s="429" t="s">
        <v>88</v>
      </c>
      <c r="AG15" s="413" t="s">
        <v>88</v>
      </c>
      <c r="AH15" s="406"/>
      <c r="AI15" s="404"/>
      <c r="AJ15" s="405" t="str">
        <f t="array" ref="AJ15">IF(
  $AI15 = 0, 
  "", 
  IFERROR(
    INDEX(
      'アイテム別限界値DB'!$K:$K, 
      MATCH(
        1, 
        ('アイテム別限界値DB'!$B:$B = AF$4) * 
        ('アイテム別限界値DB'!$G:$G = $AF15) * 
        ('アイテム別限界値DB'!$H:$H = $AI15), 
        0
      )
    ), 
    "再製作"
  )
)
</f>
        <v/>
      </c>
      <c r="AK15" s="397" t="str">
        <f t="array" ref="AK15">IF(
  $AI15 = 0, 
  "", 
  IFERROR(
    INDEX(
      'アイテム別限界値DB'!$N:$N, 
      MATCH(
        1, 
        ('アイテム別限界値DB'!$B:$B = $AF$4) * 
        ('アイテム別限界値DB'!$G:$G = $AF15) * 
        ('アイテム別限界値DB'!$H:$H = $AI15), 
        0
      )
    )*AH15, 
    "再製作"
  )
)
</f>
        <v/>
      </c>
      <c r="AL15" s="327"/>
      <c r="AM15" s="429" t="s">
        <v>89</v>
      </c>
      <c r="AN15" s="432" t="s">
        <v>89</v>
      </c>
      <c r="AO15" s="406"/>
      <c r="AP15" s="404"/>
      <c r="AQ15" s="405" t="str">
        <f t="array" ref="AQ15">IF(
  $AP15 = 0, 
  "", 
  IFERROR(
    INDEX(
      'アイテム別限界値DB'!$K:$K, 
      MATCH(
        1, 
        ('アイテム別限界値DB'!$B:$B = $AM$4) * 
        ('アイテム別限界値DB'!$G:$G = $AM15) * 
        ('アイテム別限界値DB'!$H:$H = $AP15), 
        0
      )
    ), 
    "再製作"
  )
)
</f>
        <v/>
      </c>
      <c r="AR15" s="397" t="str">
        <f t="array" ref="AR15">IF(
  $AP15 = 0, 
  "", 
  IFERROR(
    INDEX(
      'アイテム別限界値DB'!$N:$N, 
      MATCH(
        1, 
        ('アイテム別限界値DB'!$B:$B = $AM$4) * 
        ('アイテム別限界値DB'!$G:$G = $AM15) * 
        ('アイテム別限界値DB'!$H:$H = $AP15), 
        0
      )
    )*AO15, 
    "再製作"
  )
)
</f>
        <v/>
      </c>
      <c r="AS15" s="327"/>
      <c r="AT15" s="432"/>
      <c r="AU15" s="436"/>
      <c r="AV15" s="437"/>
      <c r="AW15" s="438"/>
      <c r="AX15" s="333"/>
      <c r="AY15" s="327"/>
      <c r="AZ15" s="432"/>
      <c r="BA15" s="439"/>
      <c r="BB15" s="439"/>
      <c r="BC15" s="438"/>
      <c r="BD15" s="333"/>
      <c r="BE15" s="327"/>
      <c r="BF15" s="432"/>
      <c r="BG15" s="439"/>
      <c r="BH15" s="439"/>
      <c r="BI15" s="438"/>
      <c r="BJ15" s="333"/>
      <c r="BK15" s="327"/>
      <c r="BL15" s="432"/>
      <c r="BM15" s="439"/>
      <c r="BN15" s="439"/>
      <c r="BO15" s="438"/>
      <c r="BP15" s="333"/>
      <c r="BQ15" s="327"/>
      <c r="BR15" s="432"/>
      <c r="BS15" s="439"/>
      <c r="BT15" s="439"/>
      <c r="BU15" s="438"/>
      <c r="BV15" s="333"/>
      <c r="BW15" s="327"/>
      <c r="BX15" s="432"/>
      <c r="BY15" s="439"/>
      <c r="BZ15" s="439"/>
      <c r="CA15" s="438"/>
      <c r="CB15" s="333"/>
      <c r="CC15" s="333"/>
      <c r="CD15" s="333"/>
      <c r="CE15" s="333"/>
      <c r="CF15" s="333"/>
      <c r="CG15" s="333"/>
      <c r="CH15" s="327"/>
      <c r="CI15" s="327"/>
    </row>
    <row r="16" ht="15.75" customHeight="1">
      <c r="A16" s="229"/>
      <c r="B16" s="308" t="s">
        <v>218</v>
      </c>
      <c r="C16" s="429"/>
      <c r="D16" s="429" t="s">
        <v>92</v>
      </c>
      <c r="E16" s="421" t="s">
        <v>79</v>
      </c>
      <c r="F16" s="403"/>
      <c r="G16" s="404"/>
      <c r="H16" s="405" t="str">
        <f t="array" ref="H16">IF(
  G16 = 0, 
  "", 
  IFERROR(
    INDEX(
      'アイテム別限界値DB'!$K:$K, 
      MATCH(
        1, 
        ('アイテム別限界値DB'!$B:$B = D$4) * 
        ('アイテム別限界値DB'!$G:$G = D16) * 
        ('アイテム別限界値DB'!$H:$H = G16), 
        0
      )
    ), 
    "再製作"
  )
)
</f>
        <v/>
      </c>
      <c r="I16" s="397" t="str">
        <f t="array" ref="I16">IF(
  $G16 = 0, 
  "", 
  IFERROR(
    INDEX(
      'アイテム別限界値DB'!$N:$N, 
      MATCH(
        1, 
        ('アイテム別限界値DB'!$B:$B = $D$4) * 
        ('アイテム別限界値DB'!$G:$G = $D16) * 
        ('アイテム別限界値DB'!$H:$H = $G16), 
        0
      )
    )*F16, 
    "再製作"
  )
)
</f>
        <v/>
      </c>
      <c r="J16" s="388"/>
      <c r="K16" s="429" t="s">
        <v>93</v>
      </c>
      <c r="L16" s="414" t="s">
        <v>100</v>
      </c>
      <c r="M16" s="406"/>
      <c r="N16" s="422"/>
      <c r="O16" s="405" t="str">
        <f t="array" ref="O16">IF(
  $N16 = 0, 
  "", 
  IFERROR(
    INDEX(
      'アイテム別限界値DB'!$K:$K, 
      MATCH(
        1, 
        ('アイテム別限界値DB'!$B:$B = $K$4) * 
        ('アイテム別限界値DB'!$G:$G = $K16) * 
        ('アイテム別限界値DB'!$H:$H = $N16), 
        0
      )
    ), 
    "再製作"
  )
)
</f>
        <v/>
      </c>
      <c r="P16" s="397" t="str">
        <f t="array" ref="P16">IF(
  $N16 = 0, 
  "", 
  IFERROR(
    INDEX(
      'アイテム別限界値DB'!$N:$N, 
      MATCH(
        1, 
        ('アイテム別限界値DB'!$B:$B = $K$4) * 
        ('アイテム別限界値DB'!$G:$G = $K16) * 
        ('アイテム別限界値DB'!$H:$H = $N16), 
        0
      )
    )*$M16, 
    "再製作"
  )
)
</f>
        <v/>
      </c>
      <c r="Q16" s="332"/>
      <c r="R16" s="429"/>
      <c r="S16" s="421"/>
      <c r="T16" s="436"/>
      <c r="U16" s="440"/>
      <c r="V16" s="438"/>
      <c r="W16" s="333"/>
      <c r="X16" s="327"/>
      <c r="Y16" s="429" t="s">
        <v>93</v>
      </c>
      <c r="Z16" s="421" t="s">
        <v>99</v>
      </c>
      <c r="AA16" s="406"/>
      <c r="AB16" s="404"/>
      <c r="AC16" s="405" t="str">
        <f t="array" ref="AC16">IF(
  $AB16 = 0, 
  "", 
  IFERROR(
    INDEX(
      'アイテム別限界値DB'!$K:$K, 
      MATCH(
        1, 
        ('アイテム別限界値DB'!$B:$B = $Y$4) * 
        ('アイテム別限界値DB'!$G:$G = $Y16) * 
        ('アイテム別限界値DB'!$H:$H = $AB16), 
        0
      )
    ), 
    "再製作"
  )
)
</f>
        <v/>
      </c>
      <c r="AD16" s="397" t="str">
        <f t="array" ref="AD16">IF(
  $AB16 = 0, 
  "", 
  IFERROR(
    INDEX(
      'アイテム別限界値DB'!$N:$N, 
      MATCH(
        1, 
        ('アイテム別限界値DB'!$B:$B = $Y$4) * 
        ('アイテム別限界値DB'!$G:$G = $Y16) * 
        ('アイテム別限界値DB'!$H:$H = $AB16), 
        0
      )
    )*AA16, 
    "再製作"
  )
)
</f>
        <v/>
      </c>
      <c r="AE16" s="332"/>
      <c r="AF16" s="429" t="s">
        <v>89</v>
      </c>
      <c r="AG16" s="421" t="s">
        <v>89</v>
      </c>
      <c r="AH16" s="406"/>
      <c r="AI16" s="422"/>
      <c r="AJ16" s="405" t="str">
        <f t="array" ref="AJ16">IF(
  $AI16 = 0, 
  "", 
  IFERROR(
    INDEX(
      'アイテム別限界値DB'!$K:$K, 
      MATCH(
        1, 
        ('アイテム別限界値DB'!$B:$B = AF$4) * 
        ('アイテム別限界値DB'!$G:$G = $AF16) * 
        ('アイテム別限界値DB'!$H:$H = $AI16), 
        0
      )
    ), 
    "再製作"
  )
)
</f>
        <v/>
      </c>
      <c r="AK16" s="397" t="str">
        <f t="array" ref="AK16">IF(
  $AI16 = 0, 
  "", 
  IFERROR(
    INDEX(
      'アイテム別限界値DB'!$N:$N, 
      MATCH(
        1, 
        ('アイテム別限界値DB'!$B:$B = $AF$4) * 
        ('アイテム別限界値DB'!$G:$G = $AF16) * 
        ('アイテム別限界値DB'!$H:$H = $AI16), 
        0
      )
    )*AH16, 
    "再製作"
  )
)
</f>
        <v/>
      </c>
      <c r="AL16" s="327"/>
      <c r="AM16" s="429" t="s">
        <v>90</v>
      </c>
      <c r="AN16" s="432" t="s">
        <v>90</v>
      </c>
      <c r="AO16" s="406"/>
      <c r="AP16" s="422"/>
      <c r="AQ16" s="405" t="str">
        <f t="array" ref="AQ16">IF(
  $AP16 = 0, 
  "", 
  IFERROR(
    INDEX(
      'アイテム別限界値DB'!$K:$K, 
      MATCH(
        1, 
        ('アイテム別限界値DB'!$B:$B = $AM$4) * 
        ('アイテム別限界値DB'!$G:$G = $AM16) * 
        ('アイテム別限界値DB'!$H:$H = $AP16), 
        0
      )
    ), 
    "再製作"
  )
)
</f>
        <v/>
      </c>
      <c r="AR16" s="397" t="str">
        <f t="array" ref="AR16">IF(
  $AP16 = 0, 
  "", 
  IFERROR(
    INDEX(
      'アイテム別限界値DB'!$N:$N, 
      MATCH(
        1, 
        ('アイテム別限界値DB'!$B:$B = $AM$4) * 
        ('アイテム別限界値DB'!$G:$G = $AM16) * 
        ('アイテム別限界値DB'!$H:$H = $AP16), 
        0
      )
    )*AO16, 
    "再製作"
  )
)
</f>
        <v/>
      </c>
      <c r="AS16" s="327"/>
      <c r="AT16" s="432"/>
      <c r="AU16" s="436"/>
      <c r="AV16" s="436"/>
      <c r="AW16" s="438"/>
      <c r="AX16" s="333"/>
      <c r="AY16" s="327"/>
      <c r="AZ16" s="432"/>
      <c r="BA16" s="436"/>
      <c r="BB16" s="436"/>
      <c r="BC16" s="438"/>
      <c r="BD16" s="333"/>
      <c r="BE16" s="327"/>
      <c r="BF16" s="432"/>
      <c r="BG16" s="436"/>
      <c r="BH16" s="436"/>
      <c r="BI16" s="438"/>
      <c r="BJ16" s="333"/>
      <c r="BK16" s="327"/>
      <c r="BL16" s="432"/>
      <c r="BM16" s="436"/>
      <c r="BN16" s="436"/>
      <c r="BO16" s="438"/>
      <c r="BP16" s="333"/>
      <c r="BQ16" s="327"/>
      <c r="BR16" s="432"/>
      <c r="BS16" s="436"/>
      <c r="BT16" s="436"/>
      <c r="BU16" s="438"/>
      <c r="BV16" s="333"/>
      <c r="BW16" s="327"/>
      <c r="BX16" s="432"/>
      <c r="BY16" s="436"/>
      <c r="BZ16" s="436"/>
      <c r="CA16" s="438"/>
      <c r="CB16" s="333"/>
      <c r="CC16" s="333"/>
      <c r="CD16" s="333"/>
      <c r="CE16" s="333"/>
      <c r="CF16" s="333"/>
      <c r="CG16" s="333"/>
      <c r="CH16" s="327"/>
      <c r="CI16" s="327"/>
    </row>
    <row r="17" ht="15.75" customHeight="1">
      <c r="A17" s="441"/>
      <c r="B17" s="228" t="str">
        <f>IFERROR(__xludf.DUMMYFUNCTION("TEXTJOIN(CHAR(10),TRUE,FILTER(ARRAYFORMULA(IF(AI$14:AI70&lt;&gt;"""",AG$14:AG70&amp;"" : ""&amp; AI$14:AI70 &amp;"" cm"","""")), AG$14:AG70 &lt;&gt;""""))"),"")</f>
        <v/>
      </c>
      <c r="C17" s="434"/>
      <c r="D17" s="434" t="s">
        <v>94</v>
      </c>
      <c r="E17" s="413" t="s">
        <v>83</v>
      </c>
      <c r="F17" s="403"/>
      <c r="G17" s="404"/>
      <c r="H17" s="405" t="str">
        <f t="array" ref="H17">IF(
  G17 = 0, 
  "", 
  IFERROR(
    INDEX(
      'アイテム別限界値DB'!$K:$K, 
      MATCH(
        1, 
        ('アイテム別限界値DB'!$B:$B = D$4) * 
        ('アイテム別限界値DB'!$G:$G = D17) * 
        ('アイテム別限界値DB'!$H:$H = G17), 
        0
      )
    ), 
    "再製作"
  )
)
</f>
        <v/>
      </c>
      <c r="I17" s="397" t="str">
        <f t="array" ref="I17">IF(
  $G17 = 0, 
  "", 
  IFERROR(
    INDEX(
      'アイテム別限界値DB'!$N:$N, 
      MATCH(
        1, 
        ('アイテム別限界値DB'!$B:$B = $D$4) * 
        ('アイテム別限界値DB'!$G:$G = $D17) * 
        ('アイテム別限界値DB'!$H:$H = $G17), 
        0
      )
    )*F17, 
    "再製作"
  )
)
</f>
        <v/>
      </c>
      <c r="J17" s="388"/>
      <c r="K17" s="434" t="s">
        <v>95</v>
      </c>
      <c r="L17" s="414" t="s">
        <v>103</v>
      </c>
      <c r="M17" s="406"/>
      <c r="N17" s="404"/>
      <c r="O17" s="405" t="str">
        <f t="array" ref="O17">IF(
  $N17 = 0, 
  "", 
  IFERROR(
    INDEX(
      'アイテム別限界値DB'!$K:$K, 
      MATCH(
        1, 
        ('アイテム別限界値DB'!$B:$B = $K$4) * 
        ('アイテム別限界値DB'!$G:$G = $K17) * 
        ('アイテム別限界値DB'!$H:$H = $N17), 
        0
      )
    ), 
    "再製作"
  )
)
</f>
        <v/>
      </c>
      <c r="P17" s="397" t="str">
        <f t="array" ref="P17">IF(
  $N17 = 0, 
  "", 
  IFERROR(
    INDEX(
      'アイテム別限界値DB'!$N:$N, 
      MATCH(
        1, 
        ('アイテム別限界値DB'!$B:$B = $K$4) * 
        ('アイテム別限界値DB'!$G:$G = $K17) * 
        ('アイテム別限界値DB'!$H:$H = $N17), 
        0
      )
    )*$M17, 
    "再製作"
  )
)
</f>
        <v/>
      </c>
      <c r="Q17" s="332"/>
      <c r="R17" s="434"/>
      <c r="S17" s="413"/>
      <c r="T17" s="439"/>
      <c r="U17" s="439"/>
      <c r="V17" s="438"/>
      <c r="W17" s="333"/>
      <c r="X17" s="327"/>
      <c r="Y17" s="434" t="s">
        <v>96</v>
      </c>
      <c r="Z17" s="413" t="s">
        <v>103</v>
      </c>
      <c r="AA17" s="406"/>
      <c r="AB17" s="404"/>
      <c r="AC17" s="405" t="str">
        <f t="array" ref="AC17">IF(
  $AB17 = 0, 
  "", 
  IFERROR(
    INDEX(
      'アイテム別限界値DB'!$K:$K, 
      MATCH(
        1, 
        ('アイテム別限界値DB'!$B:$B = $Y$4) * 
        ('アイテム別限界値DB'!$G:$G = $Y17) * 
        ('アイテム別限界値DB'!$H:$H = $AB17), 
        0
      )
    ), 
    "再製作"
  )
)
</f>
        <v/>
      </c>
      <c r="AD17" s="397" t="str">
        <f t="array" ref="AD17">IF(
  $AB17 = 0, 
  "", 
  IFERROR(
    INDEX(
      'アイテム別限界値DB'!$N:$N, 
      MATCH(
        1, 
        ('アイテム別限界値DB'!$B:$B = $Y$4) * 
        ('アイテム別限界値DB'!$G:$G = $Y17) * 
        ('アイテム別限界値DB'!$H:$H = $AB17), 
        0
      )
    )*AA17, 
    "再製作"
  )
)
</f>
        <v/>
      </c>
      <c r="AE17" s="332"/>
      <c r="AF17" s="434" t="s">
        <v>97</v>
      </c>
      <c r="AG17" s="413" t="s">
        <v>97</v>
      </c>
      <c r="AH17" s="406"/>
      <c r="AI17" s="404"/>
      <c r="AJ17" s="405" t="str">
        <f t="array" ref="AJ17">IF(
  $AI17 = 0, 
  "", 
  IFERROR(
    INDEX(
      'アイテム別限界値DB'!$K:$K, 
      MATCH(
        1, 
        ('アイテム別限界値DB'!$B:$B = AF$4) * 
        ('アイテム別限界値DB'!$G:$G = $AF17) * 
        ('アイテム別限界値DB'!$H:$H = $AI17), 
        0
      )
    ), 
    "再製作"
  )
)
</f>
        <v/>
      </c>
      <c r="AK17" s="397" t="str">
        <f t="array" ref="AK17">IF(
  $AI17 = 0, 
  "", 
  IFERROR(
    INDEX(
      'アイテム別限界値DB'!$N:$N, 
      MATCH(
        1, 
        ('アイテム別限界値DB'!$B:$B = $AF$4) * 
        ('アイテム別限界値DB'!$G:$G = $AF17) * 
        ('アイテム別限界値DB'!$H:$H = $AI17), 
        0
      )
    )*AH17, 
    "再製作"
  )
)
</f>
        <v/>
      </c>
      <c r="AL17" s="327"/>
      <c r="AM17" s="434" t="s">
        <v>62</v>
      </c>
      <c r="AN17" s="400" t="s">
        <v>62</v>
      </c>
      <c r="AO17" s="406"/>
      <c r="AP17" s="422"/>
      <c r="AQ17" s="405" t="str">
        <f t="array" ref="AQ17">IF(
  $AP17 = 0, 
  "", 
  IFERROR(
    INDEX(
      'アイテム別限界値DB'!$K:$K, 
      MATCH(
        1, 
        ('アイテム別限界値DB'!$B:$B = $AM$4) * 
        ('アイテム別限界値DB'!$G:$G = $AM17) * 
        ('アイテム別限界値DB'!$H:$H = $AP17), 
        0
      )
    ), 
    "再製作"
  )
)
</f>
        <v/>
      </c>
      <c r="AR17" s="397" t="str">
        <f t="array" ref="AR17">IF(
  $AP17 = 0, 
  "", 
  IFERROR(
    INDEX(
      'アイテム別限界値DB'!$N:$N, 
      MATCH(
        1, 
        ('アイテム別限界値DB'!$B:$B = $AM$4) * 
        ('アイテム別限界値DB'!$G:$G = $AM17) * 
        ('アイテム別限界値DB'!$H:$H = $AP17), 
        0
      )
    )*AO17, 
    "再製作"
  )
)
</f>
        <v/>
      </c>
      <c r="AS17" s="327"/>
      <c r="AT17" s="400"/>
      <c r="AU17" s="436"/>
      <c r="AV17" s="436"/>
      <c r="AW17" s="438"/>
      <c r="AX17" s="333"/>
      <c r="AY17" s="327"/>
      <c r="AZ17" s="400"/>
      <c r="BA17" s="439"/>
      <c r="BB17" s="439"/>
      <c r="BC17" s="438"/>
      <c r="BD17" s="333"/>
      <c r="BE17" s="327"/>
      <c r="BF17" s="400"/>
      <c r="BG17" s="439"/>
      <c r="BH17" s="439"/>
      <c r="BI17" s="438"/>
      <c r="BJ17" s="333"/>
      <c r="BK17" s="327"/>
      <c r="BL17" s="400"/>
      <c r="BM17" s="439"/>
      <c r="BN17" s="439"/>
      <c r="BO17" s="438"/>
      <c r="BP17" s="333"/>
      <c r="BQ17" s="327"/>
      <c r="BR17" s="400"/>
      <c r="BS17" s="439"/>
      <c r="BT17" s="439"/>
      <c r="BU17" s="438"/>
      <c r="BV17" s="333"/>
      <c r="BW17" s="327"/>
      <c r="BX17" s="400"/>
      <c r="BY17" s="439"/>
      <c r="BZ17" s="439"/>
      <c r="CA17" s="438"/>
      <c r="CB17" s="333"/>
      <c r="CC17" s="333"/>
      <c r="CD17" s="333"/>
      <c r="CE17" s="333"/>
      <c r="CF17" s="333"/>
      <c r="CG17" s="333"/>
      <c r="CH17" s="327"/>
      <c r="CI17" s="327"/>
    </row>
    <row r="18" ht="15.75" customHeight="1">
      <c r="A18" s="442"/>
      <c r="B18" s="309" t="s">
        <v>219</v>
      </c>
      <c r="C18" s="400"/>
      <c r="D18" s="400" t="s">
        <v>98</v>
      </c>
      <c r="E18" s="421" t="s">
        <v>106</v>
      </c>
      <c r="F18" s="403"/>
      <c r="G18" s="404"/>
      <c r="H18" s="405" t="str">
        <f t="array" ref="H18">IF(
  G18 = 0, 
  "", 
  IFERROR(
    INDEX(
      'アイテム別限界値DB'!$K:$K, 
      MATCH(
        1, 
        ('アイテム別限界値DB'!$B:$B = D$4) * 
        ('アイテム別限界値DB'!$G:$G = D18) * 
        ('アイテム別限界値DB'!$H:$H = G18), 
        0
      )
    ), 
    "再製作"
  )
)
</f>
        <v/>
      </c>
      <c r="I18" s="397" t="str">
        <f t="array" ref="I18">IF(
  $G18 = 0, 
  "", 
  IFERROR(
    INDEX(
      'アイテム別限界値DB'!$N:$N, 
      MATCH(
        1, 
        ('アイテム別限界値DB'!$B:$B = $D$4) * 
        ('アイテム別限界値DB'!$G:$G = $D18) * 
        ('アイテム別限界値DB'!$H:$H = $G18), 
        0
      )
    )*F18, 
    "再製作"
  )
)
</f>
        <v/>
      </c>
      <c r="J18" s="443"/>
      <c r="K18" s="400" t="s">
        <v>99</v>
      </c>
      <c r="L18" s="414"/>
      <c r="M18" s="406"/>
      <c r="N18" s="422"/>
      <c r="O18" s="405" t="str">
        <f t="array" ref="O18">IF(
  $N18 = 0, 
  "", 
  IFERROR(
    INDEX(
      'アイテム別限界値DB'!$K:$K, 
      MATCH(
        1, 
        ('アイテム別限界値DB'!$B:$B = $K$4) * 
        ('アイテム別限界値DB'!$G:$G = $K18) * 
        ('アイテム別限界値DB'!$H:$H = $N18), 
        0
      )
    ), 
    "再製作"
  )
)
</f>
        <v/>
      </c>
      <c r="P18" s="397" t="str">
        <f t="array" ref="P18">IF(
  $N18 = 0, 
  "", 
  IFERROR(
    INDEX(
      'アイテム別限界値DB'!$N:$N, 
      MATCH(
        1, 
        ('アイテム別限界値DB'!$B:$B = $K$4) * 
        ('アイテム別限界値DB'!$G:$G = $K18) * 
        ('アイテム別限界値DB'!$H:$H = $N18), 
        0
      )
    )*$M18, 
    "再製作"
  )
)
</f>
        <v/>
      </c>
      <c r="Q18" s="444"/>
      <c r="R18" s="400"/>
      <c r="S18" s="421"/>
      <c r="T18" s="436"/>
      <c r="U18" s="436"/>
      <c r="V18" s="438"/>
      <c r="W18" s="333"/>
      <c r="X18" s="445"/>
      <c r="Y18" s="400" t="s">
        <v>100</v>
      </c>
      <c r="Z18" s="421"/>
      <c r="AA18" s="406"/>
      <c r="AB18" s="422"/>
      <c r="AC18" s="405" t="str">
        <f t="array" ref="AC18">IF(
  $AB18 = 0, 
  "", 
  IFERROR(
    INDEX(
      'アイテム別限界値DB'!$K:$K, 
      MATCH(
        1, 
        ('アイテム別限界値DB'!$B:$B = $Y$4) * 
        ('アイテム別限界値DB'!$G:$G = $Y18) * 
        ('アイテム別限界値DB'!$H:$H = $AB18), 
        0
      )
    ), 
    "再製作"
  )
)
</f>
        <v/>
      </c>
      <c r="AD18" s="397" t="str">
        <f t="array" ref="AD18">IF(
  $AB18 = 0, 
  "", 
  IFERROR(
    INDEX(
      'アイテム別限界値DB'!$N:$N, 
      MATCH(
        1, 
        ('アイテム別限界値DB'!$B:$B = $Y$4) * 
        ('アイテム別限界値DB'!$G:$G = $Y18) * 
        ('アイテム別限界値DB'!$H:$H = $AB18), 
        0
      )
    )*AA18, 
    "再製作"
  )
)
</f>
        <v/>
      </c>
      <c r="AE18" s="444"/>
      <c r="AF18" s="400" t="s">
        <v>101</v>
      </c>
      <c r="AG18" s="421" t="s">
        <v>101</v>
      </c>
      <c r="AH18" s="406"/>
      <c r="AI18" s="422"/>
      <c r="AJ18" s="405" t="str">
        <f t="array" ref="AJ18">IF(
  $AI18 = 0, 
  "", 
  IFERROR(
    INDEX(
      'アイテム別限界値DB'!$K:$K, 
      MATCH(
        1, 
        ('アイテム別限界値DB'!$B:$B = AF$4) * 
        ('アイテム別限界値DB'!$G:$G = $AF18) * 
        ('アイテム別限界値DB'!$H:$H = $AI18), 
        0
      )
    ), 
    "再製作"
  )
)
</f>
        <v/>
      </c>
      <c r="AK18" s="397" t="str">
        <f t="array" ref="AK18">IF(
  $AI18 = 0, 
  "", 
  IFERROR(
    INDEX(
      'アイテム別限界値DB'!$N:$N, 
      MATCH(
        1, 
        ('アイテム別限界値DB'!$B:$B = $AF$4) * 
        ('アイテム別限界値DB'!$G:$G = $AF18) * 
        ('アイテム別限界値DB'!$H:$H = $AI18), 
        0
      )
    )*AH18, 
    "再製作"
  )
)
</f>
        <v/>
      </c>
      <c r="AL18" s="445"/>
      <c r="AM18" s="400" t="s">
        <v>74</v>
      </c>
      <c r="AN18" s="400" t="s">
        <v>74</v>
      </c>
      <c r="AO18" s="406"/>
      <c r="AP18" s="404"/>
      <c r="AQ18" s="405" t="str">
        <f t="array" ref="AQ18">IF(
  $AP18 = 0, 
  "", 
  IFERROR(
    INDEX(
      'アイテム別限界値DB'!$K:$K, 
      MATCH(
        1, 
        ('アイテム別限界値DB'!$B:$B = $AM$4) * 
        ('アイテム別限界値DB'!$G:$G = $AM18) * 
        ('アイテム別限界値DB'!$H:$H = $AP18), 
        0
      )
    ), 
    "再製作"
  )
)
</f>
        <v/>
      </c>
      <c r="AR18" s="397" t="str">
        <f t="array" ref="AR18">IF(
  $AP18 = 0, 
  "", 
  IFERROR(
    INDEX(
      'アイテム別限界値DB'!$N:$N, 
      MATCH(
        1, 
        ('アイテム別限界値DB'!$B:$B = $AM$4) * 
        ('アイテム別限界値DB'!$G:$G = $AM18) * 
        ('アイテム別限界値DB'!$H:$H = $AP18), 
        0
      )
    )*AO18, 
    "再製作"
  )
)
</f>
        <v/>
      </c>
      <c r="AS18" s="445"/>
      <c r="AT18" s="400"/>
      <c r="AU18" s="436"/>
      <c r="AV18" s="436"/>
      <c r="AW18" s="438"/>
      <c r="AX18" s="333"/>
      <c r="AY18" s="445"/>
      <c r="AZ18" s="400"/>
      <c r="BA18" s="436"/>
      <c r="BB18" s="436"/>
      <c r="BC18" s="438"/>
      <c r="BD18" s="333"/>
      <c r="BE18" s="445"/>
      <c r="BF18" s="400"/>
      <c r="BG18" s="436"/>
      <c r="BH18" s="436"/>
      <c r="BI18" s="438"/>
      <c r="BJ18" s="333"/>
      <c r="BK18" s="445"/>
      <c r="BL18" s="400"/>
      <c r="BM18" s="436"/>
      <c r="BN18" s="436"/>
      <c r="BO18" s="438"/>
      <c r="BP18" s="333"/>
      <c r="BQ18" s="445"/>
      <c r="BR18" s="400"/>
      <c r="BS18" s="436"/>
      <c r="BT18" s="436"/>
      <c r="BU18" s="438"/>
      <c r="BV18" s="333"/>
      <c r="BW18" s="445"/>
      <c r="BX18" s="400"/>
      <c r="BY18" s="436"/>
      <c r="BZ18" s="436"/>
      <c r="CA18" s="438"/>
      <c r="CB18" s="333"/>
      <c r="CC18" s="333"/>
      <c r="CD18" s="333"/>
      <c r="CE18" s="333"/>
      <c r="CF18" s="333"/>
      <c r="CG18" s="333"/>
      <c r="CH18" s="445"/>
      <c r="CI18" s="445"/>
    </row>
    <row r="19" ht="15.75" customHeight="1">
      <c r="A19" s="229"/>
      <c r="B19" s="228" t="str">
        <f>IFERROR(__xludf.DUMMYFUNCTION("TEXTJOIN(CHAR(10),TRUE,FILTER(ARRAYFORMULA(IF(AI$14:AI70&lt;&gt;"""",AG$14:AG70&amp;"" : ""&amp; AI$14:AI70 &amp;"" cm"","""")), AG$14:AG70 &lt;&gt;""""))"),"")</f>
        <v/>
      </c>
      <c r="C19" s="432"/>
      <c r="D19" s="432" t="s">
        <v>74</v>
      </c>
      <c r="E19" s="446" t="s">
        <v>107</v>
      </c>
      <c r="F19" s="403"/>
      <c r="G19" s="404"/>
      <c r="H19" s="405" t="str">
        <f t="array" ref="H19">IF(
  G19 = 0, 
  "", 
  IFERROR(
    INDEX(
      'アイテム別限界値DB'!$K:$K, 
      MATCH(
        1, 
        ('アイテム別限界値DB'!$B:$B = D$4) * 
        ('アイテム別限界値DB'!$G:$G = D19) * 
        ('アイテム別限界値DB'!$H:$H = G19), 
        0
      )
    ), 
    "再製作"
  )
)
</f>
        <v/>
      </c>
      <c r="I19" s="397" t="str">
        <f t="array" ref="I19">IF(
  $G19 = 0, 
  "", 
  IFERROR(
    INDEX(
      'アイテム別限界値DB'!$N:$N, 
      MATCH(
        1, 
        ('アイテム別限界値DB'!$B:$B = $D$4) * 
        ('アイテム別限界値DB'!$G:$G = $D19) * 
        ('アイテム別限界値DB'!$H:$H = $G19), 
        0
      )
    )*F19, 
    "再製作"
  )
)
</f>
        <v/>
      </c>
      <c r="J19" s="443"/>
      <c r="K19" s="425" t="s">
        <v>100</v>
      </c>
      <c r="L19" s="447"/>
      <c r="M19" s="406"/>
      <c r="N19" s="422"/>
      <c r="O19" s="405" t="str">
        <f t="array" ref="O19">IF(
  $N19 = 0, 
  "", 
  IFERROR(
    INDEX(
      'アイテム別限界値DB'!$K:$K, 
      MATCH(
        1, 
        ('アイテム別限界値DB'!$B:$B = $K$4) * 
        ('アイテム別限界値DB'!$G:$G = $K19) * 
        ('アイテム別限界値DB'!$H:$H = $N19), 
        0
      )
    ), 
    "再製作"
  )
)
</f>
        <v/>
      </c>
      <c r="P19" s="397" t="str">
        <f t="array" ref="P19">IF(
  $N19 = 0, 
  "", 
  IFERROR(
    INDEX(
      'アイテム別限界値DB'!$N:$N, 
      MATCH(
        1, 
        ('アイテム別限界値DB'!$B:$B = $K$4) * 
        ('アイテム別限界値DB'!$G:$G = $K19) * 
        ('アイテム別限界値DB'!$H:$H = $N19), 
        0
      )
    )*$M19, 
    "再製作"
  )
)
</f>
        <v/>
      </c>
      <c r="Q19" s="444"/>
      <c r="R19" s="445"/>
      <c r="S19" s="316"/>
      <c r="T19" s="317"/>
      <c r="U19" s="317"/>
      <c r="V19" s="317"/>
      <c r="W19" s="317"/>
      <c r="X19" s="445"/>
      <c r="Y19" s="443" t="s">
        <v>95</v>
      </c>
      <c r="Z19" s="448"/>
      <c r="AA19" s="406"/>
      <c r="AB19" s="404"/>
      <c r="AC19" s="405" t="str">
        <f t="array" ref="AC19">IF(
  $AB19 = 0, 
  "", 
  IFERROR(
    INDEX(
      'アイテム別限界値DB'!$K:$K, 
      MATCH(
        1, 
        ('アイテム別限界値DB'!$B:$B = $Y$4) * 
        ('アイテム別限界値DB'!$G:$G = $Y19) * 
        ('アイテム別限界値DB'!$H:$H = $AB19), 
        0
      )
    ), 
    "再製作"
  )
)
</f>
        <v/>
      </c>
      <c r="AD19" s="397" t="str">
        <f t="array" ref="AD19">IF(
  $AB19 = 0, 
  "", 
  IFERROR(
    INDEX(
      'アイテム別限界値DB'!$N:$N, 
      MATCH(
        1, 
        ('アイテム別限界値DB'!$B:$B = $Y$4) * 
        ('アイテム別限界値DB'!$G:$G = $Y19) * 
        ('アイテム別限界値DB'!$H:$H = $AB19), 
        0
      )
    )*AA19, 
    "再製作"
  )
)
</f>
        <v/>
      </c>
      <c r="AE19" s="444"/>
      <c r="AF19" s="449" t="s">
        <v>62</v>
      </c>
      <c r="AG19" s="450" t="s">
        <v>62</v>
      </c>
      <c r="AH19" s="406"/>
      <c r="AI19" s="404"/>
      <c r="AJ19" s="405" t="str">
        <f t="array" ref="AJ19">IF(
  $AI19 = 0, 
  "", 
  IFERROR(
    INDEX(
      'アイテム別限界値DB'!$K:$K, 
      MATCH(
        1, 
        ('アイテム別限界値DB'!$B:$B = AF$4) * 
        ('アイテム別限界値DB'!$G:$G = $AF19) * 
        ('アイテム別限界値DB'!$H:$H = $AI19), 
        0
      )
    ), 
    "再製作"
  )
)
</f>
        <v/>
      </c>
      <c r="AK19" s="397" t="str">
        <f t="array" ref="AK19">IF(
  $AI19 = 0, 
  "", 
  IFERROR(
    INDEX(
      'アイテム別限界値DB'!$N:$N, 
      MATCH(
        1, 
        ('アイテム別限界値DB'!$B:$B = $AF$4) * 
        ('アイテム別限界値DB'!$G:$G = $AF19) * 
        ('アイテム別限界値DB'!$H:$H = $AI19), 
        0
      )
    )*AH19, 
    "再製作"
  )
)
</f>
        <v/>
      </c>
      <c r="AL19" s="445"/>
      <c r="AM19" s="185" t="s">
        <v>67</v>
      </c>
      <c r="AN19" s="185" t="s">
        <v>67</v>
      </c>
      <c r="AO19" s="406"/>
      <c r="AP19" s="404"/>
      <c r="AQ19" s="405" t="str">
        <f t="array" ref="AQ19">IF(
  $AP19 = 0, 
  "", 
  IFERROR(
    INDEX(
      'アイテム別限界値DB'!$K:$K, 
      MATCH(
        1, 
        ('アイテム別限界値DB'!$B:$B = $AM$4) * 
        ('アイテム別限界値DB'!$G:$G = $AM19) * 
        ('アイテム別限界値DB'!$H:$H = $AP19), 
        0
      )
    ), 
    "再製作"
  )
)
</f>
        <v/>
      </c>
      <c r="AR19" s="397" t="str">
        <f t="array" ref="AR19">IF(
  $AP19 = 0, 
  "", 
  IFERROR(
    INDEX(
      'アイテム別限界値DB'!$N:$N, 
      MATCH(
        1, 
        ('アイテム別限界値DB'!$B:$B = $AM$4) * 
        ('アイテム別限界値DB'!$G:$G = $AM19) * 
        ('アイテム別限界値DB'!$H:$H = $AP19), 
        0
      )
    )*AO19, 
    "再製作"
  )
)
</f>
        <v/>
      </c>
      <c r="AS19" s="445"/>
      <c r="AT19" s="185"/>
      <c r="AU19" s="436"/>
      <c r="AV19" s="436"/>
      <c r="AW19" s="396" t="str">
        <f t="array" ref="AW19">IF(
  AV19 = 0, 
  "", 
  IFERROR(
    INDEX(
      'アイテム別限界値DB'!$I:$I, 
      MATCH(
        1, 
        ('アイテム別限界値DB'!$B:$B = AT$4) * 
        ('アイテム別限界値DB'!$C:$C = AT19) * 
        ('アイテム別限界値DB'!$F:$F = AV19), 
        0
      )
    ), 
    "再製作"
  )
)
</f>
        <v/>
      </c>
      <c r="AX19" s="451" t="str">
        <f t="array" ref="AX19">IF(
  AV19 = 0, 
  "", 
  IFERROR(
    INDEX(
      'アイテム別限界値DB'!$L:$L, 
      MATCH(
        1, 
        ('アイテム別限界値DB'!$B:$B = AT$4) * 
        ('アイテム別限界値DB'!$C:$C = AT19) * 
        ('アイテム別限界値DB'!$F:$F = AV19), 
        0
      )
    ), 
    ""
  )
)
</f>
        <v/>
      </c>
      <c r="AY19" s="445"/>
      <c r="AZ19" s="185"/>
      <c r="BA19" s="452"/>
      <c r="BB19" s="452"/>
      <c r="BC19" s="396" t="str">
        <f t="array" ref="BC19">IF(
  BB19 = 0, 
  "", 
  IFERROR(
    INDEX(
      'アイテム別限界値DB'!$I:$I, 
      MATCH(
        1, 
        ('アイテム別限界値DB'!$B:$B = AZ$4) * 
        ('アイテム別限界値DB'!$C:$C = AZ19) * 
        ('アイテム別限界値DB'!$F:$F = BB19), 
        0
      )
    ), 
    "再製作"
  )
)
</f>
        <v/>
      </c>
      <c r="BD19" s="451" t="str">
        <f t="array" ref="BD19">IF(
  BB19 = 0, 
  "", 
  IFERROR(
    INDEX(
      'アイテム別限界値DB'!$L:$L, 
      MATCH(
        1, 
        ('アイテム別限界値DB'!$B:$B = AZ$4) * 
        ('アイテム別限界値DB'!$C:$C = AZ19) * 
        ('アイテム別限界値DB'!$F:$F = BB19), 
        0
      )
    ), 
    ""
  )
)
</f>
        <v/>
      </c>
      <c r="BE19" s="445"/>
      <c r="BF19" s="185"/>
      <c r="BG19" s="452"/>
      <c r="BH19" s="452"/>
      <c r="BI19" s="396" t="str">
        <f t="array" ref="BI19">IF(
  BH19 = 0, 
  "", 
  IFERROR(
    INDEX(
      'アイテム別限界値DB'!$I:$I, 
      MATCH(
        1, 
        ('アイテム別限界値DB'!$B:$B = BF$4) * 
        ('アイテム別限界値DB'!$C:$C = BF19) * 
        ('アイテム別限界値DB'!$F:$F = BH19), 
        0
      )
    ), 
    "再製作"
  )
)
</f>
        <v/>
      </c>
      <c r="BJ19" s="451"/>
      <c r="BK19" s="445"/>
      <c r="BL19" s="185"/>
      <c r="BM19" s="452"/>
      <c r="BN19" s="452"/>
      <c r="BO19" s="396"/>
      <c r="BP19" s="451" t="str">
        <f t="array" ref="BP19">IF(
  BN19 = 0, 
  "", 
  IFERROR(
    INDEX(
      'アイテム別限界値DB'!$L:$L, 
      MATCH(
        1, 
        ('アイテム別限界値DB'!$B:$B = BL$4) * 
        ('アイテム別限界値DB'!$C:$C = BL19) * 
        ('アイテム別限界値DB'!$F:$F = BN19), 
        0
      )
    ), 
    ""
  )
)
</f>
        <v/>
      </c>
      <c r="BQ19" s="445"/>
      <c r="BR19" s="185"/>
      <c r="BS19" s="452"/>
      <c r="BT19" s="452"/>
      <c r="BU19" s="396" t="str">
        <f t="array" ref="BU19">IF(
  BT19 = 0, 
  "", 
  IFERROR(
    INDEX(
      'アイテム別限界値DB'!$I:$I, 
      MATCH(
        1, 
        ('アイテム別限界値DB'!$B:$B = BR$4) * 
        ('アイテム別限界値DB'!$C:$C = BR19) * 
        ('アイテム別限界値DB'!$F:$F = BT19), 
        0
      )
    ), 
    "再製作"
  )
)
</f>
        <v/>
      </c>
      <c r="BV19" s="451" t="str">
        <f t="array" ref="BV19">IF(
  BT19 = 0, 
  "", 
  IFERROR(
    INDEX(
      'アイテム別限界値DB'!$L:$L, 
      MATCH(
        1, 
        ('アイテム別限界値DB'!$B:$B = BR$4) * 
        ('アイテム別限界値DB'!$C:$C = BR19) * 
        ('アイテム別限界値DB'!$F:$F = BT19), 
        0
      )
    ), 
    ""
  )
)
</f>
        <v/>
      </c>
      <c r="BW19" s="445"/>
      <c r="BX19" s="185"/>
      <c r="BY19" s="452"/>
      <c r="BZ19" s="452"/>
      <c r="CA19" s="396" t="str">
        <f t="array" ref="CA19">IF(
  BZ19 = 0, 
  "", 
  IFERROR(
    INDEX(
      'アイテム別限界値DB'!$I:$I, 
      MATCH(
        1, 
        ('アイテム別限界値DB'!$B:$B = BX$4) * 
        ('アイテム別限界値DB'!$C:$C = BX19) * 
        ('アイテム別限界値DB'!$F:$F = BZ19), 
        0
      )
    ), 
    "再製作"
  )
)
</f>
        <v/>
      </c>
      <c r="CB19" s="451" t="str">
        <f t="array" ref="CB19">IF(
  BZ19 = 0, 
  "", 
  IFERROR(
    INDEX(
      'アイテム別限界値DB'!$L:$L, 
      MATCH(
        1, 
        ('アイテム別限界値DB'!$B:$B = BX$4) * 
        ('アイテム別限界値DB'!$C:$C = BX19) * 
        ('アイテム別限界値DB'!$F:$F = BZ19), 
        0
      )
    ), 
    ""
  )
)
</f>
        <v/>
      </c>
      <c r="CC19" s="451"/>
      <c r="CD19" s="451"/>
      <c r="CE19" s="451"/>
      <c r="CF19" s="451"/>
      <c r="CG19" s="451"/>
      <c r="CH19" s="445"/>
      <c r="CI19" s="445"/>
    </row>
    <row r="20" ht="15.75" customHeight="1">
      <c r="A20" s="441"/>
      <c r="B20" s="309" t="s">
        <v>220</v>
      </c>
      <c r="C20" s="432"/>
      <c r="D20" s="432" t="s">
        <v>67</v>
      </c>
      <c r="E20" s="446" t="s">
        <v>108</v>
      </c>
      <c r="F20" s="403"/>
      <c r="G20" s="404"/>
      <c r="H20" s="405" t="str">
        <f t="array" ref="H20">IF(
  G20 = 0, 
  "", 
  IFERROR(
    INDEX(
      'アイテム別限界値DB'!$K:$K, 
      MATCH(
        1, 
        ('アイテム別限界値DB'!$B:$B = D$4) * 
        ('アイテム別限界値DB'!$G:$G = D20) * 
        ('アイテム別限界値DB'!$H:$H = G20), 
        0
      )
    ), 
    "再製作"
  )
)
</f>
        <v/>
      </c>
      <c r="I20" s="397" t="str">
        <f t="array" ref="I20">IF(
  $G20 = 0, 
  "", 
  IFERROR(
    INDEX(
      'アイテム別限界値DB'!$N:$N, 
      MATCH(
        1, 
        ('アイテム別限界値DB'!$B:$B = $D$4) * 
        ('アイテム別限界値DB'!$G:$G = $D20) * 
        ('アイテム別限界値DB'!$H:$H = $G20), 
        0
      )
    )*F20, 
    "再製作"
  )
)
</f>
        <v/>
      </c>
      <c r="J20" s="443"/>
      <c r="K20" s="425" t="s">
        <v>103</v>
      </c>
      <c r="L20" s="425"/>
      <c r="M20" s="453"/>
      <c r="N20" s="453"/>
      <c r="O20" s="454"/>
      <c r="P20" s="454"/>
      <c r="Q20" s="444"/>
      <c r="R20" s="445"/>
      <c r="S20" s="316"/>
      <c r="T20" s="436"/>
      <c r="U20" s="436"/>
      <c r="V20" s="317"/>
      <c r="W20" s="317"/>
      <c r="X20" s="445"/>
      <c r="Y20" s="443" t="s">
        <v>99</v>
      </c>
      <c r="Z20" s="448"/>
      <c r="AA20" s="406"/>
      <c r="AB20" s="404"/>
      <c r="AC20" s="405" t="str">
        <f t="array" ref="AC20">IF(
  $AB20 = 0, 
  "", 
  IFERROR(
    INDEX(
      'アイテム別限界値DB'!$K:$K, 
      MATCH(
        1, 
        ('アイテム別限界値DB'!$B:$B = $Y$4) * 
        ('アイテム別限界値DB'!$G:$G = $Y20) * 
        ('アイテム別限界値DB'!$H:$H = $AB20), 
        0
      )
    ), 
    "再製作"
  )
)
</f>
        <v/>
      </c>
      <c r="AD20" s="397" t="str">
        <f t="array" ref="AD20">IF(
  $AB20 = 0, 
  "", 
  IFERROR(
    INDEX(
      'アイテム別限界値DB'!$N:$N, 
      MATCH(
        1, 
        ('アイテム別限界値DB'!$B:$B = $Y$4) * 
        ('アイテム別限界値DB'!$G:$G = $Y20) * 
        ('アイテム別限界値DB'!$H:$H = $AB20), 
        0
      )
    )*AA20, 
    "再製作"
  )
)
</f>
        <v/>
      </c>
      <c r="AE20" s="444"/>
      <c r="AF20" s="449" t="s">
        <v>74</v>
      </c>
      <c r="AG20" s="450" t="s">
        <v>74</v>
      </c>
      <c r="AH20" s="406"/>
      <c r="AI20" s="422"/>
      <c r="AJ20" s="405" t="str">
        <f t="array" ref="AJ20">IF(
  $AI20 = 0, 
  "", 
  IFERROR(
    INDEX(
      'アイテム別限界値DB'!$K:$K, 
      MATCH(
        1, 
        ('アイテム別限界値DB'!$B:$B = AF$4) * 
        ('アイテム別限界値DB'!$G:$G = $AF20) * 
        ('アイテム別限界値DB'!$H:$H = $AI20), 
        0
      )
    ), 
    "再製作"
  )
)
</f>
        <v/>
      </c>
      <c r="AK20" s="397" t="str">
        <f t="array" ref="AK20">IF(
  $AI20 = 0, 
  "", 
  IFERROR(
    INDEX(
      'アイテム別限界値DB'!$N:$N, 
      MATCH(
        1, 
        ('アイテム別限界値DB'!$B:$B = $AF$4) * 
        ('アイテム別限界値DB'!$G:$G = $AF20) * 
        ('アイテム別限界値DB'!$H:$H = $AI20), 
        0
      )
    )*AH20, 
    "再製作"
  )
)
</f>
        <v/>
      </c>
      <c r="AL20" s="445"/>
      <c r="AM20" s="185" t="s">
        <v>79</v>
      </c>
      <c r="AN20" s="185" t="s">
        <v>79</v>
      </c>
      <c r="AO20" s="406"/>
      <c r="AP20" s="404"/>
      <c r="AQ20" s="405" t="str">
        <f t="array" ref="AQ20">IF(
  $AP20 = 0, 
  "", 
  IFERROR(
    INDEX(
      'アイテム別限界値DB'!$K:$K, 
      MATCH(
        1, 
        ('アイテム別限界値DB'!$B:$B = $AM$4) * 
        ('アイテム別限界値DB'!$G:$G = $AM20) * 
        ('アイテム別限界値DB'!$H:$H = $AP20), 
        0
      )
    ), 
    "再製作"
  )
)
</f>
        <v/>
      </c>
      <c r="AR20" s="397" t="str">
        <f t="array" ref="AR20">IF(
  $AP20 = 0, 
  "", 
  IFERROR(
    INDEX(
      'アイテム別限界値DB'!$N:$N, 
      MATCH(
        1, 
        ('アイテム別限界値DB'!$B:$B = $AM$4) * 
        ('アイテム別限界値DB'!$G:$G = $AM20) * 
        ('アイテム別限界値DB'!$H:$H = $AP20), 
        0
      )
    )*AO20, 
    "再製作"
  )
)
</f>
        <v/>
      </c>
      <c r="AS20" s="445"/>
      <c r="AT20" s="185"/>
      <c r="AU20" s="436"/>
      <c r="AV20" s="436"/>
      <c r="AW20" s="396"/>
      <c r="AX20" s="451"/>
      <c r="AY20" s="445"/>
      <c r="AZ20" s="185"/>
      <c r="BA20" s="452"/>
      <c r="BB20" s="452"/>
      <c r="BC20" s="396"/>
      <c r="BD20" s="451"/>
      <c r="BE20" s="445"/>
      <c r="BF20" s="185"/>
      <c r="BG20" s="452"/>
      <c r="BH20" s="452"/>
      <c r="BI20" s="396"/>
      <c r="BJ20" s="451"/>
      <c r="BK20" s="445"/>
      <c r="BL20" s="185"/>
      <c r="BM20" s="452"/>
      <c r="BN20" s="452"/>
      <c r="BO20" s="396"/>
      <c r="BP20" s="451"/>
      <c r="BQ20" s="445"/>
      <c r="BR20" s="185"/>
      <c r="BS20" s="452"/>
      <c r="BT20" s="452"/>
      <c r="BU20" s="396"/>
      <c r="BV20" s="451"/>
      <c r="BW20" s="445"/>
      <c r="BX20" s="185"/>
      <c r="BY20" s="452"/>
      <c r="BZ20" s="452"/>
      <c r="CA20" s="396"/>
      <c r="CB20" s="451"/>
      <c r="CC20" s="451"/>
      <c r="CD20" s="451"/>
      <c r="CE20" s="451"/>
      <c r="CF20" s="451"/>
      <c r="CG20" s="451"/>
      <c r="CH20" s="445"/>
      <c r="CI20" s="445"/>
    </row>
    <row r="21" ht="15.75" customHeight="1">
      <c r="A21" s="229"/>
      <c r="B21" s="228" t="str">
        <f>IFERROR(__xludf.DUMMYFUNCTION("TEXTJOIN(CHAR(10),TRUE,FILTER(ARRAYFORMULA(IF(AI$14:AI70&lt;&gt;"""",AG$14:AG70&amp;"" : ""&amp; AI$14:AI70 &amp;"" cm"","""")), AG$14:AG70 &lt;&gt;""""))"),"")</f>
        <v/>
      </c>
      <c r="C21" s="432"/>
      <c r="D21" s="432" t="s">
        <v>79</v>
      </c>
      <c r="E21" s="446" t="s">
        <v>110</v>
      </c>
      <c r="F21" s="403"/>
      <c r="G21" s="404"/>
      <c r="H21" s="405" t="str">
        <f t="array" ref="H21">IF(
  G21 = 0, 
  "", 
  IFERROR(
    INDEX(
      'アイテム別限界値DB'!$K:$K, 
      MATCH(
        1, 
        ('アイテム別限界値DB'!$B:$B = D$4) * 
        ('アイテム別限界値DB'!$G:$G = D21) * 
        ('アイテム別限界値DB'!$H:$H = G21), 
        0
      )
    ), 
    "再製作"
  )
)
</f>
        <v/>
      </c>
      <c r="I21" s="397" t="str">
        <f t="array" ref="I21">IF(
  $G21 = 0, 
  "", 
  IFERROR(
    INDEX(
      'アイテム別限界値DB'!$N:$N, 
      MATCH(
        1, 
        ('アイテム別限界値DB'!$B:$B = $D$4) * 
        ('アイテム別限界値DB'!$G:$G = $D21) * 
        ('アイテム別限界値DB'!$H:$H = $G21), 
        0
      )
    )*F21, 
    "再製作"
  )
)
</f>
        <v/>
      </c>
      <c r="J21" s="443"/>
      <c r="K21" s="425"/>
      <c r="L21" s="447"/>
      <c r="M21" s="455"/>
      <c r="N21" s="386"/>
      <c r="O21" s="396"/>
      <c r="P21" s="451"/>
      <c r="Q21" s="444"/>
      <c r="R21" s="445"/>
      <c r="S21" s="316"/>
      <c r="T21" s="317"/>
      <c r="U21" s="439"/>
      <c r="V21" s="317"/>
      <c r="W21" s="317"/>
      <c r="X21" s="445"/>
      <c r="Y21" s="443" t="s">
        <v>103</v>
      </c>
      <c r="Z21" s="448"/>
      <c r="AA21" s="406"/>
      <c r="AB21" s="404"/>
      <c r="AC21" s="405" t="str">
        <f t="array" ref="AC21">IF(
  $AB21 = 0, 
  "", 
  IFERROR(
    INDEX(
      'アイテム別限界値DB'!$K:$K, 
      MATCH(
        1, 
        ('アイテム別限界値DB'!$B:$B = $Y$4) * 
        ('アイテム別限界値DB'!$G:$G = $Y21) * 
        ('アイテム別限界値DB'!$H:$H = $AB21), 
        0
      )
    ), 
    "再製作"
  )
)
</f>
        <v/>
      </c>
      <c r="AD21" s="397" t="str">
        <f t="array" ref="AD21">IF(
  $AB21 = 0, 
  "", 
  IFERROR(
    INDEX(
      'アイテム別限界値DB'!$N:$N, 
      MATCH(
        1, 
        ('アイテム別限界値DB'!$B:$B = $Y$4) * 
        ('アイテム別限界値DB'!$G:$G = $Y21) * 
        ('アイテム別限界値DB'!$H:$H = $AB21), 
        0
      )
    )*AA21, 
    "再製作"
  )
)
</f>
        <v/>
      </c>
      <c r="AE21" s="444"/>
      <c r="AF21" s="449" t="s">
        <v>67</v>
      </c>
      <c r="AG21" s="450" t="s">
        <v>67</v>
      </c>
      <c r="AH21" s="406"/>
      <c r="AI21" s="404"/>
      <c r="AJ21" s="405" t="str">
        <f t="array" ref="AJ21">IF(
  $AI21 = 0, 
  "", 
  IFERROR(
    INDEX(
      'アイテム別限界値DB'!$K:$K, 
      MATCH(
        1, 
        ('アイテム別限界値DB'!$B:$B = AF$4) * 
        ('アイテム別限界値DB'!$G:$G = $AF21) * 
        ('アイテム別限界値DB'!$H:$H = $AI21), 
        0
      )
    ), 
    "再製作"
  )
)
</f>
        <v/>
      </c>
      <c r="AK21" s="397" t="str">
        <f t="array" ref="AK21">IF(
  $AI21 = 0, 
  "", 
  IFERROR(
    INDEX(
      'アイテム別限界値DB'!$N:$N, 
      MATCH(
        1, 
        ('アイテム別限界値DB'!$B:$B = $AF$4) * 
        ('アイテム別限界値DB'!$G:$G = $AF21) * 
        ('アイテム別限界値DB'!$H:$H = $AI21), 
        0
      )
    )*AH21, 
    "再製作"
  )
)
</f>
        <v/>
      </c>
      <c r="AL21" s="445"/>
      <c r="AM21" s="185" t="s">
        <v>83</v>
      </c>
      <c r="AN21" s="185" t="s">
        <v>83</v>
      </c>
      <c r="AO21" s="406"/>
      <c r="AP21" s="422"/>
      <c r="AQ21" s="405" t="str">
        <f t="array" ref="AQ21">IF(
  $AP21 = 0, 
  "", 
  IFERROR(
    INDEX(
      'アイテム別限界値DB'!$K:$K, 
      MATCH(
        1, 
        ('アイテム別限界値DB'!$B:$B = $AM$4) * 
        ('アイテム別限界値DB'!$G:$G = $AM21) * 
        ('アイテム別限界値DB'!$H:$H = $AP21), 
        0
      )
    ), 
    "再製作"
  )
)
</f>
        <v/>
      </c>
      <c r="AR21" s="397" t="str">
        <f t="array" ref="AR21">IF(
  $AP21 = 0, 
  "", 
  IFERROR(
    INDEX(
      'アイテム別限界値DB'!$N:$N, 
      MATCH(
        1, 
        ('アイテム別限界値DB'!$B:$B = $AM$4) * 
        ('アイテム別限界値DB'!$G:$G = $AM21) * 
        ('アイテム別限界値DB'!$H:$H = $AP21), 
        0
      )
    )*AO21, 
    "再製作"
  )
)
</f>
        <v/>
      </c>
      <c r="AS21" s="445"/>
      <c r="AT21" s="185"/>
      <c r="AU21" s="436"/>
      <c r="AV21" s="436"/>
      <c r="AW21" s="396"/>
      <c r="AX21" s="451"/>
      <c r="AY21" s="445"/>
      <c r="AZ21" s="185"/>
      <c r="BA21" s="452"/>
      <c r="BB21" s="452"/>
      <c r="BC21" s="396"/>
      <c r="BD21" s="451"/>
      <c r="BE21" s="445"/>
      <c r="BF21" s="185"/>
      <c r="BG21" s="452"/>
      <c r="BH21" s="452"/>
      <c r="BI21" s="396"/>
      <c r="BJ21" s="451"/>
      <c r="BK21" s="445"/>
      <c r="BL21" s="185"/>
      <c r="BM21" s="452"/>
      <c r="BN21" s="452"/>
      <c r="BO21" s="396"/>
      <c r="BP21" s="451"/>
      <c r="BQ21" s="445"/>
      <c r="BR21" s="185"/>
      <c r="BS21" s="452"/>
      <c r="BT21" s="452"/>
      <c r="BU21" s="396"/>
      <c r="BV21" s="451"/>
      <c r="BW21" s="445"/>
      <c r="BX21" s="185"/>
      <c r="BY21" s="452"/>
      <c r="BZ21" s="452"/>
      <c r="CA21" s="396"/>
      <c r="CB21" s="451"/>
      <c r="CC21" s="451"/>
      <c r="CD21" s="451"/>
      <c r="CE21" s="451"/>
      <c r="CF21" s="451"/>
      <c r="CG21" s="451"/>
      <c r="CH21" s="445"/>
      <c r="CI21" s="445"/>
    </row>
    <row r="22" ht="15.75" customHeight="1">
      <c r="A22" s="229"/>
      <c r="B22" s="309" t="s">
        <v>221</v>
      </c>
      <c r="C22" s="432"/>
      <c r="D22" s="432" t="s">
        <v>83</v>
      </c>
      <c r="E22" s="446" t="s">
        <v>111</v>
      </c>
      <c r="F22" s="403"/>
      <c r="G22" s="404"/>
      <c r="H22" s="405" t="str">
        <f t="array" ref="H22">IF(
  G22 = 0, 
  "", 
  IFERROR(
    INDEX(
      'アイテム別限界値DB'!$K:$K, 
      MATCH(
        1, 
        ('アイテム別限界値DB'!$B:$B = D$4) * 
        ('アイテム別限界値DB'!$G:$G = D22) * 
        ('アイテム別限界値DB'!$H:$H = G22), 
        0
      )
    ), 
    "再製作"
  )
)
</f>
        <v/>
      </c>
      <c r="I22" s="397" t="str">
        <f t="array" ref="I22">IF(
  $G22 = 0, 
  "", 
  IFERROR(
    INDEX(
      'アイテム別限界値DB'!$N:$N, 
      MATCH(
        1, 
        ('アイテム別限界値DB'!$B:$B = $D$4) * 
        ('アイテム別限界値DB'!$G:$G = $D22) * 
        ('アイテム別限界値DB'!$H:$H = $G22), 
        0
      )
    )*F22, 
    "再製作"
  )
)
</f>
        <v/>
      </c>
      <c r="J22" s="443"/>
      <c r="K22" s="425"/>
      <c r="L22" s="447"/>
      <c r="M22" s="455"/>
      <c r="N22" s="386"/>
      <c r="O22" s="396"/>
      <c r="P22" s="451"/>
      <c r="Q22" s="444"/>
      <c r="R22" s="445"/>
      <c r="S22" s="316"/>
      <c r="T22" s="317"/>
      <c r="U22" s="317"/>
      <c r="V22" s="317"/>
      <c r="W22" s="317"/>
      <c r="X22" s="445"/>
      <c r="Y22" s="443"/>
      <c r="Z22" s="448"/>
      <c r="AA22" s="386"/>
      <c r="AB22" s="386"/>
      <c r="AC22" s="396"/>
      <c r="AD22" s="396"/>
      <c r="AE22" s="444"/>
      <c r="AF22" s="449" t="s">
        <v>79</v>
      </c>
      <c r="AG22" s="450" t="s">
        <v>79</v>
      </c>
      <c r="AH22" s="406"/>
      <c r="AI22" s="422"/>
      <c r="AJ22" s="405" t="str">
        <f t="array" ref="AJ22">IF(
  $AI22 = 0, 
  "", 
  IFERROR(
    INDEX(
      'アイテム別限界値DB'!$K:$K, 
      MATCH(
        1, 
        ('アイテム別限界値DB'!$B:$B = AF$4) * 
        ('アイテム別限界値DB'!$G:$G = $AF22) * 
        ('アイテム別限界値DB'!$H:$H = $AI22), 
        0
      )
    ), 
    "再製作"
  )
)
</f>
        <v/>
      </c>
      <c r="AK22" s="397" t="str">
        <f t="array" ref="AK22">IF(
  $AI22 = 0, 
  "", 
  IFERROR(
    INDEX(
      'アイテム別限界値DB'!$N:$N, 
      MATCH(
        1, 
        ('アイテム別限界値DB'!$B:$B = $AF$4) * 
        ('アイテム別限界値DB'!$G:$G = $AF22) * 
        ('アイテム別限界値DB'!$H:$H = $AI22), 
        0
      )
    )*AH22, 
    "再製作"
  )
)
</f>
        <v/>
      </c>
      <c r="AL22" s="445"/>
      <c r="AM22" s="185" t="s">
        <v>105</v>
      </c>
      <c r="AN22" s="185" t="s">
        <v>105</v>
      </c>
      <c r="AO22" s="406"/>
      <c r="AP22" s="404"/>
      <c r="AQ22" s="405" t="str">
        <f t="array" ref="AQ22">IF(
  $AP22 = 0, 
  "", 
  IFERROR(
    INDEX(
      'アイテム別限界値DB'!$K:$K, 
      MATCH(
        1, 
        ('アイテム別限界値DB'!$B:$B = $AM$4) * 
        ('アイテム別限界値DB'!$G:$G = $AM22) * 
        ('アイテム別限界値DB'!$H:$H = $AP22), 
        0
      )
    ), 
    "再製作"
  )
)
</f>
        <v/>
      </c>
      <c r="AR22" s="397" t="str">
        <f t="array" ref="AR22">IF(
  $AP22 = 0, 
  "", 
  IFERROR(
    INDEX(
      'アイテム別限界値DB'!$N:$N, 
      MATCH(
        1, 
        ('アイテム別限界値DB'!$B:$B = $AM$4) * 
        ('アイテム別限界値DB'!$G:$G = $AM22) * 
        ('アイテム別限界値DB'!$H:$H = $AP22), 
        0
      )
    )*AO22, 
    "再製作"
  )
)
</f>
        <v/>
      </c>
      <c r="AS22" s="445"/>
      <c r="AT22" s="185"/>
      <c r="AU22" s="436"/>
      <c r="AV22" s="436"/>
      <c r="AW22" s="396"/>
      <c r="AX22" s="451"/>
      <c r="AY22" s="445"/>
      <c r="AZ22" s="185"/>
      <c r="BA22" s="452"/>
      <c r="BB22" s="452"/>
      <c r="BC22" s="396"/>
      <c r="BD22" s="451"/>
      <c r="BE22" s="445"/>
      <c r="BF22" s="185"/>
      <c r="BG22" s="452"/>
      <c r="BH22" s="452"/>
      <c r="BI22" s="396"/>
      <c r="BJ22" s="451"/>
      <c r="BK22" s="445"/>
      <c r="BL22" s="185"/>
      <c r="BM22" s="452"/>
      <c r="BN22" s="452"/>
      <c r="BO22" s="396"/>
      <c r="BP22" s="451"/>
      <c r="BQ22" s="445"/>
      <c r="BR22" s="185"/>
      <c r="BS22" s="452"/>
      <c r="BT22" s="452"/>
      <c r="BU22" s="396"/>
      <c r="BV22" s="451"/>
      <c r="BW22" s="445"/>
      <c r="BX22" s="185"/>
      <c r="BY22" s="452"/>
      <c r="BZ22" s="452"/>
      <c r="CA22" s="396"/>
      <c r="CB22" s="451"/>
      <c r="CC22" s="451"/>
      <c r="CD22" s="451"/>
      <c r="CE22" s="451"/>
      <c r="CF22" s="451"/>
      <c r="CG22" s="451"/>
      <c r="CH22" s="445"/>
      <c r="CI22" s="445"/>
    </row>
    <row r="23" ht="15.75" customHeight="1">
      <c r="A23" s="441"/>
      <c r="B23" s="228" t="str">
        <f>IFERROR(__xludf.DUMMYFUNCTION("TEXTJOIN(CHAR(10),TRUE,FILTER(ARRAYFORMULA(IF(AI$14:AI70&lt;&gt;"""",AG$14:AG70&amp;"" : ""&amp; AI$14:AI70 &amp;"" cm"","""")), AG$14:AG70 &lt;&gt;""""))"),"")</f>
        <v/>
      </c>
      <c r="C23" s="432"/>
      <c r="D23" s="432" t="s">
        <v>106</v>
      </c>
      <c r="E23" s="446" t="s">
        <v>112</v>
      </c>
      <c r="F23" s="403"/>
      <c r="G23" s="404"/>
      <c r="H23" s="405" t="str">
        <f t="array" ref="H23">IF(
  G23 = 0, 
  "", 
  IFERROR(
    INDEX(
      'アイテム別限界値DB'!$K:$K, 
      MATCH(
        1, 
        ('アイテム別限界値DB'!$B:$B = D$4) * 
        ('アイテム別限界値DB'!$G:$G = D23) * 
        ('アイテム別限界値DB'!$H:$H = G23), 
        0
      )
    ), 
    "再製作"
  )
)
</f>
        <v/>
      </c>
      <c r="I23" s="397" t="str">
        <f t="array" ref="I23">IF(
  $G23 = 0, 
  "", 
  IFERROR(
    INDEX(
      'アイテム別限界値DB'!$N:$N, 
      MATCH(
        1, 
        ('アイテム別限界値DB'!$B:$B = $D$4) * 
        ('アイテム別限界値DB'!$G:$G = $D23) * 
        ('アイテム別限界値DB'!$H:$H = $G23), 
        0
      )
    )*F23, 
    "再製作"
  )
)
</f>
        <v/>
      </c>
      <c r="J23" s="443"/>
      <c r="K23" s="425"/>
      <c r="L23" s="447"/>
      <c r="M23" s="455"/>
      <c r="N23" s="386"/>
      <c r="O23" s="396"/>
      <c r="P23" s="451"/>
      <c r="Q23" s="444"/>
      <c r="R23" s="445"/>
      <c r="S23" s="316"/>
      <c r="T23" s="317"/>
      <c r="U23" s="317"/>
      <c r="V23" s="317"/>
      <c r="W23" s="317"/>
      <c r="X23" s="445"/>
      <c r="Y23" s="443"/>
      <c r="Z23" s="448"/>
      <c r="AA23" s="386"/>
      <c r="AB23" s="386"/>
      <c r="AC23" s="396"/>
      <c r="AD23" s="396"/>
      <c r="AE23" s="444"/>
      <c r="AF23" s="449" t="s">
        <v>83</v>
      </c>
      <c r="AG23" s="450" t="s">
        <v>83</v>
      </c>
      <c r="AH23" s="450"/>
      <c r="AI23" s="450"/>
      <c r="AJ23" s="396"/>
      <c r="AK23" s="451"/>
      <c r="AL23" s="445"/>
      <c r="AM23" s="185"/>
      <c r="AN23" s="185"/>
      <c r="AO23" s="452"/>
      <c r="AP23" s="452"/>
      <c r="AQ23" s="396"/>
      <c r="AR23" s="451"/>
      <c r="AS23" s="445"/>
      <c r="AT23" s="185"/>
      <c r="AU23" s="452"/>
      <c r="AV23" s="452"/>
      <c r="AW23" s="396"/>
      <c r="AX23" s="451"/>
      <c r="AY23" s="445"/>
      <c r="AZ23" s="185"/>
      <c r="BA23" s="452"/>
      <c r="BB23" s="452"/>
      <c r="BC23" s="396"/>
      <c r="BD23" s="451"/>
      <c r="BE23" s="445"/>
      <c r="BF23" s="185"/>
      <c r="BG23" s="452"/>
      <c r="BH23" s="452"/>
      <c r="BI23" s="396"/>
      <c r="BJ23" s="451"/>
      <c r="BK23" s="445"/>
      <c r="BL23" s="185"/>
      <c r="BM23" s="452"/>
      <c r="BN23" s="452"/>
      <c r="BO23" s="396"/>
      <c r="BP23" s="451"/>
      <c r="BQ23" s="445"/>
      <c r="BR23" s="185"/>
      <c r="BS23" s="452"/>
      <c r="BT23" s="452"/>
      <c r="BU23" s="396"/>
      <c r="BV23" s="451"/>
      <c r="BW23" s="445"/>
      <c r="BX23" s="185"/>
      <c r="BY23" s="452"/>
      <c r="BZ23" s="452"/>
      <c r="CA23" s="396"/>
      <c r="CB23" s="451"/>
      <c r="CC23" s="451"/>
      <c r="CD23" s="451"/>
      <c r="CE23" s="451"/>
      <c r="CF23" s="451"/>
      <c r="CG23" s="451"/>
      <c r="CH23" s="445"/>
      <c r="CI23" s="445"/>
    </row>
    <row r="24" ht="15.75" customHeight="1">
      <c r="A24" s="229"/>
      <c r="B24" s="309" t="s">
        <v>222</v>
      </c>
      <c r="C24" s="432"/>
      <c r="D24" s="432" t="s">
        <v>107</v>
      </c>
      <c r="E24" s="446" t="s">
        <v>113</v>
      </c>
      <c r="F24" s="403"/>
      <c r="G24" s="404"/>
      <c r="H24" s="405" t="str">
        <f t="array" ref="H24">IF(
  G24 = 0, 
  "", 
  IFERROR(
    INDEX(
      'アイテム別限界値DB'!$K:$K, 
      MATCH(
        1, 
        ('アイテム別限界値DB'!$B:$B = D$4) * 
        ('アイテム別限界値DB'!$G:$G = D24) * 
        ('アイテム別限界値DB'!$H:$H = G24), 
        0
      )
    ), 
    "再製作"
  )
)
</f>
        <v/>
      </c>
      <c r="I24" s="397" t="str">
        <f t="array" ref="I24">IF(
  $G24 = 0, 
  "", 
  IFERROR(
    INDEX(
      'アイテム別限界値DB'!$N:$N, 
      MATCH(
        1, 
        ('アイテム別限界値DB'!$B:$B = $D$4) * 
        ('アイテム別限界値DB'!$G:$G = $D24) * 
        ('アイテム別限界値DB'!$H:$H = $G24), 
        0
      )
    )*F24, 
    "再製作"
  )
)
</f>
        <v/>
      </c>
      <c r="J24" s="443"/>
      <c r="K24" s="425"/>
      <c r="L24" s="447"/>
      <c r="M24" s="455"/>
      <c r="N24" s="386"/>
      <c r="O24" s="396"/>
      <c r="P24" s="451"/>
      <c r="Q24" s="444"/>
      <c r="R24" s="445"/>
      <c r="S24" s="316"/>
      <c r="T24" s="317"/>
      <c r="U24" s="317"/>
      <c r="V24" s="317"/>
      <c r="W24" s="317"/>
      <c r="X24" s="445"/>
      <c r="Y24" s="443"/>
      <c r="Z24" s="448"/>
      <c r="AA24" s="386"/>
      <c r="AB24" s="386"/>
      <c r="AC24" s="396"/>
      <c r="AD24" s="396"/>
      <c r="AE24" s="444"/>
      <c r="AF24" s="449" t="s">
        <v>105</v>
      </c>
      <c r="AG24" s="450" t="s">
        <v>105</v>
      </c>
      <c r="AH24" s="450"/>
      <c r="AI24" s="450"/>
      <c r="AJ24" s="396"/>
      <c r="AK24" s="451"/>
      <c r="AL24" s="445"/>
      <c r="AM24" s="185"/>
      <c r="AN24" s="185"/>
      <c r="AO24" s="452"/>
      <c r="AP24" s="452"/>
      <c r="AQ24" s="396"/>
      <c r="AR24" s="451"/>
      <c r="AS24" s="445"/>
      <c r="AT24" s="185"/>
      <c r="AU24" s="452"/>
      <c r="AV24" s="452"/>
      <c r="AW24" s="396"/>
      <c r="AX24" s="451"/>
      <c r="AY24" s="445"/>
      <c r="AZ24" s="185"/>
      <c r="BA24" s="452"/>
      <c r="BB24" s="452"/>
      <c r="BC24" s="396"/>
      <c r="BD24" s="451"/>
      <c r="BE24" s="445"/>
      <c r="BF24" s="185"/>
      <c r="BG24" s="452"/>
      <c r="BH24" s="452"/>
      <c r="BI24" s="396"/>
      <c r="BJ24" s="451"/>
      <c r="BK24" s="445"/>
      <c r="BL24" s="185"/>
      <c r="BM24" s="452"/>
      <c r="BN24" s="452"/>
      <c r="BO24" s="396"/>
      <c r="BP24" s="451"/>
      <c r="BQ24" s="445"/>
      <c r="BR24" s="185"/>
      <c r="BS24" s="452"/>
      <c r="BT24" s="452"/>
      <c r="BU24" s="396"/>
      <c r="BV24" s="451"/>
      <c r="BW24" s="445"/>
      <c r="BX24" s="185"/>
      <c r="BY24" s="452"/>
      <c r="BZ24" s="452"/>
      <c r="CA24" s="396"/>
      <c r="CB24" s="451"/>
      <c r="CC24" s="451"/>
      <c r="CD24" s="451"/>
      <c r="CE24" s="451"/>
      <c r="CF24" s="451"/>
      <c r="CG24" s="451"/>
      <c r="CH24" s="445"/>
      <c r="CI24" s="445"/>
    </row>
    <row r="25" ht="15.75" customHeight="1">
      <c r="A25" s="229"/>
      <c r="B25" s="228" t="str">
        <f>IFERROR(__xludf.DUMMYFUNCTION("TEXTJOIN(CHAR(10),TRUE,FILTER(ARRAYFORMULA(IF(AI$14:AI70&lt;&gt;"""",AG$14:AG70&amp;"" : ""&amp; AI$14:AI70 &amp;"" cm"","""")), AG$14:AG70 &lt;&gt;""""))"),"")</f>
        <v/>
      </c>
      <c r="C25" s="432"/>
      <c r="D25" s="432" t="s">
        <v>108</v>
      </c>
      <c r="E25" s="446" t="s">
        <v>114</v>
      </c>
      <c r="F25" s="403"/>
      <c r="G25" s="404"/>
      <c r="H25" s="405" t="str">
        <f t="array" ref="H25">IF(
  G25 = 0, 
  "", 
  IFERROR(
    INDEX(
      'アイテム別限界値DB'!$K:$K, 
      MATCH(
        1, 
        ('アイテム別限界値DB'!$B:$B = D$4) * 
        ('アイテム別限界値DB'!$G:$G = D25) * 
        ('アイテム別限界値DB'!$H:$H = G25), 
        0
      )
    ), 
    "再製作"
  )
)
</f>
        <v/>
      </c>
      <c r="I25" s="397" t="str">
        <f t="array" ref="I25">IF(
  $G25 = 0, 
  "", 
  IFERROR(
    INDEX(
      'アイテム別限界値DB'!$N:$N, 
      MATCH(
        1, 
        ('アイテム別限界値DB'!$B:$B = $D$4) * 
        ('アイテム別限界値DB'!$G:$G = $D25) * 
        ('アイテム別限界値DB'!$H:$H = $G25), 
        0
      )
    )*F25, 
    "再製作"
  )
)
</f>
        <v/>
      </c>
      <c r="J25" s="443"/>
      <c r="K25" s="425"/>
      <c r="L25" s="447"/>
      <c r="M25" s="455"/>
      <c r="N25" s="386"/>
      <c r="O25" s="396"/>
      <c r="P25" s="451"/>
      <c r="Q25" s="444"/>
      <c r="R25" s="445"/>
      <c r="S25" s="316"/>
      <c r="T25" s="317"/>
      <c r="U25" s="317"/>
      <c r="V25" s="317"/>
      <c r="W25" s="317"/>
      <c r="X25" s="445"/>
      <c r="Y25" s="443"/>
      <c r="Z25" s="448"/>
      <c r="AA25" s="386"/>
      <c r="AB25" s="386"/>
      <c r="AC25" s="396"/>
      <c r="AD25" s="396"/>
      <c r="AE25" s="444"/>
      <c r="AF25" s="449"/>
      <c r="AG25" s="450"/>
      <c r="AH25" s="450"/>
      <c r="AI25" s="450"/>
      <c r="AJ25" s="396"/>
      <c r="AK25" s="451"/>
      <c r="AL25" s="445"/>
      <c r="AM25" s="185"/>
      <c r="AN25" s="185"/>
      <c r="AO25" s="452"/>
      <c r="AP25" s="452"/>
      <c r="AQ25" s="396"/>
      <c r="AR25" s="451"/>
      <c r="AS25" s="445"/>
      <c r="AT25" s="185"/>
      <c r="AU25" s="452"/>
      <c r="AV25" s="452"/>
      <c r="AW25" s="396"/>
      <c r="AX25" s="451"/>
      <c r="AY25" s="445"/>
      <c r="AZ25" s="185"/>
      <c r="BA25" s="452"/>
      <c r="BB25" s="452"/>
      <c r="BC25" s="396"/>
      <c r="BD25" s="451"/>
      <c r="BE25" s="445"/>
      <c r="BF25" s="185"/>
      <c r="BG25" s="452"/>
      <c r="BH25" s="452"/>
      <c r="BI25" s="396"/>
      <c r="BJ25" s="451"/>
      <c r="BK25" s="445"/>
      <c r="BL25" s="185"/>
      <c r="BM25" s="452"/>
      <c r="BN25" s="452"/>
      <c r="BO25" s="396"/>
      <c r="BP25" s="451"/>
      <c r="BQ25" s="445"/>
      <c r="BR25" s="185"/>
      <c r="BS25" s="452"/>
      <c r="BT25" s="452"/>
      <c r="BU25" s="396"/>
      <c r="BV25" s="451"/>
      <c r="BW25" s="445"/>
      <c r="BX25" s="185"/>
      <c r="BY25" s="452"/>
      <c r="BZ25" s="452"/>
      <c r="CA25" s="396"/>
      <c r="CB25" s="451"/>
      <c r="CC25" s="451"/>
      <c r="CD25" s="451"/>
      <c r="CE25" s="451"/>
      <c r="CF25" s="451"/>
      <c r="CG25" s="451"/>
      <c r="CH25" s="445"/>
      <c r="CI25" s="445"/>
    </row>
    <row r="26" ht="15.75" customHeight="1">
      <c r="A26" s="441"/>
      <c r="B26" s="309" t="s">
        <v>223</v>
      </c>
      <c r="C26" s="432"/>
      <c r="D26" s="432" t="s">
        <v>224</v>
      </c>
      <c r="E26" s="446" t="s">
        <v>116</v>
      </c>
      <c r="F26" s="403"/>
      <c r="G26" s="404"/>
      <c r="H26" s="405" t="str">
        <f t="array" ref="H26">IF(
  G26 = 0, 
  "", 
  IFERROR(
    INDEX(
      'アイテム別限界値DB'!$K:$K, 
      MATCH(
        1, 
        ('アイテム別限界値DB'!$B:$B = D$4) * 
        ('アイテム別限界値DB'!$G:$G = D26) * 
        ('アイテム別限界値DB'!$H:$H = G26), 
        0
      )
    ), 
    "再製作"
  )
)
</f>
        <v/>
      </c>
      <c r="I26" s="397" t="str">
        <f t="array" ref="I26">IF(
  $G26 = 0, 
  "", 
  IFERROR(
    INDEX(
      'アイテム別限界値DB'!$N:$N, 
      MATCH(
        1, 
        ('アイテム別限界値DB'!$B:$B = $D$4) * 
        ('アイテム別限界値DB'!$G:$G = $D26) * 
        ('アイテム別限界値DB'!$H:$H = $G26), 
        0
      )
    )*F26, 
    "再製作"
  )
)
</f>
        <v/>
      </c>
      <c r="J26" s="443"/>
      <c r="K26" s="425"/>
      <c r="L26" s="447"/>
      <c r="M26" s="455"/>
      <c r="N26" s="386"/>
      <c r="O26" s="396"/>
      <c r="P26" s="451"/>
      <c r="Q26" s="444"/>
      <c r="R26" s="445"/>
      <c r="S26" s="316"/>
      <c r="T26" s="317"/>
      <c r="U26" s="317"/>
      <c r="V26" s="317"/>
      <c r="W26" s="317"/>
      <c r="X26" s="445"/>
      <c r="Y26" s="443"/>
      <c r="Z26" s="448"/>
      <c r="AA26" s="386"/>
      <c r="AB26" s="386"/>
      <c r="AC26" s="396"/>
      <c r="AD26" s="396"/>
      <c r="AE26" s="444"/>
      <c r="AF26" s="449"/>
      <c r="AG26" s="450"/>
      <c r="AH26" s="450"/>
      <c r="AI26" s="450"/>
      <c r="AJ26" s="396"/>
      <c r="AK26" s="451"/>
      <c r="AL26" s="445"/>
      <c r="AM26" s="185"/>
      <c r="AN26" s="185"/>
      <c r="AO26" s="452"/>
      <c r="AP26" s="452"/>
      <c r="AQ26" s="396"/>
      <c r="AR26" s="451"/>
      <c r="AS26" s="445"/>
      <c r="AT26" s="185"/>
      <c r="AU26" s="452"/>
      <c r="AV26" s="452"/>
      <c r="AW26" s="396"/>
      <c r="AX26" s="451"/>
      <c r="AY26" s="445"/>
      <c r="AZ26" s="185"/>
      <c r="BA26" s="452"/>
      <c r="BB26" s="452"/>
      <c r="BC26" s="396"/>
      <c r="BD26" s="451"/>
      <c r="BE26" s="445"/>
      <c r="BF26" s="185"/>
      <c r="BG26" s="452"/>
      <c r="BH26" s="452"/>
      <c r="BI26" s="396"/>
      <c r="BJ26" s="451"/>
      <c r="BK26" s="445"/>
      <c r="BL26" s="185"/>
      <c r="BM26" s="452"/>
      <c r="BN26" s="452"/>
      <c r="BO26" s="396"/>
      <c r="BP26" s="451"/>
      <c r="BQ26" s="445"/>
      <c r="BR26" s="185"/>
      <c r="BS26" s="452"/>
      <c r="BT26" s="452"/>
      <c r="BU26" s="396"/>
      <c r="BV26" s="451"/>
      <c r="BW26" s="445"/>
      <c r="BX26" s="185"/>
      <c r="BY26" s="452"/>
      <c r="BZ26" s="452"/>
      <c r="CA26" s="396"/>
      <c r="CB26" s="451"/>
      <c r="CC26" s="451"/>
      <c r="CD26" s="451"/>
      <c r="CE26" s="451"/>
      <c r="CF26" s="451"/>
      <c r="CG26" s="451"/>
      <c r="CH26" s="445"/>
      <c r="CI26" s="445"/>
    </row>
    <row r="27" ht="15.75" customHeight="1">
      <c r="A27" s="229"/>
      <c r="B27" s="228" t="str">
        <f>IFERROR(__xludf.DUMMYFUNCTION("TEXTJOIN(CHAR(10),TRUE,FILTER(ARRAYFORMULA(IF(AI$14:AI70&lt;&gt;"""",AG$14:AG70&amp;"" : ""&amp; AI$14:AI70 &amp;"" cm"","""")), AG$14:AG70 &lt;&gt;""""))"),"")</f>
        <v/>
      </c>
      <c r="C27" s="432"/>
      <c r="D27" s="432" t="s">
        <v>111</v>
      </c>
      <c r="E27" s="446" t="s">
        <v>117</v>
      </c>
      <c r="F27" s="403"/>
      <c r="G27" s="404"/>
      <c r="H27" s="405" t="str">
        <f t="array" ref="H27">IF(
  G27 = 0, 
  "", 
  IFERROR(
    INDEX(
      'アイテム別限界値DB'!$K:$K, 
      MATCH(
        1, 
        ('アイテム別限界値DB'!$B:$B = D$4) * 
        ('アイテム別限界値DB'!$G:$G = D27) * 
        ('アイテム別限界値DB'!$H:$H = G27), 
        0
      )
    ), 
    "再製作"
  )
)
</f>
        <v/>
      </c>
      <c r="I27" s="397" t="str">
        <f t="array" ref="I27">IF(
  $G27 = 0, 
  "", 
  IFERROR(
    INDEX(
      'アイテム別限界値DB'!$N:$N, 
      MATCH(
        1, 
        ('アイテム別限界値DB'!$B:$B = $D$4) * 
        ('アイテム別限界値DB'!$G:$G = $D27) * 
        ('アイテム別限界値DB'!$H:$H = $G27), 
        0
      )
    )*F27, 
    "再製作"
  )
)
</f>
        <v/>
      </c>
      <c r="J27" s="443"/>
      <c r="K27" s="425"/>
      <c r="L27" s="447"/>
      <c r="M27" s="455"/>
      <c r="N27" s="386"/>
      <c r="O27" s="396"/>
      <c r="P27" s="451"/>
      <c r="Q27" s="444"/>
      <c r="R27" s="445"/>
      <c r="S27" s="316"/>
      <c r="T27" s="317"/>
      <c r="U27" s="317"/>
      <c r="V27" s="317"/>
      <c r="W27" s="317"/>
      <c r="X27" s="445"/>
      <c r="Y27" s="443"/>
      <c r="Z27" s="448"/>
      <c r="AA27" s="386"/>
      <c r="AB27" s="386"/>
      <c r="AC27" s="396"/>
      <c r="AD27" s="396"/>
      <c r="AE27" s="444"/>
      <c r="AF27" s="449"/>
      <c r="AG27" s="450"/>
      <c r="AH27" s="450"/>
      <c r="AI27" s="450"/>
      <c r="AJ27" s="396"/>
      <c r="AK27" s="451"/>
      <c r="AL27" s="445"/>
      <c r="AM27" s="185"/>
      <c r="AN27" s="185"/>
      <c r="AO27" s="452"/>
      <c r="AP27" s="452"/>
      <c r="AQ27" s="396"/>
      <c r="AR27" s="451"/>
      <c r="AS27" s="445"/>
      <c r="AT27" s="185"/>
      <c r="AU27" s="452"/>
      <c r="AV27" s="452"/>
      <c r="AW27" s="396"/>
      <c r="AX27" s="451"/>
      <c r="AY27" s="445"/>
      <c r="AZ27" s="185"/>
      <c r="BA27" s="452"/>
      <c r="BB27" s="452"/>
      <c r="BC27" s="396"/>
      <c r="BD27" s="451"/>
      <c r="BE27" s="445"/>
      <c r="BF27" s="185"/>
      <c r="BG27" s="452"/>
      <c r="BH27" s="452"/>
      <c r="BI27" s="396"/>
      <c r="BJ27" s="451"/>
      <c r="BK27" s="445"/>
      <c r="BL27" s="185"/>
      <c r="BM27" s="452"/>
      <c r="BN27" s="452"/>
      <c r="BO27" s="396"/>
      <c r="BP27" s="451"/>
      <c r="BQ27" s="445"/>
      <c r="BR27" s="185"/>
      <c r="BS27" s="452"/>
      <c r="BT27" s="452"/>
      <c r="BU27" s="396"/>
      <c r="BV27" s="451"/>
      <c r="BW27" s="445"/>
      <c r="BX27" s="185"/>
      <c r="BY27" s="452"/>
      <c r="BZ27" s="452"/>
      <c r="CA27" s="396"/>
      <c r="CB27" s="451"/>
      <c r="CC27" s="451"/>
      <c r="CD27" s="451"/>
      <c r="CE27" s="451"/>
      <c r="CF27" s="451"/>
      <c r="CG27" s="451"/>
      <c r="CH27" s="445"/>
      <c r="CI27" s="445"/>
    </row>
    <row r="28" ht="15.75" customHeight="1">
      <c r="A28" s="229"/>
      <c r="C28" s="432"/>
      <c r="D28" s="432" t="s">
        <v>112</v>
      </c>
      <c r="E28" s="446" t="s">
        <v>118</v>
      </c>
      <c r="F28" s="403"/>
      <c r="G28" s="404"/>
      <c r="H28" s="405" t="str">
        <f t="array" ref="H28">IF(
  G28 = 0, 
  "", 
  IFERROR(
    INDEX(
      'アイテム別限界値DB'!$K:$K, 
      MATCH(
        1, 
        ('アイテム別限界値DB'!$B:$B = D$4) * 
        ('アイテム別限界値DB'!$G:$G = D28) * 
        ('アイテム別限界値DB'!$H:$H = G28), 
        0
      )
    ), 
    "再製作"
  )
)
</f>
        <v/>
      </c>
      <c r="I28" s="397" t="str">
        <f t="array" ref="I28">IF(
  $G28 = 0, 
  "", 
  IFERROR(
    INDEX(
      'アイテム別限界値DB'!$N:$N, 
      MATCH(
        1, 
        ('アイテム別限界値DB'!$B:$B = $D$4) * 
        ('アイテム別限界値DB'!$G:$G = $D28) * 
        ('アイテム別限界値DB'!$H:$H = $G28), 
        0
      )
    )*F28, 
    "再製作"
  )
)
</f>
        <v/>
      </c>
      <c r="J28" s="443"/>
      <c r="K28" s="425"/>
      <c r="L28" s="447"/>
      <c r="M28" s="455"/>
      <c r="N28" s="386"/>
      <c r="O28" s="396"/>
      <c r="P28" s="451"/>
      <c r="Q28" s="444"/>
      <c r="R28" s="445"/>
      <c r="S28" s="316"/>
      <c r="T28" s="317"/>
      <c r="U28" s="317"/>
      <c r="V28" s="317"/>
      <c r="W28" s="317"/>
      <c r="X28" s="445"/>
      <c r="Y28" s="443"/>
      <c r="Z28" s="448"/>
      <c r="AA28" s="386"/>
      <c r="AB28" s="386"/>
      <c r="AC28" s="396"/>
      <c r="AD28" s="396"/>
      <c r="AE28" s="444"/>
      <c r="AF28" s="449"/>
      <c r="AG28" s="450"/>
      <c r="AH28" s="450"/>
      <c r="AI28" s="450"/>
      <c r="AJ28" s="396"/>
      <c r="AK28" s="451"/>
      <c r="AL28" s="445"/>
      <c r="AM28" s="185"/>
      <c r="AN28" s="185"/>
      <c r="AO28" s="452"/>
      <c r="AP28" s="452"/>
      <c r="AQ28" s="396"/>
      <c r="AR28" s="451"/>
      <c r="AS28" s="445"/>
      <c r="AT28" s="185"/>
      <c r="AU28" s="452"/>
      <c r="AV28" s="452"/>
      <c r="AW28" s="396"/>
      <c r="AX28" s="451"/>
      <c r="AY28" s="445"/>
      <c r="AZ28" s="185"/>
      <c r="BA28" s="452"/>
      <c r="BB28" s="452"/>
      <c r="BC28" s="396"/>
      <c r="BD28" s="451"/>
      <c r="BE28" s="445"/>
      <c r="BF28" s="185"/>
      <c r="BG28" s="452"/>
      <c r="BH28" s="452"/>
      <c r="BI28" s="396"/>
      <c r="BJ28" s="451"/>
      <c r="BK28" s="445"/>
      <c r="BL28" s="185"/>
      <c r="BM28" s="452"/>
      <c r="BN28" s="452"/>
      <c r="BO28" s="396"/>
      <c r="BP28" s="451"/>
      <c r="BQ28" s="445"/>
      <c r="BR28" s="185"/>
      <c r="BS28" s="452"/>
      <c r="BT28" s="452"/>
      <c r="BU28" s="396"/>
      <c r="BV28" s="451"/>
      <c r="BW28" s="445"/>
      <c r="BX28" s="185"/>
      <c r="BY28" s="452"/>
      <c r="BZ28" s="452"/>
      <c r="CA28" s="396"/>
      <c r="CB28" s="451"/>
      <c r="CC28" s="451"/>
      <c r="CD28" s="451"/>
      <c r="CE28" s="451"/>
      <c r="CF28" s="451"/>
      <c r="CG28" s="451"/>
      <c r="CH28" s="445"/>
      <c r="CI28" s="445"/>
    </row>
    <row r="29" ht="15.75" customHeight="1">
      <c r="A29" s="456"/>
      <c r="C29" s="432"/>
      <c r="D29" s="432" t="s">
        <v>113</v>
      </c>
      <c r="E29" s="446" t="s">
        <v>119</v>
      </c>
      <c r="F29" s="403"/>
      <c r="G29" s="404"/>
      <c r="H29" s="405" t="str">
        <f t="array" ref="H29">IF(
  G29 = 0, 
  "", 
  IFERROR(
    INDEX(
      'アイテム別限界値DB'!$K:$K, 
      MATCH(
        1, 
        ('アイテム別限界値DB'!$B:$B = D$4) * 
        ('アイテム別限界値DB'!$G:$G = D29) * 
        ('アイテム別限界値DB'!$H:$H = G29), 
        0
      )
    ), 
    "再製作"
  )
)
</f>
        <v/>
      </c>
      <c r="I29" s="397" t="str">
        <f t="array" ref="I29">IF(
  $G29 = 0, 
  "", 
  IFERROR(
    INDEX(
      'アイテム別限界値DB'!$N:$N, 
      MATCH(
        1, 
        ('アイテム別限界値DB'!$B:$B = $D$4) * 
        ('アイテム別限界値DB'!$G:$G = $D29) * 
        ('アイテム別限界値DB'!$H:$H = $G29), 
        0
      )
    )*F29, 
    "再製作"
  )
)
</f>
        <v/>
      </c>
      <c r="J29" s="443"/>
      <c r="K29" s="425"/>
      <c r="L29" s="447"/>
      <c r="M29" s="455"/>
      <c r="N29" s="386"/>
      <c r="O29" s="396"/>
      <c r="P29" s="451"/>
      <c r="Q29" s="444"/>
      <c r="R29" s="445"/>
      <c r="S29" s="316"/>
      <c r="T29" s="317"/>
      <c r="U29" s="317"/>
      <c r="V29" s="317"/>
      <c r="W29" s="317"/>
      <c r="X29" s="445"/>
      <c r="Y29" s="443"/>
      <c r="Z29" s="448"/>
      <c r="AA29" s="386"/>
      <c r="AB29" s="386"/>
      <c r="AC29" s="396"/>
      <c r="AD29" s="396"/>
      <c r="AE29" s="444"/>
      <c r="AF29" s="449"/>
      <c r="AG29" s="450"/>
      <c r="AH29" s="450"/>
      <c r="AI29" s="450"/>
      <c r="AJ29" s="396"/>
      <c r="AK29" s="451"/>
      <c r="AL29" s="445"/>
      <c r="AM29" s="185"/>
      <c r="AN29" s="185"/>
      <c r="AO29" s="452"/>
      <c r="AP29" s="452"/>
      <c r="AQ29" s="396"/>
      <c r="AR29" s="451"/>
      <c r="AS29" s="445"/>
      <c r="AT29" s="185"/>
      <c r="AU29" s="452"/>
      <c r="AV29" s="452"/>
      <c r="AW29" s="396"/>
      <c r="AX29" s="451"/>
      <c r="AY29" s="445"/>
      <c r="AZ29" s="185"/>
      <c r="BA29" s="452"/>
      <c r="BB29" s="452"/>
      <c r="BC29" s="396"/>
      <c r="BD29" s="451"/>
      <c r="BE29" s="445"/>
      <c r="BF29" s="185"/>
      <c r="BG29" s="452"/>
      <c r="BH29" s="452"/>
      <c r="BI29" s="396"/>
      <c r="BJ29" s="451"/>
      <c r="BK29" s="445"/>
      <c r="BL29" s="185"/>
      <c r="BM29" s="452"/>
      <c r="BN29" s="452"/>
      <c r="BO29" s="396"/>
      <c r="BP29" s="451"/>
      <c r="BQ29" s="445"/>
      <c r="BR29" s="185"/>
      <c r="BS29" s="452"/>
      <c r="BT29" s="452"/>
      <c r="BU29" s="396"/>
      <c r="BV29" s="451"/>
      <c r="BW29" s="445"/>
      <c r="BX29" s="185"/>
      <c r="BY29" s="452"/>
      <c r="BZ29" s="452"/>
      <c r="CA29" s="396"/>
      <c r="CB29" s="451"/>
      <c r="CC29" s="451"/>
      <c r="CD29" s="451"/>
      <c r="CE29" s="451"/>
      <c r="CF29" s="451"/>
      <c r="CG29" s="451"/>
      <c r="CH29" s="445"/>
      <c r="CI29" s="445"/>
    </row>
    <row r="30" ht="15.75" customHeight="1">
      <c r="A30" s="160"/>
      <c r="C30" s="432"/>
      <c r="D30" s="432" t="s">
        <v>114</v>
      </c>
      <c r="E30" s="446" t="s">
        <v>120</v>
      </c>
      <c r="F30" s="403"/>
      <c r="G30" s="404"/>
      <c r="H30" s="405" t="str">
        <f t="array" ref="H30">IF(
  G30 = 0, 
  "", 
  IFERROR(
    INDEX(
      'アイテム別限界値DB'!$K:$K, 
      MATCH(
        1, 
        ('アイテム別限界値DB'!$B:$B = D$4) * 
        ('アイテム別限界値DB'!$G:$G = D30) * 
        ('アイテム別限界値DB'!$H:$H = G30), 
        0
      )
    ), 
    "再製作"
  )
)
</f>
        <v/>
      </c>
      <c r="I30" s="397" t="str">
        <f t="array" ref="I30">IF(
  $G30 = 0, 
  "", 
  IFERROR(
    INDEX(
      'アイテム別限界値DB'!$N:$N, 
      MATCH(
        1, 
        ('アイテム別限界値DB'!$B:$B = $D$4) * 
        ('アイテム別限界値DB'!$G:$G = $D30) * 
        ('アイテム別限界値DB'!$H:$H = $G30), 
        0
      )
    )*F30, 
    "再製作"
  )
)
</f>
        <v/>
      </c>
      <c r="J30" s="443"/>
      <c r="K30" s="425"/>
      <c r="L30" s="447"/>
      <c r="M30" s="455"/>
      <c r="N30" s="386"/>
      <c r="O30" s="396"/>
      <c r="P30" s="451"/>
      <c r="Q30" s="444"/>
      <c r="R30" s="445"/>
      <c r="S30" s="316"/>
      <c r="T30" s="317"/>
      <c r="U30" s="317"/>
      <c r="V30" s="317"/>
      <c r="W30" s="317"/>
      <c r="X30" s="445"/>
      <c r="Y30" s="443"/>
      <c r="Z30" s="448"/>
      <c r="AA30" s="386"/>
      <c r="AB30" s="386"/>
      <c r="AC30" s="396"/>
      <c r="AD30" s="396"/>
      <c r="AE30" s="444"/>
      <c r="AF30" s="449"/>
      <c r="AG30" s="450"/>
      <c r="AH30" s="450"/>
      <c r="AI30" s="450"/>
      <c r="AJ30" s="396"/>
      <c r="AK30" s="451"/>
      <c r="AL30" s="445"/>
      <c r="AM30" s="185"/>
      <c r="AN30" s="185"/>
      <c r="AO30" s="452"/>
      <c r="AP30" s="452"/>
      <c r="AQ30" s="396"/>
      <c r="AR30" s="451"/>
      <c r="AS30" s="445"/>
      <c r="AT30" s="185"/>
      <c r="AU30" s="452"/>
      <c r="AV30" s="452"/>
      <c r="AW30" s="396"/>
      <c r="AX30" s="451"/>
      <c r="AY30" s="445"/>
      <c r="AZ30" s="185"/>
      <c r="BA30" s="452"/>
      <c r="BB30" s="452"/>
      <c r="BC30" s="396"/>
      <c r="BD30" s="451"/>
      <c r="BE30" s="445"/>
      <c r="BF30" s="185"/>
      <c r="BG30" s="452"/>
      <c r="BH30" s="452"/>
      <c r="BI30" s="396"/>
      <c r="BJ30" s="451"/>
      <c r="BK30" s="445"/>
      <c r="BL30" s="185"/>
      <c r="BM30" s="452"/>
      <c r="BN30" s="452"/>
      <c r="BO30" s="396"/>
      <c r="BP30" s="451"/>
      <c r="BQ30" s="445"/>
      <c r="BR30" s="185"/>
      <c r="BS30" s="452"/>
      <c r="BT30" s="452"/>
      <c r="BU30" s="396"/>
      <c r="BV30" s="451"/>
      <c r="BW30" s="445"/>
      <c r="BX30" s="185"/>
      <c r="BY30" s="452"/>
      <c r="BZ30" s="452"/>
      <c r="CA30" s="396"/>
      <c r="CB30" s="451"/>
      <c r="CC30" s="451"/>
      <c r="CD30" s="451"/>
      <c r="CE30" s="451"/>
      <c r="CF30" s="451"/>
      <c r="CG30" s="451"/>
      <c r="CH30" s="445"/>
      <c r="CI30" s="445"/>
    </row>
    <row r="31" ht="15.75" customHeight="1">
      <c r="A31" s="229"/>
      <c r="C31" s="432"/>
      <c r="D31" s="432" t="s">
        <v>225</v>
      </c>
      <c r="E31" s="446"/>
      <c r="F31" s="403"/>
      <c r="G31" s="404"/>
      <c r="H31" s="405" t="str">
        <f t="array" ref="H31">IF(
  G31 = 0, 
  "", 
  IFERROR(
    INDEX(
      'アイテム別限界値DB'!$K:$K, 
      MATCH(
        1, 
        ('アイテム別限界値DB'!$B:$B = D$4) * 
        ('アイテム別限界値DB'!$G:$G = D31) * 
        ('アイテム別限界値DB'!$H:$H = G31), 
        0
      )
    ), 
    "再製作"
  )
)
</f>
        <v/>
      </c>
      <c r="I31" s="397" t="str">
        <f t="array" ref="I31">IF(
  $G31 = 0, 
  "", 
  IFERROR(
    INDEX(
      'アイテム別限界値DB'!$N:$N, 
      MATCH(
        1, 
        ('アイテム別限界値DB'!$B:$B = $D$4) * 
        ('アイテム別限界値DB'!$G:$G = $D31) * 
        ('アイテム別限界値DB'!$H:$H = $G31), 
        0
      )
    )*F31, 
    "再製作"
  )
)
</f>
        <v/>
      </c>
      <c r="J31" s="443"/>
      <c r="K31" s="425"/>
      <c r="L31" s="447"/>
      <c r="M31" s="455"/>
      <c r="N31" s="386"/>
      <c r="O31" s="396"/>
      <c r="P31" s="451"/>
      <c r="Q31" s="444"/>
      <c r="R31" s="445"/>
      <c r="S31" s="316"/>
      <c r="T31" s="317"/>
      <c r="U31" s="317"/>
      <c r="V31" s="317"/>
      <c r="W31" s="317"/>
      <c r="X31" s="445"/>
      <c r="Y31" s="443"/>
      <c r="Z31" s="448"/>
      <c r="AA31" s="386"/>
      <c r="AB31" s="386"/>
      <c r="AC31" s="396"/>
      <c r="AD31" s="396"/>
      <c r="AE31" s="444"/>
      <c r="AF31" s="449"/>
      <c r="AG31" s="450"/>
      <c r="AH31" s="450"/>
      <c r="AI31" s="450"/>
      <c r="AJ31" s="396"/>
      <c r="AK31" s="451"/>
      <c r="AL31" s="445"/>
      <c r="AM31" s="185"/>
      <c r="AN31" s="185"/>
      <c r="AO31" s="452"/>
      <c r="AP31" s="452"/>
      <c r="AQ31" s="396"/>
      <c r="AR31" s="451"/>
      <c r="AS31" s="445"/>
      <c r="AT31" s="185"/>
      <c r="AU31" s="452"/>
      <c r="AV31" s="452"/>
      <c r="AW31" s="396"/>
      <c r="AX31" s="451"/>
      <c r="AY31" s="445"/>
      <c r="AZ31" s="185"/>
      <c r="BA31" s="452"/>
      <c r="BB31" s="452"/>
      <c r="BC31" s="396"/>
      <c r="BD31" s="451"/>
      <c r="BE31" s="445"/>
      <c r="BF31" s="185"/>
      <c r="BG31" s="452"/>
      <c r="BH31" s="452"/>
      <c r="BI31" s="396"/>
      <c r="BJ31" s="451"/>
      <c r="BK31" s="445"/>
      <c r="BL31" s="185"/>
      <c r="BM31" s="452"/>
      <c r="BN31" s="452"/>
      <c r="BO31" s="396"/>
      <c r="BP31" s="451"/>
      <c r="BQ31" s="445"/>
      <c r="BR31" s="185"/>
      <c r="BS31" s="452"/>
      <c r="BT31" s="452"/>
      <c r="BU31" s="396"/>
      <c r="BV31" s="451"/>
      <c r="BW31" s="445"/>
      <c r="BX31" s="185"/>
      <c r="BY31" s="452"/>
      <c r="BZ31" s="452"/>
      <c r="CA31" s="396"/>
      <c r="CB31" s="451"/>
      <c r="CC31" s="451"/>
      <c r="CD31" s="451"/>
      <c r="CE31" s="451"/>
      <c r="CF31" s="451"/>
      <c r="CG31" s="451"/>
      <c r="CH31" s="445"/>
      <c r="CI31" s="445"/>
    </row>
    <row r="32" ht="15.75" customHeight="1">
      <c r="A32" s="457"/>
      <c r="C32" s="432"/>
      <c r="D32" s="432" t="s">
        <v>226</v>
      </c>
      <c r="E32" s="446"/>
      <c r="F32" s="403"/>
      <c r="G32" s="404"/>
      <c r="H32" s="405" t="str">
        <f t="array" ref="H32">IF(
  G32 = 0, 
  "", 
  IFERROR(
    INDEX(
      'アイテム別限界値DB'!$K:$K, 
      MATCH(
        1, 
        ('アイテム別限界値DB'!$B:$B = D$4) * 
        ('アイテム別限界値DB'!$G:$G = D32) * 
        ('アイテム別限界値DB'!$H:$H = G32), 
        0
      )
    ), 
    "再製作"
  )
)
</f>
        <v/>
      </c>
      <c r="I32" s="397" t="str">
        <f t="array" ref="I32">IF(
  $G32 = 0, 
  "", 
  IFERROR(
    INDEX(
      'アイテム別限界値DB'!$N:$N, 
      MATCH(
        1, 
        ('アイテム別限界値DB'!$B:$B = $D$4) * 
        ('アイテム別限界値DB'!$G:$G = $D32) * 
        ('アイテム別限界値DB'!$H:$H = $G32), 
        0
      )
    )*F32, 
    "再製作"
  )
)
</f>
        <v/>
      </c>
      <c r="J32" s="443"/>
      <c r="K32" s="425"/>
      <c r="L32" s="447"/>
      <c r="M32" s="455"/>
      <c r="N32" s="386"/>
      <c r="O32" s="396"/>
      <c r="P32" s="451"/>
      <c r="Q32" s="444"/>
      <c r="R32" s="445"/>
      <c r="S32" s="316"/>
      <c r="T32" s="317"/>
      <c r="U32" s="317"/>
      <c r="V32" s="317"/>
      <c r="W32" s="317"/>
      <c r="X32" s="445"/>
      <c r="Y32" s="443"/>
      <c r="Z32" s="448"/>
      <c r="AA32" s="386"/>
      <c r="AB32" s="386"/>
      <c r="AC32" s="396"/>
      <c r="AD32" s="396"/>
      <c r="AE32" s="444"/>
      <c r="AF32" s="449"/>
      <c r="AG32" s="450"/>
      <c r="AH32" s="450"/>
      <c r="AI32" s="450"/>
      <c r="AJ32" s="396"/>
      <c r="AK32" s="451"/>
      <c r="AL32" s="445"/>
      <c r="AM32" s="185"/>
      <c r="AN32" s="185"/>
      <c r="AO32" s="452"/>
      <c r="AP32" s="452"/>
      <c r="AQ32" s="396"/>
      <c r="AR32" s="451"/>
      <c r="AS32" s="445"/>
      <c r="AT32" s="185"/>
      <c r="AU32" s="452"/>
      <c r="AV32" s="452"/>
      <c r="AW32" s="396"/>
      <c r="AX32" s="451"/>
      <c r="AY32" s="445"/>
      <c r="AZ32" s="185"/>
      <c r="BA32" s="452"/>
      <c r="BB32" s="452"/>
      <c r="BC32" s="396"/>
      <c r="BD32" s="451"/>
      <c r="BE32" s="445"/>
      <c r="BF32" s="185"/>
      <c r="BG32" s="452"/>
      <c r="BH32" s="452"/>
      <c r="BI32" s="396"/>
      <c r="BJ32" s="451"/>
      <c r="BK32" s="445"/>
      <c r="BL32" s="185"/>
      <c r="BM32" s="452"/>
      <c r="BN32" s="452"/>
      <c r="BO32" s="396"/>
      <c r="BP32" s="451"/>
      <c r="BQ32" s="445"/>
      <c r="BR32" s="185"/>
      <c r="BS32" s="452"/>
      <c r="BT32" s="452"/>
      <c r="BU32" s="396"/>
      <c r="BV32" s="451"/>
      <c r="BW32" s="445"/>
      <c r="BX32" s="185"/>
      <c r="BY32" s="452"/>
      <c r="BZ32" s="452"/>
      <c r="CA32" s="396"/>
      <c r="CB32" s="451"/>
      <c r="CC32" s="451"/>
      <c r="CD32" s="451"/>
      <c r="CE32" s="451"/>
      <c r="CF32" s="451"/>
      <c r="CG32" s="451"/>
      <c r="CH32" s="445"/>
      <c r="CI32" s="445"/>
    </row>
    <row r="33" ht="15.75" customHeight="1">
      <c r="A33" s="160"/>
      <c r="C33" s="432"/>
      <c r="D33" s="432" t="s">
        <v>118</v>
      </c>
      <c r="E33" s="446"/>
      <c r="F33" s="403"/>
      <c r="G33" s="404"/>
      <c r="H33" s="405" t="str">
        <f t="array" ref="H33">IF(
  G33 = 0, 
  "", 
  IFERROR(
    INDEX(
      'アイテム別限界値DB'!$K:$K, 
      MATCH(
        1, 
        ('アイテム別限界値DB'!$B:$B = D$4) * 
        ('アイテム別限界値DB'!$G:$G = D33) * 
        ('アイテム別限界値DB'!$H:$H = G33), 
        0
      )
    ), 
    "再製作"
  )
)
</f>
        <v/>
      </c>
      <c r="I33" s="397" t="str">
        <f t="array" ref="I33">IF(
  $G33 = 0, 
  "", 
  IFERROR(
    INDEX(
      'アイテム別限界値DB'!$N:$N, 
      MATCH(
        1, 
        ('アイテム別限界値DB'!$B:$B = $D$4) * 
        ('アイテム別限界値DB'!$G:$G = $D33) * 
        ('アイテム別限界値DB'!$H:$H = $G33), 
        0
      )
    )*F33, 
    "再製作"
  )
)
</f>
        <v/>
      </c>
      <c r="J33" s="443"/>
      <c r="K33" s="425"/>
      <c r="L33" s="447"/>
      <c r="M33" s="455"/>
      <c r="N33" s="386"/>
      <c r="O33" s="396"/>
      <c r="P33" s="451"/>
      <c r="Q33" s="444"/>
      <c r="R33" s="445"/>
      <c r="S33" s="316"/>
      <c r="T33" s="317"/>
      <c r="U33" s="317"/>
      <c r="V33" s="317"/>
      <c r="W33" s="317"/>
      <c r="X33" s="445"/>
      <c r="Y33" s="443"/>
      <c r="Z33" s="448"/>
      <c r="AA33" s="386"/>
      <c r="AB33" s="386"/>
      <c r="AC33" s="396"/>
      <c r="AD33" s="396"/>
      <c r="AE33" s="444"/>
      <c r="AF33" s="449"/>
      <c r="AG33" s="450"/>
      <c r="AH33" s="450"/>
      <c r="AI33" s="450"/>
      <c r="AJ33" s="396"/>
      <c r="AK33" s="451"/>
      <c r="AL33" s="445"/>
      <c r="AM33" s="185"/>
      <c r="AN33" s="185"/>
      <c r="AO33" s="452"/>
      <c r="AP33" s="452"/>
      <c r="AQ33" s="396"/>
      <c r="AR33" s="451"/>
      <c r="AS33" s="445"/>
      <c r="AT33" s="185"/>
      <c r="AU33" s="452"/>
      <c r="AV33" s="452"/>
      <c r="AW33" s="396"/>
      <c r="AX33" s="451"/>
      <c r="AY33" s="445"/>
      <c r="AZ33" s="185"/>
      <c r="BA33" s="452"/>
      <c r="BB33" s="452"/>
      <c r="BC33" s="396"/>
      <c r="BD33" s="451"/>
      <c r="BE33" s="445"/>
      <c r="BF33" s="185"/>
      <c r="BG33" s="452"/>
      <c r="BH33" s="452"/>
      <c r="BI33" s="396"/>
      <c r="BJ33" s="451"/>
      <c r="BK33" s="445"/>
      <c r="BL33" s="185"/>
      <c r="BM33" s="452"/>
      <c r="BN33" s="452"/>
      <c r="BO33" s="396"/>
      <c r="BP33" s="451"/>
      <c r="BQ33" s="445"/>
      <c r="BR33" s="185"/>
      <c r="BS33" s="452"/>
      <c r="BT33" s="452"/>
      <c r="BU33" s="396"/>
      <c r="BV33" s="451"/>
      <c r="BW33" s="445"/>
      <c r="BX33" s="185"/>
      <c r="BY33" s="452"/>
      <c r="BZ33" s="452"/>
      <c r="CA33" s="396"/>
      <c r="CB33" s="451"/>
      <c r="CC33" s="451"/>
      <c r="CD33" s="451"/>
      <c r="CE33" s="451"/>
      <c r="CF33" s="451"/>
      <c r="CG33" s="451"/>
      <c r="CH33" s="445"/>
      <c r="CI33" s="445"/>
    </row>
    <row r="34" ht="15.75" customHeight="1">
      <c r="A34" s="229"/>
      <c r="C34" s="432"/>
      <c r="D34" s="432" t="s">
        <v>119</v>
      </c>
      <c r="E34" s="446"/>
      <c r="F34" s="403"/>
      <c r="G34" s="404"/>
      <c r="H34" s="458" t="str">
        <f t="array" ref="H34">IF(
  G34 = 0, 
  "", 
  IFERROR(
    INDEX(
      'アイテム別限界値DB'!$I:$I, 
      MATCH(
        1, 
        ('アイテム別限界値DB'!$B:$B = D$4) * 
        ('アイテム別限界値DB'!$E:$E = D34) * 
        ('アイテム別限界値DB'!$F:$F = G34), 
        0
      )
    ), 
    "再製作"
  )
)
</f>
        <v/>
      </c>
      <c r="I34" s="397" t="str">
        <f t="array" ref="I34">IF(
  $G34 = 0, 
  "", 
  IFERROR(
    INDEX(
      'アイテム別限界値DB'!$N:$N, 
      MATCH(
        1, 
        ('アイテム別限界値DB'!$B:$B = $D$4) * 
        ('アイテム別限界値DB'!$G:$G = $D34) * 
        ('アイテム別限界値DB'!$H:$H = $G34), 
        0
      )
    )*F34, 
    "再製作"
  )
)
</f>
        <v/>
      </c>
      <c r="J34" s="443"/>
      <c r="K34" s="425"/>
      <c r="L34" s="447"/>
      <c r="M34" s="455"/>
      <c r="N34" s="386"/>
      <c r="O34" s="396"/>
      <c r="P34" s="451"/>
      <c r="Q34" s="444"/>
      <c r="R34" s="445"/>
      <c r="S34" s="316"/>
      <c r="T34" s="317"/>
      <c r="U34" s="317"/>
      <c r="V34" s="317"/>
      <c r="W34" s="317"/>
      <c r="X34" s="445"/>
      <c r="Y34" s="443"/>
      <c r="Z34" s="448"/>
      <c r="AA34" s="386"/>
      <c r="AB34" s="386"/>
      <c r="AC34" s="396"/>
      <c r="AD34" s="396"/>
      <c r="AE34" s="444"/>
      <c r="AF34" s="449"/>
      <c r="AG34" s="450"/>
      <c r="AH34" s="450"/>
      <c r="AI34" s="450"/>
      <c r="AJ34" s="396"/>
      <c r="AK34" s="451"/>
      <c r="AL34" s="445"/>
      <c r="AM34" s="185"/>
      <c r="AN34" s="185"/>
      <c r="AO34" s="452"/>
      <c r="AP34" s="452"/>
      <c r="AQ34" s="396"/>
      <c r="AR34" s="451"/>
      <c r="AS34" s="445"/>
      <c r="AT34" s="185"/>
      <c r="AU34" s="452"/>
      <c r="AV34" s="452"/>
      <c r="AW34" s="396"/>
      <c r="AX34" s="451"/>
      <c r="AY34" s="445"/>
      <c r="AZ34" s="185"/>
      <c r="BA34" s="452"/>
      <c r="BB34" s="452"/>
      <c r="BC34" s="396"/>
      <c r="BD34" s="451"/>
      <c r="BE34" s="445"/>
      <c r="BF34" s="185"/>
      <c r="BG34" s="452"/>
      <c r="BH34" s="452"/>
      <c r="BI34" s="396"/>
      <c r="BJ34" s="451"/>
      <c r="BK34" s="445"/>
      <c r="BL34" s="185"/>
      <c r="BM34" s="452"/>
      <c r="BN34" s="452"/>
      <c r="BO34" s="396"/>
      <c r="BP34" s="451"/>
      <c r="BQ34" s="445"/>
      <c r="BR34" s="185"/>
      <c r="BS34" s="452"/>
      <c r="BT34" s="452"/>
      <c r="BU34" s="396"/>
      <c r="BV34" s="451"/>
      <c r="BW34" s="445"/>
      <c r="BX34" s="185"/>
      <c r="BY34" s="452"/>
      <c r="BZ34" s="452"/>
      <c r="CA34" s="396"/>
      <c r="CB34" s="451"/>
      <c r="CC34" s="451"/>
      <c r="CD34" s="451"/>
      <c r="CE34" s="451"/>
      <c r="CF34" s="451"/>
      <c r="CG34" s="451"/>
      <c r="CH34" s="445"/>
      <c r="CI34" s="445"/>
    </row>
    <row r="35">
      <c r="A35" s="457"/>
      <c r="C35" s="432"/>
      <c r="D35" s="432" t="s">
        <v>227</v>
      </c>
      <c r="E35" s="446"/>
      <c r="F35" s="403"/>
      <c r="G35" s="404"/>
      <c r="H35" s="458" t="str">
        <f t="array" ref="H35">IF(
  G35 = 0, 
  "", 
  IFERROR(
    INDEX(
      'アイテム別限界値DB'!$I:$I, 
      MATCH(
        1, 
        ('アイテム別限界値DB'!$B:$B = D$4) * 
        ('アイテム別限界値DB'!$E:$E = D35) * 
        ('アイテム別限界値DB'!$F:$F = G35), 
        0
      )
    ), 
    "再製作"
  )
)
</f>
        <v/>
      </c>
      <c r="I35" s="397" t="str">
        <f t="array" ref="I35">IF(
  $G35 = 0, 
  "", 
  IFERROR(
    INDEX(
      'アイテム別限界値DB'!$N:$N, 
      MATCH(
        1, 
        ('アイテム別限界値DB'!$B:$B = $D$4) * 
        ('アイテム別限界値DB'!$G:$G = $D35) * 
        ('アイテム別限界値DB'!$H:$H = $G35), 
        0
      )
    )*F35, 
    "再製作"
  )
)
</f>
        <v/>
      </c>
      <c r="J35" s="443"/>
      <c r="K35" s="425"/>
      <c r="L35" s="447"/>
      <c r="M35" s="455"/>
      <c r="N35" s="386"/>
      <c r="O35" s="396"/>
      <c r="P35" s="396"/>
      <c r="Q35" s="444"/>
      <c r="R35" s="445"/>
      <c r="S35" s="316"/>
      <c r="T35" s="317"/>
      <c r="U35" s="317"/>
      <c r="V35" s="317"/>
      <c r="W35" s="317"/>
      <c r="X35" s="445"/>
      <c r="Y35" s="443"/>
      <c r="Z35" s="448"/>
      <c r="AA35" s="386"/>
      <c r="AB35" s="386"/>
      <c r="AC35" s="396"/>
      <c r="AD35" s="396"/>
      <c r="AE35" s="444"/>
      <c r="AF35" s="449"/>
      <c r="AG35" s="450"/>
      <c r="AH35" s="450"/>
      <c r="AI35" s="450"/>
      <c r="AJ35" s="396"/>
      <c r="AK35" s="396"/>
      <c r="AL35" s="445"/>
      <c r="AM35" s="185"/>
      <c r="AN35" s="185"/>
      <c r="AO35" s="452"/>
      <c r="AP35" s="452"/>
      <c r="AQ35" s="396"/>
      <c r="AR35" s="396"/>
      <c r="AS35" s="445"/>
      <c r="AT35" s="185"/>
      <c r="AU35" s="452"/>
      <c r="AV35" s="452"/>
      <c r="AW35" s="396"/>
      <c r="AX35" s="396"/>
      <c r="AY35" s="445"/>
      <c r="AZ35" s="185"/>
      <c r="BA35" s="452"/>
      <c r="BB35" s="452"/>
      <c r="BC35" s="396"/>
      <c r="BD35" s="396"/>
      <c r="BE35" s="445"/>
      <c r="BF35" s="185"/>
      <c r="BG35" s="452"/>
      <c r="BH35" s="452"/>
      <c r="BI35" s="396"/>
      <c r="BJ35" s="396"/>
      <c r="BK35" s="445"/>
      <c r="BL35" s="185"/>
      <c r="BM35" s="452"/>
      <c r="BN35" s="452"/>
      <c r="BO35" s="396"/>
      <c r="BP35" s="396"/>
      <c r="BQ35" s="445"/>
      <c r="BR35" s="185"/>
      <c r="BS35" s="452"/>
      <c r="BT35" s="452"/>
      <c r="BU35" s="396"/>
      <c r="BV35" s="396"/>
      <c r="BW35" s="445"/>
      <c r="BX35" s="185"/>
      <c r="BY35" s="452"/>
      <c r="BZ35" s="452"/>
      <c r="CA35" s="396"/>
      <c r="CB35" s="396"/>
      <c r="CC35" s="396"/>
      <c r="CD35" s="396"/>
      <c r="CE35" s="396"/>
      <c r="CF35" s="396"/>
      <c r="CG35" s="396"/>
      <c r="CH35" s="445"/>
      <c r="CI35" s="445"/>
    </row>
    <row r="36">
      <c r="A36" s="160"/>
      <c r="C36" s="360"/>
      <c r="D36" s="459" t="s">
        <v>34</v>
      </c>
      <c r="E36" s="362"/>
      <c r="F36" s="362"/>
      <c r="G36" s="362"/>
      <c r="H36" s="363"/>
      <c r="I36" s="363"/>
      <c r="J36" s="364"/>
      <c r="K36" s="365" t="s">
        <v>36</v>
      </c>
      <c r="L36" s="460"/>
      <c r="M36" s="461"/>
      <c r="N36" s="363"/>
      <c r="O36" s="363"/>
      <c r="P36" s="363"/>
      <c r="Q36" s="332"/>
      <c r="R36" s="367" t="s">
        <v>37</v>
      </c>
      <c r="S36" s="366"/>
      <c r="T36" s="363"/>
      <c r="U36" s="363"/>
      <c r="V36" s="363"/>
      <c r="W36" s="363"/>
      <c r="X36" s="327"/>
      <c r="Y36" s="368" t="s">
        <v>38</v>
      </c>
      <c r="Z36" s="366"/>
      <c r="AA36" s="363"/>
      <c r="AB36" s="363"/>
      <c r="AC36" s="363"/>
      <c r="AD36" s="363"/>
      <c r="AE36" s="332"/>
      <c r="AF36" s="299" t="s">
        <v>39</v>
      </c>
      <c r="AG36" s="369"/>
      <c r="AH36" s="363"/>
      <c r="AI36" s="363"/>
      <c r="AJ36" s="363"/>
      <c r="AK36" s="363"/>
      <c r="AL36" s="332"/>
      <c r="AM36" s="299" t="s">
        <v>40</v>
      </c>
      <c r="AN36" s="365"/>
      <c r="AO36" s="363"/>
      <c r="AP36" s="363"/>
      <c r="AQ36" s="363"/>
      <c r="AR36" s="363"/>
      <c r="AS36" s="332"/>
      <c r="AT36" s="365" t="s">
        <v>41</v>
      </c>
      <c r="AU36" s="363"/>
      <c r="AV36" s="363"/>
      <c r="AW36" s="363"/>
      <c r="AX36" s="363"/>
      <c r="AY36" s="332"/>
      <c r="AZ36" s="365" t="s">
        <v>42</v>
      </c>
      <c r="BA36" s="363"/>
      <c r="BB36" s="363"/>
      <c r="BC36" s="363"/>
      <c r="BD36" s="363"/>
      <c r="BE36" s="332"/>
      <c r="BF36" s="365" t="s">
        <v>43</v>
      </c>
      <c r="BG36" s="363"/>
      <c r="BH36" s="363"/>
      <c r="BI36" s="363"/>
      <c r="BJ36" s="363"/>
      <c r="BK36" s="332"/>
      <c r="BL36" s="365" t="s">
        <v>44</v>
      </c>
      <c r="BM36" s="363"/>
      <c r="BN36" s="363"/>
      <c r="BO36" s="363"/>
      <c r="BP36" s="363"/>
      <c r="BQ36" s="332"/>
      <c r="BR36" s="365" t="s">
        <v>45</v>
      </c>
      <c r="BS36" s="363"/>
      <c r="BT36" s="363"/>
      <c r="BU36" s="363"/>
      <c r="BV36" s="363"/>
      <c r="BW36" s="332"/>
      <c r="BX36" s="365" t="s">
        <v>46</v>
      </c>
      <c r="BY36" s="363"/>
      <c r="BZ36" s="363"/>
      <c r="CA36" s="363"/>
      <c r="CB36" s="363"/>
      <c r="CC36" s="330"/>
      <c r="CD36" s="365" t="s">
        <v>188</v>
      </c>
      <c r="CE36" s="363"/>
      <c r="CF36" s="363"/>
      <c r="CG36" s="363"/>
      <c r="CH36" s="332"/>
      <c r="CI36" s="332"/>
    </row>
    <row r="37" ht="37.5" customHeight="1">
      <c r="A37" s="229"/>
      <c r="C37" s="370"/>
      <c r="D37" s="371">
        <f>round(sum(I39:I70),0)</f>
        <v>5640</v>
      </c>
      <c r="E37" s="462"/>
      <c r="F37" s="373" t="s">
        <v>189</v>
      </c>
      <c r="G37" s="373" t="s">
        <v>228</v>
      </c>
      <c r="H37" s="463" t="s">
        <v>190</v>
      </c>
      <c r="I37" s="463" t="s">
        <v>191</v>
      </c>
      <c r="J37" s="376"/>
      <c r="K37" s="371">
        <f>round(sum(P39:P70),0)</f>
        <v>0</v>
      </c>
      <c r="L37" s="377"/>
      <c r="M37" s="373" t="s">
        <v>189</v>
      </c>
      <c r="N37" s="373" t="s">
        <v>228</v>
      </c>
      <c r="O37" s="463" t="s">
        <v>190</v>
      </c>
      <c r="P37" s="463" t="s">
        <v>191</v>
      </c>
      <c r="Q37" s="378"/>
      <c r="R37" s="371">
        <f>round(sum(W39:W70),0)</f>
        <v>0</v>
      </c>
      <c r="S37" s="377"/>
      <c r="T37" s="373" t="s">
        <v>189</v>
      </c>
      <c r="U37" s="373" t="s">
        <v>229</v>
      </c>
      <c r="V37" s="463" t="s">
        <v>190</v>
      </c>
      <c r="W37" s="463" t="s">
        <v>191</v>
      </c>
      <c r="X37" s="327"/>
      <c r="Y37" s="371">
        <f>round(sum(AD39:AD70),0)</f>
        <v>0</v>
      </c>
      <c r="Z37" s="377"/>
      <c r="AA37" s="373" t="s">
        <v>189</v>
      </c>
      <c r="AB37" s="373" t="s">
        <v>229</v>
      </c>
      <c r="AC37" s="463" t="s">
        <v>190</v>
      </c>
      <c r="AD37" s="463" t="s">
        <v>191</v>
      </c>
      <c r="AE37" s="380"/>
      <c r="AF37" s="371">
        <f>round(sum(AK39:AK70),0)</f>
        <v>0</v>
      </c>
      <c r="AG37" s="462"/>
      <c r="AH37" s="373" t="s">
        <v>189</v>
      </c>
      <c r="AI37" s="373" t="s">
        <v>229</v>
      </c>
      <c r="AJ37" s="463" t="s">
        <v>190</v>
      </c>
      <c r="AK37" s="463" t="s">
        <v>191</v>
      </c>
      <c r="AL37" s="327"/>
      <c r="AM37" s="371">
        <f>round(sum(AR39:AR70),0)</f>
        <v>0</v>
      </c>
      <c r="AN37" s="371"/>
      <c r="AO37" s="373" t="s">
        <v>189</v>
      </c>
      <c r="AP37" s="373" t="s">
        <v>229</v>
      </c>
      <c r="AQ37" s="463" t="s">
        <v>190</v>
      </c>
      <c r="AR37" s="463" t="s">
        <v>191</v>
      </c>
      <c r="AS37" s="327"/>
      <c r="AT37" s="371">
        <f>round(sum(AX39:AX70),0)</f>
        <v>0</v>
      </c>
      <c r="AU37" s="373" t="s">
        <v>189</v>
      </c>
      <c r="AV37" s="373" t="s">
        <v>229</v>
      </c>
      <c r="AW37" s="463" t="s">
        <v>190</v>
      </c>
      <c r="AX37" s="463" t="s">
        <v>191</v>
      </c>
      <c r="AY37" s="327"/>
      <c r="AZ37" s="371">
        <f>round(sum(BD39:BD70),0)</f>
        <v>0</v>
      </c>
      <c r="BA37" s="373" t="s">
        <v>189</v>
      </c>
      <c r="BB37" s="373" t="s">
        <v>229</v>
      </c>
      <c r="BC37" s="463" t="s">
        <v>190</v>
      </c>
      <c r="BD37" s="463" t="s">
        <v>191</v>
      </c>
      <c r="BE37" s="327"/>
      <c r="BF37" s="371">
        <f>round(sum(BJ39:BJ70),0)</f>
        <v>0</v>
      </c>
      <c r="BG37" s="373" t="s">
        <v>189</v>
      </c>
      <c r="BH37" s="373" t="s">
        <v>229</v>
      </c>
      <c r="BI37" s="463" t="s">
        <v>190</v>
      </c>
      <c r="BJ37" s="463" t="s">
        <v>191</v>
      </c>
      <c r="BK37" s="327"/>
      <c r="BL37" s="371">
        <f>round(sum(BP39:BP70),0)</f>
        <v>0</v>
      </c>
      <c r="BM37" s="373" t="s">
        <v>189</v>
      </c>
      <c r="BN37" s="373" t="s">
        <v>229</v>
      </c>
      <c r="BO37" s="463" t="s">
        <v>190</v>
      </c>
      <c r="BP37" s="463" t="s">
        <v>191</v>
      </c>
      <c r="BQ37" s="327"/>
      <c r="BR37" s="371">
        <f>round(sum(BV39:BV70),0)</f>
        <v>0</v>
      </c>
      <c r="BS37" s="373" t="s">
        <v>189</v>
      </c>
      <c r="BT37" s="373" t="s">
        <v>229</v>
      </c>
      <c r="BU37" s="463" t="s">
        <v>190</v>
      </c>
      <c r="BV37" s="463" t="s">
        <v>191</v>
      </c>
      <c r="BW37" s="327"/>
      <c r="BX37" s="371">
        <f>round(sum(CB39:CB70),0)</f>
        <v>0</v>
      </c>
      <c r="BY37" s="373" t="s">
        <v>189</v>
      </c>
      <c r="BZ37" s="373" t="s">
        <v>229</v>
      </c>
      <c r="CA37" s="463" t="s">
        <v>190</v>
      </c>
      <c r="CB37" s="463" t="s">
        <v>191</v>
      </c>
      <c r="CC37" s="464"/>
      <c r="CD37" s="371">
        <f>round(sum(CG39:CG70),0)</f>
        <v>0</v>
      </c>
      <c r="CE37" s="373" t="s">
        <v>229</v>
      </c>
      <c r="CF37" s="463" t="s">
        <v>190</v>
      </c>
      <c r="CG37" s="463" t="s">
        <v>191</v>
      </c>
      <c r="CH37" s="327"/>
      <c r="CI37" s="327"/>
    </row>
    <row r="38" ht="21.75" hidden="1" customHeight="1">
      <c r="A38" s="457"/>
      <c r="B38" s="465"/>
      <c r="C38" s="93"/>
      <c r="D38" s="466" t="b">
        <f t="array" ref="D38:D48">UNIQUE(IF( ('アイテム別限界値DB'!$B:$B = D$4) * ('アイテム別限界値DB'!$A:$A = "縫製"),  IF('アイテム別限界値DB'!$B:$B = D$4, 'アイテム別限界値DB'!$G:$G, "") ))</f>
        <v>0</v>
      </c>
      <c r="E38" s="466" t="b">
        <f t="array" ref="E38:E48">UNIQUE(IF( ('アイテム別限界値DB'!$B:$B = D$4) * ('アイテム別限界値DB'!$A:$A = "縫製"),  IF('アイテム別限界値DB'!$B:$B = D$4, 'アイテム別限界値DB'!$C:$C, "") ))</f>
        <v>0</v>
      </c>
      <c r="F38" s="224"/>
      <c r="G38" s="224"/>
      <c r="H38" s="12"/>
      <c r="I38" s="12"/>
      <c r="J38" s="93"/>
      <c r="K38" s="466" t="b">
        <f t="array" ref="K38:K56">UNIQUE(IF( ('アイテム別限界値DB'!$B:$B = K$4) * ('アイテム別限界値DB'!$A:$A = "縫製"),  IF('アイテム別限界値DB'!$B:$B = K$4, 'アイテム別限界値DB'!$G:$G, "") ))</f>
        <v>0</v>
      </c>
      <c r="L38" s="466" t="b">
        <f t="array" ref="L38:L56">UNIQUE(IF( ('アイテム別限界値DB'!$B:$B = K$4) * ('アイテム別限界値DB'!$A:$A = "縫製"),  IF('アイテム別限界値DB'!$B:$B = K$4, 'アイテム別限界値DB'!$C:$C, "") ))</f>
        <v>0</v>
      </c>
      <c r="M38" s="12"/>
      <c r="N38" s="226"/>
      <c r="O38" s="12"/>
      <c r="P38" s="12"/>
      <c r="Q38" s="93"/>
      <c r="R38" s="466" t="b">
        <f t="array" ref="R38:R49">UNIQUE(IF( ('アイテム別限界値DB'!$B:$B = R$4) * ('アイテム別限界値DB'!$A:$A = "縫製"),  IF('アイテム別限界値DB'!$B:$B = R$4, 'アイテム別限界値DB'!$G:$G, "") ))</f>
        <v>0</v>
      </c>
      <c r="S38" s="466" t="b">
        <f t="array" ref="S38:S49">UNIQUE(IF( ('アイテム別限界値DB'!$B:$B = R$4) * ('アイテム別限界値DB'!$A:$A = "縫製"),  IF('アイテム別限界値DB'!$B:$B = R$4, 'アイテム別限界値DB'!$C:$C, "") ))</f>
        <v>0</v>
      </c>
      <c r="T38" s="12"/>
      <c r="U38" s="12"/>
      <c r="V38" s="12"/>
      <c r="W38" s="12"/>
      <c r="X38" s="160"/>
      <c r="Y38" s="466" t="b">
        <f t="array" ref="Y38:Y49">UNIQUE(IF( ('アイテム別限界値DB'!$B:$B = Y$4) * ('アイテム別限界値DB'!$A:$A = "縫製"),  IF('アイテム別限界値DB'!$B:$B = Y$4, 'アイテム別限界値DB'!$G:$G, "") ))</f>
        <v>0</v>
      </c>
      <c r="Z38" s="466" t="b">
        <f t="array" ref="Z38:Z49">UNIQUE(IF( ('アイテム別限界値DB'!$B:$B = Y$4) * ('アイテム別限界値DB'!$A:$A = "縫製"),  IF('アイテム別限界値DB'!$B:$B = Y$4, 'アイテム別限界値DB'!$C:$C, "") ))</f>
        <v>0</v>
      </c>
      <c r="AA38" s="12"/>
      <c r="AB38" s="12"/>
      <c r="AC38" s="12"/>
      <c r="AD38" s="12"/>
      <c r="AE38" s="93"/>
      <c r="AF38" s="466" t="b">
        <f t="array" ref="AF38:AF43">UNIQUE(IF( ('アイテム別限界値DB'!$B:$B = AF$4) * ('アイテム別限界値DB'!$A:$A = "縫製"),  IF('アイテム別限界値DB'!$B:$B = AF$4, 'アイテム別限界値DB'!$G:$G, "") ))</f>
        <v>0</v>
      </c>
      <c r="AG38" s="466" t="b">
        <f t="array" ref="AG38:AG43">UNIQUE(IF( ('アイテム別限界値DB'!$B:$B = AF$4) * ('アイテム別限界値DB'!$A:$A = "縫製"),  IF('アイテム別限界値DB'!$B:$B = AF$4, 'アイテム別限界値DB'!$C:$C, "") ))</f>
        <v>0</v>
      </c>
      <c r="AH38" s="12"/>
      <c r="AI38" s="12"/>
      <c r="AJ38" s="12"/>
      <c r="AK38" s="12"/>
      <c r="AL38" s="160"/>
      <c r="AM38" s="466" t="b">
        <f t="array" ref="AM38:AM43">UNIQUE(IF( ('アイテム別限界値DB'!$B:$B = AM$4) * ('アイテム別限界値DB'!$A:$A = "縫製"),  IF('アイテム別限界値DB'!$B:$B = AM$4, 'アイテム別限界値DB'!$G:$G, "") ))</f>
        <v>0</v>
      </c>
      <c r="AN38" s="466" t="b">
        <f t="array" ref="AN38:AN43">UNIQUE(IF( ('アイテム別限界値DB'!$B:$B = AM$4) * ('アイテム別限界値DB'!$A:$A = "縫製"),  IF('アイテム別限界値DB'!$B:$B = AM$4, 'アイテム別限界値DB'!$C:$C, "") ))</f>
        <v>0</v>
      </c>
      <c r="AO38" s="12"/>
      <c r="AP38" s="12"/>
      <c r="AQ38" s="12"/>
      <c r="AR38" s="12"/>
      <c r="AS38" s="160"/>
      <c r="AT38" s="467" t="b">
        <f t="array" ref="AT38:AT39">UNIQUE(IF( ('アイテム別限界値DB'!$B:$B = AT$4) * ('アイテム別限界値DB'!$A:$A = "縫製"),  IF('アイテム別限界値DB'!$B:$B = AT$4, 'アイテム別限界値DB'!$G:$G, "") ))</f>
        <v>0</v>
      </c>
      <c r="AU38" s="12"/>
      <c r="AV38" s="12"/>
      <c r="AW38" s="12"/>
      <c r="AX38" s="12"/>
      <c r="AY38" s="160"/>
      <c r="AZ38" s="467" t="b">
        <f t="array" ref="AZ38:AZ39">UNIQUE(IF( ('アイテム別限界値DB'!$B:$B = AZ$4) * ('アイテム別限界値DB'!$A:$A = "縫製"),  IF('アイテム別限界値DB'!$B:$B = AZ$4, 'アイテム別限界値DB'!$G:$G, "") ))</f>
        <v>0</v>
      </c>
      <c r="BA38" s="12"/>
      <c r="BB38" s="12"/>
      <c r="BC38" s="12"/>
      <c r="BD38" s="12"/>
      <c r="BE38" s="160"/>
      <c r="BF38" s="467" t="b">
        <f t="array" ref="BF38:BF39">UNIQUE(IF( ('アイテム別限界値DB'!$B:$B = BF$4) * ('アイテム別限界値DB'!$A:$A = "縫製"),  IF('アイテム別限界値DB'!$B:$B = BF$4, 'アイテム別限界値DB'!$G:$G, "") ))</f>
        <v>0</v>
      </c>
      <c r="BG38" s="12"/>
      <c r="BH38" s="12"/>
      <c r="BI38" s="12"/>
      <c r="BJ38" s="12"/>
      <c r="BK38" s="160"/>
      <c r="BL38" s="467" t="b">
        <f t="array" ref="BL38:BL39">UNIQUE(IF( ('アイテム別限界値DB'!$B:$B = BL$4) * ('アイテム別限界値DB'!$A:$A = "縫製"),  IF('アイテム別限界値DB'!$B:$B = BL$4, 'アイテム別限界値DB'!$G:$G, "") ))</f>
        <v>0</v>
      </c>
      <c r="BM38" s="12"/>
      <c r="BN38" s="12"/>
      <c r="BO38" s="12"/>
      <c r="BP38" s="12"/>
      <c r="BQ38" s="160"/>
      <c r="BR38" s="467" t="b">
        <f t="array" ref="BR38:BR39">UNIQUE(IF( ('アイテム別限界値DB'!$B:$B = BR$4) * ('アイテム別限界値DB'!$A:$A = "縫製"),  IF('アイテム別限界値DB'!$B:$B = BR$4, 'アイテム別限界値DB'!$G:$G, "") ))</f>
        <v>0</v>
      </c>
      <c r="BS38" s="12"/>
      <c r="BT38" s="12"/>
      <c r="BU38" s="12"/>
      <c r="BV38" s="12"/>
      <c r="BW38" s="160"/>
      <c r="BX38" s="467" t="b">
        <f t="array" ref="BX38:BX39">UNIQUE(IF( ('アイテム別限界値DB'!$B:$B = BX$4) * ('アイテム別限界値DB'!$A:$A = "縫製"),  IF('アイテム別限界値DB'!$B:$B = BX$4, 'アイテム別限界値DB'!$G:$G, "") ))</f>
        <v>0</v>
      </c>
      <c r="BY38" s="12"/>
      <c r="BZ38" s="12"/>
      <c r="CA38" s="12"/>
      <c r="CB38" s="12"/>
      <c r="CC38" s="93"/>
      <c r="CD38" s="468" t="b">
        <f t="array" ref="CD38">UNIQUE(IF( ('アイテム別限界値DB'!$B:$B = CD$4) * ('アイテム別限界値DB'!$A:$A = "縫製"),  IF('アイテム別限界値DB'!$B:$B = CD$4, 'アイテム別限界値DB'!$E:$E, "") ))</f>
        <v>0</v>
      </c>
      <c r="CE38" s="392" t="s">
        <v>230</v>
      </c>
      <c r="CG38" s="387"/>
      <c r="CH38" s="469"/>
      <c r="CI38" s="469"/>
    </row>
    <row r="39" ht="18.75" hidden="1" customHeight="1">
      <c r="A39" s="160"/>
      <c r="B39" s="470"/>
      <c r="C39" s="229"/>
      <c r="D39" s="246" t="s">
        <v>51</v>
      </c>
      <c r="E39" s="303" t="s">
        <v>51</v>
      </c>
      <c r="F39" s="471"/>
      <c r="G39" s="471" t="str">
        <f>IF(COUNTA(G40:G70)&gt;0, "プレスあり", "")</f>
        <v>プレスあり</v>
      </c>
      <c r="H39" s="195"/>
      <c r="I39" s="227">
        <f t="array" ref="I39">IF(
  G39 = "", 
  "", 
  IFERROR(
    INDEX(
      'アイテム別限界値DB'!$N:$N, 
      MATCH(
        1, 
        ('アイテム別限界値DB'!$B:$B = D$4) * 
        ('アイテム別限界値DB'!$G:$G = D39), 
        0
      )
    ), 
    "再製作"
  )
)
</f>
        <v>580</v>
      </c>
      <c r="J39" s="472"/>
      <c r="K39" s="246" t="s">
        <v>51</v>
      </c>
      <c r="L39" s="303" t="s">
        <v>51</v>
      </c>
      <c r="M39" s="224"/>
      <c r="N39" s="219" t="str">
        <f>IF(COUNTA(N40:N70)&gt;0, "プレスあり", "")</f>
        <v/>
      </c>
      <c r="O39" s="195"/>
      <c r="P39" s="473" t="str">
        <f t="array" ref="P39">IF(
  N39 = "", 
  "", 
  IFERROR(
    INDEX(
      'アイテム別限界値DB'!$N:$N, 
      MATCH(
        1, 
        ('アイテム別限界値DB'!$B:$B = K$4) * 
        ('アイテム別限界値DB'!$G:$G = K39), 
        0
      )
    ) * MAX(M40:M70), 
    "再製作"
  )
)
</f>
        <v/>
      </c>
      <c r="Q39" s="93"/>
      <c r="R39" s="474" t="s">
        <v>51</v>
      </c>
      <c r="S39" s="303" t="s">
        <v>51</v>
      </c>
      <c r="T39" s="217"/>
      <c r="U39" s="217" t="str">
        <f>IF(COUNTA(U40:U70)&gt;0, "プレスあり", "")</f>
        <v/>
      </c>
      <c r="V39" s="195"/>
      <c r="W39" s="218" t="str">
        <f t="array" ref="W39">IF(
  U39 = "", 
  "", 
  IFERROR(
    INDEX(
      'アイテム別限界値DB'!$N:$N, 
      MATCH(
        1, 
        ('アイテム別限界値DB'!$B:$B = R$4) * 
        ('アイテム別限界値DB'!$G:$G = R39), 
        0
      )
    ), 
    "再製作"
  )
)
</f>
        <v/>
      </c>
      <c r="X39" s="93"/>
      <c r="Y39" s="474" t="s">
        <v>51</v>
      </c>
      <c r="Z39" s="303" t="s">
        <v>51</v>
      </c>
      <c r="AA39" s="217"/>
      <c r="AB39" s="217" t="str">
        <f>IF(COUNTA(AB40:AB70)&gt;0, "プレスあり", "")</f>
        <v/>
      </c>
      <c r="AC39" s="195"/>
      <c r="AD39" s="218" t="str">
        <f t="array" ref="AD39">IF(
  AB39 = "", 
  "", 
  IFERROR(
    INDEX(
      'アイテム別限界値DB'!$N:$N, 
      MATCH(
        1, 
        ('アイテム別限界値DB'!$B:$B = Y$4) * 
        ('アイテム別限界値DB'!$G:$G = Y39), 
        0
      )
    ), 
    "再製作"
  )
)
</f>
        <v/>
      </c>
      <c r="AE39" s="93"/>
      <c r="AF39" s="93" t="s">
        <v>51</v>
      </c>
      <c r="AG39" s="303" t="s">
        <v>51</v>
      </c>
      <c r="AH39" s="217"/>
      <c r="AI39" s="217" t="str">
        <f>IF(COUNTA(AI40:AI70)&gt;0, "プレスあり", "")</f>
        <v/>
      </c>
      <c r="AJ39" s="195"/>
      <c r="AK39" s="218" t="str">
        <f t="array" ref="AK39">IF(
  AI39 = "", 
  "", 
  IFERROR(
    INDEX(
      'アイテム別限界値DB'!$N:$N, 
      MATCH(
        1, 
        ('アイテム別限界値DB'!$B:$B = AF$4) * 
        ('アイテム別限界値DB'!$G:$G = AF39), 
        0
      )
    ), 
    "再製作"
  )
)
</f>
        <v/>
      </c>
      <c r="AL39" s="160"/>
      <c r="AM39" s="93" t="s">
        <v>51</v>
      </c>
      <c r="AN39" s="474" t="s">
        <v>51</v>
      </c>
      <c r="AO39" s="217"/>
      <c r="AP39" s="217" t="str">
        <f>IF(COUNTA(AP40:AP70)&gt;0, "プレスあり", "")</f>
        <v/>
      </c>
      <c r="AQ39" s="195"/>
      <c r="AR39" s="218" t="str">
        <f t="array" ref="AR39">IF(
  AP39 = "", 
  "", 
  IFERROR(
    INDEX(
      'アイテム別限界値DB'!$N:$N, 
      MATCH(
        1, 
        ('アイテム別限界値DB'!$B:$B = AM$4) * 
        ('アイテム別限界値DB'!$G:$G = AM39), 
        0
      )
    ), 
    "再製作"
  )
)
</f>
        <v/>
      </c>
      <c r="AS39" s="160"/>
      <c r="AT39" s="93" t="s">
        <v>51</v>
      </c>
      <c r="AU39" s="217"/>
      <c r="AV39" s="217" t="str">
        <f>IF(COUNTA(AV40:AV70)&gt;0, "プレスあり", "")</f>
        <v/>
      </c>
      <c r="AW39" s="195"/>
      <c r="AX39" s="218" t="str">
        <f t="array" ref="AX39">IF(
  AV39 = "", 
  "", 
  IFERROR(
    INDEX(
      'アイテム別限界値DB'!$N:$N, 
      MATCH(
        1, 
        ('アイテム別限界値DB'!$B:$B = AT$4) * 
        ('アイテム別限界値DB'!$G:$G = AT39), 
        0
      )
    ), 
    "再製作"
  )
)
</f>
        <v/>
      </c>
      <c r="AY39" s="160"/>
      <c r="AZ39" s="93" t="s">
        <v>51</v>
      </c>
      <c r="BA39" s="217"/>
      <c r="BB39" s="217" t="str">
        <f>IF(COUNTA(BB40:BB70)&gt;0, "プレスあり", "")</f>
        <v/>
      </c>
      <c r="BC39" s="195"/>
      <c r="BD39" s="218" t="str">
        <f t="array" ref="BD39">IF(
  BB39 = "", 
  "", 
  IFERROR(
    INDEX(
      'アイテム別限界値DB'!$N:$N, 
      MATCH(
        1, 
        ('アイテム別限界値DB'!$B:$B = AZ$4) * 
        ('アイテム別限界値DB'!$G:$G = AZ39), 
        0
      )
    ), 
    "再製作"
  )
)
</f>
        <v/>
      </c>
      <c r="BE39" s="160"/>
      <c r="BF39" s="93" t="s">
        <v>51</v>
      </c>
      <c r="BG39" s="217"/>
      <c r="BH39" s="217" t="str">
        <f>IF(COUNTA(BH40:BH70)&gt;0, "プレスあり", "")</f>
        <v/>
      </c>
      <c r="BI39" s="195"/>
      <c r="BJ39" s="218" t="str">
        <f t="array" ref="BJ39">IF(
  BH39 = "", 
  "", 
  IFERROR(
    INDEX(
      'アイテム別限界値DB'!$N:$N, 
      MATCH(
        1, 
        ('アイテム別限界値DB'!$B:$B = BF$4) * 
        ('アイテム別限界値DB'!$G:$G = BF39), 
        0
      )
    ), 
    "再製作"
  )
)
</f>
        <v/>
      </c>
      <c r="BK39" s="160"/>
      <c r="BL39" s="93" t="s">
        <v>51</v>
      </c>
      <c r="BM39" s="217"/>
      <c r="BN39" s="217" t="str">
        <f>IF(COUNTA(BN40:BN70)&gt;0, "プレスあり", "")</f>
        <v/>
      </c>
      <c r="BO39" s="195"/>
      <c r="BP39" s="218" t="str">
        <f t="array" ref="BP39">IF(
  BN39 = "", 
  "", 
  IFERROR(
    INDEX(
      'アイテム別限界値DB'!$N:$N, 
      MATCH(
        1, 
        ('アイテム別限界値DB'!$B:$B = BL$4) * 
        ('アイテム別限界値DB'!$G:$G = BL39), 
        0
      )
    ), 
    "再製作"
  )
)
</f>
        <v/>
      </c>
      <c r="BQ39" s="160"/>
      <c r="BR39" s="93" t="s">
        <v>51</v>
      </c>
      <c r="BS39" s="217"/>
      <c r="BT39" s="217" t="str">
        <f>IF(COUNTA(BT40:BT70)&gt;0, "プレスあり", "")</f>
        <v/>
      </c>
      <c r="BU39" s="195"/>
      <c r="BV39" s="218" t="str">
        <f t="array" ref="BV39">IF(
  BT39 = "", 
  "", 
  IFERROR(
    INDEX(
      'アイテム別限界値DB'!$N:$N, 
      MATCH(
        1, 
        ('アイテム別限界値DB'!$B:$B = BR$4) * 
        ('アイテム別限界値DB'!$G:$G = BR39), 
        0
      )
    ), 
    "再製作"
  )
)
</f>
        <v/>
      </c>
      <c r="BW39" s="160"/>
      <c r="BX39" s="93" t="s">
        <v>51</v>
      </c>
      <c r="BY39" s="217"/>
      <c r="BZ39" s="217" t="str">
        <f>IF(COUNTA(BZ40:BZ70)&gt;0, "プレスあり", "")</f>
        <v/>
      </c>
      <c r="CA39" s="195"/>
      <c r="CB39" s="218" t="str">
        <f t="array" ref="CB39">IF(
  BZ39 = "", 
  "", 
  IFERROR(
    INDEX(
      'アイテム別限界値DB'!$N:$N, 
      MATCH(
        1, 
        ('アイテム別限界値DB'!$B:$B = BX$4) * 
        ('アイテム別限界値DB'!$G:$G = BX39), 
        0
      )
    ), 
    "再製作"
  )
)
</f>
        <v/>
      </c>
      <c r="CC39" s="475"/>
      <c r="CD39" s="474"/>
      <c r="CE39" s="476" t="str">
        <f>IF(COUNTA(CE42:CE70)&gt;0, "プレスあり", "")</f>
        <v/>
      </c>
      <c r="CF39" s="396"/>
      <c r="CG39" s="397" t="str">
        <f t="array" ref="CG39">IF(
  CE39 = "", 
  "", 
  IFERROR(
    INDEX(
      'アイテム別限界値DB'!$N:$N, 
      MATCH(
        1, 
        ('アイテム別限界値DB'!$B:$B = CD$4) * 
        ('アイテム別限界値DB'!$G:$G = CD39), 
        0
      )
    ), 
    "再製作"
  )
)
</f>
        <v/>
      </c>
      <c r="CH39" s="469"/>
      <c r="CI39" s="469"/>
    </row>
    <row r="40">
      <c r="A40" s="229"/>
      <c r="B40" s="470"/>
      <c r="C40" s="470"/>
      <c r="D40" s="477" t="s">
        <v>231</v>
      </c>
      <c r="E40" s="478" t="s">
        <v>231</v>
      </c>
      <c r="F40" s="423"/>
      <c r="G40" s="423"/>
      <c r="H40" s="405" t="str">
        <f t="array" ref="H40">IF(
  G40 = 0, 
  "", 
  IFERROR(
    INDEX(
      'アイテム別限界値DB'!$K:$K, 
      MATCH(
        1, 
        ('アイテム別限界値DB'!$B:$B = D$4) * 
        ('アイテム別限界値DB'!$G:$G = D40) , 
        0
      )
    ), 
    "再製作"
  )
)
</f>
        <v/>
      </c>
      <c r="I40" s="397" t="str">
        <f t="array" ref="I40">IF(
  G40 = "", 
  "", 
  IFERROR(
    INDEX(
      'アイテム別限界値DB'!$N:$N, 
      MATCH(
        1, 
        ('アイテム別限界値DB'!$B:$B = D$4) * 
        ('アイテム別限界値DB'!$G:$G = D40), 
        0
      )
    )*$G40*F40, 
    "再製作"
  )
)
</f>
        <v/>
      </c>
      <c r="J40" s="479"/>
      <c r="K40" s="246" t="s">
        <v>231</v>
      </c>
      <c r="L40" s="478" t="s">
        <v>231</v>
      </c>
      <c r="M40" s="423"/>
      <c r="N40" s="423"/>
      <c r="O40" s="405" t="str">
        <f t="array" ref="O40">IF(
  N40 = 0, 
  "", 
  IFERROR(
    INDEX(
      'アイテム別限界値DB'!$K:$K, 
      MATCH(
        1, 
        ('アイテム別限界値DB'!$B:$B = K$4) * 
        ('アイテム別限界値DB'!$G:$G = K40) , 
        0
      )
    ), 
    "再製作"
  )
)
</f>
        <v/>
      </c>
      <c r="P40" s="397" t="str">
        <f t="array" ref="P40">IF(
  N40 = "", 
  "", 
  IFERROR(
    INDEX(
      'アイテム別限界値DB'!$N:$N, 
      MATCH(
        1, 
        ('アイテム別限界値DB'!$B:$B = K$4) * 
        ('アイテム別限界値DB'!$G:$G = K40), 
        0
      )
    )*$N40*M40, 
    "再製作"
  )
)
</f>
        <v/>
      </c>
      <c r="Q40" s="480"/>
      <c r="R40" s="468" t="s">
        <v>231</v>
      </c>
      <c r="S40" s="478" t="s">
        <v>231</v>
      </c>
      <c r="T40" s="423"/>
      <c r="U40" s="423"/>
      <c r="V40" s="405" t="str">
        <f t="array" ref="V40">IF(
  U40 = 0, 
  "", 
  IFERROR(
    INDEX(
      'アイテム別限界値DB'!$K:$K, 
      MATCH(
        1, 
        ('アイテム別限界値DB'!$B:$B = R$4) * 
        ('アイテム別限界値DB'!$G:$G = R40) , 
        0
      )
    ), 
    "再製作"
  )
)
</f>
        <v/>
      </c>
      <c r="W40" s="397" t="str">
        <f t="array" ref="W40">IF(
  U40 = "", 
  "", 
  IFERROR(
    INDEX(
      'アイテム別限界値DB'!$N:$N, 
      MATCH(
        1, 
        ('アイテム別限界値DB'!$B:$B = R$4) * 
        ('アイテム別限界値DB'!$G:$G = R40), 
        0
      )
    )*U40*T40, 
    "再製作"
  )
)
</f>
        <v/>
      </c>
      <c r="X40" s="480"/>
      <c r="Y40" s="481" t="s">
        <v>231</v>
      </c>
      <c r="Z40" s="478" t="s">
        <v>231</v>
      </c>
      <c r="AA40" s="423"/>
      <c r="AB40" s="423"/>
      <c r="AC40" s="405" t="str">
        <f t="array" ref="AC40">IF(
  AB40 = 0, 
  "", 
  IFERROR(
    INDEX(
      'アイテム別限界値DB'!$K:$K, 
      MATCH(
        1, 
        ('アイテム別限界値DB'!$B:$B = Y$4) * 
        ('アイテム別限界値DB'!$G:$G = Y40) , 
        0
      )
    ), 
    "再製作"
  )
)
</f>
        <v/>
      </c>
      <c r="AD40" s="397" t="str">
        <f t="array" ref="AD40">IF(
  AB40 = "", 
  "", 
  IFERROR(
    INDEX(
      'アイテム別限界値DB'!$N:$N, 
      MATCH(
        1, 
        ('アイテム別限界値DB'!$B:$B = Y$4) * 
        ('アイテム別限界値DB'!$G:$G = Y40), 
        0
      )
    )*AB40*AA40, 
    "再製作"
  )
)
</f>
        <v/>
      </c>
      <c r="AE40" s="480"/>
      <c r="AF40" s="93" t="s">
        <v>231</v>
      </c>
      <c r="AG40" s="478" t="s">
        <v>231</v>
      </c>
      <c r="AH40" s="423"/>
      <c r="AI40" s="423"/>
      <c r="AJ40" s="405" t="str">
        <f t="array" ref="AJ40">IF(
  AI40 = 0, 
  "", 
  IFERROR(
    INDEX(
      'アイテム別限界値DB'!$K:$K, 
      MATCH(
        1, 
        ('アイテム別限界値DB'!$B:$B = AF$4) * 
        ('アイテム別限界値DB'!$G:$G = AF40) , 
        0
      )
    ), 
    "再製作"
  )
)
</f>
        <v/>
      </c>
      <c r="AK40" s="397"/>
      <c r="AL40" s="469"/>
      <c r="AM40" s="93" t="s">
        <v>231</v>
      </c>
      <c r="AN40" s="474" t="s">
        <v>231</v>
      </c>
      <c r="AO40" s="423"/>
      <c r="AP40" s="423"/>
      <c r="AQ40" s="405" t="str">
        <f t="array" ref="AQ40">IF(
  AP40 = 0, 
  "", 
  IFERROR(
    INDEX(
      'アイテム別限界値DB'!$K:$K, 
      MATCH(
        1, 
        ('アイテム別限界値DB'!$B:$B = AM$4) * 
        ('アイテム別限界値DB'!$G:$G = AM40) , 
        0
      )
    ), 
    "再製作"
  )
)
</f>
        <v/>
      </c>
      <c r="AR40" s="397" t="str">
        <f t="array" ref="AR40">IF(
  AP40 = "", 
  "", 
  IFERROR(
    INDEX(
      'アイテム別限界値DB'!$N:$N, 
      MATCH(
        1, 
        ('アイテム別限界値DB'!$B:$B = AM$4) * 
        ('アイテム別限界値DB'!$G:$G = AM40), 
        0
      )
    )*AP40*AO40, 
    "再製作"
  )
)
</f>
        <v/>
      </c>
      <c r="AS40" s="469"/>
      <c r="AT40" s="474"/>
      <c r="AU40" s="423"/>
      <c r="AV40" s="423"/>
      <c r="AW40" s="405" t="str">
        <f t="array" ref="AW40">IF(
  AV40 = 0, 
  "", 
  IFERROR(
    INDEX(
      'アイテム別限界値DB'!$K:$K, 
      MATCH(
        1, 
        ('アイテム別限界値DB'!$B:$B = AS$4) * 
        ('アイテム別限界値DB'!$G:$G = AS40) , 
        0
      )
    ), 
    "再製作"
  )
)
</f>
        <v/>
      </c>
      <c r="AX40" s="397" t="str">
        <f t="array" ref="AX40">IF(
  AV40 = "", 
  "", 
  IFERROR(
    INDEX(
      'アイテム別限界値DB'!$N:$N, 
      MATCH(
        1, 
        ('アイテム別限界値DB'!$B:$B = AS$4) * 
        ('アイテム別限界値DB'!$G:$G = AS40), 
        0
      )
    )*AV40*AU40, 
    "再製作"
  )
)
</f>
        <v/>
      </c>
      <c r="AY40" s="469"/>
      <c r="AZ40" s="474"/>
      <c r="BA40" s="423"/>
      <c r="BB40" s="423"/>
      <c r="BC40" s="405" t="str">
        <f t="array" ref="BC40">IF(
  BB40 = 0, 
  "", 
  IFERROR(
    INDEX(
      'アイテム別限界値DB'!$K:$K, 
      MATCH(
        1, 
        ('アイテム別限界値DB'!$B:$B = AY$4) * 
        ('アイテム別限界値DB'!$G:$G = AY40) , 
        0
      )
    ), 
    "再製作"
  )
)
</f>
        <v/>
      </c>
      <c r="BD40" s="397" t="str">
        <f t="array" ref="BD40">IF(
  BB40 = "", 
  "", 
  IFERROR(
    INDEX(
      'アイテム別限界値DB'!$N:$N, 
      MATCH(
        1, 
        ('アイテム別限界値DB'!$B:$B = AZ$4) * 
        ('アイテム別限界値DB'!$G:$G = BB40), 
        0
      )
    )*BB40*BA40, 
    "再製作"
  )
)
</f>
        <v/>
      </c>
      <c r="BE40" s="469"/>
      <c r="BF40" s="474"/>
      <c r="BG40" s="423"/>
      <c r="BH40" s="423"/>
      <c r="BI40" s="405" t="str">
        <f t="array" ref="BI40">IF(
  BH40 = 0, 
  "", 
  IFERROR(
    INDEX(
      'アイテム別限界値DB'!$K:$K, 
      MATCH(
        1, 
        ('アイテム別限界値DB'!$B:$B = BE$4) * 
        ('アイテム別限界値DB'!$G:$G = BE40) , 
        0
      )
    ), 
    "再製作"
  )
)
</f>
        <v/>
      </c>
      <c r="BJ40" s="397"/>
      <c r="BK40" s="469"/>
      <c r="BL40" s="474"/>
      <c r="BM40" s="423"/>
      <c r="BN40" s="423"/>
      <c r="BO40" s="405"/>
      <c r="BP40" s="397" t="str">
        <f t="array" ref="BP40">IF(
  BN40 = "", 
  "", 
  IFERROR(
    INDEX(
      'アイテム別限界値DB'!$N:$N, 
      MATCH(
        1, 
        ('アイテム別限界値DB'!$B:$B = BL$4) * 
        ('アイテム別限界値DB'!$G:$G = BL40), 
        0
      )
    )*BN40, 
    "再製作"
  )
)
</f>
        <v/>
      </c>
      <c r="BQ40" s="469"/>
      <c r="BR40" s="474"/>
      <c r="BS40" s="423"/>
      <c r="BT40" s="423"/>
      <c r="BU40" s="405" t="str">
        <f t="array" ref="BU40">IF(
  BT40 = 0, 
  "", 
  IFERROR(
    INDEX(
      'アイテム別限界値DB'!$K:$K, 
      MATCH(
        1, 
        ('アイテム別限界値DB'!$B:$B = BQ$4) * 
        ('アイテム別限界値DB'!$G:$G = BQ40) , 
        0
      )
    ), 
    "再製作"
  )
)
</f>
        <v/>
      </c>
      <c r="BV40" s="397" t="str">
        <f t="array" ref="BV40">IF(
  BT40 = "", 
  "", 
  IFERROR(
    INDEX(
      'アイテム別限界値DB'!$N:$N, 
      MATCH(
        1, 
        ('アイテム別限界値DB'!$B:$B = BR$4) * 
        ('アイテム別限界値DB'!$G:$G = BR40), 
        0
      )
    )*BT40*BS40, 
    "再製作"
  )
)
</f>
        <v/>
      </c>
      <c r="BW40" s="469"/>
      <c r="BX40" s="474"/>
      <c r="BY40" s="423"/>
      <c r="BZ40" s="423"/>
      <c r="CA40" s="405" t="str">
        <f t="array" ref="CA40">IF(
  BZ40 = 0, 
  "", 
  IFERROR(
    INDEX(
      'アイテム別限界値DB'!$K:$K, 
      MATCH(
        1, 
        ('アイテム別限界値DB'!$B:$B = BW$4) * 
        ('アイテム別限界値DB'!$G:$G = BW40) , 
        0
      )
    ), 
    "再製作"
  )
)
</f>
        <v/>
      </c>
      <c r="CB40" s="397" t="str">
        <f t="array" ref="CB40">IF(
  BZ40 = "", 
  "", 
  IFERROR(
    INDEX(
      'アイテム別限界値DB'!$N:$N, 
      MATCH(
        1, 
        ('アイテム別限界値DB'!$B:$B = BX$4) * 
        ('アイテム別限界値DB'!$G:$G = BX40), 
        0
      )
    )*BZ40*BY40, 
    "再製作"
  )
)
</f>
        <v/>
      </c>
      <c r="CC40" s="402"/>
      <c r="CD40" s="397"/>
      <c r="CE40" s="397"/>
      <c r="CF40" s="397"/>
      <c r="CG40" s="397"/>
      <c r="CH40" s="469"/>
      <c r="CI40" s="469"/>
    </row>
    <row r="41">
      <c r="A41" s="457"/>
      <c r="B41" s="482"/>
      <c r="C41" s="482"/>
      <c r="D41" s="483" t="s">
        <v>232</v>
      </c>
      <c r="E41" s="484" t="s">
        <v>233</v>
      </c>
      <c r="F41" s="403"/>
      <c r="G41" s="485"/>
      <c r="H41" s="405" t="str">
        <f t="array" ref="H41">IF(
  G41 = 0, 
  "", 
  IFERROR(
    INDEX(
      'アイテム別限界値DB'!$K:$K, 
      MATCH(
        1, 
        ('アイテム別限界値DB'!$B:$B = D$4) * 
        ('アイテム別限界値DB'!$G:$G = D41) , 
        0
      )
    ), 
    "再製作"
  )
)
</f>
        <v/>
      </c>
      <c r="I41" s="397" t="str">
        <f t="array" ref="I41">IF(
  G41 = "", 
  "", 
  IFERROR(
    INDEX(
      'アイテム別限界値DB'!$N:$N, 
      MATCH(
        1, 
        ('アイテム別限界値DB'!$B:$B = D$4) * 
        ('アイテム別限界値DB'!$G:$G = D41), 
        0
      )
    )*$G41*F41, 
    "再製作"
  )
)
</f>
        <v/>
      </c>
      <c r="J41" s="479"/>
      <c r="K41" s="246" t="s">
        <v>232</v>
      </c>
      <c r="L41" s="414" t="s">
        <v>233</v>
      </c>
      <c r="M41" s="423"/>
      <c r="N41" s="485"/>
      <c r="O41" s="405" t="str">
        <f t="array" ref="O41">IF(
  N41 = 0, 
  "", 
  IFERROR(
    INDEX(
      'アイテム別限界値DB'!$K:$K, 
      MATCH(
        1, 
        ('アイテム別限界値DB'!$B:$B = K$4) * 
        ('アイテム別限界値DB'!$G:$G = K41) , 
        0
      )
    ), 
    "再製作"
  )
)
</f>
        <v/>
      </c>
      <c r="P41" s="397" t="str">
        <f t="array" ref="P41">IF(
  N41 = "", 
  "", 
  IFERROR(
    INDEX(
      'アイテム別限界値DB'!$N:$N, 
      MATCH(
        1, 
        ('アイテム別限界値DB'!$B:$B = K$4) * 
        ('アイテム別限界値DB'!$G:$G = K41), 
        0
      )
    )*$N41*M41, 
    "再製作"
  )
)
</f>
        <v/>
      </c>
      <c r="Q41" s="480"/>
      <c r="R41" s="481" t="s">
        <v>232</v>
      </c>
      <c r="S41" s="484" t="s">
        <v>233</v>
      </c>
      <c r="T41" s="423"/>
      <c r="U41" s="485"/>
      <c r="V41" s="405" t="str">
        <f t="array" ref="V41">IF(
  U41 = 0, 
  "", 
  IFERROR(
    INDEX(
      'アイテム別限界値DB'!$K:$K, 
      MATCH(
        1, 
        ('アイテム別限界値DB'!$B:$B = R$4) * 
        ('アイテム別限界値DB'!$G:$G = R41) , 
        0
      )
    ), 
    "再製作"
  )
)
</f>
        <v/>
      </c>
      <c r="W41" s="397" t="str">
        <f t="array" ref="W41">IF(
  U41 = "", 
  "", 
  IFERROR(
    INDEX(
      'アイテム別限界値DB'!$N:$N, 
      MATCH(
        1, 
        ('アイテム別限界値DB'!$B:$B = R$4) * 
        ('アイテム別限界値DB'!$G:$G = R41), 
        0
      )
    )*U41*T41, 
    "再製作"
  )
)
</f>
        <v/>
      </c>
      <c r="X41" s="480"/>
      <c r="Y41" s="481" t="s">
        <v>232</v>
      </c>
      <c r="Z41" s="484" t="s">
        <v>233</v>
      </c>
      <c r="AA41" s="423"/>
      <c r="AB41" s="485"/>
      <c r="AC41" s="405" t="str">
        <f t="array" ref="AC41">IF(
  AB41 = 0, 
  "", 
  IFERROR(
    INDEX(
      'アイテム別限界値DB'!$K:$K, 
      MATCH(
        1, 
        ('アイテム別限界値DB'!$B:$B = Y$4) * 
        ('アイテム別限界値DB'!$G:$G = Y41) , 
        0
      )
    ), 
    "再製作"
  )
)
</f>
        <v/>
      </c>
      <c r="AD41" s="397" t="str">
        <f t="array" ref="AD41">IF(
  AB41 = "", 
  "", 
  IFERROR(
    INDEX(
      'アイテム別限界値DB'!$N:$N, 
      MATCH(
        1, 
        ('アイテム別限界値DB'!$B:$B = Y$4) * 
        ('アイテム別限界値DB'!$G:$G = Y41), 
        0
      )
    )*AB41*AA41, 
    "再製作"
  )
)
</f>
        <v/>
      </c>
      <c r="AE41" s="486"/>
      <c r="AF41" s="487" t="s">
        <v>232</v>
      </c>
      <c r="AG41" s="484" t="s">
        <v>233</v>
      </c>
      <c r="AH41" s="423"/>
      <c r="AI41" s="485"/>
      <c r="AJ41" s="405" t="str">
        <f t="array" ref="AJ41">IF(
  AI41 = 0, 
  "", 
  IFERROR(
    INDEX(
      'アイテム別限界値DB'!$K:$K, 
      MATCH(
        1, 
        ('アイテム別限界値DB'!$B:$B = AF$4) * 
        ('アイテム別限界値DB'!$G:$G = AF41) , 
        0
      )
    ), 
    "再製作"
  )
)
</f>
        <v/>
      </c>
      <c r="AK41" s="397"/>
      <c r="AL41" s="469"/>
      <c r="AM41" s="487" t="s">
        <v>232</v>
      </c>
      <c r="AN41" s="488" t="s">
        <v>233</v>
      </c>
      <c r="AO41" s="423"/>
      <c r="AP41" s="485"/>
      <c r="AQ41" s="405" t="str">
        <f t="array" ref="AQ41">IF(
  AP41 = 0, 
  "", 
  IFERROR(
    INDEX(
      'アイテム別限界値DB'!$K:$K, 
      MATCH(
        1, 
        ('アイテム別限界値DB'!$B:$B = AM$4) * 
        ('アイテム別限界値DB'!$G:$G = AM41) , 
        0
      )
    ), 
    "再製作"
  )
)
</f>
        <v/>
      </c>
      <c r="AR41" s="397" t="str">
        <f t="array" ref="AR41">IF(
  AP41 = "", 
  "", 
  IFERROR(
    INDEX(
      'アイテム別限界値DB'!$N:$N, 
      MATCH(
        1, 
        ('アイテム別限界値DB'!$B:$B = AM$4) * 
        ('アイテム別限界値DB'!$G:$G = AM41), 
        0
      )
    )*AP41*AO41, 
    "再製作"
  )
)
</f>
        <v/>
      </c>
      <c r="AS41" s="469"/>
      <c r="AT41" s="488"/>
      <c r="AU41" s="423"/>
      <c r="AV41" s="485"/>
      <c r="AW41" s="405" t="str">
        <f t="array" ref="AW41">IF(
  AV41 = 0, 
  "", 
  IFERROR(
    INDEX(
      'アイテム別限界値DB'!$K:$K, 
      MATCH(
        1, 
        ('アイテム別限界値DB'!$B:$B = AS$4) * 
        ('アイテム別限界値DB'!$G:$G = AS41) , 
        0
      )
    ), 
    "再製作"
  )
)
</f>
        <v/>
      </c>
      <c r="AX41" s="397" t="str">
        <f t="array" ref="AX41">IF(
  AV41 = "", 
  "", 
  IFERROR(
    INDEX(
      'アイテム別限界値DB'!$N:$N, 
      MATCH(
        1, 
        ('アイテム別限界値DB'!$B:$B = AS$4) * 
        ('アイテム別限界値DB'!$G:$G = AS41), 
        0
      )
    )*AV41*AU41, 
    "再製作"
  )
)
</f>
        <v/>
      </c>
      <c r="AY41" s="469"/>
      <c r="AZ41" s="488"/>
      <c r="BA41" s="423"/>
      <c r="BB41" s="485"/>
      <c r="BC41" s="405" t="str">
        <f t="array" ref="BC41">IF(
  BB41 = 0, 
  "", 
  IFERROR(
    INDEX(
      'アイテム別限界値DB'!$K:$K, 
      MATCH(
        1, 
        ('アイテム別限界値DB'!$B:$B = AY$4) * 
        ('アイテム別限界値DB'!$G:$G = AY41) , 
        0
      )
    ), 
    "再製作"
  )
)
</f>
        <v/>
      </c>
      <c r="BD41" s="397" t="str">
        <f t="array" ref="BD41">IF(
  BB41 = "", 
  "", 
  IFERROR(
    INDEX(
      'アイテム別限界値DB'!$N:$N, 
      MATCH(
        1, 
        ('アイテム別限界値DB'!$B:$B = AZ$4) * 
        ('アイテム別限界値DB'!$G:$G = BB41), 
        0
      )
    )*BB41*BA41, 
    "再製作"
  )
)
</f>
        <v/>
      </c>
      <c r="BE41" s="469"/>
      <c r="BF41" s="488"/>
      <c r="BG41" s="423"/>
      <c r="BH41" s="485"/>
      <c r="BI41" s="405" t="str">
        <f t="array" ref="BI41">IF(
  BH41 = 0, 
  "", 
  IFERROR(
    INDEX(
      'アイテム別限界値DB'!$K:$K, 
      MATCH(
        1, 
        ('アイテム別限界値DB'!$B:$B = BE$4) * 
        ('アイテム別限界値DB'!$G:$G = BE41) , 
        0
      )
    ), 
    "再製作"
  )
)
</f>
        <v/>
      </c>
      <c r="BJ41" s="397"/>
      <c r="BK41" s="469"/>
      <c r="BL41" s="488"/>
      <c r="BM41" s="423"/>
      <c r="BN41" s="485"/>
      <c r="BO41" s="405"/>
      <c r="BP41" s="397" t="str">
        <f t="array" ref="BP41">IF(
  BN41 = "", 
  "", 
  IFERROR(
    INDEX(
      'アイテム別限界値DB'!$N:$N, 
      MATCH(
        1, 
        ('アイテム別限界値DB'!$B:$B = BL$4) * 
        ('アイテム別限界値DB'!$G:$G = BL41), 
        0
      )
    )*BN41, 
    "再製作"
  )
)
</f>
        <v/>
      </c>
      <c r="BQ41" s="469"/>
      <c r="BR41" s="488"/>
      <c r="BS41" s="423"/>
      <c r="BT41" s="485"/>
      <c r="BU41" s="405" t="str">
        <f t="array" ref="BU41">IF(
  BT41 = 0, 
  "", 
  IFERROR(
    INDEX(
      'アイテム別限界値DB'!$K:$K, 
      MATCH(
        1, 
        ('アイテム別限界値DB'!$B:$B = BQ$4) * 
        ('アイテム別限界値DB'!$G:$G = BQ41) , 
        0
      )
    ), 
    "再製作"
  )
)
</f>
        <v/>
      </c>
      <c r="BV41" s="397" t="str">
        <f t="array" ref="BV41">IF(
  BT41 = "", 
  "", 
  IFERROR(
    INDEX(
      'アイテム別限界値DB'!$N:$N, 
      MATCH(
        1, 
        ('アイテム別限界値DB'!$B:$B = BR$4) * 
        ('アイテム別限界値DB'!$G:$G = BR41), 
        0
      )
    )*BT41*BS41, 
    "再製作"
  )
)
</f>
        <v/>
      </c>
      <c r="BW41" s="469"/>
      <c r="BX41" s="488"/>
      <c r="BY41" s="423"/>
      <c r="BZ41" s="485"/>
      <c r="CA41" s="405" t="str">
        <f t="array" ref="CA41">IF(
  BZ41 = 0, 
  "", 
  IFERROR(
    INDEX(
      'アイテム別限界値DB'!$K:$K, 
      MATCH(
        1, 
        ('アイテム別限界値DB'!$B:$B = BW$4) * 
        ('アイテム別限界値DB'!$G:$G = BW41) , 
        0
      )
    ), 
    "再製作"
  )
)
</f>
        <v/>
      </c>
      <c r="CB41" s="397" t="str">
        <f t="array" ref="CB41">IF(
  BZ41 = "", 
  "", 
  IFERROR(
    INDEX(
      'アイテム別限界値DB'!$N:$N, 
      MATCH(
        1, 
        ('アイテム別限界値DB'!$B:$B = BX$4) * 
        ('アイテム別限界値DB'!$G:$G = BX41), 
        0
      )
    )*BZ41*BY41, 
    "再製作"
  )
)
</f>
        <v/>
      </c>
      <c r="CC41" s="402"/>
      <c r="CD41" s="397"/>
      <c r="CE41" s="397"/>
      <c r="CF41" s="397"/>
      <c r="CG41" s="397"/>
      <c r="CH41" s="469"/>
      <c r="CI41" s="469"/>
    </row>
    <row r="42">
      <c r="A42" s="160"/>
      <c r="B42" s="470"/>
      <c r="C42" s="470"/>
      <c r="D42" s="477" t="s">
        <v>234</v>
      </c>
      <c r="E42" s="489" t="s">
        <v>235</v>
      </c>
      <c r="F42" s="403"/>
      <c r="G42" s="490"/>
      <c r="H42" s="405" t="str">
        <f t="array" ref="H42">IF(
  G42 = 0, 
  "", 
  IFERROR(
    INDEX(
      'アイテム別限界値DB'!$K:$K, 
      MATCH(
        1, 
        ('アイテム別限界値DB'!$B:$B = D$4) * 
        ('アイテム別限界値DB'!$G:$G = D42) , 
        0
      )
    ), 
    "再製作"
  )
)
</f>
        <v/>
      </c>
      <c r="I42" s="397" t="str">
        <f t="array" ref="I42">IF(
  G42 = "", 
  "", 
  IFERROR(
    INDEX(
      'アイテム別限界値DB'!$N:$N, 
      MATCH(
        1, 
        ('アイテム別限界値DB'!$B:$B = D$4) * 
        ('アイテム別限界値DB'!$G:$G = D42), 
        0
      )
    )*$G42*F42, 
    "再製作"
  )
)
</f>
        <v/>
      </c>
      <c r="J42" s="479"/>
      <c r="K42" s="491" t="s">
        <v>235</v>
      </c>
      <c r="L42" s="414" t="s">
        <v>235</v>
      </c>
      <c r="M42" s="423"/>
      <c r="N42" s="490"/>
      <c r="O42" s="405" t="str">
        <f t="array" ref="O42">IF(
  N42 = 0, 
  "", 
  IFERROR(
    INDEX(
      'アイテム別限界値DB'!$K:$K, 
      MATCH(
        1, 
        ('アイテム別限界値DB'!$B:$B = K$4) * 
        ('アイテム別限界値DB'!$G:$G = K42) , 
        0
      )
    ), 
    "再製作"
  )
)
</f>
        <v/>
      </c>
      <c r="P42" s="397" t="str">
        <f t="array" ref="P42">IF(
  N42 = "", 
  "", 
  IFERROR(
    INDEX(
      'アイテム別限界値DB'!$N:$N, 
      MATCH(
        1, 
        ('アイテム別限界値DB'!$B:$B = K$4) * 
        ('アイテム別限界値DB'!$G:$G = K42), 
        0
      )
    )*$N42*M42, 
    "再製作"
  )
)
</f>
        <v/>
      </c>
      <c r="Q42" s="480"/>
      <c r="R42" s="481" t="s">
        <v>235</v>
      </c>
      <c r="S42" s="484" t="s">
        <v>235</v>
      </c>
      <c r="T42" s="423"/>
      <c r="U42" s="490"/>
      <c r="V42" s="405" t="str">
        <f t="array" ref="V42">IF(
  U42 = 0, 
  "", 
  IFERROR(
    INDEX(
      'アイテム別限界値DB'!$K:$K, 
      MATCH(
        1, 
        ('アイテム別限界値DB'!$B:$B = R$4) * 
        ('アイテム別限界値DB'!$G:$G = R42) , 
        0
      )
    ), 
    "再製作"
  )
)
</f>
        <v/>
      </c>
      <c r="W42" s="397" t="str">
        <f t="array" ref="W42">IF(
  U42 = "", 
  "", 
  IFERROR(
    INDEX(
      'アイテム別限界値DB'!$N:$N, 
      MATCH(
        1, 
        ('アイテム別限界値DB'!$B:$B = R$4) * 
        ('アイテム別限界値DB'!$G:$G = R42), 
        0
      )
    )*U42*T42, 
    "再製作"
  )
)
</f>
        <v/>
      </c>
      <c r="X42" s="469"/>
      <c r="Y42" s="492" t="s">
        <v>235</v>
      </c>
      <c r="Z42" s="484" t="s">
        <v>235</v>
      </c>
      <c r="AA42" s="423"/>
      <c r="AB42" s="490"/>
      <c r="AC42" s="405" t="str">
        <f t="array" ref="AC42">IF(
  AB42 = 0, 
  "", 
  IFERROR(
    INDEX(
      'アイテム別限界値DB'!$K:$K, 
      MATCH(
        1, 
        ('アイテム別限界値DB'!$B:$B = Y$4) * 
        ('アイテム別限界値DB'!$G:$G = Y42) , 
        0
      )
    ), 
    "再製作"
  )
)
</f>
        <v/>
      </c>
      <c r="AD42" s="397" t="str">
        <f t="array" ref="AD42">IF(
  AB42 = "", 
  "", 
  IFERROR(
    INDEX(
      'アイテム別限界値DB'!$N:$N, 
      MATCH(
        1, 
        ('アイテム別限界値DB'!$B:$B = Y$4) * 
        ('アイテム別限界値DB'!$G:$G = Y42), 
        0
      )
    )*AB42*AA42, 
    "再製作"
  )
)
</f>
        <v/>
      </c>
      <c r="AE42" s="486"/>
      <c r="AF42" s="487" t="s">
        <v>235</v>
      </c>
      <c r="AG42" s="484" t="s">
        <v>235</v>
      </c>
      <c r="AH42" s="423"/>
      <c r="AI42" s="485"/>
      <c r="AJ42" s="405" t="str">
        <f t="array" ref="AJ42">IF(
  AI42 = 0, 
  "", 
  IFERROR(
    INDEX(
      'アイテム別限界値DB'!$K:$K, 
      MATCH(
        1, 
        ('アイテム別限界値DB'!$B:$B = AF$4) * 
        ('アイテム別限界値DB'!$G:$G = AF42) , 
        0
      )
    ), 
    "再製作"
  )
)
</f>
        <v/>
      </c>
      <c r="AK42" s="397"/>
      <c r="AL42" s="469"/>
      <c r="AM42" s="469" t="s">
        <v>235</v>
      </c>
      <c r="AN42" s="493" t="s">
        <v>235</v>
      </c>
      <c r="AO42" s="423"/>
      <c r="AP42" s="485"/>
      <c r="AQ42" s="405" t="str">
        <f t="array" ref="AQ42">IF(
  AP42 = 0, 
  "", 
  IFERROR(
    INDEX(
      'アイテム別限界値DB'!$K:$K, 
      MATCH(
        1, 
        ('アイテム別限界値DB'!$B:$B = AM$4) * 
        ('アイテム別限界値DB'!$G:$G = AM42) , 
        0
      )
    ), 
    "再製作"
  )
)
</f>
        <v/>
      </c>
      <c r="AR42" s="397" t="str">
        <f t="array" ref="AR42">IF(
  AP42 = "", 
  "", 
  IFERROR(
    INDEX(
      'アイテム別限界値DB'!$N:$N, 
      MATCH(
        1, 
        ('アイテム別限界値DB'!$B:$B = AM$4) * 
        ('アイテム別限界値DB'!$G:$G = AM42), 
        0
      )
    )*AP42*AO42, 
    "再製作"
  )
)
</f>
        <v/>
      </c>
      <c r="AS42" s="469"/>
      <c r="AT42" s="493"/>
      <c r="AU42" s="423"/>
      <c r="AV42" s="485"/>
      <c r="AW42" s="405" t="str">
        <f t="array" ref="AW42">IF(
  AV42 = 0, 
  "", 
  IFERROR(
    INDEX(
      'アイテム別限界値DB'!$K:$K, 
      MATCH(
        1, 
        ('アイテム別限界値DB'!$B:$B = AS$4) * 
        ('アイテム別限界値DB'!$G:$G = AS42) , 
        0
      )
    ), 
    "再製作"
  )
)
</f>
        <v/>
      </c>
      <c r="AX42" s="397" t="str">
        <f t="array" ref="AX42">IF(
  AV42 = "", 
  "", 
  IFERROR(
    INDEX(
      'アイテム別限界値DB'!$N:$N, 
      MATCH(
        1, 
        ('アイテム別限界値DB'!$B:$B = AS$4) * 
        ('アイテム別限界値DB'!$G:$G = AS42), 
        0
      )
    )*AV42*AU42, 
    "再製作"
  )
)
</f>
        <v/>
      </c>
      <c r="AY42" s="469"/>
      <c r="AZ42" s="493"/>
      <c r="BA42" s="423"/>
      <c r="BB42" s="485"/>
      <c r="BC42" s="405" t="str">
        <f t="array" ref="BC42">IF(
  BB42 = 0, 
  "", 
  IFERROR(
    INDEX(
      'アイテム別限界値DB'!$K:$K, 
      MATCH(
        1, 
        ('アイテム別限界値DB'!$B:$B = AY$4) * 
        ('アイテム別限界値DB'!$G:$G = AY42) , 
        0
      )
    ), 
    "再製作"
  )
)
</f>
        <v/>
      </c>
      <c r="BD42" s="397" t="str">
        <f t="array" ref="BD42">IF(
  BB42 = "", 
  "", 
  IFERROR(
    INDEX(
      'アイテム別限界値DB'!$N:$N, 
      MATCH(
        1, 
        ('アイテム別限界値DB'!$B:$B = AZ$4) * 
        ('アイテム別限界値DB'!$G:$G = BB42), 
        0
      )
    )*BB42*BA42, 
    "再製作"
  )
)
</f>
        <v/>
      </c>
      <c r="BE42" s="469"/>
      <c r="BF42" s="493"/>
      <c r="BG42" s="423"/>
      <c r="BH42" s="485"/>
      <c r="BI42" s="405" t="str">
        <f t="array" ref="BI42">IF(
  BH42 = 0, 
  "", 
  IFERROR(
    INDEX(
      'アイテム別限界値DB'!$K:$K, 
      MATCH(
        1, 
        ('アイテム別限界値DB'!$B:$B = BE$4) * 
        ('アイテム別限界値DB'!$G:$G = BE42) , 
        0
      )
    ), 
    "再製作"
  )
)
</f>
        <v/>
      </c>
      <c r="BJ42" s="397"/>
      <c r="BK42" s="469"/>
      <c r="BL42" s="493"/>
      <c r="BM42" s="423"/>
      <c r="BN42" s="485"/>
      <c r="BO42" s="405"/>
      <c r="BP42" s="397" t="str">
        <f t="array" ref="BP42">IF(
  BN42 = "", 
  "", 
  IFERROR(
    INDEX(
      'アイテム別限界値DB'!$N:$N, 
      MATCH(
        1, 
        ('アイテム別限界値DB'!$B:$B = BL$4) * 
        ('アイテム別限界値DB'!$G:$G = BL42), 
        0
      )
    )*BN42, 
    "再製作"
  )
)
</f>
        <v/>
      </c>
      <c r="BQ42" s="469"/>
      <c r="BR42" s="493"/>
      <c r="BS42" s="423"/>
      <c r="BT42" s="485"/>
      <c r="BU42" s="405" t="str">
        <f t="array" ref="BU42">IF(
  BT42 = 0, 
  "", 
  IFERROR(
    INDEX(
      'アイテム別限界値DB'!$K:$K, 
      MATCH(
        1, 
        ('アイテム別限界値DB'!$B:$B = BQ$4) * 
        ('アイテム別限界値DB'!$G:$G = BQ42) , 
        0
      )
    ), 
    "再製作"
  )
)
</f>
        <v/>
      </c>
      <c r="BV42" s="397" t="str">
        <f t="array" ref="BV42">IF(
  BT42 = "", 
  "", 
  IFERROR(
    INDEX(
      'アイテム別限界値DB'!$N:$N, 
      MATCH(
        1, 
        ('アイテム別限界値DB'!$B:$B = BR$4) * 
        ('アイテム別限界値DB'!$G:$G = BR42), 
        0
      )
    )*BT42*BS42, 
    "再製作"
  )
)
</f>
        <v/>
      </c>
      <c r="BW42" s="469"/>
      <c r="BX42" s="493"/>
      <c r="BY42" s="423"/>
      <c r="BZ42" s="485"/>
      <c r="CA42" s="405" t="str">
        <f t="array" ref="CA42">IF(
  BZ42 = 0, 
  "", 
  IFERROR(
    INDEX(
      'アイテム別限界値DB'!$K:$K, 
      MATCH(
        1, 
        ('アイテム別限界値DB'!$B:$B = BW$4) * 
        ('アイテム別限界値DB'!$G:$G = BW42) , 
        0
      )
    ), 
    "再製作"
  )
)
</f>
        <v/>
      </c>
      <c r="CB42" s="397" t="str">
        <f t="array" ref="CB42">IF(
  BZ42 = "", 
  "", 
  IFERROR(
    INDEX(
      'アイテム別限界値DB'!$N:$N, 
      MATCH(
        1, 
        ('アイテム別限界値DB'!$B:$B = BX$4) * 
        ('アイテム別限界値DB'!$G:$G = BX42), 
        0
      )
    )*BZ42*BY42, 
    "再製作"
  )
)
</f>
        <v/>
      </c>
      <c r="CC42" s="402"/>
      <c r="CD42" s="397"/>
      <c r="CE42" s="397"/>
      <c r="CF42" s="397"/>
      <c r="CG42" s="397"/>
      <c r="CH42" s="469"/>
      <c r="CI42" s="469"/>
    </row>
    <row r="43">
      <c r="A43" s="229"/>
      <c r="B43" s="494"/>
      <c r="C43" s="494"/>
      <c r="D43" s="495" t="s">
        <v>236</v>
      </c>
      <c r="E43" s="484" t="s">
        <v>236</v>
      </c>
      <c r="F43" s="403"/>
      <c r="G43" s="485"/>
      <c r="H43" s="405" t="str">
        <f t="array" ref="H43">IF(
  G43 = 0, 
  "", 
  IFERROR(
    INDEX(
      'アイテム別限界値DB'!$K:$K, 
      MATCH(
        1, 
        ('アイテム別限界値DB'!$B:$B = D$4) * 
        ('アイテム別限界値DB'!$G:$G = D43) , 
        0
      )
    ), 
    "再製作"
  )
)
</f>
        <v/>
      </c>
      <c r="I43" s="397" t="str">
        <f t="array" ref="I43">IF(
  G43 = "", 
  "", 
  IFERROR(
    INDEX(
      'アイテム別限界値DB'!$N:$N, 
      MATCH(
        1, 
        ('アイテム別限界値DB'!$B:$B = D$4) * 
        ('アイテム別限界値DB'!$G:$G = D43), 
        0
      )
    )*$G43*F43, 
    "再製作"
  )
)
</f>
        <v/>
      </c>
      <c r="J43" s="479"/>
      <c r="K43" s="491" t="s">
        <v>236</v>
      </c>
      <c r="L43" s="414" t="s">
        <v>236</v>
      </c>
      <c r="M43" s="423"/>
      <c r="N43" s="496"/>
      <c r="O43" s="405" t="str">
        <f t="array" ref="O43">IF(
  N43 = 0, 
  "", 
  IFERROR(
    INDEX(
      'アイテム別限界値DB'!$K:$K, 
      MATCH(
        1, 
        ('アイテム別限界値DB'!$B:$B = K$4) * 
        ('アイテム別限界値DB'!$G:$G = K43) , 
        0
      )
    ), 
    "再製作"
  )
)
</f>
        <v/>
      </c>
      <c r="P43" s="397" t="str">
        <f t="array" ref="P43">IF(
  N43 = "", 
  "", 
  IFERROR(
    INDEX(
      'アイテム別限界値DB'!$N:$N, 
      MATCH(
        1, 
        ('アイテム別限界値DB'!$B:$B = K$4) * 
        ('アイテム別限界値DB'!$G:$G = K43), 
        0
      )
    )*$N43*M43, 
    "再製作"
  )
)
</f>
        <v/>
      </c>
      <c r="Q43" s="480"/>
      <c r="R43" s="497" t="s">
        <v>236</v>
      </c>
      <c r="S43" s="484" t="s">
        <v>236</v>
      </c>
      <c r="T43" s="423"/>
      <c r="U43" s="485"/>
      <c r="V43" s="405" t="str">
        <f t="array" ref="V43">IF(
  U43 = 0, 
  "", 
  IFERROR(
    INDEX(
      'アイテム別限界値DB'!$K:$K, 
      MATCH(
        1, 
        ('アイテム別限界値DB'!$B:$B = R$4) * 
        ('アイテム別限界値DB'!$G:$G = R43) , 
        0
      )
    ), 
    "再製作"
  )
)
</f>
        <v/>
      </c>
      <c r="W43" s="397" t="str">
        <f t="array" ref="W43">IF(
  U43 = "", 
  "", 
  IFERROR(
    INDEX(
      'アイテム別限界値DB'!$N:$N, 
      MATCH(
        1, 
        ('アイテム別限界値DB'!$B:$B = R$4) * 
        ('アイテム別限界値DB'!$G:$G = R43), 
        0
      )
    )*U43*T43, 
    "再製作"
  )
)
</f>
        <v/>
      </c>
      <c r="X43" s="469"/>
      <c r="Y43" s="492" t="s">
        <v>236</v>
      </c>
      <c r="Z43" s="484" t="s">
        <v>236</v>
      </c>
      <c r="AA43" s="423"/>
      <c r="AB43" s="485"/>
      <c r="AC43" s="405" t="str">
        <f t="array" ref="AC43">IF(
  AB43 = 0, 
  "", 
  IFERROR(
    INDEX(
      'アイテム別限界値DB'!$K:$K, 
      MATCH(
        1, 
        ('アイテム別限界値DB'!$B:$B = Y$4) * 
        ('アイテム別限界値DB'!$G:$G = Y43) , 
        0
      )
    ), 
    "再製作"
  )
)
</f>
        <v/>
      </c>
      <c r="AD43" s="397" t="str">
        <f t="array" ref="AD43">IF(
  AB43 = "", 
  "", 
  IFERROR(
    INDEX(
      'アイテム別限界値DB'!$N:$N, 
      MATCH(
        1, 
        ('アイテム別限界値DB'!$B:$B = Y$4) * 
        ('アイテム別限界値DB'!$G:$G = Y43), 
        0
      )
    )*AB43*AA43, 
    "再製作"
  )
)
</f>
        <v/>
      </c>
      <c r="AE43" s="498"/>
      <c r="AF43" s="487" t="s">
        <v>236</v>
      </c>
      <c r="AG43" s="484" t="s">
        <v>236</v>
      </c>
      <c r="AH43" s="423"/>
      <c r="AI43" s="485"/>
      <c r="AJ43" s="405" t="str">
        <f t="array" ref="AJ43">IF(
  AI43 = 0, 
  "", 
  IFERROR(
    INDEX(
      'アイテム別限界値DB'!$K:$K, 
      MATCH(
        1, 
        ('アイテム別限界値DB'!$B:$B = AF$4) * 
        ('アイテム別限界値DB'!$G:$G = AF43) , 
        0
      )
    ), 
    "再製作"
  )
)
</f>
        <v/>
      </c>
      <c r="AK43" s="397"/>
      <c r="AL43" s="469"/>
      <c r="AM43" s="487" t="s">
        <v>236</v>
      </c>
      <c r="AN43" s="488" t="s">
        <v>236</v>
      </c>
      <c r="AO43" s="423"/>
      <c r="AP43" s="485"/>
      <c r="AQ43" s="405" t="str">
        <f t="array" ref="AQ43">IF(
  AP43 = 0, 
  "", 
  IFERROR(
    INDEX(
      'アイテム別限界値DB'!$K:$K, 
      MATCH(
        1, 
        ('アイテム別限界値DB'!$B:$B = AM$4) * 
        ('アイテム別限界値DB'!$G:$G = AM43) , 
        0
      )
    ), 
    "再製作"
  )
)
</f>
        <v/>
      </c>
      <c r="AR43" s="397" t="str">
        <f t="array" ref="AR43">IF(
  AP43 = "", 
  "", 
  IFERROR(
    INDEX(
      'アイテム別限界値DB'!$N:$N, 
      MATCH(
        1, 
        ('アイテム別限界値DB'!$B:$B = AM$4) * 
        ('アイテム別限界値DB'!$G:$G = AM43), 
        0
      )
    )*AP43*AO43, 
    "再製作"
  )
)
</f>
        <v/>
      </c>
      <c r="AS43" s="469"/>
      <c r="AT43" s="488"/>
      <c r="AU43" s="423"/>
      <c r="AV43" s="485"/>
      <c r="AW43" s="405" t="str">
        <f t="array" ref="AW43">IF(
  AV43 = 0, 
  "", 
  IFERROR(
    INDEX(
      'アイテム別限界値DB'!$K:$K, 
      MATCH(
        1, 
        ('アイテム別限界値DB'!$B:$B = AS$4) * 
        ('アイテム別限界値DB'!$G:$G = AS43) , 
        0
      )
    ), 
    "再製作"
  )
)
</f>
        <v/>
      </c>
      <c r="AX43" s="397" t="str">
        <f t="array" ref="AX43">IF(
  AV43 = "", 
  "", 
  IFERROR(
    INDEX(
      'アイテム別限界値DB'!$N:$N, 
      MATCH(
        1, 
        ('アイテム別限界値DB'!$B:$B = AS$4) * 
        ('アイテム別限界値DB'!$G:$G = AS43), 
        0
      )
    )*AV43*AU43, 
    "再製作"
  )
)
</f>
        <v/>
      </c>
      <c r="AY43" s="469"/>
      <c r="AZ43" s="488"/>
      <c r="BA43" s="423"/>
      <c r="BB43" s="485"/>
      <c r="BC43" s="405" t="str">
        <f t="array" ref="BC43">IF(
  BB43 = 0, 
  "", 
  IFERROR(
    INDEX(
      'アイテム別限界値DB'!$K:$K, 
      MATCH(
        1, 
        ('アイテム別限界値DB'!$B:$B = AY$4) * 
        ('アイテム別限界値DB'!$G:$G = AY43) , 
        0
      )
    ), 
    "再製作"
  )
)
</f>
        <v/>
      </c>
      <c r="BD43" s="397" t="str">
        <f t="array" ref="BD43">IF(
  BB43 = "", 
  "", 
  IFERROR(
    INDEX(
      'アイテム別限界値DB'!$N:$N, 
      MATCH(
        1, 
        ('アイテム別限界値DB'!$B:$B = AZ$4) * 
        ('アイテム別限界値DB'!$G:$G = BB43), 
        0
      )
    )*BB43*BA43, 
    "再製作"
  )
)
</f>
        <v/>
      </c>
      <c r="BE43" s="469"/>
      <c r="BF43" s="488"/>
      <c r="BG43" s="423"/>
      <c r="BH43" s="485"/>
      <c r="BI43" s="405" t="str">
        <f t="array" ref="BI43">IF(
  BH43 = 0, 
  "", 
  IFERROR(
    INDEX(
      'アイテム別限界値DB'!$K:$K, 
      MATCH(
        1, 
        ('アイテム別限界値DB'!$B:$B = BE$4) * 
        ('アイテム別限界値DB'!$G:$G = BE43) , 
        0
      )
    ), 
    "再製作"
  )
)
</f>
        <v/>
      </c>
      <c r="BJ43" s="397"/>
      <c r="BK43" s="469"/>
      <c r="BL43" s="488"/>
      <c r="BM43" s="423"/>
      <c r="BN43" s="485"/>
      <c r="BO43" s="405"/>
      <c r="BP43" s="397" t="str">
        <f t="array" ref="BP43">IF(
  BN43 = "", 
  "", 
  IFERROR(
    INDEX(
      'アイテム別限界値DB'!$N:$N, 
      MATCH(
        1, 
        ('アイテム別限界値DB'!$B:$B = BL$4) * 
        ('アイテム別限界値DB'!$G:$G = BL43), 
        0
      )
    )*BN43, 
    "再製作"
  )
)
</f>
        <v/>
      </c>
      <c r="BQ43" s="469"/>
      <c r="BR43" s="488"/>
      <c r="BS43" s="423"/>
      <c r="BT43" s="485"/>
      <c r="BU43" s="405" t="str">
        <f t="array" ref="BU43">IF(
  BT43 = 0, 
  "", 
  IFERROR(
    INDEX(
      'アイテム別限界値DB'!$K:$K, 
      MATCH(
        1, 
        ('アイテム別限界値DB'!$B:$B = BQ$4) * 
        ('アイテム別限界値DB'!$G:$G = BQ43) , 
        0
      )
    ), 
    "再製作"
  )
)
</f>
        <v/>
      </c>
      <c r="BV43" s="397" t="str">
        <f t="array" ref="BV43">IF(
  BT43 = "", 
  "", 
  IFERROR(
    INDEX(
      'アイテム別限界値DB'!$N:$N, 
      MATCH(
        1, 
        ('アイテム別限界値DB'!$B:$B = BR$4) * 
        ('アイテム別限界値DB'!$G:$G = BR43), 
        0
      )
    )*BT43*BS43, 
    "再製作"
  )
)
</f>
        <v/>
      </c>
      <c r="BW43" s="469"/>
      <c r="BX43" s="488"/>
      <c r="BY43" s="423"/>
      <c r="BZ43" s="485"/>
      <c r="CA43" s="405" t="str">
        <f t="array" ref="CA43">IF(
  BZ43 = 0, 
  "", 
  IFERROR(
    INDEX(
      'アイテム別限界値DB'!$K:$K, 
      MATCH(
        1, 
        ('アイテム別限界値DB'!$B:$B = BW$4) * 
        ('アイテム別限界値DB'!$G:$G = BW43) , 
        0
      )
    ), 
    "再製作"
  )
)
</f>
        <v/>
      </c>
      <c r="CB43" s="397" t="str">
        <f t="array" ref="CB43">IF(
  BZ43 = "", 
  "", 
  IFERROR(
    INDEX(
      'アイテム別限界値DB'!$N:$N, 
      MATCH(
        1, 
        ('アイテム別限界値DB'!$B:$B = BX$4) * 
        ('アイテム別限界値DB'!$G:$G = BX43), 
        0
      )
    )*BZ43*BY43, 
    "再製作"
  )
)
</f>
        <v/>
      </c>
      <c r="CC43" s="402"/>
      <c r="CD43" s="397"/>
      <c r="CE43" s="397"/>
      <c r="CF43" s="397"/>
      <c r="CG43" s="397"/>
      <c r="CH43" s="469"/>
      <c r="CI43" s="469"/>
    </row>
    <row r="44">
      <c r="A44" s="457"/>
      <c r="B44" s="499"/>
      <c r="C44" s="499"/>
      <c r="D44" s="500" t="s">
        <v>237</v>
      </c>
      <c r="E44" s="489" t="s">
        <v>238</v>
      </c>
      <c r="F44" s="403">
        <v>1.0</v>
      </c>
      <c r="G44" s="490">
        <v>1.0</v>
      </c>
      <c r="H44" s="405" t="str">
        <f t="array" ref="H44">IF(
  G44 = 0, 
  "", 
  IFERROR(
    INDEX(
      'アイテム別限界値DB'!$K:$K, 
      MATCH(
        1, 
        ('アイテム別限界値DB'!$B:$B = D$4) * 
        ('アイテム別限界値DB'!$G:$G = D44) , 
        0
      )
    ), 
    "再製作"
  )
)
</f>
        <v>約4週間</v>
      </c>
      <c r="I44" s="397">
        <f t="array" ref="I44">IF(
  G44 = "", 
  "", 
  IFERROR(
    INDEX(
      'アイテム別限界値DB'!$N:$N, 
      MATCH(
        1, 
        ('アイテム別限界値DB'!$B:$B = D$4) * 
        ('アイテム別限界値DB'!$G:$G = D44), 
        0
      )
    )*$G44*F44, 
    "再製作"
  )
)
</f>
        <v>2530</v>
      </c>
      <c r="J44" s="479"/>
      <c r="K44" s="246" t="s">
        <v>239</v>
      </c>
      <c r="L44" s="414" t="s">
        <v>239</v>
      </c>
      <c r="M44" s="423"/>
      <c r="N44" s="490"/>
      <c r="O44" s="405" t="str">
        <f t="array" ref="O44">IF(
  N44 = 0, 
  "", 
  IFERROR(
    INDEX(
      'アイテム別限界値DB'!$K:$K, 
      MATCH(
        1, 
        ('アイテム別限界値DB'!$B:$B = K$4) * 
        ('アイテム別限界値DB'!$G:$G = K44) , 
        0
      )
    ), 
    "再製作"
  )
)
</f>
        <v/>
      </c>
      <c r="P44" s="397" t="str">
        <f t="array" ref="P44">IF(
  N44 = "", 
  "", 
  IFERROR(
    INDEX(
      'アイテム別限界値DB'!$N:$N, 
      MATCH(
        1, 
        ('アイテム別限界値DB'!$B:$B = K$4) * 
        ('アイテム別限界値DB'!$G:$G = K44), 
        0
      )
    )*$N44*M44, 
    "再製作"
  )
)
</f>
        <v/>
      </c>
      <c r="Q44" s="480"/>
      <c r="R44" s="501" t="s">
        <v>238</v>
      </c>
      <c r="S44" s="484" t="s">
        <v>238</v>
      </c>
      <c r="T44" s="423"/>
      <c r="U44" s="490"/>
      <c r="V44" s="405" t="str">
        <f t="array" ref="V44">IF(
  U44 = 0, 
  "", 
  IFERROR(
    INDEX(
      'アイテム別限界値DB'!$K:$K, 
      MATCH(
        1, 
        ('アイテム別限界値DB'!$B:$B = R$4) * 
        ('アイテム別限界値DB'!$G:$G = R44) , 
        0
      )
    ), 
    "再製作"
  )
)
</f>
        <v/>
      </c>
      <c r="W44" s="397" t="str">
        <f t="array" ref="W44">IF(
  U44 = "", 
  "", 
  IFERROR(
    INDEX(
      'アイテム別限界値DB'!$N:$N, 
      MATCH(
        1, 
        ('アイテム別限界値DB'!$B:$B = R$4) * 
        ('アイテム別限界値DB'!$G:$G = R44), 
        0
      )
    )*U44*T44, 
    "再製作"
  )
)
</f>
        <v/>
      </c>
      <c r="X44" s="469"/>
      <c r="Y44" s="481" t="s">
        <v>240</v>
      </c>
      <c r="Z44" s="484" t="s">
        <v>240</v>
      </c>
      <c r="AA44" s="423"/>
      <c r="AB44" s="490"/>
      <c r="AC44" s="405" t="str">
        <f t="array" ref="AC44">IF(
  AB44 = 0, 
  "", 
  IFERROR(
    INDEX(
      'アイテム別限界値DB'!$K:$K, 
      MATCH(
        1, 
        ('アイテム別限界値DB'!$B:$B = Y$4) * 
        ('アイテム別限界値DB'!$G:$G = Y44) , 
        0
      )
    ), 
    "再製作"
  )
)
</f>
        <v/>
      </c>
      <c r="AD44" s="397" t="str">
        <f t="array" ref="AD44">IF(
  AB44 = "", 
  "", 
  IFERROR(
    INDEX(
      'アイテム別限界値DB'!$N:$N, 
      MATCH(
        1, 
        ('アイテム別限界値DB'!$B:$B = Y$4) * 
        ('アイテム別限界値DB'!$G:$G = Y44), 
        0
      )
    )*AB44*AA44, 
    "再製作"
  )
)
</f>
        <v/>
      </c>
      <c r="AE44" s="498"/>
      <c r="AF44" s="487"/>
      <c r="AG44" s="437"/>
      <c r="AH44" s="440"/>
      <c r="AI44" s="440"/>
      <c r="AJ44" s="396" t="str">
        <f t="array" ref="AJ44">IF(
  AI44 = 0, 
  "", 
  IFERROR(
    INDEX(
      'アイテム別限界値DB'!$I:$I, 
      MATCH(
        1, 
        ('アイテム別限界値DB'!$B:$B = AF$4) * 
        ('アイテム別限界値DB'!$C:$C = AF44) * 
        ('アイテム別限界値DB'!$F:$F = AI44), 
        0
      )
    ), 
    "再製作"
  )
)
</f>
        <v/>
      </c>
      <c r="AK44" s="396"/>
      <c r="AL44" s="469"/>
      <c r="AM44" s="487"/>
      <c r="AN44" s="488"/>
      <c r="AO44" s="440"/>
      <c r="AP44" s="440"/>
      <c r="AQ44" s="396" t="str">
        <f t="array" ref="AQ44">IFS(
  AP44 = "", "", 
  AP44 = "バスト連動値", "", 
  AP44&lt;&gt;0,
  IFERROR(
    INDEX(
      'アイテム別限界値DB'!$I:$I, 
      MATCH(
        1, 
        ('アイテム別限界値DB'!$B:$B = AM$4) * 
        ('アイテム別限界値DB'!$C:$C = AM44) * 
        ('アイテム別限界値DB'!$F:$F = AP44), 
        0
      )
    ), 
    "再製作"
  )
)
</f>
        <v/>
      </c>
      <c r="AR44" s="396"/>
      <c r="AS44" s="469"/>
      <c r="AT44" s="488"/>
      <c r="AU44" s="440"/>
      <c r="AV44" s="440"/>
      <c r="AW44" s="396" t="str">
        <f t="array" ref="AW44">IFS(
  AV44 = "", "", 
  AV44 = "バスト連動値", "", 
  AV44&lt;&gt;0,
  IFERROR(
    INDEX(
      'アイテム別限界値DB'!$I:$I, 
      MATCH(
        1, 
        ('アイテム別限界値DB'!$B:$B = AT$4) * 
        ('アイテム別限界値DB'!$C:$C = AT44) * 
        ('アイテム別限界値DB'!$F:$F = AV44), 
        0
      )
    ), 
    "再製作"
  )
)
</f>
        <v/>
      </c>
      <c r="AX44" s="396"/>
      <c r="AY44" s="469"/>
      <c r="AZ44" s="488"/>
      <c r="BA44" s="440"/>
      <c r="BB44" s="440"/>
      <c r="BC44" s="396" t="str">
        <f t="array" ref="BC44">IFS(
  BB44 = "", "", 
  BB44 = "バスト連動値", "", 
  BB44&lt;&gt;0,
  IFERROR(
    INDEX(
      'アイテム別限界値DB'!$I:$I, 
      MATCH(
        1, 
        ('アイテム別限界値DB'!$B:$B = AZ$4) * 
        ('アイテム別限界値DB'!$C:$C = AZ44) * 
        ('アイテム別限界値DB'!$F:$F = BB44), 
        0
      )
    ), 
    "再製作"
  )
)
</f>
        <v/>
      </c>
      <c r="BD44" s="396"/>
      <c r="BE44" s="469"/>
      <c r="BF44" s="488"/>
      <c r="BG44" s="440"/>
      <c r="BH44" s="440"/>
      <c r="BI44" s="396" t="str">
        <f t="array" ref="BI44">IFS(
  BH44 = "", "", 
  BH44 = "バスト連動値", "", 
  BH44&lt;&gt;0,
  IFERROR(
    INDEX(
      'アイテム別限界値DB'!$I:$I, 
      MATCH(
        1, 
        ('アイテム別限界値DB'!$B:$B = BF$4) * 
        ('アイテム別限界値DB'!$C:$C = BF44) * 
        ('アイテム別限界値DB'!$F:$F = BH44), 
        0
      )
    ), 
    "再製作"
  )
)
</f>
        <v/>
      </c>
      <c r="BJ44" s="396"/>
      <c r="BK44" s="469"/>
      <c r="BL44" s="488"/>
      <c r="BM44" s="440"/>
      <c r="BN44" s="440"/>
      <c r="BO44" s="396"/>
      <c r="BP44" s="396"/>
      <c r="BQ44" s="469"/>
      <c r="BR44" s="488"/>
      <c r="BS44" s="440"/>
      <c r="BT44" s="440"/>
      <c r="BU44" s="396" t="str">
        <f t="array" ref="BU44">IFS(
  BT44 = "", "", 
  BT44 = "バスト連動値", "", 
  BT44&lt;&gt;0,
  IFERROR(
    INDEX(
      'アイテム別限界値DB'!$I:$I, 
      MATCH(
        1, 
        ('アイテム別限界値DB'!$B:$B = BR$4) * 
        ('アイテム別限界値DB'!$C:$C = BR44) * 
        ('アイテム別限界値DB'!$F:$F = BT44), 
        0
      )
    ), 
    "再製作"
  )
)
</f>
        <v/>
      </c>
      <c r="BV44" s="396"/>
      <c r="BW44" s="469"/>
      <c r="BX44" s="488"/>
      <c r="BY44" s="440"/>
      <c r="BZ44" s="440"/>
      <c r="CA44" s="396" t="str">
        <f t="array" ref="CA44">IFS(
  BZ44 = "", "", 
  BZ44 = "バスト連動値", "", 
  BZ44&lt;&gt;0,
  IFERROR(
    INDEX(
      'アイテム別限界値DB'!$I:$I, 
      MATCH(
        1, 
        ('アイテム別限界値DB'!$B:$B = BX$4) * 
        ('アイテム別限界値DB'!$C:$C = BX44) * 
        ('アイテム別限界値DB'!$F:$F = BZ44), 
        0
      )
    ), 
    "再製作"
  )
)
</f>
        <v/>
      </c>
      <c r="CB44" s="396"/>
      <c r="CC44" s="396"/>
      <c r="CD44" s="396"/>
      <c r="CE44" s="396"/>
      <c r="CF44" s="396"/>
      <c r="CG44" s="396"/>
      <c r="CH44" s="469"/>
      <c r="CI44" s="469"/>
    </row>
    <row r="45">
      <c r="A45" s="160"/>
      <c r="B45" s="502"/>
      <c r="C45" s="502"/>
      <c r="D45" s="503" t="s">
        <v>241</v>
      </c>
      <c r="E45" s="484" t="s">
        <v>242</v>
      </c>
      <c r="F45" s="403">
        <v>1.0</v>
      </c>
      <c r="G45" s="485">
        <v>1.0</v>
      </c>
      <c r="H45" s="405">
        <f t="array" ref="H45">IF(
  G45 = 0, 
  "", 
  IFERROR(
    INDEX(
      'アイテム別限界値DB'!$K:$K, 
      MATCH(
        1, 
        ('アイテム別限界値DB'!$B:$B = D$4) * 
        ('アイテム別限界値DB'!$G:$G = D45) , 
        0
      )
    ), 
    "再製作"
  )
)
</f>
        <v>46030</v>
      </c>
      <c r="I45" s="397">
        <f t="array" ref="I45">IF(
  G45 = "", 
  "", 
  IFERROR(
    INDEX(
      'アイテム別限界値DB'!$N:$N, 
      MATCH(
        1, 
        ('アイテム別限界値DB'!$B:$B = D$4) * 
        ('アイテム別限界値DB'!$G:$G = D45), 
        0
      )
    )*$G45*F45, 
    "再製作"
  )
)
</f>
        <v>2530</v>
      </c>
      <c r="J45" s="479"/>
      <c r="K45" s="246" t="s">
        <v>243</v>
      </c>
      <c r="L45" s="414" t="s">
        <v>244</v>
      </c>
      <c r="M45" s="423"/>
      <c r="N45" s="485"/>
      <c r="O45" s="405" t="str">
        <f t="array" ref="O45">IF(
  N45 = 0, 
  "", 
  IFERROR(
    INDEX(
      'アイテム別限界値DB'!$K:$K, 
      MATCH(
        1, 
        ('アイテム別限界値DB'!$B:$B = K$4) * 
        ('アイテム別限界値DB'!$G:$G = K45) , 
        0
      )
    ), 
    "再製作"
  )
)
</f>
        <v/>
      </c>
      <c r="P45" s="397" t="str">
        <f t="array" ref="P45">IF(
  N45 = "", 
  "", 
  IFERROR(
    INDEX(
      'アイテム別限界値DB'!$N:$N, 
      MATCH(
        1, 
        ('アイテム別限界値DB'!$B:$B = K$4) * 
        ('アイテム別限界値DB'!$G:$G = K45), 
        0
      )
    )*$N45*M45, 
    "再製作"
  )
)
</f>
        <v/>
      </c>
      <c r="Q45" s="480"/>
      <c r="R45" s="501" t="s">
        <v>245</v>
      </c>
      <c r="S45" s="484" t="s">
        <v>245</v>
      </c>
      <c r="T45" s="423"/>
      <c r="U45" s="485"/>
      <c r="V45" s="405" t="str">
        <f t="array" ref="V45">IF(
  U45 = 0, 
  "", 
  IFERROR(
    INDEX(
      'アイテム別限界値DB'!$K:$K, 
      MATCH(
        1, 
        ('アイテム別限界値DB'!$B:$B = R$4) * 
        ('アイテム別限界値DB'!$G:$G = R45) , 
        0
      )
    ), 
    "再製作"
  )
)
</f>
        <v/>
      </c>
      <c r="W45" s="397" t="str">
        <f t="array" ref="W45">IF(
  U45 = "", 
  "", 
  IFERROR(
    INDEX(
      'アイテム別限界値DB'!$N:$N, 
      MATCH(
        1, 
        ('アイテム別限界値DB'!$B:$B = R$4) * 
        ('アイテム別限界値DB'!$G:$G = R45), 
        0
      )
    )*U45*T45, 
    "再製作"
  )
)
</f>
        <v/>
      </c>
      <c r="X45" s="469"/>
      <c r="Y45" s="468" t="s">
        <v>246</v>
      </c>
      <c r="Z45" s="484" t="s">
        <v>247</v>
      </c>
      <c r="AA45" s="423"/>
      <c r="AB45" s="485"/>
      <c r="AC45" s="405" t="str">
        <f t="array" ref="AC45">IF(
  AB45 = 0, 
  "", 
  IFERROR(
    INDEX(
      'アイテム別限界値DB'!$K:$K, 
      MATCH(
        1, 
        ('アイテム別限界値DB'!$B:$B = Y$4) * 
        ('アイテム別限界値DB'!$G:$G = Y45) , 
        0
      )
    ), 
    "再製作"
  )
)
</f>
        <v/>
      </c>
      <c r="AD45" s="397" t="str">
        <f t="array" ref="AD45">IF(
  AB45 = "", 
  "", 
  IFERROR(
    INDEX(
      'アイテム別限界値DB'!$N:$N, 
      MATCH(
        1, 
        ('アイテム別限界値DB'!$B:$B = Y$4) * 
        ('アイテム別限界値DB'!$G:$G = Y45), 
        0
      )
    )*AB45*AA45, 
    "再製作"
  )
)
</f>
        <v/>
      </c>
      <c r="AE45" s="498"/>
      <c r="AF45" s="487"/>
      <c r="AG45" s="437"/>
      <c r="AH45" s="440"/>
      <c r="AI45" s="440"/>
      <c r="AJ45" s="396" t="str">
        <f t="array" ref="AJ45">IFS(
  AI45 = "", "", 
  AI45 = "バスト連動値", "", 
  AI45&lt;&gt;0,
  IFERROR(
    INDEX(
      'アイテム別限界値DB'!$I:$I, 
      MATCH(
        1, 
        ('アイテム別限界値DB'!$B:$B = AF$4) * 
        ('アイテム別限界値DB'!$C:$C = AF45) * 
        ('アイテム別限界値DB'!$F:$F = AI45), 
        0
      )
    ), 
    "再製作"
  )
)
</f>
        <v/>
      </c>
      <c r="AK45" s="396"/>
      <c r="AL45" s="469"/>
      <c r="AM45" s="487"/>
      <c r="AN45" s="488"/>
      <c r="AO45" s="504"/>
      <c r="AP45" s="504"/>
      <c r="AQ45" s="396" t="str">
        <f t="array" ref="AQ45">IF(
  AP45 = 0, 
  "", 
  IFERROR(
    INDEX(
      'アイテム別限界値DB'!$I:$I, 
      MATCH(
        1, 
        ('アイテム別限界値DB'!$B:$B = AM$4) * 
        ('アイテム別限界値DB'!$C:$C = AM45) * 
        ('アイテム別限界値DB'!$F:$F = AP45), 
        0
      )
    ), 
    "再製作"
  )
)
</f>
        <v/>
      </c>
      <c r="AR45" s="396"/>
      <c r="AS45" s="469"/>
      <c r="AT45" s="488"/>
      <c r="AU45" s="504"/>
      <c r="AV45" s="504"/>
      <c r="AW45" s="396" t="str">
        <f t="array" ref="AW45">IF(
  AV45 = 0, 
  "", 
  IFERROR(
    INDEX(
      'アイテム別限界値DB'!$I:$I, 
      MATCH(
        1, 
        ('アイテム別限界値DB'!$B:$B = AT$4) * 
        ('アイテム別限界値DB'!$C:$C = AT45) * 
        ('アイテム別限界値DB'!$F:$F = AV45), 
        0
      )
    ), 
    "再製作"
  )
)
</f>
        <v/>
      </c>
      <c r="AX45" s="396"/>
      <c r="AY45" s="469"/>
      <c r="AZ45" s="488"/>
      <c r="BA45" s="504"/>
      <c r="BB45" s="504"/>
      <c r="BC45" s="396" t="str">
        <f t="array" ref="BC45">IF(
  BB45 = 0, 
  "", 
  IFERROR(
    INDEX(
      'アイテム別限界値DB'!$I:$I, 
      MATCH(
        1, 
        ('アイテム別限界値DB'!$B:$B = AZ$4) * 
        ('アイテム別限界値DB'!$C:$C = AZ45) * 
        ('アイテム別限界値DB'!$F:$F = BB45), 
        0
      )
    ), 
    "再製作"
  )
)
</f>
        <v/>
      </c>
      <c r="BD45" s="396"/>
      <c r="BE45" s="469"/>
      <c r="BF45" s="488"/>
      <c r="BG45" s="504"/>
      <c r="BH45" s="504"/>
      <c r="BI45" s="396" t="str">
        <f t="array" ref="BI45">IF(
  BH45 = 0, 
  "", 
  IFERROR(
    INDEX(
      'アイテム別限界値DB'!$I:$I, 
      MATCH(
        1, 
        ('アイテム別限界値DB'!$B:$B = BF$4) * 
        ('アイテム別限界値DB'!$C:$C = BF45) * 
        ('アイテム別限界値DB'!$F:$F = BH45), 
        0
      )
    ), 
    "再製作"
  )
)
</f>
        <v/>
      </c>
      <c r="BJ45" s="396"/>
      <c r="BK45" s="469"/>
      <c r="BL45" s="488"/>
      <c r="BM45" s="504"/>
      <c r="BN45" s="504"/>
      <c r="BO45" s="396"/>
      <c r="BP45" s="396"/>
      <c r="BQ45" s="469"/>
      <c r="BR45" s="488"/>
      <c r="BS45" s="504"/>
      <c r="BT45" s="504"/>
      <c r="BU45" s="396" t="str">
        <f t="array" ref="BU45">IF(
  BT45 = 0, 
  "", 
  IFERROR(
    INDEX(
      'アイテム別限界値DB'!$I:$I, 
      MATCH(
        1, 
        ('アイテム別限界値DB'!$B:$B = BR$4) * 
        ('アイテム別限界値DB'!$C:$C = BR45) * 
        ('アイテム別限界値DB'!$F:$F = BT45), 
        0
      )
    ), 
    "再製作"
  )
)
</f>
        <v/>
      </c>
      <c r="BV45" s="396"/>
      <c r="BW45" s="469"/>
      <c r="BX45" s="488"/>
      <c r="BY45" s="504"/>
      <c r="BZ45" s="504"/>
      <c r="CA45" s="396" t="str">
        <f t="array" ref="CA45">IF(
  BZ45 = 0, 
  "", 
  IFERROR(
    INDEX(
      'アイテム別限界値DB'!$I:$I, 
      MATCH(
        1, 
        ('アイテム別限界値DB'!$B:$B = BX$4) * 
        ('アイテム別限界値DB'!$C:$C = BX45) * 
        ('アイテム別限界値DB'!$F:$F = BZ45), 
        0
      )
    ), 
    "再製作"
  )
)
</f>
        <v/>
      </c>
      <c r="CB45" s="396"/>
      <c r="CC45" s="396"/>
      <c r="CD45" s="396"/>
      <c r="CE45" s="396"/>
      <c r="CF45" s="396"/>
      <c r="CG45" s="396"/>
      <c r="CH45" s="469"/>
      <c r="CI45" s="469"/>
    </row>
    <row r="46">
      <c r="A46" s="229"/>
      <c r="B46" s="499"/>
      <c r="C46" s="499"/>
      <c r="D46" s="500" t="s">
        <v>248</v>
      </c>
      <c r="E46" s="489" t="s">
        <v>249</v>
      </c>
      <c r="F46" s="403"/>
      <c r="G46" s="490"/>
      <c r="H46" s="405" t="str">
        <f t="array" ref="H46">IF(
  G46 = 0, 
  "", 
  IFERROR(
    INDEX(
      'アイテム別限界値DB'!$K:$K, 
      MATCH(
        1, 
        ('アイテム別限界値DB'!$B:$B = D$4) * 
        ('アイテム別限界値DB'!$G:$G = D46) , 
        0
      )
    ), 
    "再製作"
  )
)
</f>
        <v/>
      </c>
      <c r="I46" s="397" t="str">
        <f t="array" ref="I46">IF(
  G46 = "", 
  "", 
  IFERROR(
    INDEX(
      'アイテム別限界値DB'!$N:$N, 
      MATCH(
        1, 
        ('アイテム別限界値DB'!$B:$B = D$4) * 
        ('アイテム別限界値DB'!$G:$G = D46), 
        0
      )
    )*$G46*F46, 
    "再製作"
  )
)
</f>
        <v/>
      </c>
      <c r="J46" s="479"/>
      <c r="K46" s="491" t="s">
        <v>238</v>
      </c>
      <c r="L46" s="414" t="s">
        <v>238</v>
      </c>
      <c r="M46" s="423"/>
      <c r="N46" s="490"/>
      <c r="O46" s="405" t="str">
        <f t="array" ref="O46">IF(
  N46 = 0, 
  "", 
  IFERROR(
    INDEX(
      'アイテム別限界値DB'!$K:$K, 
      MATCH(
        1, 
        ('アイテム別限界値DB'!$B:$B = K$4) * 
        ('アイテム別限界値DB'!$G:$G = K46) , 
        0
      )
    ), 
    "再製作"
  )
)
</f>
        <v/>
      </c>
      <c r="P46" s="397" t="str">
        <f t="array" ref="P46">IF(
  N46 = "", 
  "", 
  IFERROR(
    INDEX(
      'アイテム別限界値DB'!$N:$N, 
      MATCH(
        1, 
        ('アイテム別限界値DB'!$B:$B = K$4) * 
        ('アイテム別限界値DB'!$G:$G = K46), 
        0
      )
    )*$N46*M46, 
    "再製作"
  )
)
</f>
        <v/>
      </c>
      <c r="Q46" s="486"/>
      <c r="R46" s="493" t="s">
        <v>250</v>
      </c>
      <c r="S46" s="484" t="s">
        <v>251</v>
      </c>
      <c r="T46" s="423"/>
      <c r="U46" s="485"/>
      <c r="V46" s="405" t="str">
        <f t="array" ref="V46">IF(
  U46 = 0, 
  "", 
  IFERROR(
    INDEX(
      'アイテム別限界値DB'!$K:$K, 
      MATCH(
        1, 
        ('アイテム別限界値DB'!$B:$B = R$4) * 
        ('アイテム別限界値DB'!$G:$G = R46) , 
        0
      )
    ), 
    "再製作"
  )
)
</f>
        <v/>
      </c>
      <c r="W46" s="397" t="str">
        <f t="array" ref="W46">IF(
  U46 = "", 
  "", 
  IFERROR(
    INDEX(
      'アイテム別限界値DB'!$N:$N, 
      MATCH(
        1, 
        ('アイテム別限界値DB'!$B:$B = R$4) * 
        ('アイテム別限界値DB'!$G:$G = R46), 
        0
      )
    )*U46*T46, 
    "再製作"
  )
)
</f>
        <v/>
      </c>
      <c r="X46" s="469"/>
      <c r="Y46" s="481" t="s">
        <v>243</v>
      </c>
      <c r="Z46" s="484" t="s">
        <v>244</v>
      </c>
      <c r="AA46" s="423"/>
      <c r="AB46" s="490"/>
      <c r="AC46" s="405" t="str">
        <f t="array" ref="AC46">IF(
  AB46 = 0, 
  "", 
  IFERROR(
    INDEX(
      'アイテム別限界値DB'!$K:$K, 
      MATCH(
        1, 
        ('アイテム別限界値DB'!$B:$B = Y$4) * 
        ('アイテム別限界値DB'!$G:$G = Y46) , 
        0
      )
    ), 
    "再製作"
  )
)
</f>
        <v/>
      </c>
      <c r="AD46" s="397" t="str">
        <f t="array" ref="AD46">IF(
  AB46 = "", 
  "", 
  IFERROR(
    INDEX(
      'アイテム別限界値DB'!$N:$N, 
      MATCH(
        1, 
        ('アイテム別限界値DB'!$B:$B = Y$4) * 
        ('アイテム別限界値DB'!$G:$G = Y46), 
        0
      )
    )*AB46*AA46, 
    "再製作"
  )
)
</f>
        <v/>
      </c>
      <c r="AE46" s="498"/>
      <c r="AF46" s="93"/>
      <c r="AG46" s="437"/>
      <c r="AH46" s="440"/>
      <c r="AI46" s="440"/>
      <c r="AJ46" s="396" t="str">
        <f t="array" ref="AJ46">IF(
  AI46 = 0, 
  "", 
  IFERROR(
    INDEX(
      'アイテム別限界値DB'!$I:$I, 
      MATCH(
        1, 
        ('アイテム別限界値DB'!$B:$B = AF$4) * 
        ('アイテム別限界値DB'!$C:$C = AF46) * 
        ('アイテム別限界値DB'!$F:$F = AI46), 
        0
      )
    ), 
    "再製作"
  )
)
</f>
        <v/>
      </c>
      <c r="AK46" s="396"/>
      <c r="AL46" s="469"/>
      <c r="AM46" s="487"/>
      <c r="AN46" s="488"/>
      <c r="AO46" s="504"/>
      <c r="AP46" s="504"/>
      <c r="AQ46" s="396" t="str">
        <f t="array" ref="AQ46">IF(
  AP46 = 0, 
  "", 
  IFERROR(
    INDEX(
      'アイテム別限界値DB'!$I:$I, 
      MATCH(
        1, 
        ('アイテム別限界値DB'!$B:$B = AM$4) * 
        ('アイテム別限界値DB'!$C:$C = AM46) * 
        ('アイテム別限界値DB'!$F:$F = AP46), 
        0
      )
    ), 
    "再製作"
  )
)
</f>
        <v/>
      </c>
      <c r="AR46" s="396"/>
      <c r="AS46" s="469"/>
      <c r="AT46" s="488"/>
      <c r="AU46" s="504"/>
      <c r="AV46" s="504"/>
      <c r="AW46" s="396" t="str">
        <f t="array" ref="AW46">IF(
  AV46 = 0, 
  "", 
  IFERROR(
    INDEX(
      'アイテム別限界値DB'!$I:$I, 
      MATCH(
        1, 
        ('アイテム別限界値DB'!$B:$B = AT$4) * 
        ('アイテム別限界値DB'!$C:$C = AT46) * 
        ('アイテム別限界値DB'!$F:$F = AV46), 
        0
      )
    ), 
    "再製作"
  )
)
</f>
        <v/>
      </c>
      <c r="AX46" s="396"/>
      <c r="AY46" s="469"/>
      <c r="AZ46" s="488"/>
      <c r="BA46" s="504"/>
      <c r="BB46" s="504"/>
      <c r="BC46" s="396" t="str">
        <f t="array" ref="BC46">IF(
  BB46 = 0, 
  "", 
  IFERROR(
    INDEX(
      'アイテム別限界値DB'!$I:$I, 
      MATCH(
        1, 
        ('アイテム別限界値DB'!$B:$B = AZ$4) * 
        ('アイテム別限界値DB'!$C:$C = AZ46) * 
        ('アイテム別限界値DB'!$F:$F = BB46), 
        0
      )
    ), 
    "再製作"
  )
)
</f>
        <v/>
      </c>
      <c r="BD46" s="396"/>
      <c r="BE46" s="469"/>
      <c r="BF46" s="488"/>
      <c r="BG46" s="504"/>
      <c r="BH46" s="504"/>
      <c r="BI46" s="396" t="str">
        <f t="array" ref="BI46">IF(
  BH46 = 0, 
  "", 
  IFERROR(
    INDEX(
      'アイテム別限界値DB'!$I:$I, 
      MATCH(
        1, 
        ('アイテム別限界値DB'!$B:$B = BF$4) * 
        ('アイテム別限界値DB'!$C:$C = BF46) * 
        ('アイテム別限界値DB'!$F:$F = BH46), 
        0
      )
    ), 
    "再製作"
  )
)
</f>
        <v/>
      </c>
      <c r="BJ46" s="396"/>
      <c r="BK46" s="469"/>
      <c r="BL46" s="488"/>
      <c r="BM46" s="504"/>
      <c r="BN46" s="504"/>
      <c r="BO46" s="396"/>
      <c r="BP46" s="396"/>
      <c r="BQ46" s="469"/>
      <c r="BR46" s="488"/>
      <c r="BS46" s="504"/>
      <c r="BT46" s="504"/>
      <c r="BU46" s="396" t="str">
        <f t="array" ref="BU46">IF(
  BT46 = 0, 
  "", 
  IFERROR(
    INDEX(
      'アイテム別限界値DB'!$I:$I, 
      MATCH(
        1, 
        ('アイテム別限界値DB'!$B:$B = BR$4) * 
        ('アイテム別限界値DB'!$C:$C = BR46) * 
        ('アイテム別限界値DB'!$F:$F = BT46), 
        0
      )
    ), 
    "再製作"
  )
)
</f>
        <v/>
      </c>
      <c r="BV46" s="396"/>
      <c r="BW46" s="469"/>
      <c r="BX46" s="488"/>
      <c r="BY46" s="504"/>
      <c r="BZ46" s="504"/>
      <c r="CA46" s="396" t="str">
        <f t="array" ref="CA46">IF(
  BZ46 = 0, 
  "", 
  IFERROR(
    INDEX(
      'アイテム別限界値DB'!$I:$I, 
      MATCH(
        1, 
        ('アイテム別限界値DB'!$B:$B = BX$4) * 
        ('アイテム別限界値DB'!$C:$C = BX46) * 
        ('アイテム別限界値DB'!$F:$F = BZ46), 
        0
      )
    ), 
    "再製作"
  )
)
</f>
        <v/>
      </c>
      <c r="CB46" s="396"/>
      <c r="CC46" s="396"/>
      <c r="CD46" s="396"/>
      <c r="CE46" s="396"/>
      <c r="CF46" s="396"/>
      <c r="CG46" s="396"/>
      <c r="CH46" s="469"/>
      <c r="CI46" s="469"/>
    </row>
    <row r="47">
      <c r="A47" s="499"/>
      <c r="B47" s="499"/>
      <c r="C47" s="499"/>
      <c r="D47" s="500" t="s">
        <v>252</v>
      </c>
      <c r="E47" s="489" t="s">
        <v>253</v>
      </c>
      <c r="F47" s="403"/>
      <c r="G47" s="490"/>
      <c r="H47" s="405" t="str">
        <f t="array" ref="H47">IF(
  G47 = 0, 
  "", 
  IFERROR(
    INDEX(
      'アイテム別限界値DB'!$K:$K, 
      MATCH(
        1, 
        ('アイテム別限界値DB'!$B:$B = D$4) * 
        ('アイテム別限界値DB'!$G:$G = D47) , 
        0
      )
    ), 
    "再製作"
  )
)
</f>
        <v/>
      </c>
      <c r="I47" s="397" t="str">
        <f t="array" ref="I47">IF(
  G47 = "", 
  "", 
  IFERROR(
    INDEX(
      'アイテム別限界値DB'!$N:$N, 
      MATCH(
        1, 
        ('アイテム別限界値DB'!$B:$B = D$4) * 
        ('アイテム別限界値DB'!$G:$G = D47), 
        0
      )
    )*$G47*F47, 
    "再製作"
  )
)
</f>
        <v/>
      </c>
      <c r="J47" s="479"/>
      <c r="K47" s="505" t="s">
        <v>254</v>
      </c>
      <c r="L47" s="414" t="s">
        <v>251</v>
      </c>
      <c r="M47" s="423"/>
      <c r="N47" s="485"/>
      <c r="O47" s="405" t="str">
        <f t="array" ref="O47">IF(
  N47 = 0, 
  "", 
  IFERROR(
    INDEX(
      'アイテム別限界値DB'!$K:$K, 
      MATCH(
        1, 
        ('アイテム別限界値DB'!$B:$B = K$4) * 
        ('アイテム別限界値DB'!$G:$G = K47) , 
        0
      )
    ), 
    "再製作"
  )
)
</f>
        <v/>
      </c>
      <c r="P47" s="397" t="str">
        <f t="array" ref="P47">IF(
  N47 = "", 
  "", 
  IFERROR(
    INDEX(
      'アイテム別限界値DB'!$N:$N, 
      MATCH(
        1, 
        ('アイテム別限界値DB'!$B:$B = K$4) * 
        ('アイテム別限界値DB'!$G:$G = K47), 
        0
      )
    )*$N47*M47, 
    "再製作"
  )
)
</f>
        <v/>
      </c>
      <c r="Q47" s="498"/>
      <c r="R47" s="493" t="s">
        <v>255</v>
      </c>
      <c r="S47" s="484" t="s">
        <v>249</v>
      </c>
      <c r="T47" s="423"/>
      <c r="U47" s="490"/>
      <c r="V47" s="405" t="str">
        <f t="array" ref="V47">IF(
  U47 = 0, 
  "", 
  IFERROR(
    INDEX(
      'アイテム別限界値DB'!$K:$K, 
      MATCH(
        1, 
        ('アイテム別限界値DB'!$B:$B = R$4) * 
        ('アイテム別限界値DB'!$G:$G = R47) , 
        0
      )
    ), 
    "再製作"
  )
)
</f>
        <v/>
      </c>
      <c r="W47" s="397" t="str">
        <f t="array" ref="W47">IF(
  U47 = "", 
  "", 
  IFERROR(
    INDEX(
      'アイテム別限界値DB'!$N:$N, 
      MATCH(
        1, 
        ('アイテム別限界値DB'!$B:$B = R$4) * 
        ('アイテム別限界値DB'!$G:$G = R47), 
        0
      )
    )*U47*T47, 
    "再製作"
  )
)
</f>
        <v/>
      </c>
      <c r="X47" s="469"/>
      <c r="Y47" s="468" t="s">
        <v>256</v>
      </c>
      <c r="Z47" s="484" t="s">
        <v>249</v>
      </c>
      <c r="AA47" s="423"/>
      <c r="AB47" s="485"/>
      <c r="AC47" s="405" t="str">
        <f t="array" ref="AC47">IF(
  AB47 = 0, 
  "", 
  IFERROR(
    INDEX(
      'アイテム別限界値DB'!$K:$K, 
      MATCH(
        1, 
        ('アイテム別限界値DB'!$B:$B = Y$4) * 
        ('アイテム別限界値DB'!$G:$G = Y47) , 
        0
      )
    ), 
    "再製作"
  )
)
</f>
        <v/>
      </c>
      <c r="AD47" s="397" t="str">
        <f t="array" ref="AD47">IF(
  AB47 = "", 
  "", 
  IFERROR(
    INDEX(
      'アイテム別限界値DB'!$N:$N, 
      MATCH(
        1, 
        ('アイテム別限界値DB'!$B:$B = Y$4) * 
        ('アイテム別限界値DB'!$G:$G = Y47), 
        0
      )
    )*AB47*AA47, 
    "再製作"
  )
)
</f>
        <v/>
      </c>
      <c r="AE47" s="498"/>
      <c r="AF47" s="93"/>
      <c r="AG47" s="437"/>
      <c r="AH47" s="440"/>
      <c r="AI47" s="440"/>
      <c r="AJ47" s="396" t="str">
        <f t="array" ref="AJ47">IF(
  AI47 = 0, 
  "", 
  IFERROR(
    INDEX(
      'アイテム別限界値DB'!$I:$I, 
      MATCH(
        1, 
        ('アイテム別限界値DB'!$B:$B = AF$4) * 
        ('アイテム別限界値DB'!$C:$C = AF47) * 
        ('アイテム別限界値DB'!$F:$F = AI47), 
        0
      )
    ), 
    "再製作"
  )
)
</f>
        <v/>
      </c>
      <c r="AK47" s="396"/>
      <c r="AL47" s="469"/>
      <c r="AM47" s="93"/>
      <c r="AN47" s="474"/>
      <c r="AO47" s="504"/>
      <c r="AP47" s="504"/>
      <c r="AQ47" s="396" t="str">
        <f t="array" ref="AQ47">IF(
  AP47 = 0, 
  "", 
  IFERROR(
    INDEX(
      'アイテム別限界値DB'!$I:$I, 
      MATCH(
        1, 
        ('アイテム別限界値DB'!$B:$B = AM$4) * 
        ('アイテム別限界値DB'!$C:$C = AM47) * 
        ('アイテム別限界値DB'!$F:$F = AP47), 
        0
      )
    ), 
    "再製作"
  )
)
</f>
        <v/>
      </c>
      <c r="AR47" s="396"/>
      <c r="AS47" s="469"/>
      <c r="AT47" s="474"/>
      <c r="AU47" s="504"/>
      <c r="AV47" s="504"/>
      <c r="AW47" s="396" t="str">
        <f t="array" ref="AW47">IF(
  AV47 = 0, 
  "", 
  IFERROR(
    INDEX(
      'アイテム別限界値DB'!$I:$I, 
      MATCH(
        1, 
        ('アイテム別限界値DB'!$B:$B = AT$4) * 
        ('アイテム別限界値DB'!$C:$C = AT47) * 
        ('アイテム別限界値DB'!$F:$F = AV47), 
        0
      )
    ), 
    "再製作"
  )
)
</f>
        <v/>
      </c>
      <c r="AX47" s="396"/>
      <c r="AY47" s="469"/>
      <c r="AZ47" s="474"/>
      <c r="BA47" s="504"/>
      <c r="BB47" s="504"/>
      <c r="BC47" s="396" t="str">
        <f t="array" ref="BC47">IF(
  BB47 = 0, 
  "", 
  IFERROR(
    INDEX(
      'アイテム別限界値DB'!$I:$I, 
      MATCH(
        1, 
        ('アイテム別限界値DB'!$B:$B = AZ$4) * 
        ('アイテム別限界値DB'!$C:$C = AZ47) * 
        ('アイテム別限界値DB'!$F:$F = BB47), 
        0
      )
    ), 
    "再製作"
  )
)
</f>
        <v/>
      </c>
      <c r="BD47" s="396"/>
      <c r="BE47" s="469"/>
      <c r="BF47" s="474"/>
      <c r="BG47" s="504"/>
      <c r="BH47" s="504"/>
      <c r="BI47" s="396" t="str">
        <f t="array" ref="BI47">IF(
  BH47 = 0, 
  "", 
  IFERROR(
    INDEX(
      'アイテム別限界値DB'!$I:$I, 
      MATCH(
        1, 
        ('アイテム別限界値DB'!$B:$B = BF$4) * 
        ('アイテム別限界値DB'!$C:$C = BF47) * 
        ('アイテム別限界値DB'!$F:$F = BH47), 
        0
      )
    ), 
    "再製作"
  )
)
</f>
        <v/>
      </c>
      <c r="BJ47" s="396"/>
      <c r="BK47" s="469"/>
      <c r="BL47" s="474"/>
      <c r="BM47" s="504"/>
      <c r="BN47" s="504"/>
      <c r="BO47" s="396"/>
      <c r="BP47" s="396"/>
      <c r="BQ47" s="469"/>
      <c r="BR47" s="474"/>
      <c r="BS47" s="504"/>
      <c r="BT47" s="504"/>
      <c r="BU47" s="396" t="str">
        <f t="array" ref="BU47">IF(
  BT47 = 0, 
  "", 
  IFERROR(
    INDEX(
      'アイテム別限界値DB'!$I:$I, 
      MATCH(
        1, 
        ('アイテム別限界値DB'!$B:$B = BR$4) * 
        ('アイテム別限界値DB'!$C:$C = BR47) * 
        ('アイテム別限界値DB'!$F:$F = BT47), 
        0
      )
    ), 
    "再製作"
  )
)
</f>
        <v/>
      </c>
      <c r="BV47" s="396"/>
      <c r="BW47" s="469"/>
      <c r="BX47" s="474"/>
      <c r="BY47" s="504"/>
      <c r="BZ47" s="504"/>
      <c r="CA47" s="396" t="str">
        <f t="array" ref="CA47">IF(
  BZ47 = 0, 
  "", 
  IFERROR(
    INDEX(
      'アイテム別限界値DB'!$I:$I, 
      MATCH(
        1, 
        ('アイテム別限界値DB'!$B:$B = BX$4) * 
        ('アイテム別限界値DB'!$C:$C = BX47) * 
        ('アイテム別限界値DB'!$F:$F = BZ47), 
        0
      )
    ), 
    "再製作"
  )
)
</f>
        <v/>
      </c>
      <c r="CB47" s="396"/>
      <c r="CC47" s="396"/>
      <c r="CD47" s="396"/>
      <c r="CE47" s="396"/>
      <c r="CF47" s="396"/>
      <c r="CG47" s="396"/>
      <c r="CH47" s="469"/>
      <c r="CI47" s="469"/>
    </row>
    <row r="48">
      <c r="A48" s="502"/>
      <c r="B48" s="502"/>
      <c r="C48" s="502"/>
      <c r="D48" s="503" t="s">
        <v>257</v>
      </c>
      <c r="E48" s="489" t="s">
        <v>258</v>
      </c>
      <c r="F48" s="403"/>
      <c r="G48" s="490"/>
      <c r="H48" s="405" t="str">
        <f t="array" ref="H48">IF(
  G48 = 0, 
  "", 
  IFERROR(
    INDEX(
      'アイテム別限界値DB'!$K:$K, 
      MATCH(
        1, 
        ('アイテム別限界値DB'!$B:$B = D$4) * 
        ('アイテム別限界値DB'!$G:$G = D48) , 
        0
      )
    ), 
    "再製作"
  )
)
</f>
        <v/>
      </c>
      <c r="I48" s="397" t="str">
        <f t="array" ref="I48">IF(
  G48 = "", 
  "", 
  IFERROR(
    INDEX(
      'アイテム別限界値DB'!$N:$N, 
      MATCH(
        1, 
        ('アイテム別限界値DB'!$B:$B = D$4) * 
        ('アイテム別限界値DB'!$G:$G = D48), 
        0
      )
    )*$G48*F48, 
    "再製作"
  )
)
</f>
        <v/>
      </c>
      <c r="J48" s="479"/>
      <c r="K48" s="483" t="s">
        <v>259</v>
      </c>
      <c r="L48" s="414" t="s">
        <v>259</v>
      </c>
      <c r="M48" s="423"/>
      <c r="N48" s="485"/>
      <c r="O48" s="405" t="str">
        <f t="array" ref="O48">IF(
  N48 = 0, 
  "", 
  IFERROR(
    INDEX(
      'アイテム別限界値DB'!$K:$K, 
      MATCH(
        1, 
        ('アイテム別限界値DB'!$B:$B = K$4) * 
        ('アイテム別限界値DB'!$G:$G = K48) , 
        0
      )
    ), 
    "再製作"
  )
)
</f>
        <v/>
      </c>
      <c r="P48" s="397" t="str">
        <f t="array" ref="P48">IF(
  N48 = "", 
  "", 
  IFERROR(
    INDEX(
      'アイテム別限界値DB'!$N:$N, 
      MATCH(
        1, 
        ('アイテム別限界値DB'!$B:$B = K$4) * 
        ('アイテム別限界値DB'!$G:$G = K48), 
        0
      )
    )*$N48*M48, 
    "再製作"
  )
)
</f>
        <v/>
      </c>
      <c r="Q48" s="498"/>
      <c r="R48" s="493" t="s">
        <v>260</v>
      </c>
      <c r="S48" s="484" t="s">
        <v>253</v>
      </c>
      <c r="T48" s="423"/>
      <c r="U48" s="485"/>
      <c r="V48" s="405" t="str">
        <f t="array" ref="V48">IF(
  U48 = 0, 
  "", 
  IFERROR(
    INDEX(
      'アイテム別限界値DB'!$K:$K, 
      MATCH(
        1, 
        ('アイテム別限界値DB'!$B:$B = R$4) * 
        ('アイテム別限界値DB'!$G:$G = R48) , 
        0
      )
    ), 
    "再製作"
  )
)
</f>
        <v/>
      </c>
      <c r="W48" s="397" t="str">
        <f t="array" ref="W48">IF(
  U48 = "", 
  "", 
  IFERROR(
    INDEX(
      'アイテム別限界値DB'!$N:$N, 
      MATCH(
        1, 
        ('アイテム別限界値DB'!$B:$B = R$4) * 
        ('アイテム別限界値DB'!$G:$G = R48), 
        0
      )
    )*U48*T48, 
    "再製作"
  )
)
</f>
        <v/>
      </c>
      <c r="X48" s="469"/>
      <c r="Y48" s="468" t="s">
        <v>260</v>
      </c>
      <c r="Z48" s="484" t="s">
        <v>253</v>
      </c>
      <c r="AA48" s="423"/>
      <c r="AB48" s="490"/>
      <c r="AC48" s="405" t="str">
        <f t="array" ref="AC48">IF(
  AB48 = 0, 
  "", 
  IFERROR(
    INDEX(
      'アイテム別限界値DB'!$K:$K, 
      MATCH(
        1, 
        ('アイテム別限界値DB'!$B:$B = Y$4) * 
        ('アイテム別限界値DB'!$G:$G = Y48) , 
        0
      )
    ), 
    "再製作"
  )
)
</f>
        <v/>
      </c>
      <c r="AD48" s="397" t="str">
        <f t="array" ref="AD48">IF(
  AB48 = "", 
  "", 
  IFERROR(
    INDEX(
      'アイテム別限界値DB'!$N:$N, 
      MATCH(
        1, 
        ('アイテム別限界値DB'!$B:$B = Y$4) * 
        ('アイテム別限界値DB'!$G:$G = Y48), 
        0
      )
    )*AB48*AA48, 
    "再製作"
  )
)
</f>
        <v/>
      </c>
      <c r="AE48" s="498"/>
      <c r="AF48" s="487"/>
      <c r="AG48" s="506"/>
      <c r="AH48" s="507"/>
      <c r="AI48" s="507"/>
      <c r="AJ48" s="396" t="str">
        <f t="array" ref="AJ48">IF(
  AI48 = 0, 
  "", 
  IFERROR(
    INDEX(
      'アイテム別限界値DB'!$I:$I, 
      MATCH(
        1, 
        ('アイテム別限界値DB'!$B:$B = AF$4) * 
        ('アイテム別限界値DB'!$C:$C = AF48) * 
        ('アイテム別限界値DB'!$F:$F = AI48), 
        0
      )
    ), 
    "再製作"
  )
)
</f>
        <v/>
      </c>
      <c r="AK48" s="396"/>
      <c r="AL48" s="469"/>
      <c r="AM48" s="93"/>
      <c r="AN48" s="474"/>
      <c r="AO48" s="504"/>
      <c r="AP48" s="504"/>
      <c r="AQ48" s="396" t="str">
        <f t="array" ref="AQ48">IF(
  AP48 = 0, 
  "", 
  IFERROR(
    INDEX(
      'アイテム別限界値DB'!$I:$I, 
      MATCH(
        1, 
        ('アイテム別限界値DB'!$B:$B = AM$4) * 
        ('アイテム別限界値DB'!$C:$C = AM48) * 
        ('アイテム別限界値DB'!$F:$F = AP48), 
        0
      )
    ), 
    "再製作"
  )
)
</f>
        <v/>
      </c>
      <c r="AR48" s="396"/>
      <c r="AS48" s="469"/>
      <c r="AT48" s="474"/>
      <c r="AU48" s="504"/>
      <c r="AV48" s="504"/>
      <c r="AW48" s="396" t="str">
        <f t="array" ref="AW48">IF(
  AV48 = 0, 
  "", 
  IFERROR(
    INDEX(
      'アイテム別限界値DB'!$I:$I, 
      MATCH(
        1, 
        ('アイテム別限界値DB'!$B:$B = AT$4) * 
        ('アイテム別限界値DB'!$C:$C = AT48) * 
        ('アイテム別限界値DB'!$F:$F = AV48), 
        0
      )
    ), 
    "再製作"
  )
)
</f>
        <v/>
      </c>
      <c r="AX48" s="396"/>
      <c r="AY48" s="469"/>
      <c r="AZ48" s="474"/>
      <c r="BA48" s="504"/>
      <c r="BB48" s="504"/>
      <c r="BC48" s="396" t="str">
        <f t="array" ref="BC48">IF(
  BB48 = 0, 
  "", 
  IFERROR(
    INDEX(
      'アイテム別限界値DB'!$I:$I, 
      MATCH(
        1, 
        ('アイテム別限界値DB'!$B:$B = AZ$4) * 
        ('アイテム別限界値DB'!$C:$C = AZ48) * 
        ('アイテム別限界値DB'!$F:$F = BB48), 
        0
      )
    ), 
    "再製作"
  )
)
</f>
        <v/>
      </c>
      <c r="BD48" s="396"/>
      <c r="BE48" s="469"/>
      <c r="BF48" s="474"/>
      <c r="BG48" s="504"/>
      <c r="BH48" s="504"/>
      <c r="BI48" s="396" t="str">
        <f t="array" ref="BI48">IF(
  BH48 = 0, 
  "", 
  IFERROR(
    INDEX(
      'アイテム別限界値DB'!$I:$I, 
      MATCH(
        1, 
        ('アイテム別限界値DB'!$B:$B = BF$4) * 
        ('アイテム別限界値DB'!$C:$C = BF48) * 
        ('アイテム別限界値DB'!$F:$F = BH48), 
        0
      )
    ), 
    "再製作"
  )
)
</f>
        <v/>
      </c>
      <c r="BJ48" s="396"/>
      <c r="BK48" s="469"/>
      <c r="BL48" s="474"/>
      <c r="BM48" s="504"/>
      <c r="BN48" s="504"/>
      <c r="BO48" s="396"/>
      <c r="BP48" s="396"/>
      <c r="BQ48" s="469"/>
      <c r="BR48" s="474"/>
      <c r="BS48" s="504"/>
      <c r="BT48" s="504"/>
      <c r="BU48" s="396" t="str">
        <f t="array" ref="BU48">IF(
  BT48 = 0, 
  "", 
  IFERROR(
    INDEX(
      'アイテム別限界値DB'!$I:$I, 
      MATCH(
        1, 
        ('アイテム別限界値DB'!$B:$B = BR$4) * 
        ('アイテム別限界値DB'!$C:$C = BR48) * 
        ('アイテム別限界値DB'!$F:$F = BT48), 
        0
      )
    ), 
    "再製作"
  )
)
</f>
        <v/>
      </c>
      <c r="BV48" s="396"/>
      <c r="BW48" s="469"/>
      <c r="BX48" s="474"/>
      <c r="BY48" s="504"/>
      <c r="BZ48" s="504"/>
      <c r="CA48" s="396" t="str">
        <f t="array" ref="CA48">IF(
  BZ48 = 0, 
  "", 
  IFERROR(
    INDEX(
      'アイテム別限界値DB'!$I:$I, 
      MATCH(
        1, 
        ('アイテム別限界値DB'!$B:$B = BX$4) * 
        ('アイテム別限界値DB'!$C:$C = BX48) * 
        ('アイテム別限界値DB'!$F:$F = BZ48), 
        0
      )
    ), 
    "再製作"
  )
)
</f>
        <v/>
      </c>
      <c r="CB48" s="396"/>
      <c r="CC48" s="396"/>
      <c r="CD48" s="396"/>
      <c r="CE48" s="396"/>
      <c r="CF48" s="396"/>
      <c r="CG48" s="396"/>
      <c r="CH48" s="469"/>
      <c r="CI48" s="469"/>
    </row>
    <row r="49">
      <c r="A49" s="503"/>
      <c r="B49" s="503"/>
      <c r="C49" s="503"/>
      <c r="D49" s="503"/>
      <c r="E49" s="508"/>
      <c r="F49" s="509"/>
      <c r="G49" s="509"/>
      <c r="H49" s="396"/>
      <c r="I49" s="402"/>
      <c r="J49" s="468"/>
      <c r="K49" s="483" t="s">
        <v>261</v>
      </c>
      <c r="L49" s="414" t="s">
        <v>262</v>
      </c>
      <c r="M49" s="423"/>
      <c r="N49" s="485"/>
      <c r="O49" s="405" t="str">
        <f t="array" ref="O49">IF(
  N49 = 0, 
  "", 
  IFERROR(
    INDEX(
      'アイテム別限界値DB'!$K:$K, 
      MATCH(
        1, 
        ('アイテム別限界値DB'!$B:$B = K$4) * 
        ('アイテム別限界値DB'!$G:$G = K49) , 
        0
      )
    ), 
    "再製作"
  )
)
</f>
        <v/>
      </c>
      <c r="P49" s="397" t="str">
        <f t="array" ref="P49">IF(
  N49 = "", 
  "", 
  IFERROR(
    INDEX(
      'アイテム別限界値DB'!$N:$N, 
      MATCH(
        1, 
        ('アイテム別限界値DB'!$B:$B = K$4) * 
        ('アイテム別限界値DB'!$G:$G = K49), 
        0
      )
    )*$N49*M49, 
    "再製作"
  )
)
</f>
        <v/>
      </c>
      <c r="Q49" s="501"/>
      <c r="R49" s="493" t="s">
        <v>263</v>
      </c>
      <c r="S49" s="484" t="s">
        <v>258</v>
      </c>
      <c r="T49" s="423"/>
      <c r="U49" s="490"/>
      <c r="V49" s="405" t="str">
        <f t="array" ref="V49">IF(
  U49 = 0, 
  "", 
  IFERROR(
    INDEX(
      'アイテム別限界値DB'!$K:$K, 
      MATCH(
        1, 
        ('アイテム別限界値DB'!$B:$B = R$4) * 
        ('アイテム別限界値DB'!$G:$G = R49) , 
        0
      )
    ), 
    "再製作"
  )
)
</f>
        <v/>
      </c>
      <c r="W49" s="397" t="str">
        <f t="array" ref="W49">IF(
  U49 = "", 
  "", 
  IFERROR(
    INDEX(
      'アイテム別限界値DB'!$N:$N, 
      MATCH(
        1, 
        ('アイテム別限界値DB'!$B:$B = R$4) * 
        ('アイテム別限界値DB'!$G:$G = R49), 
        0
      )
    )*U49*T49, 
    "再製作"
  )
)
</f>
        <v/>
      </c>
      <c r="X49" s="493"/>
      <c r="Y49" s="468" t="s">
        <v>264</v>
      </c>
      <c r="Z49" s="484" t="s">
        <v>265</v>
      </c>
      <c r="AA49" s="423"/>
      <c r="AB49" s="485"/>
      <c r="AC49" s="405" t="str">
        <f t="array" ref="AC49">IF(
  AB49 = 0, 
  "", 
  IFERROR(
    INDEX(
      'アイテム別限界値DB'!$K:$K, 
      MATCH(
        1, 
        ('アイテム別限界値DB'!$B:$B = Y$4) * 
        ('アイテム別限界値DB'!$G:$G = Y49) , 
        0
      )
    ), 
    "再製作"
  )
)
</f>
        <v/>
      </c>
      <c r="AD49" s="397" t="str">
        <f t="array" ref="AD49">IF(
  AB49 = "", 
  "", 
  IFERROR(
    INDEX(
      'アイテム別限界値DB'!$N:$N, 
      MATCH(
        1, 
        ('アイテム別限界値DB'!$B:$B = Y$4) * 
        ('アイテム別限界値DB'!$G:$G = Y49), 
        0
      )
    )*AB49*AA49, 
    "再製作"
  )
)
</f>
        <v/>
      </c>
      <c r="AE49" s="501"/>
      <c r="AF49" s="497"/>
      <c r="AG49" s="510"/>
      <c r="AH49" s="386"/>
      <c r="AI49" s="386"/>
      <c r="AJ49" s="396" t="str">
        <f t="array" ref="AJ49">IF(
  AI49 = 0, 
  "", 
  IFERROR(
    INDEX(
      'アイテム別限界値DB'!$I:$I, 
      MATCH(
        1, 
        ('アイテム別限界値DB'!$B:$B = AF$4) * 
        ('アイテム別限界値DB'!$C:$C = AF49) * 
        ('アイテム別限界値DB'!$F:$F = AI49), 
        0
      )
    ), 
    "再製作"
  )
)
</f>
        <v/>
      </c>
      <c r="AK49" s="396"/>
      <c r="AL49" s="493"/>
      <c r="AM49" s="487"/>
      <c r="AN49" s="488"/>
      <c r="AO49" s="511"/>
      <c r="AP49" s="511"/>
      <c r="AQ49" s="396" t="str">
        <f t="array" ref="AQ49">IF(
  AP49 = 0, 
  "", 
  IFERROR(
    INDEX(
      'アイテム別限界値DB'!$I:$I, 
      MATCH(
        1, 
        ('アイテム別限界値DB'!$B:$B = AM$4) * 
        ('アイテム別限界値DB'!$C:$C = AM49) * 
        ('アイテム別限界値DB'!$F:$F = AP49), 
        0
      )
    ), 
    "再製作"
  )
)
</f>
        <v/>
      </c>
      <c r="AR49" s="396"/>
      <c r="AS49" s="493"/>
      <c r="AT49" s="488"/>
      <c r="AU49" s="511"/>
      <c r="AV49" s="511"/>
      <c r="AW49" s="396" t="str">
        <f t="array" ref="AW49">IF(
  AV49 = 0, 
  "", 
  IFERROR(
    INDEX(
      'アイテム別限界値DB'!$I:$I, 
      MATCH(
        1, 
        ('アイテム別限界値DB'!$B:$B = AT$4) * 
        ('アイテム別限界値DB'!$C:$C = AT49) * 
        ('アイテム別限界値DB'!$F:$F = AV49), 
        0
      )
    ), 
    "再製作"
  )
)
</f>
        <v/>
      </c>
      <c r="AX49" s="396"/>
      <c r="AY49" s="493"/>
      <c r="AZ49" s="488"/>
      <c r="BA49" s="511"/>
      <c r="BB49" s="511"/>
      <c r="BC49" s="396" t="str">
        <f t="array" ref="BC49">IF(
  BB49 = 0, 
  "", 
  IFERROR(
    INDEX(
      'アイテム別限界値DB'!$I:$I, 
      MATCH(
        1, 
        ('アイテム別限界値DB'!$B:$B = AZ$4) * 
        ('アイテム別限界値DB'!$C:$C = AZ49) * 
        ('アイテム別限界値DB'!$F:$F = BB49), 
        0
      )
    ), 
    "再製作"
  )
)
</f>
        <v/>
      </c>
      <c r="BD49" s="396"/>
      <c r="BE49" s="493"/>
      <c r="BF49" s="488"/>
      <c r="BG49" s="511"/>
      <c r="BH49" s="511"/>
      <c r="BI49" s="396" t="str">
        <f t="array" ref="BI49">IF(
  BH49 = 0, 
  "", 
  IFERROR(
    INDEX(
      'アイテム別限界値DB'!$I:$I, 
      MATCH(
        1, 
        ('アイテム別限界値DB'!$B:$B = BF$4) * 
        ('アイテム別限界値DB'!$C:$C = BF49) * 
        ('アイテム別限界値DB'!$F:$F = BH49), 
        0
      )
    ), 
    "再製作"
  )
)
</f>
        <v/>
      </c>
      <c r="BJ49" s="396"/>
      <c r="BK49" s="493"/>
      <c r="BL49" s="488"/>
      <c r="BM49" s="511"/>
      <c r="BN49" s="511"/>
      <c r="BO49" s="396"/>
      <c r="BP49" s="396"/>
      <c r="BQ49" s="493"/>
      <c r="BR49" s="488"/>
      <c r="BS49" s="511"/>
      <c r="BT49" s="511"/>
      <c r="BU49" s="396" t="str">
        <f t="array" ref="BU49">IF(
  BT49 = 0, 
  "", 
  IFERROR(
    INDEX(
      'アイテム別限界値DB'!$I:$I, 
      MATCH(
        1, 
        ('アイテム別限界値DB'!$B:$B = BR$4) * 
        ('アイテム別限界値DB'!$C:$C = BR49) * 
        ('アイテム別限界値DB'!$F:$F = BT49), 
        0
      )
    ), 
    "再製作"
  )
)
</f>
        <v/>
      </c>
      <c r="BV49" s="396"/>
      <c r="BW49" s="493"/>
      <c r="BX49" s="488"/>
      <c r="BY49" s="511"/>
      <c r="BZ49" s="511"/>
      <c r="CA49" s="396" t="str">
        <f t="array" ref="CA49">IF(
  BZ49 = 0, 
  "", 
  IFERROR(
    INDEX(
      'アイテム別限界値DB'!$I:$I, 
      MATCH(
        1, 
        ('アイテム別限界値DB'!$B:$B = BX$4) * 
        ('アイテム別限界値DB'!$C:$C = BX49) * 
        ('アイテム別限界値DB'!$F:$F = BZ49), 
        0
      )
    ), 
    "再製作"
  )
)
</f>
        <v/>
      </c>
      <c r="CB49" s="396"/>
      <c r="CC49" s="396"/>
      <c r="CD49" s="396"/>
      <c r="CE49" s="396"/>
      <c r="CF49" s="396"/>
      <c r="CG49" s="396"/>
      <c r="CH49" s="493"/>
      <c r="CI49" s="493"/>
    </row>
    <row r="50">
      <c r="A50" s="503"/>
      <c r="B50" s="503"/>
      <c r="C50" s="503"/>
      <c r="D50" s="503"/>
      <c r="E50" s="509"/>
      <c r="F50" s="509"/>
      <c r="G50" s="509"/>
      <c r="H50" s="396"/>
      <c r="I50" s="402"/>
      <c r="J50" s="468"/>
      <c r="K50" s="483" t="s">
        <v>266</v>
      </c>
      <c r="L50" s="414" t="s">
        <v>240</v>
      </c>
      <c r="M50" s="423"/>
      <c r="N50" s="485"/>
      <c r="O50" s="405" t="str">
        <f t="array" ref="O50">IF(
  N50 = 0, 
  "", 
  IFERROR(
    INDEX(
      'アイテム別限界値DB'!$K:$K, 
      MATCH(
        1, 
        ('アイテム別限界値DB'!$B:$B = K$4) * 
        ('アイテム別限界値DB'!$G:$G = K50) , 
        0
      )
    ), 
    "再製作"
  )
)
</f>
        <v/>
      </c>
      <c r="P50" s="397" t="str">
        <f t="array" ref="P50">IF(
  N50 = "", 
  "", 
  IFERROR(
    INDEX(
      'アイテム別限界値DB'!$N:$N, 
      MATCH(
        1, 
        ('アイテム別限界値DB'!$B:$B = K$4) * 
        ('アイテム別限界値DB'!$G:$G = K50), 
        0
      )
    )*$N50*M50, 
    "再製作"
  )
)
</f>
        <v/>
      </c>
      <c r="Q50" s="501"/>
      <c r="R50" s="493"/>
      <c r="S50" s="493"/>
      <c r="T50" s="493"/>
      <c r="U50" s="493"/>
      <c r="V50" s="317"/>
      <c r="W50" s="317"/>
      <c r="X50" s="493"/>
      <c r="Y50" s="468"/>
      <c r="Z50" s="448"/>
      <c r="AA50" s="386"/>
      <c r="AB50" s="386"/>
      <c r="AC50" s="396"/>
      <c r="AD50" s="396"/>
      <c r="AE50" s="501"/>
      <c r="AF50" s="497"/>
      <c r="AG50" s="510"/>
      <c r="AH50" s="386"/>
      <c r="AI50" s="386"/>
      <c r="AJ50" s="396"/>
      <c r="AK50" s="396"/>
      <c r="AL50" s="493"/>
      <c r="AM50" s="487"/>
      <c r="AN50" s="488"/>
      <c r="AO50" s="511"/>
      <c r="AP50" s="511"/>
      <c r="AQ50" s="396"/>
      <c r="AR50" s="396"/>
      <c r="AS50" s="493"/>
      <c r="AT50" s="488"/>
      <c r="AU50" s="511"/>
      <c r="AV50" s="511"/>
      <c r="AW50" s="396"/>
      <c r="AX50" s="396"/>
      <c r="AY50" s="493"/>
      <c r="AZ50" s="488"/>
      <c r="BA50" s="511"/>
      <c r="BB50" s="511"/>
      <c r="BC50" s="396"/>
      <c r="BD50" s="396"/>
      <c r="BE50" s="493"/>
      <c r="BF50" s="488"/>
      <c r="BG50" s="511"/>
      <c r="BH50" s="511"/>
      <c r="BI50" s="396"/>
      <c r="BJ50" s="396"/>
      <c r="BK50" s="493"/>
      <c r="BL50" s="488"/>
      <c r="BM50" s="511"/>
      <c r="BN50" s="511"/>
      <c r="BO50" s="396"/>
      <c r="BP50" s="396"/>
      <c r="BQ50" s="493"/>
      <c r="BR50" s="488"/>
      <c r="BS50" s="511"/>
      <c r="BT50" s="511"/>
      <c r="BU50" s="396"/>
      <c r="BV50" s="396"/>
      <c r="BW50" s="493"/>
      <c r="BX50" s="488"/>
      <c r="BY50" s="511"/>
      <c r="BZ50" s="511"/>
      <c r="CA50" s="396"/>
      <c r="CB50" s="396"/>
      <c r="CC50" s="396"/>
      <c r="CD50" s="396"/>
      <c r="CE50" s="396"/>
      <c r="CF50" s="396"/>
      <c r="CG50" s="396"/>
      <c r="CH50" s="493"/>
      <c r="CI50" s="493"/>
    </row>
    <row r="51">
      <c r="A51" s="503"/>
      <c r="B51" s="503"/>
      <c r="C51" s="503"/>
      <c r="D51" s="503"/>
      <c r="E51" s="509"/>
      <c r="F51" s="509"/>
      <c r="G51" s="509"/>
      <c r="H51" s="396"/>
      <c r="I51" s="402"/>
      <c r="J51" s="468"/>
      <c r="K51" s="483" t="s">
        <v>267</v>
      </c>
      <c r="L51" s="414" t="s">
        <v>247</v>
      </c>
      <c r="M51" s="423"/>
      <c r="N51" s="485"/>
      <c r="O51" s="405" t="str">
        <f t="array" ref="O51">IF(
  N51 = 0, 
  "", 
  IFERROR(
    INDEX(
      'アイテム別限界値DB'!$K:$K, 
      MATCH(
        1, 
        ('アイテム別限界値DB'!$B:$B = K$4) * 
        ('アイテム別限界値DB'!$G:$G = K51) , 
        0
      )
    ), 
    "再製作"
  )
)
</f>
        <v/>
      </c>
      <c r="P51" s="397" t="str">
        <f t="array" ref="P51">IF(
  N51 = "", 
  "", 
  IFERROR(
    INDEX(
      'アイテム別限界値DB'!$N:$N, 
      MATCH(
        1, 
        ('アイテム別限界値DB'!$B:$B = K$4) * 
        ('アイテム別限界値DB'!$G:$G = K51), 
        0
      )
    )*$N51*M51, 
    "再製作"
  )
)
</f>
        <v/>
      </c>
      <c r="Q51" s="501"/>
      <c r="R51" s="493"/>
      <c r="S51" s="316"/>
      <c r="T51" s="317"/>
      <c r="U51" s="317"/>
      <c r="V51" s="317"/>
      <c r="W51" s="317"/>
      <c r="X51" s="493"/>
      <c r="Y51" s="468"/>
      <c r="Z51" s="448"/>
      <c r="AA51" s="386"/>
      <c r="AB51" s="386"/>
      <c r="AC51" s="396"/>
      <c r="AD51" s="396"/>
      <c r="AE51" s="501"/>
      <c r="AF51" s="497"/>
      <c r="AG51" s="510"/>
      <c r="AH51" s="386"/>
      <c r="AI51" s="386"/>
      <c r="AJ51" s="396"/>
      <c r="AK51" s="396"/>
      <c r="AL51" s="493"/>
      <c r="AM51" s="487"/>
      <c r="AN51" s="488"/>
      <c r="AO51" s="511"/>
      <c r="AP51" s="511"/>
      <c r="AQ51" s="396"/>
      <c r="AR51" s="396"/>
      <c r="AS51" s="493"/>
      <c r="AT51" s="488"/>
      <c r="AU51" s="511"/>
      <c r="AV51" s="511"/>
      <c r="AW51" s="396"/>
      <c r="AX51" s="396"/>
      <c r="AY51" s="493"/>
      <c r="AZ51" s="488"/>
      <c r="BA51" s="511"/>
      <c r="BB51" s="511"/>
      <c r="BC51" s="396"/>
      <c r="BD51" s="396"/>
      <c r="BE51" s="493"/>
      <c r="BF51" s="488"/>
      <c r="BG51" s="511"/>
      <c r="BH51" s="511"/>
      <c r="BI51" s="396"/>
      <c r="BJ51" s="396"/>
      <c r="BK51" s="493"/>
      <c r="BL51" s="488"/>
      <c r="BM51" s="511"/>
      <c r="BN51" s="511"/>
      <c r="BO51" s="396"/>
      <c r="BP51" s="396"/>
      <c r="BQ51" s="493"/>
      <c r="BR51" s="488"/>
      <c r="BS51" s="511"/>
      <c r="BT51" s="511"/>
      <c r="BU51" s="396"/>
      <c r="BV51" s="396"/>
      <c r="BW51" s="493"/>
      <c r="BX51" s="488"/>
      <c r="BY51" s="511"/>
      <c r="BZ51" s="511"/>
      <c r="CA51" s="396"/>
      <c r="CB51" s="396"/>
      <c r="CC51" s="396"/>
      <c r="CD51" s="396"/>
      <c r="CE51" s="396"/>
      <c r="CF51" s="396"/>
      <c r="CG51" s="396"/>
      <c r="CH51" s="493"/>
      <c r="CI51" s="493"/>
    </row>
    <row r="52">
      <c r="A52" s="503"/>
      <c r="B52" s="503"/>
      <c r="C52" s="503"/>
      <c r="D52" s="503"/>
      <c r="E52" s="509"/>
      <c r="F52" s="509"/>
      <c r="G52" s="509"/>
      <c r="H52" s="396"/>
      <c r="I52" s="402"/>
      <c r="J52" s="468"/>
      <c r="K52" s="483" t="s">
        <v>256</v>
      </c>
      <c r="L52" s="414" t="s">
        <v>249</v>
      </c>
      <c r="M52" s="423"/>
      <c r="N52" s="485"/>
      <c r="O52" s="405" t="str">
        <f t="array" ref="O52">IF(
  N52 = 0, 
  "", 
  IFERROR(
    INDEX(
      'アイテム別限界値DB'!$K:$K, 
      MATCH(
        1, 
        ('アイテム別限界値DB'!$B:$B = K$4) * 
        ('アイテム別限界値DB'!$G:$G = K52) , 
        0
      )
    ), 
    "再製作"
  )
)
</f>
        <v/>
      </c>
      <c r="P52" s="397" t="str">
        <f t="array" ref="P52">IF(
  N52 = "", 
  "", 
  IFERROR(
    INDEX(
      'アイテム別限界値DB'!$N:$N, 
      MATCH(
        1, 
        ('アイテム別限界値DB'!$B:$B = K$4) * 
        ('アイテム別限界値DB'!$G:$G = K52), 
        0
      )
    )*$N52*M52, 
    "再製作"
  )
)
</f>
        <v/>
      </c>
      <c r="Q52" s="501"/>
      <c r="R52" s="493"/>
      <c r="S52" s="316"/>
      <c r="T52" s="317"/>
      <c r="U52" s="317"/>
      <c r="V52" s="317"/>
      <c r="W52" s="317"/>
      <c r="X52" s="493"/>
      <c r="Y52" s="468"/>
      <c r="Z52" s="448"/>
      <c r="AA52" s="386"/>
      <c r="AB52" s="386"/>
      <c r="AC52" s="396"/>
      <c r="AD52" s="396"/>
      <c r="AE52" s="501"/>
      <c r="AF52" s="497"/>
      <c r="AG52" s="510"/>
      <c r="AH52" s="386"/>
      <c r="AI52" s="386"/>
      <c r="AJ52" s="396"/>
      <c r="AK52" s="396"/>
      <c r="AL52" s="493"/>
      <c r="AM52" s="487"/>
      <c r="AN52" s="488"/>
      <c r="AO52" s="511"/>
      <c r="AP52" s="511"/>
      <c r="AQ52" s="396"/>
      <c r="AR52" s="396"/>
      <c r="AS52" s="493"/>
      <c r="AT52" s="488"/>
      <c r="AU52" s="511"/>
      <c r="AV52" s="511"/>
      <c r="AW52" s="396"/>
      <c r="AX52" s="396"/>
      <c r="AY52" s="493"/>
      <c r="AZ52" s="488"/>
      <c r="BA52" s="511"/>
      <c r="BB52" s="511"/>
      <c r="BC52" s="396"/>
      <c r="BD52" s="396"/>
      <c r="BE52" s="493"/>
      <c r="BF52" s="488"/>
      <c r="BG52" s="511"/>
      <c r="BH52" s="511"/>
      <c r="BI52" s="396"/>
      <c r="BJ52" s="396"/>
      <c r="BK52" s="493"/>
      <c r="BL52" s="488"/>
      <c r="BM52" s="511"/>
      <c r="BN52" s="511"/>
      <c r="BO52" s="396"/>
      <c r="BP52" s="396"/>
      <c r="BQ52" s="493"/>
      <c r="BR52" s="488"/>
      <c r="BS52" s="511"/>
      <c r="BT52" s="511"/>
      <c r="BU52" s="396"/>
      <c r="BV52" s="396"/>
      <c r="BW52" s="493"/>
      <c r="BX52" s="488"/>
      <c r="BY52" s="511"/>
      <c r="BZ52" s="511"/>
      <c r="CA52" s="396"/>
      <c r="CB52" s="396"/>
      <c r="CC52" s="396"/>
      <c r="CD52" s="396"/>
      <c r="CE52" s="396"/>
      <c r="CF52" s="396"/>
      <c r="CG52" s="396"/>
      <c r="CH52" s="493"/>
      <c r="CI52" s="493"/>
    </row>
    <row r="53">
      <c r="A53" s="503"/>
      <c r="B53" s="503"/>
      <c r="C53" s="503"/>
      <c r="D53" s="503"/>
      <c r="E53" s="509"/>
      <c r="F53" s="509"/>
      <c r="G53" s="509"/>
      <c r="H53" s="396"/>
      <c r="I53" s="402"/>
      <c r="J53" s="468"/>
      <c r="K53" s="483" t="s">
        <v>260</v>
      </c>
      <c r="L53" s="414" t="s">
        <v>253</v>
      </c>
      <c r="M53" s="423"/>
      <c r="N53" s="485"/>
      <c r="O53" s="405" t="str">
        <f t="array" ref="O53">IF(
  N53 = 0, 
  "", 
  IFERROR(
    INDEX(
      'アイテム別限界値DB'!$K:$K, 
      MATCH(
        1, 
        ('アイテム別限界値DB'!$B:$B = K$4) * 
        ('アイテム別限界値DB'!$G:$G = K53) , 
        0
      )
    ), 
    "再製作"
  )
)
</f>
        <v/>
      </c>
      <c r="P53" s="397" t="str">
        <f t="array" ref="P53">IF(
  N53 = "", 
  "", 
  IFERROR(
    INDEX(
      'アイテム別限界値DB'!$N:$N, 
      MATCH(
        1, 
        ('アイテム別限界値DB'!$B:$B = K$4) * 
        ('アイテム別限界値DB'!$G:$G = K53), 
        0
      )
    )*$N53*M53, 
    "再製作"
  )
)
</f>
        <v/>
      </c>
      <c r="Q53" s="501"/>
      <c r="R53" s="493"/>
      <c r="S53" s="316"/>
      <c r="T53" s="317"/>
      <c r="U53" s="317"/>
      <c r="V53" s="317"/>
      <c r="W53" s="317"/>
      <c r="X53" s="493"/>
      <c r="Y53" s="468"/>
      <c r="Z53" s="448"/>
      <c r="AA53" s="386"/>
      <c r="AB53" s="386"/>
      <c r="AC53" s="396"/>
      <c r="AD53" s="396"/>
      <c r="AE53" s="501"/>
      <c r="AF53" s="497"/>
      <c r="AG53" s="510"/>
      <c r="AH53" s="386"/>
      <c r="AI53" s="386"/>
      <c r="AJ53" s="396"/>
      <c r="AK53" s="396"/>
      <c r="AL53" s="493"/>
      <c r="AM53" s="487"/>
      <c r="AN53" s="488"/>
      <c r="AO53" s="511"/>
      <c r="AP53" s="511"/>
      <c r="AQ53" s="396"/>
      <c r="AR53" s="396"/>
      <c r="AS53" s="493"/>
      <c r="AT53" s="488"/>
      <c r="AU53" s="511"/>
      <c r="AV53" s="511"/>
      <c r="AW53" s="396"/>
      <c r="AX53" s="396"/>
      <c r="AY53" s="493"/>
      <c r="AZ53" s="488"/>
      <c r="BA53" s="511"/>
      <c r="BB53" s="511"/>
      <c r="BC53" s="396"/>
      <c r="BD53" s="396"/>
      <c r="BE53" s="493"/>
      <c r="BF53" s="488"/>
      <c r="BG53" s="511"/>
      <c r="BH53" s="511"/>
      <c r="BI53" s="396"/>
      <c r="BJ53" s="396"/>
      <c r="BK53" s="493"/>
      <c r="BL53" s="488"/>
      <c r="BM53" s="511"/>
      <c r="BN53" s="511"/>
      <c r="BO53" s="396"/>
      <c r="BP53" s="396"/>
      <c r="BQ53" s="493"/>
      <c r="BR53" s="488"/>
      <c r="BS53" s="511"/>
      <c r="BT53" s="511"/>
      <c r="BU53" s="396"/>
      <c r="BV53" s="396"/>
      <c r="BW53" s="493"/>
      <c r="BX53" s="488"/>
      <c r="BY53" s="511"/>
      <c r="BZ53" s="511"/>
      <c r="CA53" s="396"/>
      <c r="CB53" s="396"/>
      <c r="CC53" s="396"/>
      <c r="CD53" s="396"/>
      <c r="CE53" s="396"/>
      <c r="CF53" s="396"/>
      <c r="CG53" s="396"/>
      <c r="CH53" s="493"/>
      <c r="CI53" s="493"/>
    </row>
    <row r="54">
      <c r="A54" s="503"/>
      <c r="B54" s="503"/>
      <c r="C54" s="503"/>
      <c r="D54" s="503"/>
      <c r="E54" s="509"/>
      <c r="F54" s="509"/>
      <c r="G54" s="509"/>
      <c r="H54" s="396"/>
      <c r="I54" s="402"/>
      <c r="J54" s="468"/>
      <c r="K54" s="483" t="s">
        <v>263</v>
      </c>
      <c r="L54" s="414" t="s">
        <v>258</v>
      </c>
      <c r="M54" s="423"/>
      <c r="N54" s="485"/>
      <c r="O54" s="405" t="str">
        <f t="array" ref="O54">IF(
  N54 = 0, 
  "", 
  IFERROR(
    INDEX(
      'アイテム別限界値DB'!$K:$K, 
      MATCH(
        1, 
        ('アイテム別限界値DB'!$B:$B = K$4) * 
        ('アイテム別限界値DB'!$G:$G = K54) , 
        0
      )
    ), 
    "再製作"
  )
)
</f>
        <v/>
      </c>
      <c r="P54" s="397" t="str">
        <f t="array" ref="P54">IF(
  N54 = "", 
  "", 
  IFERROR(
    INDEX(
      'アイテム別限界値DB'!$N:$N, 
      MATCH(
        1, 
        ('アイテム別限界値DB'!$B:$B = K$4) * 
        ('アイテム別限界値DB'!$G:$G = K54), 
        0
      )
    )*$N54*M54, 
    "再製作"
  )
)
</f>
        <v/>
      </c>
      <c r="Q54" s="501"/>
      <c r="R54" s="493"/>
      <c r="S54" s="316"/>
      <c r="T54" s="317"/>
      <c r="U54" s="317"/>
      <c r="V54" s="317"/>
      <c r="W54" s="317"/>
      <c r="X54" s="493"/>
      <c r="Y54" s="468"/>
      <c r="Z54" s="448"/>
      <c r="AA54" s="386"/>
      <c r="AB54" s="386"/>
      <c r="AC54" s="396"/>
      <c r="AD54" s="396"/>
      <c r="AE54" s="501"/>
      <c r="AF54" s="497"/>
      <c r="AG54" s="510"/>
      <c r="AH54" s="386"/>
      <c r="AI54" s="386"/>
      <c r="AJ54" s="396"/>
      <c r="AK54" s="396"/>
      <c r="AL54" s="493"/>
      <c r="AM54" s="487"/>
      <c r="AN54" s="488"/>
      <c r="AO54" s="511"/>
      <c r="AP54" s="511"/>
      <c r="AQ54" s="396"/>
      <c r="AR54" s="396"/>
      <c r="AS54" s="493"/>
      <c r="AT54" s="488"/>
      <c r="AU54" s="511"/>
      <c r="AV54" s="511"/>
      <c r="AW54" s="396"/>
      <c r="AX54" s="396"/>
      <c r="AY54" s="493"/>
      <c r="AZ54" s="488"/>
      <c r="BA54" s="511"/>
      <c r="BB54" s="511"/>
      <c r="BC54" s="396"/>
      <c r="BD54" s="396"/>
      <c r="BE54" s="493"/>
      <c r="BF54" s="488"/>
      <c r="BG54" s="511"/>
      <c r="BH54" s="511"/>
      <c r="BI54" s="396"/>
      <c r="BJ54" s="396"/>
      <c r="BK54" s="493"/>
      <c r="BL54" s="488"/>
      <c r="BM54" s="511"/>
      <c r="BN54" s="511"/>
      <c r="BO54" s="396"/>
      <c r="BP54" s="396"/>
      <c r="BQ54" s="493"/>
      <c r="BR54" s="488"/>
      <c r="BS54" s="511"/>
      <c r="BT54" s="511"/>
      <c r="BU54" s="396"/>
      <c r="BV54" s="396"/>
      <c r="BW54" s="493"/>
      <c r="BX54" s="488"/>
      <c r="BY54" s="511"/>
      <c r="BZ54" s="511"/>
      <c r="CA54" s="396"/>
      <c r="CB54" s="396"/>
      <c r="CC54" s="396"/>
      <c r="CD54" s="396"/>
      <c r="CE54" s="396"/>
      <c r="CF54" s="396"/>
      <c r="CG54" s="396"/>
      <c r="CH54" s="493"/>
      <c r="CI54" s="493"/>
    </row>
    <row r="55">
      <c r="A55" s="503"/>
      <c r="B55" s="503"/>
      <c r="C55" s="503"/>
      <c r="D55" s="503"/>
      <c r="E55" s="509"/>
      <c r="F55" s="509"/>
      <c r="G55" s="509"/>
      <c r="H55" s="396"/>
      <c r="I55" s="402"/>
      <c r="J55" s="468"/>
      <c r="K55" s="483" t="s">
        <v>268</v>
      </c>
      <c r="L55" s="414" t="s">
        <v>269</v>
      </c>
      <c r="M55" s="423"/>
      <c r="N55" s="485"/>
      <c r="O55" s="405" t="str">
        <f t="array" ref="O55">IF(
  N55 = 0, 
  "", 
  IFERROR(
    INDEX(
      'アイテム別限界値DB'!$K:$K, 
      MATCH(
        1, 
        ('アイテム別限界値DB'!$B:$B = K$4) * 
        ('アイテム別限界値DB'!$G:$G = K55) , 
        0
      )
    ), 
    "再製作"
  )
)
</f>
        <v/>
      </c>
      <c r="P55" s="397" t="str">
        <f t="array" ref="P55">IF(
  N55 = "", 
  "", 
  IFERROR(
    INDEX(
      'アイテム別限界値DB'!$N:$N, 
      MATCH(
        1, 
        ('アイテム別限界値DB'!$B:$B = K$4) * 
        ('アイテム別限界値DB'!$G:$G = K55), 
        0
      )
    )*$N55*M55, 
    "再製作"
  )
)
</f>
        <v/>
      </c>
      <c r="Q55" s="501"/>
      <c r="R55" s="493"/>
      <c r="S55" s="316"/>
      <c r="T55" s="317"/>
      <c r="U55" s="317"/>
      <c r="V55" s="317"/>
      <c r="W55" s="317"/>
      <c r="X55" s="493"/>
      <c r="Y55" s="468"/>
      <c r="Z55" s="448"/>
      <c r="AA55" s="386"/>
      <c r="AB55" s="386"/>
      <c r="AC55" s="396"/>
      <c r="AD55" s="396"/>
      <c r="AE55" s="501"/>
      <c r="AF55" s="497"/>
      <c r="AG55" s="510"/>
      <c r="AH55" s="386"/>
      <c r="AI55" s="386"/>
      <c r="AJ55" s="396"/>
      <c r="AK55" s="396"/>
      <c r="AL55" s="493"/>
      <c r="AM55" s="487"/>
      <c r="AN55" s="488"/>
      <c r="AO55" s="511"/>
      <c r="AP55" s="511"/>
      <c r="AQ55" s="396"/>
      <c r="AR55" s="396"/>
      <c r="AS55" s="493"/>
      <c r="AT55" s="488"/>
      <c r="AU55" s="511"/>
      <c r="AV55" s="511"/>
      <c r="AW55" s="396"/>
      <c r="AX55" s="396"/>
      <c r="AY55" s="493"/>
      <c r="AZ55" s="488"/>
      <c r="BA55" s="511"/>
      <c r="BB55" s="511"/>
      <c r="BC55" s="396"/>
      <c r="BD55" s="396"/>
      <c r="BE55" s="493"/>
      <c r="BF55" s="488"/>
      <c r="BG55" s="511"/>
      <c r="BH55" s="511"/>
      <c r="BI55" s="396"/>
      <c r="BJ55" s="396"/>
      <c r="BK55" s="493"/>
      <c r="BL55" s="488"/>
      <c r="BM55" s="511"/>
      <c r="BN55" s="511"/>
      <c r="BO55" s="396"/>
      <c r="BP55" s="396"/>
      <c r="BQ55" s="493"/>
      <c r="BR55" s="488"/>
      <c r="BS55" s="511"/>
      <c r="BT55" s="511"/>
      <c r="BU55" s="396"/>
      <c r="BV55" s="396"/>
      <c r="BW55" s="493"/>
      <c r="BX55" s="488"/>
      <c r="BY55" s="511"/>
      <c r="BZ55" s="511"/>
      <c r="CA55" s="396"/>
      <c r="CB55" s="396"/>
      <c r="CC55" s="396"/>
      <c r="CD55" s="396"/>
      <c r="CE55" s="396"/>
      <c r="CF55" s="396"/>
      <c r="CG55" s="396"/>
      <c r="CH55" s="493"/>
      <c r="CI55" s="493"/>
    </row>
    <row r="56">
      <c r="A56" s="503"/>
      <c r="B56" s="503"/>
      <c r="C56" s="503"/>
      <c r="D56" s="503"/>
      <c r="E56" s="509"/>
      <c r="F56" s="509"/>
      <c r="G56" s="509"/>
      <c r="H56" s="396"/>
      <c r="I56" s="402"/>
      <c r="J56" s="468"/>
      <c r="K56" s="483" t="s">
        <v>270</v>
      </c>
      <c r="L56" s="448" t="s">
        <v>271</v>
      </c>
      <c r="M56" s="423"/>
      <c r="N56" s="485"/>
      <c r="O56" s="405" t="str">
        <f t="array" ref="O56">IF(
  N56 = 0, 
  "", 
  IFERROR(
    INDEX(
      'アイテム別限界値DB'!$K:$K, 
      MATCH(
        1, 
        ('アイテム別限界値DB'!$B:$B = K$4) * 
        ('アイテム別限界値DB'!$G:$G = K56) , 
        0
      )
    ), 
    "再製作"
  )
)
</f>
        <v/>
      </c>
      <c r="P56" s="397" t="str">
        <f t="array" ref="P56">IF(
  N56 = "", 
  "", 
  IFERROR(
    INDEX(
      'アイテム別限界値DB'!$N:$N, 
      MATCH(
        1, 
        ('アイテム別限界値DB'!$B:$B = K$4) * 
        ('アイテム別限界値DB'!$G:$G = K56), 
        0
      )
    )*$N56*M56, 
    "再製作"
  )
)
</f>
        <v/>
      </c>
      <c r="Q56" s="501"/>
      <c r="R56" s="493"/>
      <c r="S56" s="316"/>
      <c r="T56" s="317"/>
      <c r="U56" s="317"/>
      <c r="V56" s="317"/>
      <c r="W56" s="317"/>
      <c r="X56" s="493"/>
      <c r="Y56" s="468"/>
      <c r="Z56" s="448"/>
      <c r="AA56" s="386"/>
      <c r="AB56" s="386"/>
      <c r="AC56" s="396"/>
      <c r="AD56" s="396"/>
      <c r="AE56" s="501"/>
      <c r="AF56" s="497"/>
      <c r="AG56" s="510"/>
      <c r="AH56" s="386"/>
      <c r="AI56" s="386"/>
      <c r="AJ56" s="396"/>
      <c r="AK56" s="396"/>
      <c r="AL56" s="493"/>
      <c r="AM56" s="487"/>
      <c r="AN56" s="488"/>
      <c r="AO56" s="511"/>
      <c r="AP56" s="511"/>
      <c r="AQ56" s="396"/>
      <c r="AR56" s="396"/>
      <c r="AS56" s="493"/>
      <c r="AT56" s="488"/>
      <c r="AU56" s="511"/>
      <c r="AV56" s="511"/>
      <c r="AW56" s="396"/>
      <c r="AX56" s="396"/>
      <c r="AY56" s="493"/>
      <c r="AZ56" s="488"/>
      <c r="BA56" s="511"/>
      <c r="BB56" s="511"/>
      <c r="BC56" s="396"/>
      <c r="BD56" s="396"/>
      <c r="BE56" s="493"/>
      <c r="BF56" s="488"/>
      <c r="BG56" s="511"/>
      <c r="BH56" s="511"/>
      <c r="BI56" s="396"/>
      <c r="BJ56" s="396"/>
      <c r="BK56" s="493"/>
      <c r="BL56" s="488"/>
      <c r="BM56" s="511"/>
      <c r="BN56" s="511"/>
      <c r="BO56" s="396"/>
      <c r="BP56" s="396"/>
      <c r="BQ56" s="493"/>
      <c r="BR56" s="488"/>
      <c r="BS56" s="511"/>
      <c r="BT56" s="511"/>
      <c r="BU56" s="396"/>
      <c r="BV56" s="396"/>
      <c r="BW56" s="493"/>
      <c r="BX56" s="488"/>
      <c r="BY56" s="511"/>
      <c r="BZ56" s="511"/>
      <c r="CA56" s="396"/>
      <c r="CB56" s="396"/>
      <c r="CC56" s="396"/>
      <c r="CD56" s="396"/>
      <c r="CE56" s="396"/>
      <c r="CF56" s="396"/>
      <c r="CG56" s="396"/>
      <c r="CH56" s="493"/>
      <c r="CI56" s="493"/>
    </row>
    <row r="57">
      <c r="A57" s="503"/>
      <c r="B57" s="503"/>
      <c r="C57" s="503"/>
      <c r="D57" s="503"/>
      <c r="E57" s="509"/>
      <c r="F57" s="509"/>
      <c r="G57" s="509"/>
      <c r="H57" s="396"/>
      <c r="I57" s="402"/>
      <c r="J57" s="468"/>
      <c r="K57" s="483"/>
      <c r="L57" s="448"/>
      <c r="M57" s="386"/>
      <c r="N57" s="512"/>
      <c r="O57" s="396"/>
      <c r="P57" s="396"/>
      <c r="Q57" s="501"/>
      <c r="R57" s="493"/>
      <c r="S57" s="316"/>
      <c r="T57" s="317"/>
      <c r="U57" s="317"/>
      <c r="V57" s="317"/>
      <c r="W57" s="317"/>
      <c r="X57" s="493"/>
      <c r="Y57" s="468"/>
      <c r="Z57" s="448"/>
      <c r="AA57" s="386"/>
      <c r="AB57" s="386"/>
      <c r="AC57" s="396"/>
      <c r="AD57" s="396"/>
      <c r="AE57" s="501"/>
      <c r="AF57" s="497"/>
      <c r="AG57" s="510"/>
      <c r="AH57" s="386"/>
      <c r="AI57" s="386"/>
      <c r="AJ57" s="396"/>
      <c r="AK57" s="396"/>
      <c r="AL57" s="493"/>
      <c r="AM57" s="487"/>
      <c r="AN57" s="488"/>
      <c r="AO57" s="511"/>
      <c r="AP57" s="511"/>
      <c r="AQ57" s="396"/>
      <c r="AR57" s="396"/>
      <c r="AS57" s="493"/>
      <c r="AT57" s="488"/>
      <c r="AU57" s="511"/>
      <c r="AV57" s="511"/>
      <c r="AW57" s="396"/>
      <c r="AX57" s="396"/>
      <c r="AY57" s="493"/>
      <c r="AZ57" s="488"/>
      <c r="BA57" s="511"/>
      <c r="BB57" s="511"/>
      <c r="BC57" s="396"/>
      <c r="BD57" s="396"/>
      <c r="BE57" s="493"/>
      <c r="BF57" s="488"/>
      <c r="BG57" s="511"/>
      <c r="BH57" s="511"/>
      <c r="BI57" s="396"/>
      <c r="BJ57" s="396"/>
      <c r="BK57" s="493"/>
      <c r="BL57" s="488"/>
      <c r="BM57" s="511"/>
      <c r="BN57" s="511"/>
      <c r="BO57" s="396"/>
      <c r="BP57" s="396"/>
      <c r="BQ57" s="493"/>
      <c r="BR57" s="488"/>
      <c r="BS57" s="511"/>
      <c r="BT57" s="511"/>
      <c r="BU57" s="396"/>
      <c r="BV57" s="396"/>
      <c r="BW57" s="493"/>
      <c r="BX57" s="488"/>
      <c r="BY57" s="511"/>
      <c r="BZ57" s="511"/>
      <c r="CA57" s="396"/>
      <c r="CB57" s="396"/>
      <c r="CC57" s="396"/>
      <c r="CD57" s="396"/>
      <c r="CE57" s="396"/>
      <c r="CF57" s="396"/>
      <c r="CG57" s="396"/>
      <c r="CH57" s="493"/>
      <c r="CI57" s="493"/>
    </row>
    <row r="58">
      <c r="A58" s="503"/>
      <c r="B58" s="503"/>
      <c r="C58" s="503"/>
      <c r="D58" s="503"/>
      <c r="E58" s="509"/>
      <c r="F58" s="509"/>
      <c r="G58" s="509"/>
      <c r="H58" s="396"/>
      <c r="I58" s="402"/>
      <c r="J58" s="468"/>
      <c r="K58" s="483"/>
      <c r="L58" s="448"/>
      <c r="M58" s="386"/>
      <c r="N58" s="512"/>
      <c r="O58" s="396"/>
      <c r="P58" s="396"/>
      <c r="Q58" s="501"/>
      <c r="R58" s="493"/>
      <c r="S58" s="316"/>
      <c r="T58" s="317"/>
      <c r="U58" s="317"/>
      <c r="V58" s="317"/>
      <c r="W58" s="317"/>
      <c r="X58" s="493"/>
      <c r="Y58" s="468"/>
      <c r="Z58" s="448"/>
      <c r="AA58" s="386"/>
      <c r="AB58" s="386"/>
      <c r="AC58" s="396"/>
      <c r="AD58" s="396"/>
      <c r="AE58" s="501"/>
      <c r="AF58" s="497"/>
      <c r="AG58" s="510"/>
      <c r="AH58" s="386"/>
      <c r="AI58" s="386"/>
      <c r="AJ58" s="396"/>
      <c r="AK58" s="396"/>
      <c r="AL58" s="493"/>
      <c r="AM58" s="487"/>
      <c r="AN58" s="488"/>
      <c r="AO58" s="511"/>
      <c r="AP58" s="511"/>
      <c r="AQ58" s="396"/>
      <c r="AR58" s="396"/>
      <c r="AS58" s="493"/>
      <c r="AT58" s="488"/>
      <c r="AU58" s="511"/>
      <c r="AV58" s="511"/>
      <c r="AW58" s="396"/>
      <c r="AX58" s="396"/>
      <c r="AY58" s="493"/>
      <c r="AZ58" s="488"/>
      <c r="BA58" s="511"/>
      <c r="BB58" s="511"/>
      <c r="BC58" s="396"/>
      <c r="BD58" s="396"/>
      <c r="BE58" s="493"/>
      <c r="BF58" s="488"/>
      <c r="BG58" s="511"/>
      <c r="BH58" s="511"/>
      <c r="BI58" s="396"/>
      <c r="BJ58" s="396"/>
      <c r="BK58" s="493"/>
      <c r="BL58" s="488"/>
      <c r="BM58" s="511"/>
      <c r="BN58" s="511"/>
      <c r="BO58" s="396"/>
      <c r="BP58" s="396"/>
      <c r="BQ58" s="493"/>
      <c r="BR58" s="488"/>
      <c r="BS58" s="511"/>
      <c r="BT58" s="511"/>
      <c r="BU58" s="396"/>
      <c r="BV58" s="396"/>
      <c r="BW58" s="493"/>
      <c r="BX58" s="488"/>
      <c r="BY58" s="511"/>
      <c r="BZ58" s="511"/>
      <c r="CA58" s="396"/>
      <c r="CB58" s="396"/>
      <c r="CC58" s="396"/>
      <c r="CD58" s="396"/>
      <c r="CE58" s="396"/>
      <c r="CF58" s="396"/>
      <c r="CG58" s="396"/>
      <c r="CH58" s="493"/>
      <c r="CI58" s="493"/>
    </row>
    <row r="59">
      <c r="A59" s="503"/>
      <c r="B59" s="503"/>
      <c r="C59" s="503"/>
      <c r="D59" s="503"/>
      <c r="E59" s="509"/>
      <c r="F59" s="509"/>
      <c r="G59" s="509"/>
      <c r="H59" s="396"/>
      <c r="I59" s="402"/>
      <c r="J59" s="468"/>
      <c r="K59" s="483"/>
      <c r="L59" s="448"/>
      <c r="M59" s="386"/>
      <c r="N59" s="512"/>
      <c r="O59" s="396"/>
      <c r="P59" s="396"/>
      <c r="Q59" s="501"/>
      <c r="R59" s="493"/>
      <c r="S59" s="316"/>
      <c r="T59" s="317"/>
      <c r="U59" s="317"/>
      <c r="V59" s="317"/>
      <c r="W59" s="317"/>
      <c r="X59" s="493"/>
      <c r="Y59" s="468"/>
      <c r="Z59" s="448"/>
      <c r="AA59" s="386"/>
      <c r="AB59" s="386"/>
      <c r="AC59" s="396"/>
      <c r="AD59" s="396"/>
      <c r="AE59" s="501"/>
      <c r="AF59" s="497"/>
      <c r="AG59" s="510"/>
      <c r="AH59" s="386"/>
      <c r="AI59" s="386"/>
      <c r="AJ59" s="396"/>
      <c r="AK59" s="396"/>
      <c r="AL59" s="493"/>
      <c r="AM59" s="487"/>
      <c r="AN59" s="488"/>
      <c r="AO59" s="511"/>
      <c r="AP59" s="511"/>
      <c r="AQ59" s="396"/>
      <c r="AR59" s="396"/>
      <c r="AS59" s="493"/>
      <c r="AT59" s="488"/>
      <c r="AU59" s="511"/>
      <c r="AV59" s="511"/>
      <c r="AW59" s="396"/>
      <c r="AX59" s="396"/>
      <c r="AY59" s="493"/>
      <c r="AZ59" s="488"/>
      <c r="BA59" s="511"/>
      <c r="BB59" s="511"/>
      <c r="BC59" s="396"/>
      <c r="BD59" s="396"/>
      <c r="BE59" s="493"/>
      <c r="BF59" s="488"/>
      <c r="BG59" s="511"/>
      <c r="BH59" s="511"/>
      <c r="BI59" s="396"/>
      <c r="BJ59" s="396"/>
      <c r="BK59" s="493"/>
      <c r="BL59" s="488"/>
      <c r="BM59" s="511"/>
      <c r="BN59" s="511"/>
      <c r="BO59" s="396"/>
      <c r="BP59" s="396"/>
      <c r="BQ59" s="493"/>
      <c r="BR59" s="488"/>
      <c r="BS59" s="511"/>
      <c r="BT59" s="511"/>
      <c r="BU59" s="396"/>
      <c r="BV59" s="396"/>
      <c r="BW59" s="493"/>
      <c r="BX59" s="488"/>
      <c r="BY59" s="511"/>
      <c r="BZ59" s="511"/>
      <c r="CA59" s="396"/>
      <c r="CB59" s="396"/>
      <c r="CC59" s="396"/>
      <c r="CD59" s="396"/>
      <c r="CE59" s="396"/>
      <c r="CF59" s="396"/>
      <c r="CG59" s="396"/>
      <c r="CH59" s="493"/>
      <c r="CI59" s="493"/>
    </row>
    <row r="60">
      <c r="A60" s="503"/>
      <c r="B60" s="503"/>
      <c r="C60" s="503"/>
      <c r="D60" s="503"/>
      <c r="E60" s="509"/>
      <c r="F60" s="509"/>
      <c r="G60" s="509"/>
      <c r="H60" s="396"/>
      <c r="I60" s="402"/>
      <c r="J60" s="468"/>
      <c r="K60" s="483"/>
      <c r="L60" s="448"/>
      <c r="M60" s="386"/>
      <c r="N60" s="512"/>
      <c r="O60" s="396"/>
      <c r="P60" s="396"/>
      <c r="Q60" s="501"/>
      <c r="R60" s="493"/>
      <c r="S60" s="316"/>
      <c r="T60" s="317"/>
      <c r="U60" s="317"/>
      <c r="V60" s="317"/>
      <c r="W60" s="317"/>
      <c r="X60" s="493"/>
      <c r="Y60" s="468"/>
      <c r="Z60" s="448"/>
      <c r="AA60" s="386"/>
      <c r="AB60" s="386"/>
      <c r="AC60" s="396"/>
      <c r="AD60" s="396"/>
      <c r="AE60" s="501"/>
      <c r="AF60" s="497"/>
      <c r="AG60" s="510"/>
      <c r="AH60" s="386"/>
      <c r="AI60" s="386"/>
      <c r="AJ60" s="396"/>
      <c r="AK60" s="396"/>
      <c r="AL60" s="493"/>
      <c r="AM60" s="487"/>
      <c r="AN60" s="488"/>
      <c r="AO60" s="511"/>
      <c r="AP60" s="511"/>
      <c r="AQ60" s="396"/>
      <c r="AR60" s="396"/>
      <c r="AS60" s="493"/>
      <c r="AT60" s="488"/>
      <c r="AU60" s="511"/>
      <c r="AV60" s="511"/>
      <c r="AW60" s="396"/>
      <c r="AX60" s="396"/>
      <c r="AY60" s="493"/>
      <c r="AZ60" s="488"/>
      <c r="BA60" s="511"/>
      <c r="BB60" s="511"/>
      <c r="BC60" s="396"/>
      <c r="BD60" s="396"/>
      <c r="BE60" s="493"/>
      <c r="BF60" s="488"/>
      <c r="BG60" s="511"/>
      <c r="BH60" s="511"/>
      <c r="BI60" s="396"/>
      <c r="BJ60" s="396"/>
      <c r="BK60" s="493"/>
      <c r="BL60" s="488"/>
      <c r="BM60" s="511"/>
      <c r="BN60" s="511"/>
      <c r="BO60" s="396"/>
      <c r="BP60" s="396"/>
      <c r="BQ60" s="493"/>
      <c r="BR60" s="488"/>
      <c r="BS60" s="511"/>
      <c r="BT60" s="511"/>
      <c r="BU60" s="396"/>
      <c r="BV60" s="396"/>
      <c r="BW60" s="493"/>
      <c r="BX60" s="488"/>
      <c r="BY60" s="511"/>
      <c r="BZ60" s="511"/>
      <c r="CA60" s="396"/>
      <c r="CB60" s="396"/>
      <c r="CC60" s="396"/>
      <c r="CD60" s="396"/>
      <c r="CE60" s="396"/>
      <c r="CF60" s="396"/>
      <c r="CG60" s="396"/>
      <c r="CH60" s="493"/>
      <c r="CI60" s="493"/>
    </row>
    <row r="61">
      <c r="A61" s="503"/>
      <c r="B61" s="503"/>
      <c r="C61" s="503"/>
      <c r="D61" s="503"/>
      <c r="E61" s="509"/>
      <c r="F61" s="509"/>
      <c r="G61" s="509"/>
      <c r="H61" s="396"/>
      <c r="I61" s="402"/>
      <c r="J61" s="468"/>
      <c r="K61" s="483"/>
      <c r="L61" s="448"/>
      <c r="M61" s="386"/>
      <c r="N61" s="512"/>
      <c r="O61" s="396"/>
      <c r="P61" s="396"/>
      <c r="Q61" s="501"/>
      <c r="R61" s="493"/>
      <c r="S61" s="316"/>
      <c r="T61" s="317"/>
      <c r="U61" s="317"/>
      <c r="V61" s="317"/>
      <c r="W61" s="317"/>
      <c r="X61" s="493"/>
      <c r="Y61" s="468"/>
      <c r="Z61" s="448"/>
      <c r="AA61" s="386"/>
      <c r="AB61" s="386"/>
      <c r="AC61" s="396"/>
      <c r="AD61" s="396"/>
      <c r="AE61" s="501"/>
      <c r="AF61" s="497"/>
      <c r="AG61" s="510"/>
      <c r="AH61" s="386"/>
      <c r="AI61" s="386"/>
      <c r="AJ61" s="396"/>
      <c r="AK61" s="396"/>
      <c r="AL61" s="493"/>
      <c r="AM61" s="487"/>
      <c r="AN61" s="488"/>
      <c r="AO61" s="511"/>
      <c r="AP61" s="511"/>
      <c r="AQ61" s="396"/>
      <c r="AR61" s="396"/>
      <c r="AS61" s="493"/>
      <c r="AT61" s="488"/>
      <c r="AU61" s="511"/>
      <c r="AV61" s="511"/>
      <c r="AW61" s="396"/>
      <c r="AX61" s="396"/>
      <c r="AY61" s="493"/>
      <c r="AZ61" s="488"/>
      <c r="BA61" s="511"/>
      <c r="BB61" s="511"/>
      <c r="BC61" s="396"/>
      <c r="BD61" s="396"/>
      <c r="BE61" s="493"/>
      <c r="BF61" s="488"/>
      <c r="BG61" s="511"/>
      <c r="BH61" s="511"/>
      <c r="BI61" s="396"/>
      <c r="BJ61" s="396"/>
      <c r="BK61" s="493"/>
      <c r="BL61" s="488"/>
      <c r="BM61" s="511"/>
      <c r="BN61" s="511"/>
      <c r="BO61" s="396"/>
      <c r="BP61" s="396"/>
      <c r="BQ61" s="493"/>
      <c r="BR61" s="488"/>
      <c r="BS61" s="511"/>
      <c r="BT61" s="511"/>
      <c r="BU61" s="396"/>
      <c r="BV61" s="396"/>
      <c r="BW61" s="493"/>
      <c r="BX61" s="488"/>
      <c r="BY61" s="511"/>
      <c r="BZ61" s="511"/>
      <c r="CA61" s="396"/>
      <c r="CB61" s="396"/>
      <c r="CC61" s="396"/>
      <c r="CD61" s="396"/>
      <c r="CE61" s="396"/>
      <c r="CF61" s="396"/>
      <c r="CG61" s="396"/>
      <c r="CH61" s="493"/>
      <c r="CI61" s="493"/>
    </row>
    <row r="62">
      <c r="A62" s="503"/>
      <c r="B62" s="503"/>
      <c r="C62" s="503"/>
      <c r="D62" s="503"/>
      <c r="E62" s="509"/>
      <c r="F62" s="509"/>
      <c r="G62" s="509"/>
      <c r="H62" s="396"/>
      <c r="I62" s="402"/>
      <c r="J62" s="468"/>
      <c r="K62" s="483"/>
      <c r="L62" s="448"/>
      <c r="M62" s="386"/>
      <c r="N62" s="512"/>
      <c r="O62" s="396"/>
      <c r="P62" s="396"/>
      <c r="Q62" s="501"/>
      <c r="R62" s="493"/>
      <c r="S62" s="316"/>
      <c r="T62" s="317"/>
      <c r="U62" s="317"/>
      <c r="V62" s="317"/>
      <c r="W62" s="317"/>
      <c r="X62" s="493"/>
      <c r="Y62" s="468"/>
      <c r="Z62" s="448"/>
      <c r="AA62" s="386"/>
      <c r="AB62" s="386"/>
      <c r="AC62" s="396"/>
      <c r="AD62" s="396"/>
      <c r="AE62" s="501"/>
      <c r="AF62" s="497"/>
      <c r="AG62" s="510"/>
      <c r="AH62" s="386"/>
      <c r="AI62" s="386"/>
      <c r="AJ62" s="396"/>
      <c r="AK62" s="396"/>
      <c r="AL62" s="493"/>
      <c r="AM62" s="487"/>
      <c r="AN62" s="488"/>
      <c r="AO62" s="511"/>
      <c r="AP62" s="511"/>
      <c r="AQ62" s="396"/>
      <c r="AR62" s="396"/>
      <c r="AS62" s="493"/>
      <c r="AT62" s="488"/>
      <c r="AU62" s="511"/>
      <c r="AV62" s="511"/>
      <c r="AW62" s="396"/>
      <c r="AX62" s="396"/>
      <c r="AY62" s="493"/>
      <c r="AZ62" s="488"/>
      <c r="BA62" s="511"/>
      <c r="BB62" s="511"/>
      <c r="BC62" s="396"/>
      <c r="BD62" s="396"/>
      <c r="BE62" s="493"/>
      <c r="BF62" s="488"/>
      <c r="BG62" s="511"/>
      <c r="BH62" s="511"/>
      <c r="BI62" s="396"/>
      <c r="BJ62" s="396"/>
      <c r="BK62" s="493"/>
      <c r="BL62" s="488"/>
      <c r="BM62" s="511"/>
      <c r="BN62" s="511"/>
      <c r="BO62" s="396"/>
      <c r="BP62" s="396"/>
      <c r="BQ62" s="493"/>
      <c r="BR62" s="488"/>
      <c r="BS62" s="511"/>
      <c r="BT62" s="511"/>
      <c r="BU62" s="396"/>
      <c r="BV62" s="396"/>
      <c r="BW62" s="493"/>
      <c r="BX62" s="488"/>
      <c r="BY62" s="511"/>
      <c r="BZ62" s="511"/>
      <c r="CA62" s="396"/>
      <c r="CB62" s="396"/>
      <c r="CC62" s="396"/>
      <c r="CD62" s="396"/>
      <c r="CE62" s="396"/>
      <c r="CF62" s="396"/>
      <c r="CG62" s="396"/>
      <c r="CH62" s="493"/>
      <c r="CI62" s="493"/>
    </row>
    <row r="63">
      <c r="A63" s="503"/>
      <c r="B63" s="503"/>
      <c r="C63" s="503"/>
      <c r="D63" s="503"/>
      <c r="E63" s="509"/>
      <c r="F63" s="509"/>
      <c r="G63" s="509"/>
      <c r="H63" s="396"/>
      <c r="I63" s="402"/>
      <c r="J63" s="468"/>
      <c r="K63" s="483"/>
      <c r="L63" s="448"/>
      <c r="M63" s="386"/>
      <c r="N63" s="512"/>
      <c r="O63" s="396"/>
      <c r="P63" s="396"/>
      <c r="Q63" s="501"/>
      <c r="R63" s="493"/>
      <c r="S63" s="316"/>
      <c r="T63" s="317"/>
      <c r="U63" s="317"/>
      <c r="V63" s="317"/>
      <c r="W63" s="317"/>
      <c r="X63" s="493"/>
      <c r="Y63" s="468"/>
      <c r="Z63" s="448"/>
      <c r="AA63" s="386"/>
      <c r="AB63" s="386"/>
      <c r="AC63" s="396"/>
      <c r="AD63" s="396"/>
      <c r="AE63" s="501"/>
      <c r="AF63" s="497"/>
      <c r="AG63" s="510"/>
      <c r="AH63" s="386"/>
      <c r="AI63" s="386"/>
      <c r="AJ63" s="396"/>
      <c r="AK63" s="396"/>
      <c r="AL63" s="493"/>
      <c r="AM63" s="487"/>
      <c r="AN63" s="488"/>
      <c r="AO63" s="511"/>
      <c r="AP63" s="511"/>
      <c r="AQ63" s="396"/>
      <c r="AR63" s="396"/>
      <c r="AS63" s="493"/>
      <c r="AT63" s="488"/>
      <c r="AU63" s="511"/>
      <c r="AV63" s="511"/>
      <c r="AW63" s="396"/>
      <c r="AX63" s="396"/>
      <c r="AY63" s="493"/>
      <c r="AZ63" s="488"/>
      <c r="BA63" s="511"/>
      <c r="BB63" s="511"/>
      <c r="BC63" s="396"/>
      <c r="BD63" s="396"/>
      <c r="BE63" s="493"/>
      <c r="BF63" s="488"/>
      <c r="BG63" s="511"/>
      <c r="BH63" s="511"/>
      <c r="BI63" s="396"/>
      <c r="BJ63" s="396"/>
      <c r="BK63" s="493"/>
      <c r="BL63" s="488"/>
      <c r="BM63" s="511"/>
      <c r="BN63" s="511"/>
      <c r="BO63" s="396"/>
      <c r="BP63" s="396"/>
      <c r="BQ63" s="493"/>
      <c r="BR63" s="488"/>
      <c r="BS63" s="511"/>
      <c r="BT63" s="511"/>
      <c r="BU63" s="396"/>
      <c r="BV63" s="396"/>
      <c r="BW63" s="493"/>
      <c r="BX63" s="488"/>
      <c r="BY63" s="511"/>
      <c r="BZ63" s="511"/>
      <c r="CA63" s="396"/>
      <c r="CB63" s="396"/>
      <c r="CC63" s="396"/>
      <c r="CD63" s="396"/>
      <c r="CE63" s="396"/>
      <c r="CF63" s="396"/>
      <c r="CG63" s="396"/>
      <c r="CH63" s="493"/>
      <c r="CI63" s="493"/>
    </row>
    <row r="64">
      <c r="A64" s="503"/>
      <c r="B64" s="503"/>
      <c r="C64" s="503"/>
      <c r="D64" s="503"/>
      <c r="E64" s="509"/>
      <c r="F64" s="509"/>
      <c r="G64" s="509"/>
      <c r="H64" s="396"/>
      <c r="I64" s="402"/>
      <c r="J64" s="468"/>
      <c r="K64" s="483"/>
      <c r="L64" s="448"/>
      <c r="M64" s="386"/>
      <c r="N64" s="512"/>
      <c r="O64" s="396"/>
      <c r="P64" s="396"/>
      <c r="Q64" s="501"/>
      <c r="R64" s="493"/>
      <c r="S64" s="316"/>
      <c r="T64" s="317"/>
      <c r="U64" s="317"/>
      <c r="V64" s="317"/>
      <c r="W64" s="317"/>
      <c r="X64" s="493"/>
      <c r="Y64" s="468"/>
      <c r="Z64" s="448"/>
      <c r="AA64" s="386"/>
      <c r="AB64" s="386"/>
      <c r="AC64" s="396"/>
      <c r="AD64" s="396"/>
      <c r="AE64" s="501"/>
      <c r="AF64" s="497"/>
      <c r="AG64" s="510"/>
      <c r="AH64" s="386"/>
      <c r="AI64" s="386"/>
      <c r="AJ64" s="396"/>
      <c r="AK64" s="396"/>
      <c r="AL64" s="493"/>
      <c r="AM64" s="487"/>
      <c r="AN64" s="488"/>
      <c r="AO64" s="511"/>
      <c r="AP64" s="511"/>
      <c r="AQ64" s="396"/>
      <c r="AR64" s="396"/>
      <c r="AS64" s="493"/>
      <c r="AT64" s="488"/>
      <c r="AU64" s="511"/>
      <c r="AV64" s="511"/>
      <c r="AW64" s="396"/>
      <c r="AX64" s="396"/>
      <c r="AY64" s="493"/>
      <c r="AZ64" s="488"/>
      <c r="BA64" s="511"/>
      <c r="BB64" s="511"/>
      <c r="BC64" s="396"/>
      <c r="BD64" s="396"/>
      <c r="BE64" s="493"/>
      <c r="BF64" s="488"/>
      <c r="BG64" s="511"/>
      <c r="BH64" s="511"/>
      <c r="BI64" s="396"/>
      <c r="BJ64" s="396"/>
      <c r="BK64" s="493"/>
      <c r="BL64" s="488"/>
      <c r="BM64" s="511"/>
      <c r="BN64" s="511"/>
      <c r="BO64" s="396"/>
      <c r="BP64" s="396"/>
      <c r="BQ64" s="493"/>
      <c r="BR64" s="488"/>
      <c r="BS64" s="511"/>
      <c r="BT64" s="511"/>
      <c r="BU64" s="396"/>
      <c r="BV64" s="396"/>
      <c r="BW64" s="493"/>
      <c r="BX64" s="488"/>
      <c r="BY64" s="511"/>
      <c r="BZ64" s="511"/>
      <c r="CA64" s="396"/>
      <c r="CB64" s="396"/>
      <c r="CC64" s="396"/>
      <c r="CD64" s="396"/>
      <c r="CE64" s="396"/>
      <c r="CF64" s="396"/>
      <c r="CG64" s="396"/>
      <c r="CH64" s="493"/>
      <c r="CI64" s="493"/>
    </row>
    <row r="65">
      <c r="A65" s="503"/>
      <c r="B65" s="503"/>
      <c r="C65" s="503"/>
      <c r="D65" s="503"/>
      <c r="E65" s="509"/>
      <c r="F65" s="509"/>
      <c r="G65" s="509"/>
      <c r="H65" s="396"/>
      <c r="I65" s="402"/>
      <c r="J65" s="468"/>
      <c r="K65" s="483"/>
      <c r="L65" s="448"/>
      <c r="M65" s="386"/>
      <c r="N65" s="512"/>
      <c r="O65" s="396"/>
      <c r="P65" s="396"/>
      <c r="Q65" s="501"/>
      <c r="R65" s="493"/>
      <c r="S65" s="316"/>
      <c r="T65" s="317"/>
      <c r="U65" s="317"/>
      <c r="V65" s="317"/>
      <c r="W65" s="317"/>
      <c r="X65" s="493"/>
      <c r="Y65" s="468"/>
      <c r="Z65" s="448"/>
      <c r="AA65" s="386"/>
      <c r="AB65" s="386"/>
      <c r="AC65" s="396"/>
      <c r="AD65" s="396"/>
      <c r="AE65" s="501"/>
      <c r="AF65" s="497"/>
      <c r="AG65" s="510"/>
      <c r="AH65" s="386"/>
      <c r="AI65" s="386"/>
      <c r="AJ65" s="396"/>
      <c r="AK65" s="396"/>
      <c r="AL65" s="493"/>
      <c r="AM65" s="487"/>
      <c r="AN65" s="488"/>
      <c r="AO65" s="511"/>
      <c r="AP65" s="511"/>
      <c r="AQ65" s="396"/>
      <c r="AR65" s="396"/>
      <c r="AS65" s="493"/>
      <c r="AT65" s="488"/>
      <c r="AU65" s="511"/>
      <c r="AV65" s="511"/>
      <c r="AW65" s="396"/>
      <c r="AX65" s="396"/>
      <c r="AY65" s="493"/>
      <c r="AZ65" s="488"/>
      <c r="BA65" s="511"/>
      <c r="BB65" s="511"/>
      <c r="BC65" s="396"/>
      <c r="BD65" s="396"/>
      <c r="BE65" s="493"/>
      <c r="BF65" s="488"/>
      <c r="BG65" s="511"/>
      <c r="BH65" s="511"/>
      <c r="BI65" s="396"/>
      <c r="BJ65" s="396"/>
      <c r="BK65" s="493"/>
      <c r="BL65" s="488"/>
      <c r="BM65" s="511"/>
      <c r="BN65" s="511"/>
      <c r="BO65" s="396"/>
      <c r="BP65" s="396"/>
      <c r="BQ65" s="493"/>
      <c r="BR65" s="488"/>
      <c r="BS65" s="511"/>
      <c r="BT65" s="511"/>
      <c r="BU65" s="396"/>
      <c r="BV65" s="396"/>
      <c r="BW65" s="493"/>
      <c r="BX65" s="488"/>
      <c r="BY65" s="511"/>
      <c r="BZ65" s="511"/>
      <c r="CA65" s="396"/>
      <c r="CB65" s="396"/>
      <c r="CC65" s="396"/>
      <c r="CD65" s="396"/>
      <c r="CE65" s="396"/>
      <c r="CF65" s="396"/>
      <c r="CG65" s="396"/>
      <c r="CH65" s="493"/>
      <c r="CI65" s="493"/>
    </row>
    <row r="66">
      <c r="A66" s="503"/>
      <c r="B66" s="503"/>
      <c r="C66" s="503"/>
      <c r="D66" s="503"/>
      <c r="E66" s="509"/>
      <c r="F66" s="509"/>
      <c r="G66" s="509"/>
      <c r="H66" s="396"/>
      <c r="I66" s="402"/>
      <c r="J66" s="468"/>
      <c r="K66" s="483"/>
      <c r="L66" s="448"/>
      <c r="M66" s="386"/>
      <c r="N66" s="512"/>
      <c r="O66" s="396"/>
      <c r="P66" s="396"/>
      <c r="Q66" s="501"/>
      <c r="R66" s="493"/>
      <c r="S66" s="316"/>
      <c r="T66" s="317"/>
      <c r="U66" s="317"/>
      <c r="V66" s="317"/>
      <c r="W66" s="317"/>
      <c r="X66" s="493"/>
      <c r="Y66" s="468"/>
      <c r="Z66" s="448"/>
      <c r="AA66" s="386"/>
      <c r="AB66" s="386"/>
      <c r="AC66" s="396"/>
      <c r="AD66" s="396"/>
      <c r="AE66" s="501"/>
      <c r="AF66" s="497"/>
      <c r="AG66" s="510"/>
      <c r="AH66" s="386"/>
      <c r="AI66" s="386"/>
      <c r="AJ66" s="396"/>
      <c r="AK66" s="396"/>
      <c r="AL66" s="493"/>
      <c r="AM66" s="487"/>
      <c r="AN66" s="488"/>
      <c r="AO66" s="511"/>
      <c r="AP66" s="511"/>
      <c r="AQ66" s="396"/>
      <c r="AR66" s="396"/>
      <c r="AS66" s="493"/>
      <c r="AT66" s="488"/>
      <c r="AU66" s="511"/>
      <c r="AV66" s="511"/>
      <c r="AW66" s="396"/>
      <c r="AX66" s="396"/>
      <c r="AY66" s="493"/>
      <c r="AZ66" s="488"/>
      <c r="BA66" s="511"/>
      <c r="BB66" s="511"/>
      <c r="BC66" s="396"/>
      <c r="BD66" s="396"/>
      <c r="BE66" s="493"/>
      <c r="BF66" s="488"/>
      <c r="BG66" s="511"/>
      <c r="BH66" s="511"/>
      <c r="BI66" s="396"/>
      <c r="BJ66" s="396"/>
      <c r="BK66" s="493"/>
      <c r="BL66" s="488"/>
      <c r="BM66" s="511"/>
      <c r="BN66" s="511"/>
      <c r="BO66" s="396"/>
      <c r="BP66" s="396"/>
      <c r="BQ66" s="493"/>
      <c r="BR66" s="488"/>
      <c r="BS66" s="511"/>
      <c r="BT66" s="511"/>
      <c r="BU66" s="396"/>
      <c r="BV66" s="396"/>
      <c r="BW66" s="493"/>
      <c r="BX66" s="488"/>
      <c r="BY66" s="511"/>
      <c r="BZ66" s="511"/>
      <c r="CA66" s="396"/>
      <c r="CB66" s="396"/>
      <c r="CC66" s="396"/>
      <c r="CD66" s="396"/>
      <c r="CE66" s="396"/>
      <c r="CF66" s="396"/>
      <c r="CG66" s="396"/>
      <c r="CH66" s="493"/>
      <c r="CI66" s="493"/>
    </row>
    <row r="67">
      <c r="A67" s="503"/>
      <c r="B67" s="503"/>
      <c r="C67" s="503"/>
      <c r="D67" s="503"/>
      <c r="E67" s="509"/>
      <c r="F67" s="509"/>
      <c r="G67" s="509"/>
      <c r="H67" s="396"/>
      <c r="I67" s="402"/>
      <c r="J67" s="468"/>
      <c r="K67" s="483"/>
      <c r="L67" s="448"/>
      <c r="M67" s="386"/>
      <c r="N67" s="512"/>
      <c r="O67" s="396"/>
      <c r="P67" s="396"/>
      <c r="Q67" s="501"/>
      <c r="R67" s="493"/>
      <c r="S67" s="316"/>
      <c r="T67" s="317"/>
      <c r="U67" s="317"/>
      <c r="V67" s="317"/>
      <c r="W67" s="317"/>
      <c r="X67" s="493"/>
      <c r="Y67" s="468"/>
      <c r="Z67" s="448"/>
      <c r="AA67" s="386"/>
      <c r="AB67" s="386"/>
      <c r="AC67" s="396"/>
      <c r="AD67" s="396"/>
      <c r="AE67" s="501"/>
      <c r="AF67" s="497"/>
      <c r="AG67" s="510"/>
      <c r="AH67" s="386"/>
      <c r="AI67" s="386"/>
      <c r="AJ67" s="396"/>
      <c r="AK67" s="396"/>
      <c r="AL67" s="493"/>
      <c r="AM67" s="487"/>
      <c r="AN67" s="488"/>
      <c r="AO67" s="511"/>
      <c r="AP67" s="511"/>
      <c r="AQ67" s="396"/>
      <c r="AR67" s="396"/>
      <c r="AS67" s="493"/>
      <c r="AT67" s="488"/>
      <c r="AU67" s="511"/>
      <c r="AV67" s="511"/>
      <c r="AW67" s="396"/>
      <c r="AX67" s="396"/>
      <c r="AY67" s="493"/>
      <c r="AZ67" s="488"/>
      <c r="BA67" s="511"/>
      <c r="BB67" s="511"/>
      <c r="BC67" s="396"/>
      <c r="BD67" s="396"/>
      <c r="BE67" s="493"/>
      <c r="BF67" s="488"/>
      <c r="BG67" s="511"/>
      <c r="BH67" s="511"/>
      <c r="BI67" s="396"/>
      <c r="BJ67" s="396"/>
      <c r="BK67" s="493"/>
      <c r="BL67" s="488"/>
      <c r="BM67" s="511"/>
      <c r="BN67" s="511"/>
      <c r="BO67" s="396"/>
      <c r="BP67" s="396"/>
      <c r="BQ67" s="493"/>
      <c r="BR67" s="488"/>
      <c r="BS67" s="511"/>
      <c r="BT67" s="511"/>
      <c r="BU67" s="396"/>
      <c r="BV67" s="396"/>
      <c r="BW67" s="493"/>
      <c r="BX67" s="488"/>
      <c r="BY67" s="511"/>
      <c r="BZ67" s="511"/>
      <c r="CA67" s="396"/>
      <c r="CB67" s="396"/>
      <c r="CC67" s="396"/>
      <c r="CD67" s="396"/>
      <c r="CE67" s="396"/>
      <c r="CF67" s="396"/>
      <c r="CG67" s="396"/>
      <c r="CH67" s="493"/>
      <c r="CI67" s="493"/>
    </row>
    <row r="68">
      <c r="A68" s="503"/>
      <c r="B68" s="503"/>
      <c r="C68" s="503"/>
      <c r="D68" s="503"/>
      <c r="E68" s="509"/>
      <c r="F68" s="509"/>
      <c r="G68" s="509"/>
      <c r="H68" s="396"/>
      <c r="I68" s="402"/>
      <c r="J68" s="468"/>
      <c r="K68" s="483"/>
      <c r="L68" s="448"/>
      <c r="M68" s="386"/>
      <c r="N68" s="512"/>
      <c r="O68" s="396"/>
      <c r="P68" s="396"/>
      <c r="Q68" s="501"/>
      <c r="R68" s="493"/>
      <c r="S68" s="316"/>
      <c r="T68" s="317"/>
      <c r="U68" s="317"/>
      <c r="V68" s="317"/>
      <c r="W68" s="317"/>
      <c r="X68" s="493"/>
      <c r="Y68" s="468"/>
      <c r="Z68" s="448"/>
      <c r="AA68" s="386"/>
      <c r="AB68" s="386"/>
      <c r="AC68" s="396"/>
      <c r="AD68" s="396"/>
      <c r="AE68" s="501"/>
      <c r="AF68" s="497"/>
      <c r="AG68" s="510"/>
      <c r="AH68" s="386"/>
      <c r="AI68" s="386"/>
      <c r="AJ68" s="396"/>
      <c r="AK68" s="396"/>
      <c r="AL68" s="493"/>
      <c r="AM68" s="487"/>
      <c r="AN68" s="488"/>
      <c r="AO68" s="511"/>
      <c r="AP68" s="511"/>
      <c r="AQ68" s="396"/>
      <c r="AR68" s="396"/>
      <c r="AS68" s="493"/>
      <c r="AT68" s="488"/>
      <c r="AU68" s="511"/>
      <c r="AV68" s="511"/>
      <c r="AW68" s="396"/>
      <c r="AX68" s="396"/>
      <c r="AY68" s="493"/>
      <c r="AZ68" s="488"/>
      <c r="BA68" s="511"/>
      <c r="BB68" s="511"/>
      <c r="BC68" s="396"/>
      <c r="BD68" s="396"/>
      <c r="BE68" s="493"/>
      <c r="BF68" s="488"/>
      <c r="BG68" s="511"/>
      <c r="BH68" s="511"/>
      <c r="BI68" s="396"/>
      <c r="BJ68" s="396"/>
      <c r="BK68" s="493"/>
      <c r="BL68" s="488"/>
      <c r="BM68" s="511"/>
      <c r="BN68" s="511"/>
      <c r="BO68" s="396"/>
      <c r="BP68" s="396"/>
      <c r="BQ68" s="493"/>
      <c r="BR68" s="488"/>
      <c r="BS68" s="511"/>
      <c r="BT68" s="511"/>
      <c r="BU68" s="396"/>
      <c r="BV68" s="396"/>
      <c r="BW68" s="493"/>
      <c r="BX68" s="488"/>
      <c r="BY68" s="511"/>
      <c r="BZ68" s="511"/>
      <c r="CA68" s="396"/>
      <c r="CB68" s="396"/>
      <c r="CC68" s="396"/>
      <c r="CD68" s="396"/>
      <c r="CE68" s="396"/>
      <c r="CF68" s="396"/>
      <c r="CG68" s="396"/>
      <c r="CH68" s="493"/>
      <c r="CI68" s="493"/>
    </row>
    <row r="69">
      <c r="A69" s="503"/>
      <c r="B69" s="503"/>
      <c r="C69" s="503"/>
      <c r="D69" s="503"/>
      <c r="E69" s="509"/>
      <c r="F69" s="509"/>
      <c r="G69" s="509"/>
      <c r="H69" s="396"/>
      <c r="I69" s="402"/>
      <c r="J69" s="468"/>
      <c r="K69" s="483"/>
      <c r="L69" s="448"/>
      <c r="M69" s="386"/>
      <c r="N69" s="512"/>
      <c r="O69" s="396"/>
      <c r="P69" s="396"/>
      <c r="Q69" s="501"/>
      <c r="R69" s="493"/>
      <c r="S69" s="316"/>
      <c r="T69" s="317"/>
      <c r="U69" s="317"/>
      <c r="V69" s="317"/>
      <c r="W69" s="317"/>
      <c r="X69" s="493"/>
      <c r="Y69" s="468"/>
      <c r="Z69" s="448"/>
      <c r="AA69" s="386"/>
      <c r="AB69" s="386"/>
      <c r="AC69" s="396"/>
      <c r="AD69" s="396"/>
      <c r="AE69" s="501"/>
      <c r="AF69" s="497"/>
      <c r="AG69" s="510"/>
      <c r="AH69" s="386"/>
      <c r="AI69" s="386"/>
      <c r="AJ69" s="396"/>
      <c r="AK69" s="396"/>
      <c r="AL69" s="493"/>
      <c r="AM69" s="487"/>
      <c r="AN69" s="488"/>
      <c r="AO69" s="511"/>
      <c r="AP69" s="511"/>
      <c r="AQ69" s="396"/>
      <c r="AR69" s="396"/>
      <c r="AS69" s="493"/>
      <c r="AT69" s="488"/>
      <c r="AU69" s="511"/>
      <c r="AV69" s="511"/>
      <c r="AW69" s="396"/>
      <c r="AX69" s="396"/>
      <c r="AY69" s="493"/>
      <c r="AZ69" s="488"/>
      <c r="BA69" s="511"/>
      <c r="BB69" s="511"/>
      <c r="BC69" s="396"/>
      <c r="BD69" s="396"/>
      <c r="BE69" s="493"/>
      <c r="BF69" s="488"/>
      <c r="BG69" s="511"/>
      <c r="BH69" s="511"/>
      <c r="BI69" s="396"/>
      <c r="BJ69" s="396"/>
      <c r="BK69" s="493"/>
      <c r="BL69" s="488"/>
      <c r="BM69" s="511"/>
      <c r="BN69" s="511"/>
      <c r="BO69" s="396"/>
      <c r="BP69" s="396"/>
      <c r="BQ69" s="493"/>
      <c r="BR69" s="488"/>
      <c r="BS69" s="511"/>
      <c r="BT69" s="511"/>
      <c r="BU69" s="396"/>
      <c r="BV69" s="396"/>
      <c r="BW69" s="493"/>
      <c r="BX69" s="488"/>
      <c r="BY69" s="511"/>
      <c r="BZ69" s="511"/>
      <c r="CA69" s="396"/>
      <c r="CB69" s="396"/>
      <c r="CC69" s="396"/>
      <c r="CD69" s="396"/>
      <c r="CE69" s="396"/>
      <c r="CF69" s="396"/>
      <c r="CG69" s="396"/>
      <c r="CH69" s="493"/>
      <c r="CI69" s="493"/>
    </row>
    <row r="70">
      <c r="A70" s="503"/>
      <c r="B70" s="503"/>
      <c r="C70" s="503"/>
      <c r="D70" s="503"/>
      <c r="E70" s="509"/>
      <c r="F70" s="509"/>
      <c r="G70" s="509"/>
      <c r="H70" s="396"/>
      <c r="I70" s="402"/>
      <c r="J70" s="468"/>
      <c r="K70" s="483"/>
      <c r="L70" s="448"/>
      <c r="M70" s="386"/>
      <c r="N70" s="512"/>
      <c r="O70" s="396"/>
      <c r="P70" s="396"/>
      <c r="Q70" s="501"/>
      <c r="R70" s="493"/>
      <c r="S70" s="316"/>
      <c r="T70" s="317"/>
      <c r="U70" s="317"/>
      <c r="V70" s="317"/>
      <c r="W70" s="317"/>
      <c r="X70" s="493"/>
      <c r="Y70" s="468"/>
      <c r="Z70" s="448"/>
      <c r="AA70" s="386"/>
      <c r="AB70" s="386"/>
      <c r="AC70" s="396"/>
      <c r="AD70" s="396"/>
      <c r="AE70" s="501"/>
      <c r="AF70" s="497"/>
      <c r="AG70" s="510"/>
      <c r="AH70" s="386"/>
      <c r="AI70" s="386"/>
      <c r="AJ70" s="396"/>
      <c r="AK70" s="396"/>
      <c r="AL70" s="493"/>
      <c r="AM70" s="487"/>
      <c r="AN70" s="488"/>
      <c r="AO70" s="511"/>
      <c r="AP70" s="511"/>
      <c r="AQ70" s="396"/>
      <c r="AR70" s="396"/>
      <c r="AS70" s="493"/>
      <c r="AT70" s="488"/>
      <c r="AU70" s="511"/>
      <c r="AV70" s="511"/>
      <c r="AW70" s="396"/>
      <c r="AX70" s="396"/>
      <c r="AY70" s="493"/>
      <c r="AZ70" s="488"/>
      <c r="BA70" s="511"/>
      <c r="BB70" s="511"/>
      <c r="BC70" s="396"/>
      <c r="BD70" s="396"/>
      <c r="BE70" s="493"/>
      <c r="BF70" s="488"/>
      <c r="BG70" s="511"/>
      <c r="BH70" s="511"/>
      <c r="BI70" s="396"/>
      <c r="BJ70" s="396"/>
      <c r="BK70" s="493"/>
      <c r="BL70" s="488"/>
      <c r="BM70" s="511"/>
      <c r="BN70" s="511"/>
      <c r="BO70" s="396"/>
      <c r="BP70" s="396"/>
      <c r="BQ70" s="493"/>
      <c r="BR70" s="488"/>
      <c r="BS70" s="511"/>
      <c r="BT70" s="511"/>
      <c r="BU70" s="396"/>
      <c r="BV70" s="396"/>
      <c r="BW70" s="493"/>
      <c r="BX70" s="488"/>
      <c r="BY70" s="511"/>
      <c r="BZ70" s="511"/>
      <c r="CA70" s="396"/>
      <c r="CB70" s="396"/>
      <c r="CC70" s="396"/>
      <c r="CD70" s="396"/>
      <c r="CE70" s="396"/>
      <c r="CF70" s="396"/>
      <c r="CG70" s="396"/>
      <c r="CH70" s="493"/>
      <c r="CI70" s="493"/>
    </row>
  </sheetData>
  <mergeCells count="2">
    <mergeCell ref="H2:I2"/>
    <mergeCell ref="H3:I3"/>
  </mergeCells>
  <dataValidations>
    <dataValidation type="list" allowBlank="1" sqref="D3 F3">
      <formula1>"店舗預かり,ご自宅配送"</formula1>
    </dataValidation>
  </dataValidations>
  <hyperlinks>
    <hyperlink r:id="rId1" ref="R1"/>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hidden="1" min="1" max="1" width="5.13"/>
    <col customWidth="1" hidden="1" min="2" max="2" width="30.13"/>
    <col customWidth="1" min="3" max="3" width="5.13"/>
    <col customWidth="1" min="4" max="4" width="40.13"/>
    <col customWidth="1" hidden="1" min="5" max="5" width="6.38"/>
    <col customWidth="1" min="6" max="7" width="18.88"/>
    <col customWidth="1" min="8" max="9" width="12.63"/>
    <col customWidth="1" min="10" max="10" width="6.38"/>
    <col customWidth="1" min="11" max="11" width="37.63"/>
    <col customWidth="1" hidden="1" min="12" max="12" width="9.75"/>
    <col customWidth="1" min="13" max="13" width="12.63"/>
    <col customWidth="1" min="14" max="14" width="18.88"/>
    <col customWidth="1" min="15" max="16" width="12.63"/>
    <col customWidth="1" min="17" max="17" width="6.38"/>
    <col customWidth="1" min="18" max="18" width="37.63"/>
    <col customWidth="1" hidden="1" min="19" max="19" width="6.38"/>
    <col customWidth="1" min="20" max="21" width="18.88"/>
    <col customWidth="1" min="22" max="23" width="12.63"/>
    <col customWidth="1" min="24" max="24" width="6.25"/>
    <col customWidth="1" min="25" max="25" width="37.63"/>
    <col customWidth="1" hidden="1" min="26" max="26" width="6.38"/>
    <col customWidth="1" min="27" max="28" width="18.88"/>
    <col customWidth="1" min="29" max="30" width="12.63"/>
    <col customWidth="1" min="31" max="31" width="6.38"/>
    <col customWidth="1" min="32" max="32" width="25.13"/>
    <col customWidth="1" hidden="1" min="33" max="33" width="6.38"/>
    <col customWidth="1" min="34" max="35" width="18.88"/>
    <col customWidth="1" min="36" max="37" width="12.63"/>
    <col customWidth="1" min="38" max="38" width="6.38"/>
    <col customWidth="1" min="39" max="39" width="25.13"/>
    <col customWidth="1" hidden="1" min="40" max="40" width="6.38"/>
    <col customWidth="1" min="41" max="42" width="18.88"/>
    <col customWidth="1" min="43" max="44" width="12.63"/>
    <col customWidth="1" min="45" max="45" width="7.13"/>
    <col customWidth="1" min="46" max="46" width="25.13"/>
    <col customWidth="1" min="47" max="48" width="18.88"/>
    <col customWidth="1" min="49" max="50" width="12.63"/>
    <col customWidth="1" min="51" max="51" width="7.13"/>
    <col customWidth="1" min="52" max="52" width="25.13"/>
    <col customWidth="1" min="53" max="54" width="18.88"/>
    <col customWidth="1" min="55" max="56" width="12.63"/>
    <col customWidth="1" min="57" max="57" width="7.13"/>
    <col customWidth="1" min="58" max="58" width="25.13"/>
    <col customWidth="1" min="59" max="60" width="18.88"/>
    <col customWidth="1" min="61" max="62" width="12.63"/>
    <col customWidth="1" min="63" max="63" width="7.13"/>
    <col customWidth="1" min="64" max="64" width="25.13"/>
    <col customWidth="1" min="65" max="66" width="18.88"/>
    <col customWidth="1" min="67" max="68" width="12.63"/>
    <col customWidth="1" min="69" max="69" width="7.13"/>
    <col customWidth="1" min="70" max="70" width="25.13"/>
    <col customWidth="1" min="71" max="72" width="18.88"/>
    <col customWidth="1" min="73" max="74" width="12.63"/>
    <col customWidth="1" min="75" max="75" width="7.13"/>
    <col customWidth="1" min="76" max="76" width="25.13"/>
    <col customWidth="1" min="77" max="78" width="18.88"/>
    <col customWidth="1" min="79" max="80" width="12.63"/>
    <col customWidth="1" hidden="1" min="81" max="81" width="12.63"/>
    <col customWidth="1" hidden="1" min="82" max="82" width="25.13"/>
    <col customWidth="1" hidden="1" min="83" max="85" width="12.63"/>
    <col customWidth="1" hidden="1" min="86" max="87" width="7.13"/>
  </cols>
  <sheetData>
    <row r="1" ht="67.5" customHeight="1">
      <c r="A1" s="310"/>
      <c r="B1" s="311"/>
      <c r="C1" s="310"/>
      <c r="D1" s="312" t="s">
        <v>175</v>
      </c>
      <c r="E1" s="183"/>
      <c r="H1" s="313"/>
      <c r="I1" s="314"/>
      <c r="J1" s="315"/>
      <c r="L1" s="316"/>
      <c r="M1" s="317"/>
      <c r="N1" s="317"/>
      <c r="O1" s="317"/>
      <c r="P1" s="317"/>
      <c r="R1" s="318" t="s">
        <v>176</v>
      </c>
      <c r="S1" s="319"/>
      <c r="T1" s="320"/>
      <c r="U1" s="320"/>
      <c r="V1" s="317"/>
      <c r="W1" s="317"/>
      <c r="X1" s="321"/>
      <c r="Y1" s="322"/>
      <c r="Z1" s="323"/>
      <c r="AA1" s="324"/>
      <c r="AB1" s="324"/>
      <c r="AC1" s="324"/>
      <c r="AD1" s="324"/>
      <c r="AE1" s="325"/>
      <c r="AF1" s="325"/>
      <c r="AG1" s="326"/>
      <c r="AH1" s="317"/>
      <c r="AI1" s="317"/>
      <c r="AJ1" s="317"/>
      <c r="AK1" s="317"/>
      <c r="AL1" s="327"/>
      <c r="AM1" s="328"/>
      <c r="AN1" s="329"/>
      <c r="AO1" s="330"/>
      <c r="AP1" s="330"/>
      <c r="AQ1" s="330"/>
      <c r="AR1" s="330"/>
      <c r="AS1" s="331"/>
      <c r="AT1" s="329"/>
      <c r="AU1" s="330"/>
      <c r="AV1" s="330"/>
      <c r="AW1" s="330"/>
      <c r="AX1" s="330"/>
      <c r="AY1" s="331"/>
      <c r="AZ1" s="329"/>
      <c r="BA1" s="330"/>
      <c r="BB1" s="330"/>
      <c r="BC1" s="330"/>
      <c r="BD1" s="330"/>
      <c r="BE1" s="332"/>
      <c r="BF1" s="329"/>
      <c r="BG1" s="330"/>
      <c r="BH1" s="330"/>
      <c r="BI1" s="330"/>
      <c r="BJ1" s="330"/>
      <c r="BK1" s="332"/>
      <c r="BL1" s="329"/>
      <c r="BM1" s="330"/>
      <c r="BN1" s="330"/>
      <c r="BO1" s="330"/>
      <c r="BP1" s="330"/>
      <c r="BQ1" s="332"/>
      <c r="BR1" s="329"/>
      <c r="BS1" s="330"/>
      <c r="BT1" s="330"/>
      <c r="BU1" s="330"/>
      <c r="BV1" s="330"/>
      <c r="BW1" s="332"/>
      <c r="BX1" s="329"/>
      <c r="BY1" s="330"/>
      <c r="BZ1" s="330"/>
      <c r="CA1" s="330"/>
      <c r="CB1" s="330"/>
      <c r="CC1" s="330"/>
      <c r="CD1" s="333" t="s">
        <v>177</v>
      </c>
      <c r="CE1" s="334" t="s">
        <v>178</v>
      </c>
      <c r="CF1" s="330"/>
      <c r="CG1" s="330"/>
      <c r="CH1" s="332"/>
      <c r="CI1" s="332"/>
    </row>
    <row r="2">
      <c r="A2" s="317"/>
      <c r="B2" s="317"/>
      <c r="C2" s="317"/>
      <c r="D2" s="335" t="s">
        <v>179</v>
      </c>
      <c r="E2" s="336"/>
      <c r="F2" s="337" t="s">
        <v>180</v>
      </c>
      <c r="G2" s="338" t="s">
        <v>181</v>
      </c>
      <c r="H2" s="339" t="s">
        <v>182</v>
      </c>
      <c r="I2" s="340"/>
      <c r="J2" s="317"/>
      <c r="K2" s="341" t="s">
        <v>183</v>
      </c>
      <c r="L2" s="316"/>
      <c r="M2" s="317"/>
      <c r="N2" s="342"/>
      <c r="Q2" s="317"/>
      <c r="S2" s="343"/>
      <c r="V2" s="317"/>
      <c r="W2" s="317"/>
      <c r="X2" s="344"/>
      <c r="Y2" s="345"/>
      <c r="Z2" s="323"/>
      <c r="AA2" s="324"/>
      <c r="AB2" s="324"/>
      <c r="AC2" s="324"/>
      <c r="AD2" s="324"/>
      <c r="AE2" s="324"/>
      <c r="AF2" s="324"/>
      <c r="AG2" s="326"/>
      <c r="AH2" s="317"/>
      <c r="AI2" s="317"/>
      <c r="AJ2" s="317"/>
      <c r="AK2" s="317"/>
      <c r="AL2" s="317"/>
      <c r="AM2" s="330"/>
      <c r="AN2" s="346"/>
      <c r="AO2" s="330"/>
      <c r="AP2" s="330"/>
      <c r="AQ2" s="330"/>
      <c r="AR2" s="330"/>
      <c r="AS2" s="347"/>
      <c r="AT2" s="346"/>
      <c r="AU2" s="330"/>
      <c r="AV2" s="330"/>
      <c r="AW2" s="330"/>
      <c r="AX2" s="330"/>
      <c r="AY2" s="347"/>
      <c r="AZ2" s="346"/>
      <c r="BA2" s="330"/>
      <c r="BB2" s="330"/>
      <c r="BC2" s="330"/>
      <c r="BD2" s="330"/>
      <c r="BE2" s="330"/>
      <c r="BF2" s="346"/>
      <c r="BG2" s="330"/>
      <c r="BH2" s="330"/>
      <c r="BI2" s="330"/>
      <c r="BJ2" s="330"/>
      <c r="BK2" s="330"/>
      <c r="BL2" s="346"/>
      <c r="BM2" s="330"/>
      <c r="BN2" s="330"/>
      <c r="BO2" s="330"/>
      <c r="BP2" s="330"/>
      <c r="BQ2" s="330"/>
      <c r="BR2" s="346"/>
      <c r="BS2" s="330"/>
      <c r="BT2" s="330"/>
      <c r="BU2" s="330"/>
      <c r="BV2" s="330"/>
      <c r="BW2" s="330"/>
      <c r="BX2" s="346"/>
      <c r="BY2" s="330"/>
      <c r="BZ2" s="330"/>
      <c r="CA2" s="330"/>
      <c r="CB2" s="330"/>
      <c r="CC2" s="330"/>
      <c r="CD2" s="330"/>
      <c r="CE2" s="330"/>
      <c r="CF2" s="330"/>
      <c r="CG2" s="330"/>
      <c r="CH2" s="330"/>
      <c r="CI2" s="330"/>
    </row>
    <row r="3">
      <c r="A3" s="317"/>
      <c r="B3" s="317"/>
      <c r="C3" s="317"/>
      <c r="D3" s="348" t="s">
        <v>184</v>
      </c>
      <c r="E3" s="349"/>
      <c r="F3" s="348" t="s">
        <v>185</v>
      </c>
      <c r="G3" s="350">
        <v>1.0</v>
      </c>
      <c r="H3" s="351">
        <f>SUMIFS('アイテム別限界値DB'!$Y$3:$Y$7,'アイテム別限界値DB'!$W$3:$W$7,$D$3,'アイテム別限界値DB'!$X$3:$X$7,$F$3)*$G$3</f>
        <v>3100.02</v>
      </c>
      <c r="I3" s="352"/>
      <c r="J3" s="317"/>
      <c r="K3" s="353">
        <f>ROUND(SUM($D$5,$K$5,$R$5,$Y$5,$AF$5,$AM$5,$D$37,$K$37,$R$37,$Y$37,$AF$37,$AM$37)+H3,0)</f>
        <v>3100</v>
      </c>
      <c r="L3" s="354"/>
      <c r="M3" s="355" t="s">
        <v>186</v>
      </c>
      <c r="N3" s="356"/>
      <c r="O3" s="357"/>
      <c r="P3" s="357"/>
      <c r="Q3" s="358"/>
      <c r="R3" s="359" t="s">
        <v>187</v>
      </c>
      <c r="S3" s="343"/>
      <c r="V3" s="317"/>
      <c r="W3" s="317"/>
      <c r="X3" s="344"/>
      <c r="Y3" s="345"/>
      <c r="Z3" s="323"/>
      <c r="AA3" s="324"/>
      <c r="AB3" s="324"/>
      <c r="AC3" s="324"/>
      <c r="AD3" s="324"/>
      <c r="AE3" s="324"/>
      <c r="AF3" s="324"/>
      <c r="AG3" s="326"/>
      <c r="AH3" s="317"/>
      <c r="AI3" s="317"/>
      <c r="AJ3" s="317"/>
      <c r="AK3" s="317"/>
      <c r="AL3" s="317"/>
      <c r="AM3" s="330"/>
      <c r="AN3" s="346"/>
      <c r="AO3" s="330"/>
      <c r="AP3" s="330"/>
      <c r="AQ3" s="330"/>
      <c r="AR3" s="330"/>
      <c r="AS3" s="347"/>
      <c r="AT3" s="346"/>
      <c r="AU3" s="330"/>
      <c r="AV3" s="330"/>
      <c r="AW3" s="330"/>
      <c r="AX3" s="330"/>
      <c r="AY3" s="347"/>
      <c r="AZ3" s="346"/>
      <c r="BA3" s="330"/>
      <c r="BB3" s="330"/>
      <c r="BC3" s="330"/>
      <c r="BD3" s="330"/>
      <c r="BE3" s="330"/>
      <c r="BF3" s="346"/>
      <c r="BG3" s="330"/>
      <c r="BH3" s="330"/>
      <c r="BI3" s="330"/>
      <c r="BJ3" s="330"/>
      <c r="BK3" s="330"/>
      <c r="BL3" s="346"/>
      <c r="BM3" s="330"/>
      <c r="BN3" s="330"/>
      <c r="BO3" s="330"/>
      <c r="BP3" s="330"/>
      <c r="BQ3" s="330"/>
      <c r="BR3" s="346"/>
      <c r="BS3" s="330"/>
      <c r="BT3" s="330"/>
      <c r="BU3" s="330"/>
      <c r="BV3" s="330"/>
      <c r="BW3" s="330"/>
      <c r="BX3" s="346"/>
      <c r="BY3" s="330"/>
      <c r="BZ3" s="330"/>
      <c r="CA3" s="330"/>
      <c r="CB3" s="330"/>
      <c r="CC3" s="330"/>
      <c r="CD3" s="330"/>
      <c r="CE3" s="330"/>
      <c r="CF3" s="330"/>
      <c r="CG3" s="330"/>
      <c r="CH3" s="330"/>
      <c r="CI3" s="330"/>
    </row>
    <row r="4">
      <c r="A4" s="360"/>
      <c r="B4" s="360"/>
      <c r="C4" s="360"/>
      <c r="D4" s="361" t="s">
        <v>34</v>
      </c>
      <c r="E4" s="362"/>
      <c r="F4" s="362"/>
      <c r="G4" s="362"/>
      <c r="H4" s="363"/>
      <c r="I4" s="363"/>
      <c r="J4" s="364"/>
      <c r="K4" s="365" t="s">
        <v>36</v>
      </c>
      <c r="L4" s="366"/>
      <c r="M4" s="363"/>
      <c r="N4" s="363"/>
      <c r="O4" s="363"/>
      <c r="P4" s="363"/>
      <c r="Q4" s="332"/>
      <c r="R4" s="367" t="s">
        <v>37</v>
      </c>
      <c r="S4" s="366"/>
      <c r="T4" s="363"/>
      <c r="U4" s="363"/>
      <c r="V4" s="363"/>
      <c r="W4" s="363"/>
      <c r="X4" s="327"/>
      <c r="Y4" s="368" t="s">
        <v>38</v>
      </c>
      <c r="Z4" s="366"/>
      <c r="AA4" s="363"/>
      <c r="AB4" s="363"/>
      <c r="AC4" s="363"/>
      <c r="AD4" s="363"/>
      <c r="AE4" s="332"/>
      <c r="AF4" s="299" t="s">
        <v>39</v>
      </c>
      <c r="AG4" s="369"/>
      <c r="AH4" s="363"/>
      <c r="AI4" s="363"/>
      <c r="AJ4" s="363"/>
      <c r="AK4" s="363"/>
      <c r="AL4" s="332"/>
      <c r="AM4" s="299" t="s">
        <v>40</v>
      </c>
      <c r="AN4" s="365"/>
      <c r="AO4" s="363"/>
      <c r="AP4" s="363"/>
      <c r="AQ4" s="363"/>
      <c r="AR4" s="363"/>
      <c r="AS4" s="332"/>
      <c r="AT4" s="365" t="s">
        <v>41</v>
      </c>
      <c r="AU4" s="363"/>
      <c r="AV4" s="363"/>
      <c r="AW4" s="363"/>
      <c r="AX4" s="363"/>
      <c r="AY4" s="332"/>
      <c r="AZ4" s="365" t="s">
        <v>42</v>
      </c>
      <c r="BA4" s="363"/>
      <c r="BB4" s="363"/>
      <c r="BC4" s="363"/>
      <c r="BD4" s="363"/>
      <c r="BE4" s="332"/>
      <c r="BF4" s="365" t="s">
        <v>43</v>
      </c>
      <c r="BG4" s="363"/>
      <c r="BH4" s="363"/>
      <c r="BI4" s="363"/>
      <c r="BJ4" s="363"/>
      <c r="BK4" s="332"/>
      <c r="BL4" s="365" t="s">
        <v>44</v>
      </c>
      <c r="BM4" s="363"/>
      <c r="BN4" s="363"/>
      <c r="BO4" s="363"/>
      <c r="BP4" s="363"/>
      <c r="BQ4" s="332"/>
      <c r="BR4" s="365" t="s">
        <v>45</v>
      </c>
      <c r="BS4" s="363"/>
      <c r="BT4" s="363"/>
      <c r="BU4" s="363"/>
      <c r="BV4" s="363"/>
      <c r="BW4" s="332"/>
      <c r="BX4" s="365" t="s">
        <v>46</v>
      </c>
      <c r="BY4" s="363"/>
      <c r="BZ4" s="363"/>
      <c r="CA4" s="363"/>
      <c r="CB4" s="363"/>
      <c r="CC4" s="330"/>
      <c r="CD4" s="365" t="s">
        <v>188</v>
      </c>
      <c r="CE4" s="363"/>
      <c r="CF4" s="363"/>
      <c r="CG4" s="363"/>
      <c r="CH4" s="332"/>
      <c r="CI4" s="332"/>
    </row>
    <row r="5" ht="37.5" customHeight="1">
      <c r="A5" s="370"/>
      <c r="B5" s="302" t="s">
        <v>162</v>
      </c>
      <c r="C5" s="370"/>
      <c r="D5" s="371">
        <f>round(if(sum(I7:I34)=I7, "", sum(I7:I34)) ,0)</f>
        <v>0</v>
      </c>
      <c r="E5" s="372"/>
      <c r="F5" s="373" t="s">
        <v>189</v>
      </c>
      <c r="G5" s="374" t="str">
        <f t="array" ref="G5">IFS(
  COUNTA(H$8:H34) = 0, "", 
  COUNTIF(H$8:H34, "再製作") &gt; 0, "再製作", 
  COUNTIF(H$8:H34, "&gt;0") = 1, INDEX(H$8:H34, MATCH(TRUE, ISNUMBER(H$8:H34), 0)), 
  COUNTIF(H$8:H34, "&gt;0") = 2, 'アイテム別限界値DB'!$S$4, 
  COUNTIF(H$8:H34, "&gt;0") &gt;= 3, 'アイテム別限界値DB'!$S$6, 
  TRUE, ""
)
</f>
        <v/>
      </c>
      <c r="H5" s="375" t="s">
        <v>190</v>
      </c>
      <c r="I5" s="375" t="s">
        <v>191</v>
      </c>
      <c r="J5" s="376"/>
      <c r="K5" s="371">
        <f>round(if(sum(P7:P34)=P7, "", sum(P7:P34)) ,0)</f>
        <v>0</v>
      </c>
      <c r="L5" s="377"/>
      <c r="M5" s="373" t="s">
        <v>192</v>
      </c>
      <c r="N5" s="374" t="str">
        <f t="array" ref="N5">IFS(
  COUNTA(O$8:O34) = 0, "", 
  COUNTIF(O$8:O34, "再製作") &gt; 0, "再製作", 
  COUNTIF(O$8:O34, "&gt;0") = 1, INDEX(O$8:O34, MATCH(TRUE, ISNUMBER(O$8:O34), 0)), 
  COUNTIF(O$8:O34, "&gt;0") = 2, 'アイテム別限界値DB'!$S$8, 
  COUNTIF(O$8:O34, "&gt;0") &gt;= 3, 'アイテム別限界値DB'!$S$10, 
  TRUE, ""
)
</f>
        <v/>
      </c>
      <c r="O5" s="375" t="s">
        <v>190</v>
      </c>
      <c r="P5" s="375" t="s">
        <v>191</v>
      </c>
      <c r="Q5" s="378"/>
      <c r="R5" s="371">
        <f>round(if(sum(W7:W34)=W7, "", sum(W7:W34)) ,0)</f>
        <v>0</v>
      </c>
      <c r="S5" s="379"/>
      <c r="T5" s="373" t="s">
        <v>189</v>
      </c>
      <c r="U5" s="374" t="str">
        <f t="array" ref="U5">IFS(
  COUNTA(V$8:V34) = 0, "", 
  COUNTIF(V$8:V34, "再製作") &gt; 0, "再製作", 
  COUNTIF(V$8:V34, "&gt;0") = 1, INDEX(V$8:V34, MATCH(TRUE, ISNUMBER(V$8:V34), 0)), 
  COUNTIF(V$8:V34, "&gt;0") = 2, 'アイテム別限界値DB'!$S$4, 
  COUNTIF(V$8:V34, "&gt;0") &gt;= 3, 'アイテム別限界値DB'!$S$6, 
  TRUE, ""
)
</f>
        <v/>
      </c>
      <c r="V5" s="375" t="s">
        <v>190</v>
      </c>
      <c r="W5" s="375" t="s">
        <v>191</v>
      </c>
      <c r="X5" s="327"/>
      <c r="Y5" s="371">
        <f>round(if(sum(AD7:AD34)=AD7, "", sum(AD7:AD34)) ,0)</f>
        <v>0</v>
      </c>
      <c r="Z5" s="379"/>
      <c r="AA5" s="373" t="s">
        <v>189</v>
      </c>
      <c r="AB5" s="374" t="str">
        <f t="array" ref="AB5">IFS(
  COUNTA(AC$8:AC34) = 0, "", 
  COUNTIF(AC$8:AC34, "再製作") &gt; 0, "再製作", 
  COUNTIF(AC$8:AC34, "&gt;0") = 1, INDEX(AC$8:AC34, MATCH(TRUE, ISNUMBER(AC$8:AC34), 0)), 
  COUNTIF(AC$8:AC34, "&gt;0") = 2, 'アイテム別限界値DB'!$S$4, 
  COUNTIF(AC$8:AC34, "&gt;0") &gt;= 3, 'アイテム別限界値DB'!$S$6, 
  TRUE, ""
)
</f>
        <v/>
      </c>
      <c r="AC5" s="375" t="s">
        <v>190</v>
      </c>
      <c r="AD5" s="375" t="s">
        <v>191</v>
      </c>
      <c r="AE5" s="380"/>
      <c r="AF5" s="371">
        <f>round(if(sum(AK7:AK34)=AK7, "", sum(AK7:AK34)) ,0)</f>
        <v>0</v>
      </c>
      <c r="AG5" s="372"/>
      <c r="AH5" s="373" t="s">
        <v>189</v>
      </c>
      <c r="AI5" s="374" t="str">
        <f t="array" ref="AI5">IFS(
  COUNTA(AJ$8:AJ34) = 0, "", 
  COUNTIF(AJ$8:AJ34, "再製作") &gt; 0, "再製作", 
  COUNTIF(AJ$8:AJ34, "&gt;0") = 1, INDEX(AJ$8:AJ34, MATCH(TRUE, ISNUMBER(AJ$8:AJ34), 0)), 
  COUNTIF(AJ$8:AJ34, "&gt;0") = 2, 'アイテム別限界値DB'!$S$4, 
  COUNTIF(AJ$8:AJ34, "&gt;0") &gt;= 3, 'アイテム別限界値DB'!$S$6, 
  TRUE, ""
)
</f>
        <v/>
      </c>
      <c r="AJ5" s="375" t="s">
        <v>190</v>
      </c>
      <c r="AK5" s="375" t="s">
        <v>191</v>
      </c>
      <c r="AL5" s="327"/>
      <c r="AM5" s="371">
        <f>round(if(sum(AR7:AR34)=AR7, "", sum(AR7:AR34)) ,0)</f>
        <v>0</v>
      </c>
      <c r="AN5" s="371"/>
      <c r="AO5" s="373" t="s">
        <v>189</v>
      </c>
      <c r="AP5" s="374" t="str">
        <f t="array" ref="AP5">IFS(
  COUNTA(AQ$8:AQ34) = 0, "", 
  COUNTIF(AQ$8:AQ34, "再製作") &gt; 0, "再製作", 
  COUNTIF(AQ$8:AQ34, "&gt;0") = 1, INDEX(AQ$8:AQ34, MATCH(TRUE, ISNUMBER(AQ$8:AQ34), 0)), 
  COUNTIF(AQ$8:AQ34, "&gt;0") = 2, 'アイテム別限界値DB'!$S$4, 
  COUNTIF(AQ$8:AQ34, "&gt;0") &gt;= 3, 'アイテム別限界値DB'!$S$6, 
  TRUE, ""
)
</f>
        <v/>
      </c>
      <c r="AQ5" s="375" t="s">
        <v>190</v>
      </c>
      <c r="AR5" s="375" t="s">
        <v>191</v>
      </c>
      <c r="AS5" s="327"/>
      <c r="AT5" s="371">
        <f>round(if(sum(AX7:AX34)=AX7, "", sum(AX7:AX34)) ,0)</f>
        <v>0</v>
      </c>
      <c r="AU5" s="373" t="s">
        <v>189</v>
      </c>
      <c r="AV5" s="374" t="str">
        <f t="array" ref="AV5">IFS(
  COUNTA(AW$8:AW34) = 0, "", 
  COUNTIF(AW$8:AW34, "再製作") &gt; 0, "再製作", 
  COUNTIF(AW$8:AW34, "&gt;0") = 1, INDEX(AW$8:AW34, MATCH(TRUE, ISNUMBER(AW$8:AW34), 0)), 
  COUNTIF(AW$8:AW34, "&gt;0") = 2, 'アイテム別限界値DB'!$S$4, 
  COUNTIF(AW$8:AW34, "&gt;0") &gt;= 3, 'アイテム別限界値DB'!$S$6, 
  TRUE, ""
)
</f>
        <v/>
      </c>
      <c r="AW5" s="375" t="s">
        <v>190</v>
      </c>
      <c r="AX5" s="375" t="s">
        <v>191</v>
      </c>
      <c r="AY5" s="327"/>
      <c r="AZ5" s="371">
        <f>round(if(sum(BD7:BD34)=BD7, "", sum(BD7:BD34)) ,0)</f>
        <v>0</v>
      </c>
      <c r="BA5" s="373" t="s">
        <v>189</v>
      </c>
      <c r="BB5" s="374" t="str">
        <f t="array" ref="BB5">IFS(
  COUNTA(BC$8:BC34) = 0, "", 
  COUNTIF(BC$8:BC34, "再製作") &gt; 0, "再製作", 
  COUNTIF(BC$8:BC34, "&gt;0") = 1, INDEX(BC$8:BC34, MATCH(TRUE, ISNUMBER(BC$8:BC34), 0)), 
  COUNTIF(BC$8:BC34, "&gt;0") = 2, 'アイテム別限界値DB'!$S$4, 
  COUNTIF(BC$8:BC34, "&gt;0") &gt;= 3, 'アイテム別限界値DB'!$S$6, 
  TRUE, ""
)
</f>
        <v/>
      </c>
      <c r="BC5" s="375" t="s">
        <v>190</v>
      </c>
      <c r="BD5" s="375" t="s">
        <v>191</v>
      </c>
      <c r="BE5" s="327"/>
      <c r="BF5" s="371">
        <f>round(if(sum(BJ7:BJ34)=BJ7, "", sum(BJ7:BJ34)) ,0)</f>
        <v>0</v>
      </c>
      <c r="BG5" s="373" t="s">
        <v>189</v>
      </c>
      <c r="BH5" s="374" t="str">
        <f t="array" ref="BH5">IFS(
  COUNTA(BI$8:BI34) = 0, "", 
  COUNTIF(BI$8:BI34, "再製作") &gt; 0, "再製作", 
  COUNTIF(BI$8:BI34, "&gt;0") = 1, INDEX(BI$8:BI34, MATCH(TRUE, ISNUMBER(BI$8:BI34), 0)), 
  COUNTIF(BI$8:BI34, "&gt;0") = 2, 'アイテム別限界値DB'!$S$4, 
  COUNTIF(BI$8:BI34, "&gt;0") &gt;= 3, 'アイテム別限界値DB'!$S$6, 
  TRUE, ""
)
</f>
        <v/>
      </c>
      <c r="BI5" s="375" t="s">
        <v>190</v>
      </c>
      <c r="BJ5" s="375" t="s">
        <v>191</v>
      </c>
      <c r="BK5" s="327"/>
      <c r="BL5" s="371">
        <f>round(if(sum(BP7:BP34)=BP7, "", sum(BP7:BP34)) ,0)</f>
        <v>0</v>
      </c>
      <c r="BM5" s="373" t="s">
        <v>189</v>
      </c>
      <c r="BN5" s="374" t="str">
        <f t="array" ref="BN5">IFS(
  COUNTA(BO$8:BO34) = 0, "", 
  COUNTIF(BO$8:BO34, "再製作") &gt; 0, "再製作", 
  COUNTIF(BO$8:BO34, "&gt;0") = 1, INDEX(BO$8:BO34, MATCH(TRUE, ISNUMBER(BO$8:BO34), 0)), 
  COUNTIF(BO$8:BO34, "&gt;0") = 2, 'アイテム別限界値DB'!$S$4, 
  COUNTIF(BO$8:BO34, "&gt;0") &gt;= 3, 'アイテム別限界値DB'!$S$6, 
  TRUE, ""
)
</f>
        <v/>
      </c>
      <c r="BO5" s="375" t="s">
        <v>190</v>
      </c>
      <c r="BP5" s="375" t="s">
        <v>191</v>
      </c>
      <c r="BQ5" s="327"/>
      <c r="BR5" s="371">
        <f>round(if(sum(BV7:BV34)=BV7, "", sum(BV7:BV34)) ,0)</f>
        <v>0</v>
      </c>
      <c r="BS5" s="373" t="s">
        <v>189</v>
      </c>
      <c r="BT5" s="374" t="str">
        <f t="array" ref="BT5">IFS(
  COUNTA(BU$8:BU34) = 0, "", 
  COUNTIF(BU$8:BU34, "再製作") &gt; 0, "再製作", 
  COUNTIF(BU$8:BU34, "&gt;0") = 1, INDEX(BU$8:BU34, MATCH(TRUE, ISNUMBER(BU$8:BU34), 0)), 
  COUNTIF(BU$8:BU34, "&gt;0") = 2, 'アイテム別限界値DB'!$S$4, 
  COUNTIF(BU$8:BU34, "&gt;0") &gt;= 3, 'アイテム別限界値DB'!$S$6, 
  TRUE, ""
)
</f>
        <v/>
      </c>
      <c r="BU5" s="375" t="s">
        <v>190</v>
      </c>
      <c r="BV5" s="375" t="s">
        <v>191</v>
      </c>
      <c r="BW5" s="327"/>
      <c r="BX5" s="371">
        <f>round(if(sum(CB7:CB34)=CB7, "", sum(CB7:CB34)) ,0)</f>
        <v>0</v>
      </c>
      <c r="BY5" s="373" t="s">
        <v>189</v>
      </c>
      <c r="BZ5" s="374" t="str">
        <f t="array" ref="BZ5">IFS(
  COUNTA(CA$8:CA34) = 0, "", 
  COUNTIF(CA$8:CA34, "再製作") &gt; 0, "再製作", 
  COUNTIF(CA$8:CA34, "&gt;0") = 1, INDEX(CA$8:CA34, MATCH(TRUE, ISNUMBER(CA$8:CA34), 0)), 
  COUNTIF(CA$8:CA34, "&gt;0") = 2, 'アイテム別限界値DB'!$S$4, 
  COUNTIF(CA$8:CA34, "&gt;0") &gt;= 3, 'アイテム別限界値DB'!$S$6, 
  TRUE, ""
)
</f>
        <v/>
      </c>
      <c r="CA5" s="375" t="s">
        <v>190</v>
      </c>
      <c r="CB5" s="375" t="s">
        <v>191</v>
      </c>
      <c r="CC5" s="381"/>
      <c r="CD5" s="371">
        <f>round(if(sum(CG7:CG34)=CG7, "", sum(CG7:CG34)) ,0)</f>
        <v>0</v>
      </c>
      <c r="CE5" s="374" t="str">
        <f t="array" ref="CE5">IFS(
  COUNTA(CF$8:CF34) = 0, "", 
  COUNTIF(CF$8:CF34, "再製作") &gt; 0, "再製作", 
  COUNTIF(CF$8:CF34, "&gt;0") = 1, INDEX(CF$8:CF34, MATCH(TRUE, ISNUMBER(CF$8:CF34), 0)), 
  COUNTIF(CF$8:CF34, "&gt;0") = 2, 'アイテム別限界値DB'!$Q$4, 
  COUNTIF(CF$8:CF34, "&gt;0") &gt;= 3, 'アイテム別限界値DB'!$Q$6, 
  TRUE, ""
)
</f>
        <v>再製作</v>
      </c>
      <c r="CF5" s="375" t="s">
        <v>190</v>
      </c>
      <c r="CG5" s="375" t="s">
        <v>191</v>
      </c>
      <c r="CH5" s="327"/>
      <c r="CI5" s="327"/>
    </row>
    <row r="6" ht="18.75" hidden="1" customHeight="1">
      <c r="A6" s="382"/>
      <c r="C6" s="382"/>
      <c r="D6" s="383" t="b">
        <f t="array" ref="D6:D15">UNIQUE(IF( ('アイテム別限界値DB'!$B:$B = D$4) * ('アイテム別限界値DB'!$A:$A = "サイズ - ウィメンズ"),  IF('アイテム別限界値DB'!$B:$B = D$4, 'アイテム別限界値DB'!$F:$F, "") ))</f>
        <v>0</v>
      </c>
      <c r="E6" s="384" t="b">
        <f t="array" ref="E6:E30">UNIQUE(IF( ('アイテム別限界値DB'!$B:$B = D$4) * ('アイテム別限界値DB'!$A:$A = "サイズ"),  IF('アイテム別限界値DB'!$B:$B = D$4, 'アイテム別限界値DB'!$C:$C, "") ))</f>
        <v>0</v>
      </c>
      <c r="F6" s="386"/>
      <c r="G6" s="386"/>
      <c r="H6" s="387"/>
      <c r="I6" s="317"/>
      <c r="J6" s="388"/>
      <c r="K6" s="383" t="b">
        <f t="array" ref="K6:K20">UNIQUE(IF( ('アイテム別限界値DB'!$B:$B = K$4) * ('アイテム別限界値DB'!$A:$A = "サイズ"),  IF('アイテム別限界値DB'!$B:$B = K$4, 'アイテム別限界値DB'!$G:$G, "") ))</f>
        <v>0</v>
      </c>
      <c r="L6" s="384" t="b">
        <f t="array" ref="L6:L17">UNIQUE(IF( ('アイテム別限界値DB'!$B:$B = K$4) * ('アイテム別限界値DB'!$A:$A = "サイズ"),  IF('アイテム別限界値DB'!$B:$B = K$4, 'アイテム別限界値DB'!$C:$C, "") ))</f>
        <v>0</v>
      </c>
      <c r="M6" s="385">
        <f>MAX(M7:M25)</f>
        <v>0</v>
      </c>
      <c r="N6" s="386"/>
      <c r="O6" s="387"/>
      <c r="P6" s="317"/>
      <c r="Q6" s="389"/>
      <c r="R6" s="383" t="b">
        <f t="array" ref="R6:R14">UNIQUE(IF( ('アイテム別限界値DB'!$B:$B = R$4) * ('アイテム別限界値DB'!$A:$A = "サイズ"),  IF('アイテム別限界値DB'!$B:$B = R$4, 'アイテム別限界値DB'!$G:$G, "") ))</f>
        <v>0</v>
      </c>
      <c r="S6" s="384" t="b">
        <f t="array" ref="S6:S14">UNIQUE(IF( ('アイテム別限界値DB'!$B:$B = R$4) * ('アイテム別限界値DB'!$A:$A = "サイズ"),  IF('アイテム別限界値DB'!$B:$B = R$4, 'アイテム別限界値DB'!$C:$C, "") ))</f>
        <v>0</v>
      </c>
      <c r="T6" s="386"/>
      <c r="U6" s="386"/>
      <c r="V6" s="387"/>
      <c r="W6" s="317"/>
      <c r="X6" s="327"/>
      <c r="Y6" s="383" t="b">
        <f t="array" ref="Y6:Y21">UNIQUE(IF( ('アイテム別限界値DB'!$B:$B = Y$4) * ('アイテム別限界値DB'!$A:$A = "サイズ"),  IF('アイテム別限界値DB'!$B:$B = Y$4, 'アイテム別限界値DB'!$G:$G, "") ))</f>
        <v>0</v>
      </c>
      <c r="Z6" s="384" t="b">
        <f t="array" ref="Z6:Z17">UNIQUE(IF( ('アイテム別限界値DB'!$B:$B = Y$4) * ('アイテム別限界値DB'!$A:$A = "サイズ"),  IF('アイテム別限界値DB'!$B:$B = Y$4, 'アイテム別限界値DB'!$C:$C, "") ))</f>
        <v>0</v>
      </c>
      <c r="AA6" s="386"/>
      <c r="AB6" s="386"/>
      <c r="AC6" s="387"/>
      <c r="AD6" s="317"/>
      <c r="AE6" s="389"/>
      <c r="AF6" s="383" t="b">
        <f t="array" ref="AF6:AF24">UNIQUE(IF( ('アイテム別限界値DB'!$B:$B = AF$4) * ('アイテム別限界値DB'!$A:$A = "サイズ"),  IF('アイテム別限界値DB'!$B:$B = AF$4, 'アイテム別限界値DB'!$G:$G, "") ))</f>
        <v>0</v>
      </c>
      <c r="AG6" s="384" t="b">
        <f t="array" ref="AG6:AG24">UNIQUE(IF( ('アイテム別限界値DB'!$B:$B = AF$4) * ('アイテム別限界値DB'!$A:$A = "サイズ"),  IF('アイテム別限界値DB'!$B:$B = AF$4, 'アイテム別限界値DB'!$C:$C, "") ))</f>
        <v>0</v>
      </c>
      <c r="AH6" s="386"/>
      <c r="AI6" s="386"/>
      <c r="AJ6" s="387"/>
      <c r="AK6" s="317"/>
      <c r="AL6" s="327"/>
      <c r="AM6" s="383" t="b">
        <f t="array" ref="AM6:AM22">UNIQUE(IF( ('アイテム別限界値DB'!$B:$B = AM$4) * ('アイテム別限界値DB'!$A:$A = "サイズ"),  IF('アイテム別限界値DB'!$B:$B = AM$4, 'アイテム別限界値DB'!$G:$G, "") ))</f>
        <v>0</v>
      </c>
      <c r="AN6" s="384" t="b">
        <f t="array" ref="AN6:AN22">UNIQUE(IF( ('アイテム別限界値DB'!$B:$B = AM$4) * ('アイテム別限界値DB'!$A:$A = "サイズ"),  IF('アイテム別限界値DB'!$B:$B = AM$4, 'アイテム別限界値DB'!$C:$C, "") ))</f>
        <v>0</v>
      </c>
      <c r="AO6" s="386"/>
      <c r="AP6" s="386"/>
      <c r="AQ6" s="387"/>
      <c r="AR6" s="317"/>
      <c r="AS6" s="327"/>
      <c r="AT6" s="384" t="b">
        <f t="array" ref="AT6:AT13">UNIQUE(IF( ('アイテム別限界値DB'!$B:$B = AT$4) * ('アイテム別限界値DB'!$A:$A = "サイズ"),  IF('アイテム別限界値DB'!$B:$B = AT$4, 'アイテム別限界値DB'!$G:$G, "") ))</f>
        <v>0</v>
      </c>
      <c r="AU6" s="386"/>
      <c r="AV6" s="386"/>
      <c r="AW6" s="387"/>
      <c r="AX6" s="317"/>
      <c r="AY6" s="327"/>
      <c r="AZ6" s="384" t="b">
        <f t="array" ref="AZ6:AZ13">UNIQUE(IF( ('アイテム別限界値DB'!$B:$B = AZ$4) * ('アイテム別限界値DB'!$A:$A = "サイズ"),  IF('アイテム別限界値DB'!$B:$B = AZ$4, 'アイテム別限界値DB'!$G:$G, "") ))</f>
        <v>0</v>
      </c>
      <c r="BA6" s="386"/>
      <c r="BB6" s="386"/>
      <c r="BC6" s="387"/>
      <c r="BD6" s="317"/>
      <c r="BE6" s="327"/>
      <c r="BF6" s="384" t="b">
        <f t="array" ref="BF6:BF13">UNIQUE(IF( ('アイテム別限界値DB'!$B:$B = BF$4) * ('アイテム別限界値DB'!$A:$A = "サイズ"),  IF('アイテム別限界値DB'!$B:$B = BF$4, 'アイテム別限界値DB'!$G:$G, "") ))</f>
        <v>0</v>
      </c>
      <c r="BG6" s="386"/>
      <c r="BH6" s="386"/>
      <c r="BI6" s="387"/>
      <c r="BJ6" s="317"/>
      <c r="BK6" s="327"/>
      <c r="BL6" s="384" t="b">
        <f t="array" ref="BL6:BL13">UNIQUE(IF( ('アイテム別限界値DB'!$B:$B = BL$4) * ('アイテム別限界値DB'!$A:$A = "サイズ"),  IF('アイテム別限界値DB'!$B:$B = BL$4, 'アイテム別限界値DB'!$G:$G, "") ))</f>
        <v>0</v>
      </c>
      <c r="BM6" s="386"/>
      <c r="BN6" s="386"/>
      <c r="BO6" s="387"/>
      <c r="BP6" s="317"/>
      <c r="BQ6" s="327"/>
      <c r="BR6" s="384" t="b">
        <f t="array" ref="BR6:BR13">UNIQUE(IF( ('アイテム別限界値DB'!$B:$B = BR$4) * ('アイテム別限界値DB'!$A:$A = "サイズ"),  IF('アイテム別限界値DB'!$B:$B = BR$4, 'アイテム別限界値DB'!$G:$G, "") ))</f>
        <v>0</v>
      </c>
      <c r="BS6" s="386"/>
      <c r="BT6" s="386"/>
      <c r="BU6" s="387"/>
      <c r="BV6" s="317"/>
      <c r="BW6" s="327"/>
      <c r="BX6" s="384" t="b">
        <f t="array" ref="BX6:BX13">UNIQUE(IF( ('アイテム別限界値DB'!$B:$B = BX$4) * ('アイテム別限界値DB'!$A:$A = "サイズ"),  IF('アイテム別限界値DB'!$B:$B = BX$4, 'アイテム別限界値DB'!$G:$G, "") ))</f>
        <v>0</v>
      </c>
      <c r="BY6" s="386"/>
      <c r="BZ6" s="386"/>
      <c r="CA6" s="387"/>
      <c r="CB6" s="317"/>
      <c r="CC6" s="390" t="s">
        <v>193</v>
      </c>
      <c r="CD6" s="384" t="b">
        <f t="array" ref="CD6">UNIQUE(IF( ('アイテム別限界値DB'!$B:$B = CD$4) * ('アイテム別限界値DB'!$A:$A = "サイズ"),  IF('アイテム別限界値DB'!$B:$B = CD$4, 'アイテム別限界値DB'!$G:$G, "") ))</f>
        <v>0</v>
      </c>
      <c r="CE6" s="391" t="s">
        <v>194</v>
      </c>
      <c r="CF6" s="392" t="s">
        <v>195</v>
      </c>
      <c r="CG6" s="317"/>
      <c r="CH6" s="327"/>
      <c r="CI6" s="327"/>
    </row>
    <row r="7" ht="15.75" hidden="1" customHeight="1">
      <c r="A7" s="393"/>
      <c r="B7" s="228" t="str">
        <f>IFERROR(__xludf.DUMMYFUNCTION("TEXTJOIN(CHAR(10),TRUE,FILTER(ARRAYFORMULA(IF(G$8:G35&lt;&gt;"""",D$8:D35&amp;"" : ""&amp; G$8:G35 &amp;"" cm"" &amp; "" (¥"" &amp; I$8:I$35 &amp; ""）"","""")), G$8:G35 &lt;&gt;""""))"),"#N/A")</f>
        <v>#N/A</v>
      </c>
      <c r="C7" s="393"/>
      <c r="D7" s="394" t="s">
        <v>51</v>
      </c>
      <c r="E7" s="395" t="s">
        <v>51</v>
      </c>
      <c r="F7" s="395"/>
      <c r="G7" s="395" t="str">
        <f>IF(AND($G$5&lt;&gt;"", $G$39&lt;&gt;""), "", IF(AND($G$5&lt;&gt;"", $G$39=""), IF($G$5="再製作", "再製作", "お直し"), ""))</f>
        <v/>
      </c>
      <c r="H7" s="396"/>
      <c r="I7" s="397" t="str">
        <f t="array" ref="I7">IF(
  G7 = "", 
  "", 
  IFERROR(
    INDEX(
      'アイテム別限界値DB'!$N:$N, 
      MATCH(
        1, 
        ('アイテム別限界値DB'!$B:$B = D$4) * 
        ('アイテム別限界値DB'!$G:$G = D7), 
        0
      )
    ), 
    "再製作"
  )
)
</f>
        <v/>
      </c>
      <c r="J7" s="388"/>
      <c r="K7" s="394" t="s">
        <v>51</v>
      </c>
      <c r="L7" s="398" t="s">
        <v>51</v>
      </c>
      <c r="M7" s="385"/>
      <c r="N7" s="395" t="str">
        <f>IF(AND($N$5&lt;&gt;"", $N$39&lt;&gt;""), "", IF(AND($N$5&lt;&gt;"", $N$39=""), IF($N$5="再製作", "再製作", "お直し"), ""))</f>
        <v/>
      </c>
      <c r="O7" s="396"/>
      <c r="P7" s="397" t="str">
        <f t="array" ref="P7">IF(
  N7 = "", 
  "", 
  IFERROR(
    INDEX(
      'アイテム別限界値DB'!$N:$N, 
      MATCH(
        1, 
        ('アイテム別限界値DB'!$B:$B = K$4) * 
        ('アイテム別限界値DB'!$G:$G = K7), 
        0
      )
    ), 
    "再製作"
  )
)
</f>
        <v/>
      </c>
      <c r="Q7" s="399"/>
      <c r="R7" s="394" t="s">
        <v>51</v>
      </c>
      <c r="S7" s="400" t="s">
        <v>51</v>
      </c>
      <c r="T7" s="395"/>
      <c r="U7" s="395" t="str">
        <f>IF(AND($U$5&lt;&gt;"", $U$39&lt;&gt;""), "", IF(AND($U$5&lt;&gt;"", $U$39=""), IF($U$5="再製作", "再製作", "お直し"), ""))</f>
        <v/>
      </c>
      <c r="V7" s="396"/>
      <c r="W7" s="397" t="str">
        <f t="array" ref="W7">IF(
  U7 = "", 
  "", 
  IFERROR(
    INDEX(
      'アイテム別限界値DB'!$N:$N, 
      MATCH(
        1, 
        ('アイテム別限界値DB'!$B:$B = R$4) * 
        ('アイテム別限界値DB'!$G:$G = R7), 
        0
      )
    ), 
    "再製作"
  )
)
</f>
        <v/>
      </c>
      <c r="X7" s="327"/>
      <c r="Y7" s="394" t="s">
        <v>51</v>
      </c>
      <c r="Z7" s="400" t="s">
        <v>51</v>
      </c>
      <c r="AA7" s="395"/>
      <c r="AB7" s="395" t="str">
        <f>IF(AND($AB$5&lt;&gt;"", $AB$39&lt;&gt;""), "", IF(AND($AB$5&lt;&gt;"", $AB$39=""), IF($AB$5="再製作", "再製作", "お直し"), ""))</f>
        <v/>
      </c>
      <c r="AC7" s="396"/>
      <c r="AD7" s="397" t="str">
        <f t="array" ref="AD7">IF(
  AB7 = "", 
  "", 
  IFERROR(
    INDEX(
      'アイテム別限界値DB'!$N:$N, 
      MATCH(
        1, 
        ('アイテム別限界値DB'!$B:$B = Y$4) * 
        ('アイテム別限界値DB'!$G:$G = Y7), 
        0
      )
    ), 
    "再製作"
  )
)
</f>
        <v/>
      </c>
      <c r="AE7" s="389"/>
      <c r="AF7" s="394" t="s">
        <v>51</v>
      </c>
      <c r="AG7" s="401" t="s">
        <v>51</v>
      </c>
      <c r="AH7" s="395"/>
      <c r="AI7" s="395" t="str">
        <f>IF(AND($AI$5&lt;&gt;"", $AI$39&lt;&gt;""), "", IF(AND($AI$5&lt;&gt;"", $AI$39=""), IF($AI$5="再製作", "再製作", "お直し"), ""))</f>
        <v/>
      </c>
      <c r="AJ7" s="396"/>
      <c r="AK7" s="397" t="str">
        <f t="array" ref="AK7">IF(
  AI7 = "", 
  "", 
  IFERROR(
    INDEX(
      'アイテム別限界値DB'!$N:$N, 
      MATCH(
        1, 
        ('アイテム別限界値DB'!$B:$B = AF$4) * 
        ('アイテム別限界値DB'!$G:$G = AF7), 
        0
      )
    ), 
    "再製作"
  )
)
</f>
        <v/>
      </c>
      <c r="AL7" s="327"/>
      <c r="AM7" s="394" t="s">
        <v>51</v>
      </c>
      <c r="AN7" s="393" t="s">
        <v>51</v>
      </c>
      <c r="AO7" s="395"/>
      <c r="AP7" s="395" t="str">
        <f>IF(AND($AP$5&lt;&gt;"", $AP$39&lt;&gt;""), "", IF(AND($AP$5&lt;&gt;"", $AP$39=""), IF($AP$5="再製作", "再製作", "お直し"), ""))</f>
        <v/>
      </c>
      <c r="AQ7" s="396"/>
      <c r="AR7" s="397" t="str">
        <f t="array" ref="AR7">IF(
  AP7 = "", 
  "", 
  IFERROR(
    INDEX(
      'アイテム別限界値DB'!$N:$N, 
      MATCH(
        1, 
        ('アイテム別限界値DB'!$B:$B = AM$4) * 
        ('アイテム別限界値DB'!$G:$G = AM7), 
        0
      )
    ), 
    "再製作"
  )
)
</f>
        <v/>
      </c>
      <c r="AS7" s="327"/>
      <c r="AT7" s="394" t="s">
        <v>51</v>
      </c>
      <c r="AU7" s="395"/>
      <c r="AV7" s="395" t="str">
        <f>IF(AND($AV$5&lt;&gt;"", $AV$39&lt;&gt;""), "", IF(AND($AV$5&lt;&gt;"", $AV$39=""), IF($AV$5="再製作", "再製作", "お直し"), ""))</f>
        <v/>
      </c>
      <c r="AW7" s="396"/>
      <c r="AX7" s="397" t="str">
        <f t="array" ref="AX7">IF(
  AV7 = "", 
  "", 
  IFERROR(
    INDEX(
      'アイテム別限界値DB'!$N:$N, 
      MATCH(
        1, 
        ('アイテム別限界値DB'!$B:$B = AS$4) * 
        ('アイテム別限界値DB'!$G:$G = AS7), 
        0
      )
    ), 
    "再製作"
  )
)
</f>
        <v/>
      </c>
      <c r="AY7" s="327"/>
      <c r="AZ7" s="394" t="s">
        <v>51</v>
      </c>
      <c r="BA7" s="395"/>
      <c r="BB7" s="395" t="str">
        <f>IF(AND($BB$5&lt;&gt;"", $BB$39&lt;&gt;""), "", IF(AND($BB$5&lt;&gt;"", $BB$39=""), IF($BB$5="再製作", "再製作", "お直し"), ""))</f>
        <v/>
      </c>
      <c r="BC7" s="396"/>
      <c r="BD7" s="397" t="str">
        <f t="array" ref="BD7">IF(
  BB7 = "", 
  "", 
  IFERROR(
    INDEX(
      'アイテム別限界値DB'!$N:$N, 
      MATCH(
        1, 
        ('アイテム別限界値DB'!$B:$B = AY$4) * 
        ('アイテム別限界値DB'!$G:$G = AY7), 
        0
      )
    ), 
    "再製作"
  )
)
</f>
        <v/>
      </c>
      <c r="BE7" s="327"/>
      <c r="BF7" s="394" t="s">
        <v>51</v>
      </c>
      <c r="BG7" s="395"/>
      <c r="BH7" s="395" t="str">
        <f>IF(AND($BH$5&lt;&gt;"", $BH$39&lt;&gt;""), "", IF(AND($BH$5&lt;&gt;"", $BH$39=""), IF($BH$5="再製作", "再製作", "お直し"), ""))</f>
        <v/>
      </c>
      <c r="BI7" s="396"/>
      <c r="BJ7" s="397" t="str">
        <f t="array" ref="BJ7">IF(
  BH7 = "", 
  "", 
  IFERROR(
    INDEX(
      'アイテム別限界値DB'!$N:$N, 
      MATCH(
        1, 
        ('アイテム別限界値DB'!$B:$B = BE$4) * 
        ('アイテム別限界値DB'!$G:$G = BE7), 
        0
      )
    ), 
    "再製作"
  )
)
</f>
        <v/>
      </c>
      <c r="BK7" s="327"/>
      <c r="BL7" s="393" t="s">
        <v>51</v>
      </c>
      <c r="BM7" s="395"/>
      <c r="BN7" s="395" t="str">
        <f>IF(AND($BN$5&lt;&gt;"", $BN$39&lt;&gt;""), "", IF(AND($BN$5&lt;&gt;"", $BN$39=""), IF($BN$5="再製作", "再製作", "お直し"), ""))</f>
        <v/>
      </c>
      <c r="BO7" s="396"/>
      <c r="BP7" s="397" t="str">
        <f t="array" ref="BP7">IF(
  BN7 = "", 
  "", 
  IFERROR(
    INDEX(
      'アイテム別限界値DB'!$N:$N, 
      MATCH(
        1, 
        ('アイテム別限界値DB'!$B:$B = BK$4) * 
        ('アイテム別限界値DB'!$G:$G = BK7), 
        0
      )
    ), 
    "再製作"
  )
)
</f>
        <v/>
      </c>
      <c r="BQ7" s="327"/>
      <c r="BR7" s="393" t="s">
        <v>51</v>
      </c>
      <c r="BS7" s="395"/>
      <c r="BT7" s="395" t="str">
        <f>IF(AND($BT$5&lt;&gt;"", $BT$39&lt;&gt;""), "", IF(AND($BT$5&lt;&gt;"", $BT$39=""), IF($BT$5="再製作", "再製作", "お直し"), ""))</f>
        <v/>
      </c>
      <c r="BU7" s="396"/>
      <c r="BV7" s="397" t="str">
        <f t="array" ref="BV7">IF(
  BT7 = "", 
  "", 
  IFERROR(
    INDEX(
      'アイテム別限界値DB'!$N:$N, 
      MATCH(
        1, 
        ('アイテム別限界値DB'!$B:$B = BQ$4) * 
        ('アイテム別限界値DB'!$G:$G = BQ7), 
        0
      )
    ), 
    "再製作"
  )
)
</f>
        <v/>
      </c>
      <c r="BW7" s="327"/>
      <c r="BX7" s="393" t="s">
        <v>51</v>
      </c>
      <c r="BY7" s="395"/>
      <c r="BZ7" s="395" t="str">
        <f>IF(AND($BZ$5&lt;&gt;"", $BZ$39&lt;&gt;""), "", IF(AND($BZ$5&lt;&gt;"", $BZ$39=""), IF($BZ$5="再製作", "再製作", "お直し"), ""))</f>
        <v/>
      </c>
      <c r="CA7" s="396"/>
      <c r="CB7" s="397" t="str">
        <f t="array" ref="CB7">IF(
  BZ7 = "", 
  "", 
  IFERROR(
    INDEX(
      'アイテム別限界値DB'!$N:$N, 
      MATCH(
        1, 
        ('アイテム別限界値DB'!$B:$B = BW$4) * 
        ('アイテム別限界値DB'!$G:$G = BW7), 
        0
      )
    ), 
    "再製作"
  )
)
</f>
        <v/>
      </c>
      <c r="CC7" s="402"/>
      <c r="CD7" s="393" t="s">
        <v>51</v>
      </c>
      <c r="CE7" s="395" t="str">
        <f>IF(AND(CE5&lt;&gt;"", CE39&lt;&gt;""), "", IF(AND(CE5&lt;&gt;"", CE39=""), IF(CE5="再製作", "再製作", "お直し"), ""))</f>
        <v>再製作</v>
      </c>
      <c r="CF7" s="396"/>
      <c r="CG7" s="397" t="str">
        <f t="array" ref="CG7">IF(
  CE7 = "", 
  "", 
  IFERROR(
    INDEX(
      'アイテム別限界値DB'!$N:$N, 
      MATCH(
        1, 
        ('アイテム別限界値DB'!$B:$B = CC$4) * 
        ('アイテム別限界値DB'!$G:$G = CC7), 
        0
      )
    ), 
    "再製作"
  )
)
</f>
        <v/>
      </c>
      <c r="CH7" s="327"/>
      <c r="CI7" s="327"/>
    </row>
    <row r="8" ht="15.75" customHeight="1">
      <c r="A8" s="393"/>
      <c r="B8" s="228" t="str">
        <f>IFERROR(__xludf.DUMMYFUNCTION("TEXTJOIN(CHAR(10),TRUE,FILTER(ARRAYFORMULA(IF(G$8:G37&lt;&gt;"""",D$8:D37&amp;"" : ""&amp; G$8:G37 &amp;"" cm"" &amp; "" (¥"" &amp; I$8:I$35 &amp; ""）"","""")), G$8:G37 &lt;&gt;""""))"),"#N/A")</f>
        <v>#N/A</v>
      </c>
      <c r="C8" s="393"/>
      <c r="D8" s="394" t="s">
        <v>53</v>
      </c>
      <c r="E8" s="395" t="s">
        <v>53</v>
      </c>
      <c r="F8" s="230"/>
      <c r="G8" s="230"/>
      <c r="H8" s="405" t="str">
        <f t="array" ref="H8">IF(
  G8 = 0, 
  "", 
  IFERROR(
    INDEX(
      'アイテム別限界値DB'!$K:$K, 
      MATCH(
        1, 
        ('アイテム別限界値DB'!$B:$B = D$4) * 
        ('アイテム別限界値DB'!$G:$G = D8) * 
        ('アイテム別限界値DB'!$H:$H = G8), 
        0
      )
    ), 
    "再製作"
  )
)
</f>
        <v/>
      </c>
      <c r="I8" s="397" t="str">
        <f t="array" ref="I8">IF(
  $G8 = 0, 
  "", 
  IFERROR(
    INDEX(
      'アイテム別限界値DB'!$N:$N, 
      MATCH(
        1, 
        ('アイテム別限界値DB'!$B:$B = $D$4) * 
        ('アイテム別限界値DB'!$G:$G = $D8) * 
        ('アイテム別限界値DB'!$H:$H = $G8), 
        0
      )
    )*F8, 
    "再製作"
  )
)
</f>
        <v/>
      </c>
      <c r="J8" s="388"/>
      <c r="K8" s="394" t="s">
        <v>54</v>
      </c>
      <c r="L8" s="398" t="s">
        <v>54</v>
      </c>
      <c r="M8" s="406"/>
      <c r="N8" s="230"/>
      <c r="O8" s="405" t="str">
        <f t="array" ref="O8">IF(
  $N8 = 0, 
  "", 
  IFERROR(
    INDEX(
      'アイテム別限界値DB'!$K:$K, 
      MATCH(
        1, 
        ('アイテム別限界値DB'!$B:$B = $K$4) * 
        ('アイテム別限界値DB'!$G:$G = $K8) * 
        ('アイテム別限界値DB'!$H:$H = $N8), 
        0
      )
    ), 
    "再製作"
  )
)
</f>
        <v/>
      </c>
      <c r="P8" s="397" t="str">
        <f t="array" ref="P8">IF(
  $N8 = 0, 
  "", 
  IFERROR(
    INDEX(
      'アイテム別限界値DB'!$N:$N, 
      MATCH(
        1, 
        ('アイテム別限界値DB'!$B:$B = $K$4) * 
        ('アイテム別限界値DB'!$G:$G = $K8) * 
        ('アイテム別限界値DB'!$H:$H = $N8), 
        0
      )
    )*$M8, 
    "再製作"
  )
)
</f>
        <v/>
      </c>
      <c r="Q8" s="399"/>
      <c r="R8" s="394" t="s">
        <v>55</v>
      </c>
      <c r="S8" s="400" t="s">
        <v>55</v>
      </c>
      <c r="T8" s="230"/>
      <c r="U8" s="230"/>
      <c r="V8" s="405" t="str">
        <f t="array" ref="V8">IF(
  $U8 = 0, 
  "", 
  IFERROR(
    INDEX(
      'アイテム別限界値DB'!$K:$K, 
      MATCH(
        1, 
        ('アイテム別限界値DB'!$B:$B = $R$4) * 
        ('アイテム別限界値DB'!$G:$G = $R8) * 
        ('アイテム別限界値DB'!$H:$H = $U8), 
        0
      )
    ), 
    "再製作"
  )
)
</f>
        <v/>
      </c>
      <c r="W8" s="397" t="str">
        <f t="array" ref="W8">IF(
  $U8 = 0, 
  "", 
  IFERROR(
    INDEX(
      'アイテム別限界値DB'!$N:$N, 
      MATCH(
        1, 
        ('アイテム別限界値DB'!$B:$B = $R$4) * 
        ('アイテム別限界値DB'!$G:$G = $R8) * 
        ('アイテム別限界値DB'!$H:$H = $U8), 
        0
      )
    )*T8, 
    "再製作"
  )
)
</f>
        <v/>
      </c>
      <c r="X8" s="327"/>
      <c r="Y8" s="394" t="s">
        <v>54</v>
      </c>
      <c r="Z8" s="400" t="s">
        <v>54</v>
      </c>
      <c r="AA8" s="233"/>
      <c r="AB8" s="233"/>
      <c r="AC8" s="405" t="str">
        <f t="array" ref="AC8">IF(
  $AB8 = 0, 
  "", 
  IFERROR(
    INDEX(
      'アイテム別限界値DB'!$K:$K, 
      MATCH(
        1, 
        ('アイテム別限界値DB'!$B:$B = $Y$4) * 
        ('アイテム別限界値DB'!$G:$G = $Y8) * 
        ('アイテム別限界値DB'!$H:$H = $AB8), 
        0
      )
    ), 
    "再製作"
  )
)
</f>
        <v/>
      </c>
      <c r="AD8" s="397" t="str">
        <f t="array" ref="AD8">IF(
  $AB8 = 0, 
  "", 
  IFERROR(
    INDEX(
      'アイテム別限界値DB'!$N:$N, 
      MATCH(
        1, 
        ('アイテム別限界値DB'!$B:$B = $Y$4) * 
        ('アイテム別限界値DB'!$G:$G = $Y8) * 
        ('アイテム別限界値DB'!$H:$H = $AB8), 
        0
      )
    )*AA8, 
    "再製作"
  )
)
</f>
        <v/>
      </c>
      <c r="AE8" s="389"/>
      <c r="AF8" s="394" t="s">
        <v>53</v>
      </c>
      <c r="AG8" s="401" t="s">
        <v>53</v>
      </c>
      <c r="AH8" s="514"/>
      <c r="AI8" s="514"/>
      <c r="AJ8" s="405" t="str">
        <f t="array" ref="AJ8">IF(
  $AI8 = 0, 
  "", 
  IFERROR(
    INDEX(
      'アイテム別限界値DB'!$K:$K, 
      MATCH(
        1, 
        ('アイテム別限界値DB'!$B:$B = AF$4) * 
        ('アイテム別限界値DB'!$G:$G = $AF8) * 
        ('アイテム別限界値DB'!$H:$H = $AI8), 
        0
      )
    ), 
    "再製作"
  )
)
</f>
        <v/>
      </c>
      <c r="AK8" s="397"/>
      <c r="AL8" s="327"/>
      <c r="AM8" s="394" t="s">
        <v>53</v>
      </c>
      <c r="AN8" s="393" t="s">
        <v>53</v>
      </c>
      <c r="AO8" s="233"/>
      <c r="AP8" s="233"/>
      <c r="AQ8" s="405" t="str">
        <f t="array" ref="AQ8">IF(
  $AP8 = 0, 
  "", 
  IFERROR(
    INDEX(
      'アイテム別限界値DB'!$K:$K, 
      MATCH(
        1, 
        ('アイテム別限界値DB'!$B:$B = $AM$4) * 
        ('アイテム別限界値DB'!$G:$G = $AM8) * 
        ('アイテム別限界値DB'!$H:$H = $AP8), 
        0
      )
    ), 
    "再製作"
  )
)
</f>
        <v/>
      </c>
      <c r="AR8" s="397" t="str">
        <f t="array" ref="AR8">IF(
  $AP8 = 0, 
  "", 
  IFERROR(
    INDEX(
      'アイテム別限界値DB'!$N:$N, 
      MATCH(
        1, 
        ('アイテム別限界値DB'!$B:$B = $AM$4) * 
        ('アイテム別限界値DB'!$G:$G = $AM8) * 
        ('アイテム別限界値DB'!$H:$H = $AP8), 
        0
      )
    )*AO8, 
    "再製作"
  )
)
</f>
        <v/>
      </c>
      <c r="AS8" s="327"/>
      <c r="AT8" s="394" t="s">
        <v>53</v>
      </c>
      <c r="AU8" s="233"/>
      <c r="AV8" s="233"/>
      <c r="AW8" s="405" t="str">
        <f t="array" ref="AW8">IF(
  $AV8 = 0, 
  "", 
  IFERROR(
    INDEX(
      'アイテム別限界値DB'!$K:$K, 
      MATCH(
        1, 
        ('アイテム別限界値DB'!$B:$B = $AT$4) * 
        ('アイテム別限界値DB'!$G:$G = $AT8) * 
        ('アイテム別限界値DB'!$H:$H = $AV8), 
        0
      )
    ), 
    "再製作"
  )
)
</f>
        <v/>
      </c>
      <c r="AX8" s="397" t="str">
        <f t="array" ref="AX8">IF(
  $AV8 = 0, 
  "", 
  IFERROR(
    INDEX(
      'アイテム別限界値DB'!$N:$N, 
      MATCH(
        1, 
        ('アイテム別限界値DB'!$B:$B = $AT$4) * 
        ('アイテム別限界値DB'!$G:$G = $AT8) * 
        ('アイテム別限界値DB'!$H:$H = $AV8), 
        0
      )
    )*AU8, 
    "再製作"
  )
)
</f>
        <v/>
      </c>
      <c r="AY8" s="327"/>
      <c r="AZ8" s="394" t="s">
        <v>53</v>
      </c>
      <c r="BA8" s="233"/>
      <c r="BB8" s="233"/>
      <c r="BC8" s="405" t="str">
        <f t="array" ref="BC8">IF(
  $BB8 = 0, 
  "", 
  IFERROR(
    INDEX(
      'アイテム別限界値DB'!$K:$K, 
      MATCH(
        1, 
        ('アイテム別限界値DB'!$B:$B = $AZ$4) * 
        ('アイテム別限界値DB'!$G:$G = $AZ8) * 
        ('アイテム別限界値DB'!$H:$H = $BB8), 
        0
      )
    ), 
    "再製作"
  )
)
</f>
        <v/>
      </c>
      <c r="BD8" s="397" t="str">
        <f t="array" ref="BD8">IF(
  $BB8 = 0, 
  "", 
  IFERROR(
    INDEX(
      'アイテム別限界値DB'!$N:$N, 
      MATCH(
        1, 
        ('アイテム別限界値DB'!$B:$B = $AZ$4) * 
        ('アイテム別限界値DB'!$G:$G = $AZ8) * 
        ('アイテム別限界値DB'!$H:$H = $BB8), 
        0
      )
    )*BA8, 
    "再製作"
  )
)
</f>
        <v/>
      </c>
      <c r="BE8" s="327"/>
      <c r="BF8" s="394" t="s">
        <v>53</v>
      </c>
      <c r="BG8" s="233"/>
      <c r="BH8" s="233"/>
      <c r="BI8" s="405" t="str">
        <f t="array" ref="BI8">IF(
  $BH8 = 0, 
  "", 
  IFERROR(
    INDEX(
      'アイテム別限界値DB'!$K:$K, 
      MATCH(
        1, 
        ('アイテム別限界値DB'!$B:$B = $BF$4) * 
        ('アイテム別限界値DB'!$G:$G = $BF8) * 
        ('アイテム別限界値DB'!$H:$H = $BH8), 
        0
      )
    ), 
    "再製作"
  )
)
</f>
        <v/>
      </c>
      <c r="BJ8" s="397"/>
      <c r="BK8" s="327"/>
      <c r="BL8" s="393" t="s">
        <v>196</v>
      </c>
      <c r="BM8" s="233"/>
      <c r="BN8" s="233"/>
      <c r="BO8" s="405"/>
      <c r="BP8" s="397" t="str">
        <f t="array" ref="BP8">IF(
  $BN8 = 0, 
  "", 
  IFERROR(
    INDEX(
      'アイテム別限界値DB'!$N:$N, 
      MATCH(
        1, 
        ('アイテム別限界値DB'!$B:$B = $BL$4) * 
        ('アイテム別限界値DB'!$G:$G = $BL8) * 
        ('アイテム別限界値DB'!$H:$H = $BN8), 
        0
      )
    )*BM8, 
    "再製作"
  )
)
</f>
        <v/>
      </c>
      <c r="BQ8" s="327"/>
      <c r="BR8" s="393" t="s">
        <v>53</v>
      </c>
      <c r="BS8" s="418"/>
      <c r="BT8" s="418"/>
      <c r="BU8" s="405" t="str">
        <f t="array" ref="BU8">IF(
  $BT8 = 0, 
  "", 
  IFERROR(
    INDEX(
      'アイテム別限界値DB'!$K:$K, 
      MATCH(
        1, 
        ('アイテム別限界値DB'!$B:$B = $BR$4) * 
        ('アイテム別限界値DB'!$G:$G = $BR8) * 
        ('アイテム別限界値DB'!$H:$H = $BT8), 
        0
      )
    ), 
    "再製作"
  )
)
</f>
        <v/>
      </c>
      <c r="BV8" s="397" t="str">
        <f t="array" ref="BV8">IF(
  $BT8 = 0, 
  "", 
  IFERROR(
    INDEX(
      'アイテム別限界値DB'!$N:$N, 
      MATCH(
        1, 
        ('アイテム別限界値DB'!$B:$B = $BR$4) * 
        ('アイテム別限界値DB'!$G:$G = $BR8) * 
        ('アイテム別限界値DB'!$H:$H = $BT8), 
        0
      )
    )*BS8, 
    "再製作"
  )
)
</f>
        <v/>
      </c>
      <c r="BW8" s="327"/>
      <c r="BX8" s="393" t="s">
        <v>53</v>
      </c>
      <c r="BY8" s="418"/>
      <c r="BZ8" s="418"/>
      <c r="CA8" s="405" t="str">
        <f t="array" ref="CA8">IF(
  $BZ8 = 0, 
  "", 
  IFERROR(
    INDEX(
      'アイテム別限界値DB'!$K:$K, 
      MATCH(
        1, 
        ('アイテム別限界値DB'!$B:$B = $BX$4) * 
        ('アイテム別限界値DB'!$G:$G = $BX8) * 
        ('アイテム別限界値DB'!$H:$H = $BZ8), 
        0
      )
    ), 
    "再製作"
  )
)
</f>
        <v/>
      </c>
      <c r="CB8" s="397" t="str">
        <f t="array" ref="CB8">IF(
  $BZ8 = 0, 
  "", 
  IFERROR(
    INDEX(
      'アイテム別限界値DB'!$N:$N, 
      MATCH(
        1, 
        ('アイテム別限界値DB'!$B:$B = $BX$4) * 
        ('アイテム別限界値DB'!$G:$G = $BX8) * 
        ('アイテム別限界値DB'!$H:$H = $BZ8), 
        0
      )
    )*BY8, 
    "再製作"
  )
)
</f>
        <v/>
      </c>
      <c r="CC8" s="402"/>
      <c r="CD8" s="393" t="s">
        <v>51</v>
      </c>
      <c r="CE8" s="395" t="str">
        <f>IF(AND(CE6&lt;&gt;"", CE41&lt;&gt;""), "", IF(AND(CE6&lt;&gt;"", CE41=""), IF(CE6="再製作", "再製作", "お直し"), ""))</f>
        <v>お直し</v>
      </c>
      <c r="CF8" s="396"/>
      <c r="CG8" s="397" t="str">
        <f t="array" ref="CG8">IF(
  CE8 = "", 
  "", 
  IFERROR(
    INDEX(
      'アイテム別限界値DB'!$N:$N, 
      MATCH(
        1, 
        ('アイテム別限界値DB'!$B:$B = CC$4) * 
        ('アイテム別限界値DB'!$G:$G = CC8), 
        0
      )
    ), 
    "再製作"
  )
)
</f>
        <v/>
      </c>
      <c r="CH8" s="327"/>
      <c r="CI8" s="327"/>
    </row>
    <row r="9" ht="26.25" customHeight="1">
      <c r="A9" s="412"/>
      <c r="B9" s="228" t="str">
        <f>IFERROR(__xludf.DUMMYFUNCTION("TEXTJOIN(CHAR(10),TRUE,FILTER(ARRAYFORMULA(IF(N$8:N35&lt;&gt;"""",K$8:K35&amp;"" : ""&amp; N$8:N35 &amp;"" cm"" &amp; "" (¥"" &amp; P$8:P$35 &amp; ""）"","""")), N$8:N35 &lt;&gt;""""))"),"#N/A")</f>
        <v>#N/A</v>
      </c>
      <c r="C9" s="412"/>
      <c r="D9" s="412" t="s">
        <v>55</v>
      </c>
      <c r="E9" s="413" t="s">
        <v>55</v>
      </c>
      <c r="F9" s="418"/>
      <c r="G9" s="418"/>
      <c r="H9" s="405" t="str">
        <f t="array" ref="H9">IF(
  G9 = 0, 
  "", 
  IFERROR(
    INDEX(
      'アイテム別限界値DB'!$K:$K, 
      MATCH(
        1, 
        ('アイテム別限界値DB'!$B:$B = D$4) * 
        ('アイテム別限界値DB'!$G:$G = D9) * 
        ('アイテム別限界値DB'!$H:$H = G9), 
        0
      )
    ), 
    "再製作"
  )
)
</f>
        <v/>
      </c>
      <c r="I9" s="397" t="str">
        <f t="array" ref="I9">IF(
  $G9 = 0, 
  "", 
  IFERROR(
    INDEX(
      'アイテム別限界値DB'!$N:$N, 
      MATCH(
        1, 
        ('アイテム別限界値DB'!$B:$B = $D$4) * 
        ('アイテム別限界値DB'!$G:$G = $D9) * 
        ('アイテム別限界値DB'!$H:$H = $G9), 
        0
      )
    )*F9, 
    "再製作"
  )
)
</f>
        <v/>
      </c>
      <c r="J9" s="388"/>
      <c r="K9" s="412" t="s">
        <v>56</v>
      </c>
      <c r="L9" s="414" t="s">
        <v>56</v>
      </c>
      <c r="M9" s="403"/>
      <c r="N9" s="415"/>
      <c r="O9" s="405" t="str">
        <f t="array" ref="O9">IF(
  $N9 = 0, 
  "", 
  IFERROR(
    INDEX(
      'アイテム別限界値DB'!$K:$K, 
      MATCH(
        1, 
        ('アイテム別限界値DB'!$B:$B = $K$4) * 
        ('アイテム別限界値DB'!$G:$G = $K9) * 
        ('アイテム別限界値DB'!$H:$H = $N9), 
        0
      )
    ), 
    "再製作"
  )
)
</f>
        <v/>
      </c>
      <c r="P9" s="397" t="str">
        <f t="array" ref="P9">IF(
  $N9 = 0, 
  "", 
  IFERROR(
    INDEX(
      'アイテム別限界値DB'!$N:$N, 
      MATCH(
        1, 
        ('アイテム別限界値DB'!$B:$B = $K$4) * 
        ('アイテム別限界値DB'!$G:$G = $K9) * 
        ('アイテム別限界値DB'!$H:$H = $N9), 
        0
      )
    )*$M9, 
    "再製作"
  )
)
</f>
        <v/>
      </c>
      <c r="Q9" s="389"/>
      <c r="R9" s="412" t="s">
        <v>57</v>
      </c>
      <c r="S9" s="413" t="s">
        <v>57</v>
      </c>
      <c r="T9" s="418"/>
      <c r="U9" s="418"/>
      <c r="V9" s="405" t="str">
        <f t="array" ref="V9">IF(
  $U9 = 0, 
  "", 
  IFERROR(
    INDEX(
      'アイテム別限界値DB'!$K:$K, 
      MATCH(
        1, 
        ('アイテム別限界値DB'!$B:$B = $R$4) * 
        ('アイテム別限界値DB'!$G:$G = $R9) * 
        ('アイテム別限界値DB'!$H:$H = $U9), 
        0
      )
    ), 
    "再製作"
  )
)
</f>
        <v/>
      </c>
      <c r="W9" s="397" t="str">
        <f t="array" ref="W9">IF(
  $U9 = 0, 
  "", 
  IFERROR(
    INDEX(
      'アイテム別限界値DB'!$N:$N, 
      MATCH(
        1, 
        ('アイテム別限界値DB'!$B:$B = $R$4) * 
        ('アイテム別限界値DB'!$G:$G = $R9) * 
        ('アイテム別限界値DB'!$H:$H = $U9), 
        0
      )
    )*T9, 
    "再製作"
  )
)
</f>
        <v/>
      </c>
      <c r="X9" s="389"/>
      <c r="Y9" s="412" t="s">
        <v>56</v>
      </c>
      <c r="Z9" s="413" t="s">
        <v>56</v>
      </c>
      <c r="AA9" s="418"/>
      <c r="AB9" s="418"/>
      <c r="AC9" s="405" t="str">
        <f t="array" ref="AC9">IF(
  $AB9 = 0, 
  "", 
  IFERROR(
    INDEX(
      'アイテム別限界値DB'!$K:$K, 
      MATCH(
        1, 
        ('アイテム別限界値DB'!$B:$B = $Y$4) * 
        ('アイテム別限界値DB'!$G:$G = $Y9) * 
        ('アイテム別限界値DB'!$H:$H = $AB9), 
        0
      )
    ), 
    "再製作"
  )
)
</f>
        <v/>
      </c>
      <c r="AD9" s="397" t="str">
        <f t="array" ref="AD9">IF(
  $AB9 = 0, 
  "", 
  IFERROR(
    INDEX(
      'アイテム別限界値DB'!$N:$N, 
      MATCH(
        1, 
        ('アイテム別限界値DB'!$B:$B = $Y$4) * 
        ('アイテム別限界値DB'!$G:$G = $Y9) * 
        ('アイテム別限界値DB'!$H:$H = $AB9), 
        0
      )
    )*AA9, 
    "再製作"
  )
)
</f>
        <v/>
      </c>
      <c r="AE9" s="389"/>
      <c r="AF9" s="412" t="s">
        <v>58</v>
      </c>
      <c r="AG9" s="413" t="s">
        <v>58</v>
      </c>
      <c r="AH9" s="418"/>
      <c r="AI9" s="418"/>
      <c r="AJ9" s="405" t="str">
        <f t="array" ref="AJ9">IF(
  $AI9 = 0, 
  "", 
  IFERROR(
    INDEX(
      'アイテム別限界値DB'!$K:$K, 
      MATCH(
        1, 
        ('アイテム別限界値DB'!$B:$B = AF$4) * 
        ('アイテム別限界値DB'!$G:$G = $AF9) * 
        ('アイテム別限界値DB'!$H:$H = $AI9), 
        0
      )
    ), 
    "再製作"
  )
)
</f>
        <v/>
      </c>
      <c r="AK9" s="397"/>
      <c r="AL9" s="327"/>
      <c r="AM9" s="412" t="s">
        <v>55</v>
      </c>
      <c r="AN9" s="416" t="s">
        <v>55</v>
      </c>
      <c r="AO9" s="418"/>
      <c r="AP9" s="418"/>
      <c r="AQ9" s="405" t="str">
        <f t="array" ref="AQ9">IF(
  $AP9 = 0, 
  "", 
  IFERROR(
    INDEX(
      'アイテム別限界値DB'!$K:$K, 
      MATCH(
        1, 
        ('アイテム別限界値DB'!$B:$B = $AM$4) * 
        ('アイテム別限界値DB'!$G:$G = $AM9) * 
        ('アイテム別限界値DB'!$H:$H = $AP9), 
        0
      )
    ), 
    "再製作"
  )
)
</f>
        <v/>
      </c>
      <c r="AR9" s="397" t="str">
        <f t="array" ref="AR9">IF(
  $AP9 = 0, 
  "", 
  IFERROR(
    INDEX(
      'アイテム別限界値DB'!$N:$N, 
      MATCH(
        1, 
        ('アイテム別限界値DB'!$B:$B = $AM$4) * 
        ('アイテム別限界値DB'!$G:$G = $AM9) * 
        ('アイテム別限界値DB'!$H:$H = $AP9), 
        0
      )
    )*AO9, 
    "再製作"
  )
)
</f>
        <v/>
      </c>
      <c r="AS9" s="327"/>
      <c r="AT9" s="416" t="s">
        <v>55</v>
      </c>
      <c r="AU9" s="418"/>
      <c r="AV9" s="418"/>
      <c r="AW9" s="405" t="str">
        <f t="array" ref="AW9">IF(
  $AV9 = 0, 
  "", 
  IFERROR(
    INDEX(
      'アイテム別限界値DB'!$K:$K, 
      MATCH(
        1, 
        ('アイテム別限界値DB'!$B:$B = $AT$4) * 
        ('アイテム別限界値DB'!$G:$G = $AT9) * 
        ('アイテム別限界値DB'!$H:$H = $AV9), 
        0
      )
    ), 
    "再製作"
  )
)
</f>
        <v/>
      </c>
      <c r="AX9" s="397" t="str">
        <f t="array" ref="AX9">IF(
  $AV9 = 0, 
  "", 
  IFERROR(
    INDEX(
      'アイテム別限界値DB'!$N:$N, 
      MATCH(
        1, 
        ('アイテム別限界値DB'!$B:$B = $AT$4) * 
        ('アイテム別限界値DB'!$G:$G = $AT9) * 
        ('アイテム別限界値DB'!$H:$H = $AV9), 
        0
      )
    )*AU9, 
    "再製作"
  )
)
</f>
        <v/>
      </c>
      <c r="AY9" s="327"/>
      <c r="AZ9" s="416" t="s">
        <v>55</v>
      </c>
      <c r="BA9" s="418"/>
      <c r="BB9" s="418"/>
      <c r="BC9" s="405" t="str">
        <f t="array" ref="BC9">IF(
  $BB9 = 0, 
  "", 
  IFERROR(
    INDEX(
      'アイテム別限界値DB'!$K:$K, 
      MATCH(
        1, 
        ('アイテム別限界値DB'!$B:$B = $AZ$4) * 
        ('アイテム別限界値DB'!$G:$G = $AZ9) * 
        ('アイテム別限界値DB'!$H:$H = $BB9), 
        0
      )
    ), 
    "再製作"
  )
)
</f>
        <v/>
      </c>
      <c r="BD9" s="397" t="str">
        <f t="array" ref="BD9">IF(
  $BB9 = 0, 
  "", 
  IFERROR(
    INDEX(
      'アイテム別限界値DB'!$N:$N, 
      MATCH(
        1, 
        ('アイテム別限界値DB'!$B:$B = $AZ$4) * 
        ('アイテム別限界値DB'!$G:$G = $AZ9) * 
        ('アイテム別限界値DB'!$H:$H = $BB9), 
        0
      )
    )*BA9, 
    "再製作"
  )
)
</f>
        <v/>
      </c>
      <c r="BE9" s="327"/>
      <c r="BF9" s="416" t="s">
        <v>55</v>
      </c>
      <c r="BG9" s="418"/>
      <c r="BH9" s="418"/>
      <c r="BI9" s="405" t="str">
        <f t="array" ref="BI9">IF(
  $BH9 = 0, 
  "", 
  IFERROR(
    INDEX(
      'アイテム別限界値DB'!$K:$K, 
      MATCH(
        1, 
        ('アイテム別限界値DB'!$B:$B = $BF$4) * 
        ('アイテム別限界値DB'!$G:$G = $BF9) * 
        ('アイテム別限界値DB'!$H:$H = $BH9), 
        0
      )
    ), 
    "再製作"
  )
)
</f>
        <v/>
      </c>
      <c r="BJ9" s="397"/>
      <c r="BK9" s="327"/>
      <c r="BL9" s="416" t="s">
        <v>55</v>
      </c>
      <c r="BM9" s="418"/>
      <c r="BN9" s="418"/>
      <c r="BO9" s="405"/>
      <c r="BP9" s="397" t="str">
        <f t="array" ref="BP9">IF(
  $BN9 = 0, 
  "", 
  IFERROR(
    INDEX(
      'アイテム別限界値DB'!$N:$N, 
      MATCH(
        1, 
        ('アイテム別限界値DB'!$B:$B = $BL$4) * 
        ('アイテム別限界値DB'!$G:$G = $BL9) * 
        ('アイテム別限界値DB'!$H:$H = $BN9), 
        0
      )
    )*BM9, 
    "再製作"
  )
)
</f>
        <v/>
      </c>
      <c r="BQ9" s="327"/>
      <c r="BR9" s="416" t="s">
        <v>55</v>
      </c>
      <c r="BS9" s="418"/>
      <c r="BT9" s="418"/>
      <c r="BU9" s="405" t="str">
        <f t="array" ref="BU9">IF(
  $BT9 = 0, 
  "", 
  IFERROR(
    INDEX(
      'アイテム別限界値DB'!$K:$K, 
      MATCH(
        1, 
        ('アイテム別限界値DB'!$B:$B = $BR$4) * 
        ('アイテム別限界値DB'!$G:$G = $BR9) * 
        ('アイテム別限界値DB'!$H:$H = $BT9), 
        0
      )
    ), 
    "再製作"
  )
)
</f>
        <v/>
      </c>
      <c r="BV9" s="397" t="str">
        <f t="array" ref="BV9">IF(
  $BT9 = 0, 
  "", 
  IFERROR(
    INDEX(
      'アイテム別限界値DB'!$N:$N, 
      MATCH(
        1, 
        ('アイテム別限界値DB'!$B:$B = $BR$4) * 
        ('アイテム別限界値DB'!$G:$G = $BR9) * 
        ('アイテム別限界値DB'!$H:$H = $BT9), 
        0
      )
    )*BS9, 
    "再製作"
  )
)
</f>
        <v/>
      </c>
      <c r="BW9" s="327"/>
      <c r="BX9" s="416" t="s">
        <v>55</v>
      </c>
      <c r="BY9" s="418"/>
      <c r="BZ9" s="418"/>
      <c r="CA9" s="405" t="str">
        <f t="array" ref="CA9">IF(
  $BZ9 = 0, 
  "", 
  IFERROR(
    INDEX(
      'アイテム別限界値DB'!$K:$K, 
      MATCH(
        1, 
        ('アイテム別限界値DB'!$B:$B = $BX$4) * 
        ('アイテム別限界値DB'!$G:$G = $BX9) * 
        ('アイテム別限界値DB'!$H:$H = $BZ9), 
        0
      )
    ), 
    "再製作"
  )
)
</f>
        <v/>
      </c>
      <c r="CB9" s="397" t="str">
        <f t="array" ref="CB9">IF(
  $BZ9 = 0, 
  "", 
  IFERROR(
    INDEX(
      'アイテム別限界値DB'!$N:$N, 
      MATCH(
        1, 
        ('アイテム別限界値DB'!$B:$B = $BX$4) * 
        ('アイテム別限界値DB'!$G:$G = $BX9) * 
        ('アイテム別限界値DB'!$H:$H = $BZ9), 
        0
      )
    )*BY9, 
    "再製作"
  )
)
</f>
        <v/>
      </c>
      <c r="CC9" s="402"/>
      <c r="CD9" s="416"/>
      <c r="CE9" s="418" t="s">
        <v>59</v>
      </c>
      <c r="CF9" s="405" t="str">
        <f t="array" ref="CF9">IF(
  CE9 = 0, 
  "", 
  IFERROR(
    INDEX(
      'アイテム別限界値DB'!$K:$K, 
      MATCH(
        1, 
        ('アイテム別限界値DB'!$B:$B = CD$4) * 
        ('アイテム別限界値DB'!$G:$G = CD9) * 
        ('アイテム別限界値DB'!$H:$H = CE9), 
        0
      )
    ), 
    "再製作"
  )
)
</f>
        <v>再製作</v>
      </c>
      <c r="CG9" s="419" t="str">
        <f t="array" ref="CG9">IF(
  CE9 = 0, 
  "", 
  IFERROR(
    INDEX(
      'アイテム別限界値DB'!$N:$N, 
      MATCH(
        1, 
        ('アイテム別限界値DB'!$B:$B = CD$4) * 
        ('アイテム別限界値DB'!$G:$G = CD9) * 
        ('アイテム別限界値DB'!$H:$H = CE9), 
        0
      )
    ), 
    "再製作"
  )
)
</f>
        <v>再製作</v>
      </c>
      <c r="CH9" s="327"/>
      <c r="CI9" s="327"/>
    </row>
    <row r="10" ht="26.25" customHeight="1">
      <c r="A10" s="420"/>
      <c r="B10" s="305" t="s">
        <v>197</v>
      </c>
      <c r="C10" s="420"/>
      <c r="D10" s="420" t="s">
        <v>60</v>
      </c>
      <c r="E10" s="421" t="s">
        <v>57</v>
      </c>
      <c r="F10" s="407"/>
      <c r="G10" s="407"/>
      <c r="H10" s="405" t="str">
        <f t="array" ref="H10">IF(
  G10 = 0, 
  "", 
  IFERROR(
    INDEX(
      'アイテム別限界値DB'!$K:$K, 
      MATCH(
        1, 
        ('アイテム別限界値DB'!$B:$B = D$4) * 
        ('アイテム別限界値DB'!$G:$G = D10) * 
        ('アイテム別限界値DB'!$H:$H = G10), 
        0
      )
    ), 
    "再製作"
  )
)
</f>
        <v/>
      </c>
      <c r="I10" s="397" t="str">
        <f t="array" ref="I10">IF(
  $G10 = 0, 
  "", 
  IFERROR(
    INDEX(
      'アイテム別限界値DB'!$N:$N, 
      MATCH(
        1, 
        ('アイテム別限界値DB'!$B:$B = $D$4) * 
        ('アイテム別限界値DB'!$G:$G = $D10) * 
        ('アイテム別限界値DB'!$H:$H = $G10), 
        0
      )
    )*F10, 
    "再製作"
  )
)
</f>
        <v/>
      </c>
      <c r="J10" s="388"/>
      <c r="K10" s="420" t="s">
        <v>198</v>
      </c>
      <c r="L10" s="414" t="s">
        <v>174</v>
      </c>
      <c r="M10" s="423"/>
      <c r="N10" s="422"/>
      <c r="O10" s="405"/>
      <c r="P10" s="397"/>
      <c r="Q10" s="389"/>
      <c r="R10" s="420" t="s">
        <v>199</v>
      </c>
      <c r="S10" s="421" t="s">
        <v>62</v>
      </c>
      <c r="T10" s="407"/>
      <c r="U10" s="407"/>
      <c r="V10" s="405" t="str">
        <f t="array" ref="V10">IF(
  $U10 = 0, 
  "", 
  IFERROR(
    INDEX(
      'アイテム別限界値DB'!$K:$K, 
      MATCH(
        1, 
        ('アイテム別限界値DB'!$B:$B = $R$4) * 
        ('アイテム別限界値DB'!$G:$G = $R10) * 
        ('アイテム別限界値DB'!$H:$H = $U10), 
        0
      )
    ), 
    "再製作"
  )
)
</f>
        <v/>
      </c>
      <c r="W10" s="397" t="str">
        <f t="array" ref="W10">IF(
  $U10 = 0, 
  "", 
  IFERROR(
    INDEX(
      'アイテム別限界値DB'!$N:$N, 
      MATCH(
        1, 
        ('アイテム別限界値DB'!$B:$B = $R$4) * 
        ('アイテム別限界値DB'!$G:$G = $R10) * 
        ('アイテム別限界値DB'!$H:$H = $U10), 
        0
      )
    )*T10, 
    "再製作"
  )
)
</f>
        <v/>
      </c>
      <c r="X10" s="389"/>
      <c r="Y10" s="420" t="s">
        <v>198</v>
      </c>
      <c r="Z10" s="421" t="s">
        <v>174</v>
      </c>
      <c r="AA10" s="407"/>
      <c r="AB10" s="407"/>
      <c r="AC10" s="515"/>
      <c r="AD10" s="397" t="str">
        <f t="array" ref="AD10">IF(
  $AB10 = 0, 
  "", 
  IFERROR(
    INDEX(
      'アイテム別限界値DB'!$N:$N, 
      MATCH(
        1, 
        ('アイテム別限界値DB'!$B:$B = $Y$4) * 
        ('アイテム別限界値DB'!$G:$G = $Y10) * 
        ('アイテム別限界値DB'!$H:$H = $AB10), 
        0
      )
    )*AA10, 
    "再製作"
  )
)
</f>
        <v/>
      </c>
      <c r="AE10" s="424"/>
      <c r="AF10" s="420" t="s">
        <v>63</v>
      </c>
      <c r="AG10" s="421" t="s">
        <v>63</v>
      </c>
      <c r="AH10" s="407"/>
      <c r="AI10" s="407"/>
      <c r="AJ10" s="405" t="str">
        <f t="array" ref="AJ10">IF(
  $AI10 = 0, 
  "", 
  IFERROR(
    INDEX(
      'アイテム別限界値DB'!$K:$K, 
      MATCH(
        1, 
        ('アイテム別限界値DB'!$B:$B = AF$4) * 
        ('アイテム別限界値DB'!$G:$G = $AF10) * 
        ('アイテム別限界値DB'!$H:$H = $AI10), 
        0
      )
    ), 
    "再製作"
  )
)
</f>
        <v/>
      </c>
      <c r="AK10" s="397"/>
      <c r="AL10" s="327"/>
      <c r="AM10" s="420" t="s">
        <v>57</v>
      </c>
      <c r="AN10" s="425" t="s">
        <v>57</v>
      </c>
      <c r="AO10" s="407"/>
      <c r="AP10" s="407"/>
      <c r="AQ10" s="405" t="str">
        <f t="array" ref="AQ10">IF(
  $AP10 = 0, 
  "", 
  IFERROR(
    INDEX(
      'アイテム別限界値DB'!$K:$K, 
      MATCH(
        1, 
        ('アイテム別限界値DB'!$B:$B = $AM$4) * 
        ('アイテム別限界値DB'!$G:$G = $AM10) * 
        ('アイテム別限界値DB'!$H:$H = $AP10), 
        0
      )
    ), 
    "再製作"
  )
)
</f>
        <v/>
      </c>
      <c r="AR10" s="397" t="str">
        <f t="array" ref="AR10">IF(
  $AP10 = 0, 
  "", 
  IFERROR(
    INDEX(
      'アイテム別限界値DB'!$N:$N, 
      MATCH(
        1, 
        ('アイテム別限界値DB'!$B:$B = $AM$4) * 
        ('アイテム別限界値DB'!$G:$G = $AM10) * 
        ('アイテム別限界値DB'!$H:$H = $AP10), 
        0
      )
    )*AO10, 
    "再製作"
  )
)
</f>
        <v/>
      </c>
      <c r="AS10" s="327"/>
      <c r="AT10" s="425" t="s">
        <v>200</v>
      </c>
      <c r="AU10" s="407"/>
      <c r="AV10" s="407"/>
      <c r="AW10" s="405" t="str">
        <f t="array" ref="AW10">IF(
  $AV10 = 0, 
  "", 
  IFERROR(
    INDEX(
      'アイテム別限界値DB'!$K:$K, 
      MATCH(
        1, 
        ('アイテム別限界値DB'!$B:$B = $AT$4) * 
        ('アイテム別限界値DB'!$G:$G = $AT10) * 
        ('アイテム別限界値DB'!$H:$H = $AV10), 
        0
      )
    ), 
    "再製作"
  )
)
</f>
        <v/>
      </c>
      <c r="AX10" s="397" t="str">
        <f t="array" ref="AX10">IF(
  $AV10 = 0, 
  "", 
  IFERROR(
    INDEX(
      'アイテム別限界値DB'!$N:$N, 
      MATCH(
        1, 
        ('アイテム別限界値DB'!$B:$B = $AT$4) * 
        ('アイテム別限界値DB'!$G:$G = $AT10) * 
        ('アイテム別限界値DB'!$H:$H = $AV10), 
        0
      )
    )*AU10, 
    "再製作"
  )
)
</f>
        <v/>
      </c>
      <c r="AY10" s="327"/>
      <c r="AZ10" s="425" t="s">
        <v>200</v>
      </c>
      <c r="BA10" s="407"/>
      <c r="BB10" s="407"/>
      <c r="BC10" s="405" t="str">
        <f t="array" ref="BC10">IF(
  $BB10 = 0, 
  "", 
  IFERROR(
    INDEX(
      'アイテム別限界値DB'!$K:$K, 
      MATCH(
        1, 
        ('アイテム別限界値DB'!$B:$B = $AZ$4) * 
        ('アイテム別限界値DB'!$G:$G = $AZ10) * 
        ('アイテム別限界値DB'!$H:$H = $BB10), 
        0
      )
    ), 
    "再製作"
  )
)
</f>
        <v/>
      </c>
      <c r="BD10" s="397" t="str">
        <f t="array" ref="BD10">IF(
  $BB10 = 0, 
  "", 
  IFERROR(
    INDEX(
      'アイテム別限界値DB'!$N:$N, 
      MATCH(
        1, 
        ('アイテム別限界値DB'!$B:$B = $AZ$4) * 
        ('アイテム別限界値DB'!$G:$G = $AZ10) * 
        ('アイテム別限界値DB'!$H:$H = $BB10), 
        0
      )
    )*BA10, 
    "再製作"
  )
)
</f>
        <v/>
      </c>
      <c r="BE10" s="327"/>
      <c r="BF10" s="425" t="s">
        <v>200</v>
      </c>
      <c r="BG10" s="407"/>
      <c r="BH10" s="407"/>
      <c r="BI10" s="405" t="str">
        <f t="array" ref="BI10">IF(
  $BH10 = 0, 
  "", 
  IFERROR(
    INDEX(
      'アイテム別限界値DB'!$K:$K, 
      MATCH(
        1, 
        ('アイテム別限界値DB'!$B:$B = $BF$4) * 
        ('アイテム別限界値DB'!$G:$G = $BF10) * 
        ('アイテム別限界値DB'!$H:$H = $BH10), 
        0
      )
    ), 
    "再製作"
  )
)
</f>
        <v/>
      </c>
      <c r="BJ10" s="397"/>
      <c r="BK10" s="327"/>
      <c r="BL10" s="425" t="s">
        <v>201</v>
      </c>
      <c r="BM10" s="407"/>
      <c r="BN10" s="407"/>
      <c r="BO10" s="405"/>
      <c r="BP10" s="397" t="str">
        <f t="array" ref="BP10">IF(
  $BN10 = 0, 
  "", 
  IFERROR(
    INDEX(
      'アイテム別限界値DB'!$N:$N, 
      MATCH(
        1, 
        ('アイテム別限界値DB'!$B:$B = $BL$4) * 
        ('アイテム別限界値DB'!$G:$G = $BL10) * 
        ('アイテム別限界値DB'!$H:$H = $BN10), 
        0
      )
    )*BM10, 
    "再製作"
  )
)
</f>
        <v/>
      </c>
      <c r="BQ10" s="327"/>
      <c r="BR10" s="425" t="s">
        <v>57</v>
      </c>
      <c r="BS10" s="407"/>
      <c r="BT10" s="407"/>
      <c r="BU10" s="405" t="str">
        <f t="array" ref="BU10">IF(
  $BT10 = 0, 
  "", 
  IFERROR(
    INDEX(
      'アイテム別限界値DB'!$K:$K, 
      MATCH(
        1, 
        ('アイテム別限界値DB'!$B:$B = $BR$4) * 
        ('アイテム別限界値DB'!$G:$G = $BR10) * 
        ('アイテム別限界値DB'!$H:$H = $BT10), 
        0
      )
    ), 
    "再製作"
  )
)
</f>
        <v/>
      </c>
      <c r="BV10" s="397" t="str">
        <f t="array" ref="BV10">IF(
  $BT10 = 0, 
  "", 
  IFERROR(
    INDEX(
      'アイテム別限界値DB'!$N:$N, 
      MATCH(
        1, 
        ('アイテム別限界値DB'!$B:$B = $BR$4) * 
        ('アイテム別限界値DB'!$G:$G = $BR10) * 
        ('アイテム別限界値DB'!$H:$H = $BT10), 
        0
      )
    )*BS10, 
    "再製作"
  )
)
</f>
        <v/>
      </c>
      <c r="BW10" s="327"/>
      <c r="BX10" s="425" t="s">
        <v>57</v>
      </c>
      <c r="BY10" s="407"/>
      <c r="BZ10" s="407"/>
      <c r="CA10" s="405" t="str">
        <f t="array" ref="CA10">IF(
  $BZ10 = 0, 
  "", 
  IFERROR(
    INDEX(
      'アイテム別限界値DB'!$K:$K, 
      MATCH(
        1, 
        ('アイテム別限界値DB'!$B:$B = $BX$4) * 
        ('アイテム別限界値DB'!$G:$G = $BX10) * 
        ('アイテム別限界値DB'!$H:$H = $BZ10), 
        0
      )
    ), 
    "再製作"
  )
)
</f>
        <v/>
      </c>
      <c r="CB10" s="397" t="str">
        <f t="array" ref="CB10">IF(
  $BZ10 = 0, 
  "", 
  IFERROR(
    INDEX(
      'アイテム別限界値DB'!$N:$N, 
      MATCH(
        1, 
        ('アイテム別限界値DB'!$B:$B = $BX$4) * 
        ('アイテム別限界値DB'!$G:$G = $BX10) * 
        ('アイテム別限界値DB'!$H:$H = $BZ10), 
        0
      )
    )*BY10, 
    "再製作"
  )
)
</f>
        <v/>
      </c>
      <c r="CC10" s="402"/>
      <c r="CD10" s="425"/>
      <c r="CE10" s="407" t="s">
        <v>59</v>
      </c>
      <c r="CF10" s="405" t="str">
        <f t="array" ref="CF10">IF(
  CE10 = 0, 
  "", 
  IFERROR(
    INDEX(
      'アイテム別限界値DB'!$K:$K, 
      MATCH(
        1, 
        ('アイテム別限界値DB'!$B:$B = CD$4) * 
        ('アイテム別限界値DB'!$G:$G = CD10) * 
        ('アイテム別限界値DB'!$H:$H = CE10), 
        0
      )
    ), 
    "再製作"
  )
)
</f>
        <v>再製作</v>
      </c>
      <c r="CG10" s="419" t="str">
        <f t="array" ref="CG10">IF(
  CE10 = 0, 
  "", 
  IFERROR(
    INDEX(
      'アイテム別限界値DB'!$N:$N, 
      MATCH(
        1, 
        ('アイテム別限界値DB'!$B:$B = CD$4) * 
        ('アイテム別限界値DB'!$G:$G = CD10) * 
        ('アイテム別限界値DB'!$H:$H = CE10), 
        0
      )
    ), 
    "再製作"
  )
)
</f>
        <v>再製作</v>
      </c>
      <c r="CH10" s="327"/>
      <c r="CI10" s="327"/>
    </row>
    <row r="11" ht="26.25" customHeight="1">
      <c r="A11" s="412"/>
      <c r="B11" s="228" t="str">
        <f>IFERROR(__xludf.DUMMYFUNCTION("TEXTJOIN(CHAR(10),TRUE,FILTER(ARRAYFORMULA(IF(Q$14:Q70&lt;&gt;"""",P$14:P70 &amp;"" : ""&amp; Q$14:Q70 &amp;"" cm"","""")), P$14:P70 &lt;&gt;""""))"),"")</f>
        <v/>
      </c>
      <c r="C11" s="412"/>
      <c r="D11" s="412" t="s">
        <v>166</v>
      </c>
      <c r="E11" s="413" t="s">
        <v>71</v>
      </c>
      <c r="F11" s="418"/>
      <c r="G11" s="418"/>
      <c r="H11" s="405" t="str">
        <f t="array" ref="H11">IF(
  G11 = 0, 
  "", 
  IFERROR(
    INDEX(
      'アイテム別限界値DB'!$K:$K, 
      MATCH(
        1, 
        ('アイテム別限界値DB'!$B:$B = D$4) * 
        ('アイテム別限界値DB'!$G:$G = D11) * 
        ('アイテム別限界値DB'!$H:$H = G11), 
        0
      )
    ), 
    "再製作"
  )
)
</f>
        <v/>
      </c>
      <c r="I11" s="397" t="str">
        <f t="array" ref="I11">IF(
  $G11 = 0, 
  "", 
  IFERROR(
    INDEX(
      'アイテム別限界値DB'!$N:$N, 
      MATCH(
        1, 
        ('アイテム別限界値DB'!$B:$B = $D$4) * 
        ('アイテム別限界値DB'!$G:$G = $D11) * 
        ('アイテム別限界値DB'!$H:$H = $G11), 
        0
      )
    )*F11, 
    "再製作"
  )
)
</f>
        <v/>
      </c>
      <c r="J11" s="388"/>
      <c r="K11" s="412" t="s">
        <v>202</v>
      </c>
      <c r="L11" s="414" t="s">
        <v>78</v>
      </c>
      <c r="M11" s="406"/>
      <c r="N11" s="404"/>
      <c r="O11" s="405"/>
      <c r="P11" s="397"/>
      <c r="Q11" s="389"/>
      <c r="R11" s="412" t="s">
        <v>67</v>
      </c>
      <c r="S11" s="413" t="s">
        <v>67</v>
      </c>
      <c r="T11" s="418"/>
      <c r="U11" s="418"/>
      <c r="V11" s="405" t="str">
        <f t="array" ref="V11">IF(
  $U11 = 0, 
  "", 
  IFERROR(
    INDEX(
      'アイテム別限界値DB'!$K:$K, 
      MATCH(
        1, 
        ('アイテム別限界値DB'!$B:$B = $R$4) * 
        ('アイテム別限界値DB'!$G:$G = $R11) * 
        ('アイテム別限界値DB'!$H:$H = $U11), 
        0
      )
    ), 
    "再製作"
  )
)
</f>
        <v/>
      </c>
      <c r="W11" s="397" t="str">
        <f t="array" ref="W11">IF(
  $U11 = 0, 
  "", 
  IFERROR(
    INDEX(
      'アイテム別限界値DB'!$N:$N, 
      MATCH(
        1, 
        ('アイテム別限界値DB'!$B:$B = $R$4) * 
        ('アイテム別限界値DB'!$G:$G = $R11) * 
        ('アイテム別限界値DB'!$H:$H = $U11), 
        0
      )
    )*T11, 
    "再製作"
  )
)
</f>
        <v/>
      </c>
      <c r="X11" s="327"/>
      <c r="Y11" s="412" t="s">
        <v>203</v>
      </c>
      <c r="Z11" s="413" t="s">
        <v>78</v>
      </c>
      <c r="AA11" s="418"/>
      <c r="AB11" s="418"/>
      <c r="AC11" s="405" t="str">
        <f t="array" ref="AC11">IF(
  $AB11 = 0, 
  "", 
  IFERROR(
    INDEX(
      'アイテム別限界値DB'!$K:$K, 
      MATCH(
        1, 
        ('アイテム別限界値DB'!$B:$B = $Y$4) * 
        ('アイテム別限界値DB'!$G:$G = $Y11) * 
        ('アイテム別限界値DB'!$H:$H = $AB11), 
        0
      )
    ), 
    "再製作"
  )
)
</f>
        <v/>
      </c>
      <c r="AD11" s="397" t="str">
        <f t="array" ref="AD11">IF(
  $AB11 = 0, 
  "", 
  IFERROR(
    INDEX(
      'アイテム別限界値DB'!$N:$N, 
      MATCH(
        1, 
        ('アイテム別限界値DB'!$B:$B = $Y$4) * 
        ('アイテム別限界値DB'!$G:$G = $Y11) * 
        ('アイテム別限界値DB'!$H:$H = $AB11), 
        0
      )
    )*AA11, 
    "再製作"
  )
)
</f>
        <v/>
      </c>
      <c r="AE11" s="424"/>
      <c r="AF11" s="412" t="s">
        <v>57</v>
      </c>
      <c r="AG11" s="413" t="s">
        <v>57</v>
      </c>
      <c r="AH11" s="418"/>
      <c r="AI11" s="418"/>
      <c r="AJ11" s="405" t="str">
        <f t="array" ref="AJ11">IF(
  $AI11 = 0, 
  "", 
  IFERROR(
    INDEX(
      'アイテム別限界値DB'!$K:$K, 
      MATCH(
        1, 
        ('アイテム別限界値DB'!$B:$B = AF$4) * 
        ('アイテム別限界値DB'!$G:$G = $AF11) * 
        ('アイテム別限界値DB'!$H:$H = $AI11), 
        0
      )
    ), 
    "再製作"
  )
)
</f>
        <v/>
      </c>
      <c r="AK11" s="397"/>
      <c r="AL11" s="327"/>
      <c r="AM11" s="412" t="s">
        <v>69</v>
      </c>
      <c r="AN11" s="416" t="s">
        <v>69</v>
      </c>
      <c r="AO11" s="418"/>
      <c r="AP11" s="418"/>
      <c r="AQ11" s="405" t="str">
        <f t="array" ref="AQ11">IF(
  $AP11 = 0, 
  "", 
  IFERROR(
    INDEX(
      'アイテム別限界値DB'!$K:$K, 
      MATCH(
        1, 
        ('アイテム別限界値DB'!$B:$B = $AM$4) * 
        ('アイテム別限界値DB'!$G:$G = $AM11) * 
        ('アイテム別限界値DB'!$H:$H = $AP11), 
        0
      )
    ), 
    "再製作"
  )
)
</f>
        <v/>
      </c>
      <c r="AR11" s="397" t="str">
        <f t="array" ref="AR11">IF(
  $AP11 = 0, 
  "", 
  IFERROR(
    INDEX(
      'アイテム別限界値DB'!$N:$N, 
      MATCH(
        1, 
        ('アイテム別限界値DB'!$B:$B = $AM$4) * 
        ('アイテム別限界値DB'!$G:$G = $AM11) * 
        ('アイテム別限界値DB'!$H:$H = $AP11), 
        0
      )
    )*AO11, 
    "再製作"
  )
)
</f>
        <v/>
      </c>
      <c r="AS11" s="327"/>
      <c r="AT11" s="416" t="s">
        <v>204</v>
      </c>
      <c r="AU11" s="418"/>
      <c r="AV11" s="418"/>
      <c r="AW11" s="405" t="str">
        <f t="array" ref="AW11">IF(
  $AV11 = 0, 
  "", 
  IFERROR(
    INDEX(
      'アイテム別限界値DB'!$K:$K, 
      MATCH(
        1, 
        ('アイテム別限界値DB'!$B:$B = $AT$4) * 
        ('アイテム別限界値DB'!$G:$G = $AT11) * 
        ('アイテム別限界値DB'!$H:$H = $AV11), 
        0
      )
    ), 
    "再製作"
  )
)
</f>
        <v/>
      </c>
      <c r="AX11" s="397" t="str">
        <f t="array" ref="AX11">IF(
  $AV11 = 0, 
  "", 
  IFERROR(
    INDEX(
      'アイテム別限界値DB'!$N:$N, 
      MATCH(
        1, 
        ('アイテム別限界値DB'!$B:$B = $AT$4) * 
        ('アイテム別限界値DB'!$G:$G = $AT11) * 
        ('アイテム別限界値DB'!$H:$H = $AV11), 
        0
      )
    )*AU11, 
    "再製作"
  )
)
</f>
        <v/>
      </c>
      <c r="AY11" s="327"/>
      <c r="AZ11" s="416" t="s">
        <v>71</v>
      </c>
      <c r="BA11" s="418"/>
      <c r="BB11" s="418"/>
      <c r="BC11" s="405" t="str">
        <f t="array" ref="BC11">IF(
  $BB11 = 0, 
  "", 
  IFERROR(
    INDEX(
      'アイテム別限界値DB'!$K:$K, 
      MATCH(
        1, 
        ('アイテム別限界値DB'!$B:$B = $AZ$4) * 
        ('アイテム別限界値DB'!$G:$G = $AZ11) * 
        ('アイテム別限界値DB'!$H:$H = $BB11), 
        0
      )
    ), 
    "再製作"
  )
)
</f>
        <v/>
      </c>
      <c r="BD11" s="397" t="str">
        <f t="array" ref="BD11">IF(
  $BB11 = 0, 
  "", 
  IFERROR(
    INDEX(
      'アイテム別限界値DB'!$N:$N, 
      MATCH(
        1, 
        ('アイテム別限界値DB'!$B:$B = $AZ$4) * 
        ('アイテム別限界値DB'!$G:$G = $AZ11) * 
        ('アイテム別限界値DB'!$H:$H = $BB11), 
        0
      )
    )*BA11, 
    "再製作"
  )
)
</f>
        <v/>
      </c>
      <c r="BE11" s="327"/>
      <c r="BF11" s="416" t="s">
        <v>205</v>
      </c>
      <c r="BG11" s="418"/>
      <c r="BH11" s="418"/>
      <c r="BI11" s="405" t="str">
        <f t="array" ref="BI11">IF(
  $BH11 = 0, 
  "", 
  IFERROR(
    INDEX(
      'アイテム別限界値DB'!$K:$K, 
      MATCH(
        1, 
        ('アイテム別限界値DB'!$B:$B = $BF$4) * 
        ('アイテム別限界値DB'!$G:$G = $BF11) * 
        ('アイテム別限界値DB'!$H:$H = $BH11), 
        0
      )
    ), 
    "再製作"
  )
)
</f>
        <v/>
      </c>
      <c r="BJ11" s="397"/>
      <c r="BK11" s="327"/>
      <c r="BL11" s="416" t="s">
        <v>71</v>
      </c>
      <c r="BM11" s="418"/>
      <c r="BN11" s="418"/>
      <c r="BO11" s="405"/>
      <c r="BP11" s="397" t="str">
        <f t="array" ref="BP11">IF(
  $BN11 = 0, 
  "", 
  IFERROR(
    INDEX(
      'アイテム別限界値DB'!$N:$N, 
      MATCH(
        1, 
        ('アイテム別限界値DB'!$B:$B = $BL$4) * 
        ('アイテム別限界値DB'!$G:$G = $BL11) * 
        ('アイテム別限界値DB'!$H:$H = $BN11), 
        0
      )
    )*BM11, 
    "再製作"
  )
)
</f>
        <v/>
      </c>
      <c r="BQ11" s="327"/>
      <c r="BR11" s="416" t="s">
        <v>71</v>
      </c>
      <c r="BS11" s="418"/>
      <c r="BT11" s="418"/>
      <c r="BU11" s="405" t="str">
        <f t="array" ref="BU11">IF(
  $BT11 = 0, 
  "", 
  IFERROR(
    INDEX(
      'アイテム別限界値DB'!$K:$K, 
      MATCH(
        1, 
        ('アイテム別限界値DB'!$B:$B = $BR$4) * 
        ('アイテム別限界値DB'!$G:$G = $BR11) * 
        ('アイテム別限界値DB'!$H:$H = $BT11), 
        0
      )
    ), 
    "再製作"
  )
)
</f>
        <v/>
      </c>
      <c r="BV11" s="397" t="str">
        <f t="array" ref="BV11">IF(
  $BT11 = 0, 
  "", 
  IFERROR(
    INDEX(
      'アイテム別限界値DB'!$N:$N, 
      MATCH(
        1, 
        ('アイテム別限界値DB'!$B:$B = $BR$4) * 
        ('アイテム別限界値DB'!$G:$G = $BR11) * 
        ('アイテム別限界値DB'!$H:$H = $BT11), 
        0
      )
    )*BS11, 
    "再製作"
  )
)
</f>
        <v/>
      </c>
      <c r="BW11" s="327"/>
      <c r="BX11" s="416" t="s">
        <v>71</v>
      </c>
      <c r="BY11" s="418"/>
      <c r="BZ11" s="418"/>
      <c r="CA11" s="405" t="str">
        <f t="array" ref="CA11">IF(
  $BZ11 = 0, 
  "", 
  IFERROR(
    INDEX(
      'アイテム別限界値DB'!$K:$K, 
      MATCH(
        1, 
        ('アイテム別限界値DB'!$B:$B = $BX$4) * 
        ('アイテム別限界値DB'!$G:$G = $BX11) * 
        ('アイテム別限界値DB'!$H:$H = $BZ11), 
        0
      )
    ), 
    "再製作"
  )
)
</f>
        <v/>
      </c>
      <c r="CB11" s="397" t="str">
        <f t="array" ref="CB11">IF(
  $BZ11 = 0, 
  "", 
  IFERROR(
    INDEX(
      'アイテム別限界値DB'!$N:$N, 
      MATCH(
        1, 
        ('アイテム別限界値DB'!$B:$B = $BX$4) * 
        ('アイテム別限界値DB'!$G:$G = $BX11) * 
        ('アイテム別限界値DB'!$H:$H = $BZ11), 
        0
      )
    )*BY11, 
    "再製作"
  )
)
</f>
        <v/>
      </c>
      <c r="CC11" s="402"/>
      <c r="CD11" s="416"/>
      <c r="CE11" s="418" t="s">
        <v>59</v>
      </c>
      <c r="CF11" s="405" t="str">
        <f t="array" ref="CF11">IF(
  CE11 = 0, 
  "", 
  IFERROR(
    INDEX(
      'アイテム別限界値DB'!$K:$K, 
      MATCH(
        1, 
        ('アイテム別限界値DB'!$B:$B = CD$4) * 
        ('アイテム別限界値DB'!$G:$G = CD11) * 
        ('アイテム別限界値DB'!$H:$H = CE11), 
        0
      )
    ), 
    "再製作"
  )
)
</f>
        <v>再製作</v>
      </c>
      <c r="CG11" s="419" t="str">
        <f t="array" ref="CG11">IF(
  CE11 = 0, 
  "", 
  IFERROR(
    INDEX(
      'アイテム別限界値DB'!$N:$N, 
      MATCH(
        1, 
        ('アイテム別限界値DB'!$B:$B = CD$4) * 
        ('アイテム別限界値DB'!$G:$G = CD11) * 
        ('アイテム別限界値DB'!$H:$H = CE11), 
        0
      )
    ), 
    "再製作"
  )
)
</f>
        <v>再製作</v>
      </c>
      <c r="CH11" s="327"/>
      <c r="CI11" s="327"/>
    </row>
    <row r="12" ht="26.25" customHeight="1">
      <c r="A12" s="427"/>
      <c r="B12" s="305" t="s">
        <v>206</v>
      </c>
      <c r="C12" s="427"/>
      <c r="D12" s="427" t="s">
        <v>169</v>
      </c>
      <c r="E12" s="421" t="s">
        <v>62</v>
      </c>
      <c r="F12" s="407"/>
      <c r="G12" s="407"/>
      <c r="H12" s="405" t="str">
        <f t="array" ref="H12">IF(
  G12 = 0, 
  "", 
  IFERROR(
    INDEX(
      'アイテム別限界値DB'!$K:$K, 
      MATCH(
        1, 
        ('アイテム別限界値DB'!$B:$B = D$4) * 
        ('アイテム別限界値DB'!$G:$G = D12) * 
        ('アイテム別限界値DB'!$H:$H = G12), 
        0
      )
    ), 
    "再製作"
  )
)
</f>
        <v/>
      </c>
      <c r="I12" s="397" t="str">
        <f t="array" ref="I12">IF(
  $G12 = 0, 
  "", 
  IFERROR(
    INDEX(
      'アイテム別限界値DB'!$N:$N, 
      MATCH(
        1, 
        ('アイテム別限界値DB'!$B:$B = $D$4) * 
        ('アイテム別限界値DB'!$G:$G = $D12) * 
        ('アイテム別限界値DB'!$H:$H = $G12), 
        0
      )
    )*F12, 
    "再製作"
  )
)
</f>
        <v/>
      </c>
      <c r="J12" s="388"/>
      <c r="K12" s="427" t="s">
        <v>207</v>
      </c>
      <c r="L12" s="414" t="s">
        <v>82</v>
      </c>
      <c r="M12" s="423"/>
      <c r="N12" s="422"/>
      <c r="O12" s="405"/>
      <c r="P12" s="397"/>
      <c r="Q12" s="389"/>
      <c r="R12" s="427" t="s">
        <v>74</v>
      </c>
      <c r="S12" s="421" t="s">
        <v>74</v>
      </c>
      <c r="T12" s="418"/>
      <c r="U12" s="418"/>
      <c r="V12" s="405" t="str">
        <f t="array" ref="V12">IF(
  $U12 = 0, 
  "", 
  IFERROR(
    INDEX(
      'アイテム別限界値DB'!$K:$K, 
      MATCH(
        1, 
        ('アイテム別限界値DB'!$B:$B = $R$4) * 
        ('アイテム別限界値DB'!$G:$G = $R12) * 
        ('アイテム別限界値DB'!$H:$H = $U12), 
        0
      )
    ), 
    "再製作"
  )
)
</f>
        <v/>
      </c>
      <c r="W12" s="397" t="str">
        <f t="array" ref="W12">IF(
  $U12 = 0, 
  "", 
  IFERROR(
    INDEX(
      'アイテム別限界値DB'!$N:$N, 
      MATCH(
        1, 
        ('アイテム別限界値DB'!$B:$B = $R$4) * 
        ('アイテム別限界値DB'!$G:$G = $R12) * 
        ('アイテム別限界値DB'!$H:$H = $U12), 
        0
      )
    )*T12, 
    "再製作"
  )
)
</f>
        <v/>
      </c>
      <c r="X12" s="327"/>
      <c r="Y12" s="427" t="s">
        <v>208</v>
      </c>
      <c r="Z12" s="421" t="s">
        <v>82</v>
      </c>
      <c r="AA12" s="418"/>
      <c r="AB12" s="418"/>
      <c r="AC12" s="405" t="str">
        <f t="array" ref="AC12">IF(
  $AB12 = 0, 
  "", 
  IFERROR(
    INDEX(
      'アイテム別限界値DB'!$K:$K, 
      MATCH(
        1, 
        ('アイテム別限界値DB'!$B:$B = $Y$4) * 
        ('アイテム別限界値DB'!$G:$G = $Y12) * 
        ('アイテム別限界値DB'!$H:$H = $AB12), 
        0
      )
    ), 
    "再製作"
  )
)
</f>
        <v/>
      </c>
      <c r="AD12" s="397" t="str">
        <f t="array" ref="AD12">IF(
  $AB12 = 0, 
  "", 
  IFERROR(
    INDEX(
      'アイテム別限界値DB'!$N:$N, 
      MATCH(
        1, 
        ('アイテム別限界値DB'!$B:$B = $Y$4) * 
        ('アイテム別限界値DB'!$G:$G = $Y12) * 
        ('アイテム別限界値DB'!$H:$H = $AB12), 
        0
      )
    )*AA12, 
    "再製作"
  )
)
</f>
        <v/>
      </c>
      <c r="AE12" s="332"/>
      <c r="AF12" s="427" t="s">
        <v>69</v>
      </c>
      <c r="AG12" s="421" t="s">
        <v>69</v>
      </c>
      <c r="AH12" s="407"/>
      <c r="AI12" s="407"/>
      <c r="AJ12" s="405" t="str">
        <f t="array" ref="AJ12">IF(
  $AI12 = 0, 
  "", 
  IFERROR(
    INDEX(
      'アイテム別限界値DB'!$K:$K, 
      MATCH(
        1, 
        ('アイテム別限界値DB'!$B:$B = AF$4) * 
        ('アイテム別限界値DB'!$G:$G = $AF12) * 
        ('アイテム別限界値DB'!$H:$H = $AI12), 
        0
      )
    ), 
    "再製作"
  )
)
</f>
        <v/>
      </c>
      <c r="AK12" s="397"/>
      <c r="AL12" s="327"/>
      <c r="AM12" s="427" t="s">
        <v>76</v>
      </c>
      <c r="AN12" s="428" t="s">
        <v>76</v>
      </c>
      <c r="AO12" s="407"/>
      <c r="AP12" s="407"/>
      <c r="AQ12" s="405" t="str">
        <f t="array" ref="AQ12">IF(
  $AP12 = 0, 
  "", 
  IFERROR(
    INDEX(
      'アイテム別限界値DB'!$K:$K, 
      MATCH(
        1, 
        ('アイテム別限界値DB'!$B:$B = $AM$4) * 
        ('アイテム別限界値DB'!$G:$G = $AM12) * 
        ('アイテム別限界値DB'!$H:$H = $AP12), 
        0
      )
    ), 
    "再製作"
  )
)
</f>
        <v/>
      </c>
      <c r="AR12" s="397" t="str">
        <f t="array" ref="AR12">IF(
  $AP12 = 0, 
  "", 
  IFERROR(
    INDEX(
      'アイテム別限界値DB'!$N:$N, 
      MATCH(
        1, 
        ('アイテム別限界値DB'!$B:$B = $AM$4) * 
        ('アイテム別限界値DB'!$G:$G = $AM12) * 
        ('アイテム別限界値DB'!$H:$H = $AP12), 
        0
      )
    )*AO12, 
    "再製作"
  )
)
</f>
        <v/>
      </c>
      <c r="AS12" s="327"/>
      <c r="AT12" s="428" t="s">
        <v>71</v>
      </c>
      <c r="AU12" s="407"/>
      <c r="AV12" s="407"/>
      <c r="AW12" s="405" t="str">
        <f t="array" ref="AW12">IF(
  $AV12 = 0, 
  "", 
  IFERROR(
    INDEX(
      'アイテム別限界値DB'!$K:$K, 
      MATCH(
        1, 
        ('アイテム別限界値DB'!$B:$B = $AT$4) * 
        ('アイテム別限界値DB'!$G:$G = $AT12) * 
        ('アイテム別限界値DB'!$H:$H = $AV12), 
        0
      )
    ), 
    "再製作"
  )
)
</f>
        <v/>
      </c>
      <c r="AX12" s="397" t="str">
        <f t="array" ref="AX12">IF(
  $AV12 = 0, 
  "", 
  IFERROR(
    INDEX(
      'アイテム別限界値DB'!$N:$N, 
      MATCH(
        1, 
        ('アイテム別限界値DB'!$B:$B = $AT$4) * 
        ('アイテム別限界値DB'!$G:$G = $AT12) * 
        ('アイテム別限界値DB'!$H:$H = $AV12), 
        0
      )
    )*AU12, 
    "再製作"
  )
)
</f>
        <v/>
      </c>
      <c r="AY12" s="327"/>
      <c r="AZ12" s="428" t="s">
        <v>209</v>
      </c>
      <c r="BA12" s="407"/>
      <c r="BB12" s="407"/>
      <c r="BC12" s="405" t="str">
        <f t="array" ref="BC12">IF(
  $BB12 = 0, 
  "", 
  IFERROR(
    INDEX(
      'アイテム別限界値DB'!$K:$K, 
      MATCH(
        1, 
        ('アイテム別限界値DB'!$B:$B = $AZ$4) * 
        ('アイテム別限界値DB'!$G:$G = $AZ12) * 
        ('アイテム別限界値DB'!$H:$H = $BB12), 
        0
      )
    ), 
    "再製作"
  )
)
</f>
        <v/>
      </c>
      <c r="BD12" s="397" t="str">
        <f t="array" ref="BD12">IF(
  $BB12 = 0, 
  "", 
  IFERROR(
    INDEX(
      'アイテム別限界値DB'!$N:$N, 
      MATCH(
        1, 
        ('アイテム別限界値DB'!$B:$B = $AZ$4) * 
        ('アイテム別限界値DB'!$G:$G = $AZ12) * 
        ('アイテム別限界値DB'!$H:$H = $BB12), 
        0
      )
    )*BA12, 
    "再製作"
  )
)
</f>
        <v/>
      </c>
      <c r="BE12" s="327"/>
      <c r="BF12" s="428" t="s">
        <v>209</v>
      </c>
      <c r="BG12" s="407"/>
      <c r="BH12" s="407"/>
      <c r="BI12" s="405" t="str">
        <f t="array" ref="BI12">IF(
  $BH12 = 0, 
  "", 
  IFERROR(
    INDEX(
      'アイテム別限界値DB'!$K:$K, 
      MATCH(
        1, 
        ('アイテム別限界値DB'!$B:$B = $BF$4) * 
        ('アイテム別限界値DB'!$G:$G = $BF12) * 
        ('アイテム別限界値DB'!$H:$H = $BH12), 
        0
      )
    ), 
    "再製作"
  )
)
</f>
        <v/>
      </c>
      <c r="BJ12" s="397"/>
      <c r="BK12" s="327"/>
      <c r="BL12" s="428" t="s">
        <v>209</v>
      </c>
      <c r="BM12" s="407"/>
      <c r="BN12" s="407"/>
      <c r="BO12" s="405"/>
      <c r="BP12" s="397" t="str">
        <f t="array" ref="BP12">IF(
  $BN12 = 0, 
  "", 
  IFERROR(
    INDEX(
      'アイテム別限界値DB'!$N:$N, 
      MATCH(
        1, 
        ('アイテム別限界値DB'!$B:$B = $BL$4) * 
        ('アイテム別限界値DB'!$G:$G = $BL12) * 
        ('アイテム別限界値DB'!$H:$H = $BN12), 
        0
      )
    )*BM12, 
    "再製作"
  )
)
</f>
        <v/>
      </c>
      <c r="BQ12" s="327"/>
      <c r="BR12" s="428" t="s">
        <v>62</v>
      </c>
      <c r="BS12" s="407"/>
      <c r="BT12" s="407"/>
      <c r="BU12" s="405" t="str">
        <f t="array" ref="BU12">IF(
  $BT12 = 0, 
  "", 
  IFERROR(
    INDEX(
      'アイテム別限界値DB'!$K:$K, 
      MATCH(
        1, 
        ('アイテム別限界値DB'!$B:$B = $BR$4) * 
        ('アイテム別限界値DB'!$G:$G = $BR12) * 
        ('アイテム別限界値DB'!$H:$H = $BT12), 
        0
      )
    ), 
    "再製作"
  )
)
</f>
        <v/>
      </c>
      <c r="BV12" s="397" t="str">
        <f t="array" ref="BV12">IF(
  $BT12 = 0, 
  "", 
  IFERROR(
    INDEX(
      'アイテム別限界値DB'!$N:$N, 
      MATCH(
        1, 
        ('アイテム別限界値DB'!$B:$B = $BR$4) * 
        ('アイテム別限界値DB'!$G:$G = $BR12) * 
        ('アイテム別限界値DB'!$H:$H = $BT12), 
        0
      )
    )*BS12, 
    "再製作"
  )
)
</f>
        <v/>
      </c>
      <c r="BW12" s="327"/>
      <c r="BX12" s="428" t="s">
        <v>62</v>
      </c>
      <c r="BY12" s="407"/>
      <c r="BZ12" s="407"/>
      <c r="CA12" s="405" t="str">
        <f t="array" ref="CA12">IF(
  $BZ12 = 0, 
  "", 
  IFERROR(
    INDEX(
      'アイテム別限界値DB'!$K:$K, 
      MATCH(
        1, 
        ('アイテム別限界値DB'!$B:$B = $BX$4) * 
        ('アイテム別限界値DB'!$G:$G = $BX12) * 
        ('アイテム別限界値DB'!$H:$H = $BZ12), 
        0
      )
    ), 
    "再製作"
  )
)
</f>
        <v/>
      </c>
      <c r="CB12" s="397" t="str">
        <f t="array" ref="CB12">IF(
  $BZ12 = 0, 
  "", 
  IFERROR(
    INDEX(
      'アイテム別限界値DB'!$N:$N, 
      MATCH(
        1, 
        ('アイテム別限界値DB'!$B:$B = $BX$4) * 
        ('アイテム別限界値DB'!$G:$G = $BX12) * 
        ('アイテム別限界値DB'!$H:$H = $BZ12), 
        0
      )
    )*BY12, 
    "再製作"
  )
)
</f>
        <v/>
      </c>
      <c r="CC12" s="402"/>
      <c r="CD12" s="428"/>
      <c r="CE12" s="407" t="s">
        <v>59</v>
      </c>
      <c r="CF12" s="405" t="str">
        <f t="array" ref="CF12">IF(
  CE12 = 0, 
  "", 
  IFERROR(
    INDEX(
      'アイテム別限界値DB'!$K:$K, 
      MATCH(
        1, 
        ('アイテム別限界値DB'!$B:$B = CD$4) * 
        ('アイテム別限界値DB'!$G:$G = CD12) * 
        ('アイテム別限界値DB'!$H:$H = CE12), 
        0
      )
    ), 
    "再製作"
  )
)
</f>
        <v>再製作</v>
      </c>
      <c r="CG12" s="419" t="str">
        <f t="array" ref="CG12">IF(
  CE12 = 0, 
  "", 
  IFERROR(
    INDEX(
      'アイテム別限界値DB'!$N:$N, 
      MATCH(
        1, 
        ('アイテム別限界値DB'!$B:$B = CD$4) * 
        ('アイテム別限界値DB'!$G:$G = CD12) * 
        ('アイテム別限界値DB'!$H:$H = CE12), 
        0
      )
    ), 
    "再製作"
  )
)
</f>
        <v>再製作</v>
      </c>
      <c r="CH12" s="327"/>
      <c r="CI12" s="327"/>
    </row>
    <row r="13" ht="26.25" customHeight="1">
      <c r="A13" s="429"/>
      <c r="B13" s="228" t="str">
        <f>IFERROR(__xludf.DUMMYFUNCTION("TEXTJOIN(CHAR(10),TRUE,FILTER(ARRAYFORMULA(IF(W$14:W70&lt;&gt;"""", V$14:V70 &amp;"" : ""&amp; W$14:W70 &amp;"" cm"","""")), V$14:V70 &lt;&gt;""""))"),"↓ 1箇所納期 ↓ : ↓ 税込料金↓ cm")</f>
        <v>↓ 1箇所納期 ↓ : ↓ 税込料金↓ cm</v>
      </c>
      <c r="C13" s="429"/>
      <c r="D13" s="429" t="s">
        <v>171</v>
      </c>
      <c r="E13" s="413" t="s">
        <v>98</v>
      </c>
      <c r="F13" s="418"/>
      <c r="G13" s="418"/>
      <c r="H13" s="405" t="str">
        <f t="array" ref="H13">IF(
  G13 = 0, 
  "", 
  IFERROR(
    INDEX(
      'アイテム別限界値DB'!$K:$K, 
      MATCH(
        1, 
        ('アイテム別限界値DB'!$B:$B = D$4) * 
        ('アイテム別限界値DB'!$G:$G = D13) * 
        ('アイテム別限界値DB'!$H:$H = G13), 
        0
      )
    ), 
    "再製作"
  )
)
</f>
        <v/>
      </c>
      <c r="I13" s="397" t="str">
        <f t="array" ref="I13">IF(
  $G13 = 0, 
  "", 
  IFERROR(
    INDEX(
      'アイテム別限界値DB'!$N:$N, 
      MATCH(
        1, 
        ('アイテム別限界値DB'!$B:$B = $D$4) * 
        ('アイテム別限界値DB'!$G:$G = $D13) * 
        ('アイテム別限界値DB'!$H:$H = $G13), 
        0
      )
    )*F13, 
    "再製作"
  )
)
</f>
        <v/>
      </c>
      <c r="J13" s="388"/>
      <c r="K13" s="429" t="s">
        <v>78</v>
      </c>
      <c r="L13" s="414" t="s">
        <v>211</v>
      </c>
      <c r="M13" s="406"/>
      <c r="N13" s="404"/>
      <c r="O13" s="405"/>
      <c r="P13" s="397"/>
      <c r="Q13" s="389"/>
      <c r="R13" s="429" t="s">
        <v>79</v>
      </c>
      <c r="S13" s="413" t="s">
        <v>79</v>
      </c>
      <c r="T13" s="418"/>
      <c r="U13" s="418"/>
      <c r="V13" s="405" t="str">
        <f t="array" ref="V13">IF(
  $U13 = 0, 
  "", 
  IFERROR(
    INDEX(
      'アイテム別限界値DB'!$K:$K, 
      MATCH(
        1, 
        ('アイテム別限界値DB'!$B:$B = $R$4) * 
        ('アイテム別限界値DB'!$G:$G = $R13) * 
        ('アイテム別限界値DB'!$H:$H = $U13), 
        0
      )
    ), 
    "再製作"
  )
)
</f>
        <v/>
      </c>
      <c r="W13" s="397" t="str">
        <f t="array" ref="W13">IF(
  $U13 = 0, 
  "", 
  IFERROR(
    INDEX(
      'アイテム別限界値DB'!$N:$N, 
      MATCH(
        1, 
        ('アイテム別限界値DB'!$B:$B = $R$4) * 
        ('アイテム別限界値DB'!$G:$G = $R13) * 
        ('アイテム別限界値DB'!$H:$H = $U13), 
        0
      )
    )*T13, 
    "再製作"
  )
)
</f>
        <v/>
      </c>
      <c r="X13" s="327"/>
      <c r="Y13" s="429" t="s">
        <v>78</v>
      </c>
      <c r="Z13" s="413" t="s">
        <v>211</v>
      </c>
      <c r="AA13" s="407"/>
      <c r="AB13" s="407"/>
      <c r="AC13" s="405" t="str">
        <f t="array" ref="AC13">IF(
  $AB13 = 0, 
  "", 
  IFERROR(
    INDEX(
      'アイテム別限界値DB'!$K:$K, 
      MATCH(
        1, 
        ('アイテム別限界値DB'!$B:$B = $Y$4) * 
        ('アイテム別限界値DB'!$G:$G = $Y13) * 
        ('アイテム別限界値DB'!$H:$H = $AB13), 
        0
      )
    ), 
    "再製作"
  )
)
</f>
        <v/>
      </c>
      <c r="AD13" s="397" t="str">
        <f t="array" ref="AD13">IF(
  $AB13 = 0, 
  "", 
  IFERROR(
    INDEX(
      'アイテム別限界値DB'!$N:$N, 
      MATCH(
        1, 
        ('アイテム別限界値DB'!$B:$B = $Y$4) * 
        ('アイテム別限界値DB'!$G:$G = $Y13) * 
        ('アイテム別限界値DB'!$H:$H = $AB13), 
        0
      )
    )*AA13, 
    "再製作"
  )
)
</f>
        <v/>
      </c>
      <c r="AE13" s="332"/>
      <c r="AF13" s="429" t="s">
        <v>76</v>
      </c>
      <c r="AG13" s="413" t="s">
        <v>76</v>
      </c>
      <c r="AH13" s="418"/>
      <c r="AI13" s="418"/>
      <c r="AJ13" s="405" t="str">
        <f t="array" ref="AJ13">IF(
  $AI13 = 0, 
  "", 
  IFERROR(
    INDEX(
      'アイテム別限界値DB'!$K:$K, 
      MATCH(
        1, 
        ('アイテム別限界値DB'!$B:$B = AF$4) * 
        ('アイテム別限界値DB'!$G:$G = $AF13) * 
        ('アイテム別限界値DB'!$H:$H = $AI13), 
        0
      )
    ), 
    "再製作"
  )
)
</f>
        <v/>
      </c>
      <c r="AK13" s="397"/>
      <c r="AL13" s="327"/>
      <c r="AM13" s="429" t="s">
        <v>212</v>
      </c>
      <c r="AN13" s="432" t="s">
        <v>80</v>
      </c>
      <c r="AO13" s="418"/>
      <c r="AP13" s="418"/>
      <c r="AQ13" s="405" t="str">
        <f t="array" ref="AQ13">IF(
  $AP13 = 0, 
  "", 
  IFERROR(
    INDEX(
      'アイテム別限界値DB'!$K:$K, 
      MATCH(
        1, 
        ('アイテム別限界値DB'!$B:$B = $AM$4) * 
        ('アイテム別限界値DB'!$G:$G = $AM13) * 
        ('アイテム別限界値DB'!$H:$H = $AP13), 
        0
      )
    ), 
    "再製作"
  )
)
</f>
        <v/>
      </c>
      <c r="AR13" s="397" t="str">
        <f t="array" ref="AR13">IF(
  $AP13 = 0, 
  "", 
  IFERROR(
    INDEX(
      'アイテム別限界値DB'!$N:$N, 
      MATCH(
        1, 
        ('アイテム別限界値DB'!$B:$B = $AM$4) * 
        ('アイテム別限界値DB'!$G:$G = $AM13) * 
        ('アイテム別限界値DB'!$H:$H = $AP13), 
        0
      )
    )*AO13, 
    "再製作"
  )
)
</f>
        <v/>
      </c>
      <c r="AS13" s="327"/>
      <c r="AT13" s="432" t="s">
        <v>209</v>
      </c>
      <c r="AU13" s="418"/>
      <c r="AV13" s="418"/>
      <c r="AW13" s="405" t="str">
        <f t="array" ref="AW13">IF(
  $AV13 = 0, 
  "", 
  IFERROR(
    INDEX(
      'アイテム別限界値DB'!$K:$K, 
      MATCH(
        1, 
        ('アイテム別限界値DB'!$B:$B = $AT$4) * 
        ('アイテム別限界値DB'!$G:$G = $AT13) * 
        ('アイテム別限界値DB'!$H:$H = $AV13), 
        0
      )
    ), 
    "再製作"
  )
)
</f>
        <v/>
      </c>
      <c r="AX13" s="397" t="str">
        <f t="array" ref="AX13">IF(
  $AV13 = 0, 
  "", 
  IFERROR(
    INDEX(
      'アイテム別限界値DB'!$N:$N, 
      MATCH(
        1, 
        ('アイテム別限界値DB'!$B:$B = $AT$4) * 
        ('アイテム別限界値DB'!$G:$G = $AT13) * 
        ('アイテム別限界値DB'!$H:$H = $AV13), 
        0
      )
    )*AU13, 
    "再製作"
  )
)
</f>
        <v/>
      </c>
      <c r="AY13" s="327"/>
      <c r="AZ13" s="432" t="s">
        <v>213</v>
      </c>
      <c r="BA13" s="418"/>
      <c r="BB13" s="418"/>
      <c r="BC13" s="405" t="str">
        <f t="array" ref="BC13">IF(
  $BB13 = 0, 
  "", 
  IFERROR(
    INDEX(
      'アイテム別限界値DB'!$K:$K, 
      MATCH(
        1, 
        ('アイテム別限界値DB'!$B:$B = $AZ$4) * 
        ('アイテム別限界値DB'!$G:$G = $AZ13) * 
        ('アイテム別限界値DB'!$H:$H = $BB13), 
        0
      )
    ), 
    "再製作"
  )
)
</f>
        <v/>
      </c>
      <c r="BD13" s="397" t="str">
        <f t="array" ref="BD13">IF(
  $BB13 = 0, 
  "", 
  IFERROR(
    INDEX(
      'アイテム別限界値DB'!$N:$N, 
      MATCH(
        1, 
        ('アイテム別限界値DB'!$B:$B = $AZ$4) * 
        ('アイテム別限界値DB'!$G:$G = $AZ13) * 
        ('アイテム別限界値DB'!$H:$H = $BB13), 
        0
      )
    )*BA13, 
    "再製作"
  )
)
</f>
        <v/>
      </c>
      <c r="BE13" s="327"/>
      <c r="BF13" s="432" t="s">
        <v>204</v>
      </c>
      <c r="BG13" s="418"/>
      <c r="BH13" s="418"/>
      <c r="BI13" s="405" t="str">
        <f t="array" ref="BI13">IF(
  $BH13 = 0, 
  "", 
  IFERROR(
    INDEX(
      'アイテム別限界値DB'!$K:$K, 
      MATCH(
        1, 
        ('アイテム別限界値DB'!$B:$B = $BF$4) * 
        ('アイテム別限界値DB'!$G:$G = $BF13) * 
        ('アイテム別限界値DB'!$H:$H = $BH13), 
        0
      )
    ), 
    "再製作"
  )
)
</f>
        <v/>
      </c>
      <c r="BJ13" s="397"/>
      <c r="BK13" s="327"/>
      <c r="BL13" s="432" t="s">
        <v>204</v>
      </c>
      <c r="BM13" s="418"/>
      <c r="BN13" s="418"/>
      <c r="BO13" s="405"/>
      <c r="BP13" s="397" t="str">
        <f t="array" ref="BP13">IF(
  $BN13 = 0, 
  "", 
  IFERROR(
    INDEX(
      'アイテム別限界値DB'!$N:$N, 
      MATCH(
        1, 
        ('アイテム別限界値DB'!$B:$B = $BL$4) * 
        ('アイテム別限界値DB'!$G:$G = $BL13) * 
        ('アイテム別限界値DB'!$H:$H = $BN13), 
        0
      )
    )*BM13, 
    "再製作"
  )
)
</f>
        <v/>
      </c>
      <c r="BQ13" s="327"/>
      <c r="BR13" s="432" t="s">
        <v>204</v>
      </c>
      <c r="BS13" s="418"/>
      <c r="BT13" s="418"/>
      <c r="BU13" s="405" t="str">
        <f t="array" ref="BU13">IF(
  $BT13 = 0, 
  "", 
  IFERROR(
    INDEX(
      'アイテム別限界値DB'!$K:$K, 
      MATCH(
        1, 
        ('アイテム別限界値DB'!$B:$B = $BR$4) * 
        ('アイテム別限界値DB'!$G:$G = $BR13) * 
        ('アイテム別限界値DB'!$H:$H = $BT13), 
        0
      )
    ), 
    "再製作"
  )
)
</f>
        <v/>
      </c>
      <c r="BV13" s="397" t="str">
        <f t="array" ref="BV13">IF(
  $BT13 = 0, 
  "", 
  IFERROR(
    INDEX(
      'アイテム別限界値DB'!$N:$N, 
      MATCH(
        1, 
        ('アイテム別限界値DB'!$B:$B = $BR$4) * 
        ('アイテム別限界値DB'!$G:$G = $BR13) * 
        ('アイテム別限界値DB'!$H:$H = $BT13), 
        0
      )
    )*BS13, 
    "再製作"
  )
)
</f>
        <v/>
      </c>
      <c r="BW13" s="327"/>
      <c r="BX13" s="432" t="s">
        <v>204</v>
      </c>
      <c r="BY13" s="418"/>
      <c r="BZ13" s="418"/>
      <c r="CA13" s="405" t="str">
        <f t="array" ref="CA13">IF(
  $BZ13 = 0, 
  "", 
  IFERROR(
    INDEX(
      'アイテム別限界値DB'!$K:$K, 
      MATCH(
        1, 
        ('アイテム別限界値DB'!$B:$B = $BX$4) * 
        ('アイテム別限界値DB'!$G:$G = $BX13) * 
        ('アイテム別限界値DB'!$H:$H = $BZ13), 
        0
      )
    ), 
    "再製作"
  )
)
</f>
        <v/>
      </c>
      <c r="CB13" s="397" t="str">
        <f t="array" ref="CB13">IF(
  $BZ13 = 0, 
  "", 
  IFERROR(
    INDEX(
      'アイテム別限界値DB'!$N:$N, 
      MATCH(
        1, 
        ('アイテム別限界値DB'!$B:$B = $BX$4) * 
        ('アイテム別限界値DB'!$G:$G = $BX13) * 
        ('アイテム別限界値DB'!$H:$H = $BZ13), 
        0
      )
    )*BY13, 
    "再製作"
  )
)
</f>
        <v/>
      </c>
      <c r="CC13" s="402"/>
      <c r="CD13" s="432"/>
      <c r="CE13" s="418" t="s">
        <v>59</v>
      </c>
      <c r="CF13" s="405" t="str">
        <f t="array" ref="CF13">IF(
  CE13 = 0, 
  "", 
  IFERROR(
    INDEX(
      'アイテム別限界値DB'!$K:$K, 
      MATCH(
        1, 
        ('アイテム別限界値DB'!$B:$B = CD$4) * 
        ('アイテム別限界値DB'!$G:$G = CD13) * 
        ('アイテム別限界値DB'!$H:$H = CE13), 
        0
      )
    ), 
    "再製作"
  )
)
</f>
        <v>再製作</v>
      </c>
      <c r="CG13" s="419" t="str">
        <f t="array" ref="CG13">IF(
  CE13 = 0, 
  "", 
  IFERROR(
    INDEX(
      'アイテム別限界値DB'!$N:$N, 
      MATCH(
        1, 
        ('アイテム別限界値DB'!$B:$B = CD$4) * 
        ('アイテム別限界値DB'!$G:$G = CD13) * 
        ('アイテム別限界値DB'!$H:$H = CE13), 
        0
      )
    ), 
    "再製作"
  )
)
</f>
        <v>再製作</v>
      </c>
      <c r="CH13" s="327"/>
      <c r="CI13" s="327"/>
    </row>
    <row r="14" ht="26.25" customHeight="1">
      <c r="A14" s="433"/>
      <c r="B14" s="305" t="s">
        <v>214</v>
      </c>
      <c r="C14" s="434"/>
      <c r="D14" s="434" t="s">
        <v>62</v>
      </c>
      <c r="E14" s="421" t="s">
        <v>74</v>
      </c>
      <c r="F14" s="418"/>
      <c r="G14" s="418"/>
      <c r="H14" s="405" t="str">
        <f t="array" ref="H14">IF(
  G14 = 0, 
  "", 
  IFERROR(
    INDEX(
      'アイテム別限界値DB'!$K:$K, 
      MATCH(
        1, 
        ('アイテム別限界値DB'!$B:$B = D$4) * 
        ('アイテム別限界値DB'!$G:$G = D14) * 
        ('アイテム別限界値DB'!$H:$H = G14), 
        0
      )
    ), 
    "再製作"
  )
)
</f>
        <v/>
      </c>
      <c r="I14" s="397" t="str">
        <f t="array" ref="I14">IF(
  $G14 = 0, 
  "", 
  IFERROR(
    INDEX(
      'アイテム別限界値DB'!$N:$N, 
      MATCH(
        1, 
        ('アイテム別限界値DB'!$B:$B = $D$4) * 
        ('アイテム別限界値DB'!$G:$G = $D14) * 
        ('アイテム別限界値DB'!$H:$H = $G14), 
        0
      )
    )*F14, 
    "再製作"
  )
)
</f>
        <v/>
      </c>
      <c r="J14" s="388"/>
      <c r="K14" s="434" t="s">
        <v>82</v>
      </c>
      <c r="L14" s="414" t="s">
        <v>95</v>
      </c>
      <c r="M14" s="423"/>
      <c r="N14" s="422"/>
      <c r="O14" s="405"/>
      <c r="P14" s="397"/>
      <c r="Q14" s="389"/>
      <c r="R14" s="434" t="s">
        <v>83</v>
      </c>
      <c r="S14" s="421" t="s">
        <v>83</v>
      </c>
      <c r="T14" s="407"/>
      <c r="U14" s="407"/>
      <c r="V14" s="405" t="str">
        <f t="array" ref="V14">IF(
  $U14 = 0, 
  "", 
  IFERROR(
    INDEX(
      'アイテム別限界値DB'!$K:$K, 
      MATCH(
        1, 
        ('アイテム別限界値DB'!$B:$B = $R$4) * 
        ('アイテム別限界値DB'!$G:$G = $R14) * 
        ('アイテム別限界値DB'!$H:$H = $U14), 
        0
      )
    ), 
    "再製作"
  )
)
</f>
        <v/>
      </c>
      <c r="W14" s="397" t="str">
        <f t="array" ref="W14">IF(
  $U14 = 0, 
  "", 
  IFERROR(
    INDEX(
      'アイテム別限界値DB'!$N:$N, 
      MATCH(
        1, 
        ('アイテム別限界値DB'!$B:$B = $R$4) * 
        ('アイテム別限界値DB'!$G:$G = $R14) * 
        ('アイテム別限界値DB'!$H:$H = $U14), 
        0
      )
    )*T14, 
    "再製作"
  )
)
</f>
        <v/>
      </c>
      <c r="X14" s="327"/>
      <c r="Y14" s="434" t="s">
        <v>82</v>
      </c>
      <c r="Z14" s="421" t="s">
        <v>100</v>
      </c>
      <c r="AA14" s="418"/>
      <c r="AB14" s="418"/>
      <c r="AC14" s="405" t="str">
        <f t="array" ref="AC14">IF(
  $AB14 = 0, 
  "", 
  IFERROR(
    INDEX(
      'アイテム別限界値DB'!$K:$K, 
      MATCH(
        1, 
        ('アイテム別限界値DB'!$B:$B = $Y$4) * 
        ('アイテム別限界値DB'!$G:$G = $Y14) * 
        ('アイテム別限界値DB'!$H:$H = $AB14), 
        0
      )
    ), 
    "再製作"
  )
)
</f>
        <v/>
      </c>
      <c r="AD14" s="397" t="str">
        <f t="array" ref="AD14">IF(
  $AB14 = 0, 
  "", 
  IFERROR(
    INDEX(
      'アイテム別限界値DB'!$N:$N, 
      MATCH(
        1, 
        ('アイテム別限界値DB'!$B:$B = $Y$4) * 
        ('アイテム別限界値DB'!$G:$G = $Y14) * 
        ('アイテム別限界値DB'!$H:$H = $AB14), 
        0
      )
    )*AA14, 
    "再製作"
  )
)
</f>
        <v/>
      </c>
      <c r="AE14" s="332"/>
      <c r="AF14" s="434" t="s">
        <v>216</v>
      </c>
      <c r="AG14" s="421" t="s">
        <v>84</v>
      </c>
      <c r="AH14" s="233"/>
      <c r="AI14" s="233"/>
      <c r="AJ14" s="435" t="str">
        <f t="array" ref="AJ14">IF(
  $BZ14 = 0, 
  "", 
  IFERROR(
    INDEX(
      'アイテム別限界値DB'!$K:$K, 
      MATCH(
        1, 
        ('アイテム別限界値DB'!$B:$B = $BX$4) * 
        ('アイテム別限界値DB'!$G:$G = $BX14) * 
        ('アイテム別限界値DB'!$H:$H = $BZ14), 
        0
      )
    ), 
    "再製作"
  )
)
</f>
        <v/>
      </c>
      <c r="AK14" s="397"/>
      <c r="AL14" s="327"/>
      <c r="AM14" s="434" t="s">
        <v>217</v>
      </c>
      <c r="AN14" s="400" t="s">
        <v>85</v>
      </c>
      <c r="AO14" s="233"/>
      <c r="AP14" s="233"/>
      <c r="AQ14" s="435" t="str">
        <f t="array" ref="AQ14">IF(
  $BZ14 = 0, 
  "", 
  IFERROR(
    INDEX(
      'アイテム別限界値DB'!$K:$K, 
      MATCH(
        1, 
        ('アイテム別限界値DB'!$B:$B = $BX$4) * 
        ('アイテム別限界値DB'!$G:$G = $BX14) * 
        ('アイテム別限界値DB'!$H:$H = $BZ14), 
        0
      )
    ), 
    "再製作"
  )
)
</f>
        <v/>
      </c>
      <c r="AR14" s="397" t="str">
        <f t="array" ref="AR14">IF(
  $AP14 = 0, 
  "", 
  IFERROR(
    INDEX(
      'アイテム別限界値DB'!$N:$N, 
      MATCH(
        1, 
        ('アイテム別限界値DB'!$B:$B = $AM$4) * 
        ('アイテム別限界値DB'!$G:$G = $AM14) * 
        ('アイテム別限界値DB'!$H:$H = $AP14), 
        0
      )
    )*AO14, 
    "再製作"
  )
)
</f>
        <v/>
      </c>
      <c r="AS14" s="327"/>
      <c r="AT14" s="400"/>
      <c r="AU14" s="436"/>
      <c r="AV14" s="436"/>
      <c r="AW14" s="396"/>
      <c r="AX14" s="333"/>
      <c r="AY14" s="327"/>
      <c r="AZ14" s="400"/>
      <c r="BA14" s="436"/>
      <c r="BB14" s="436"/>
      <c r="BC14" s="438"/>
      <c r="BD14" s="333"/>
      <c r="BE14" s="327"/>
      <c r="BF14" s="400"/>
      <c r="BG14" s="436"/>
      <c r="BH14" s="436"/>
      <c r="BI14" s="438"/>
      <c r="BJ14" s="333"/>
      <c r="BK14" s="327"/>
      <c r="BL14" s="400"/>
      <c r="BM14" s="436"/>
      <c r="BN14" s="436"/>
      <c r="BO14" s="438"/>
      <c r="BP14" s="333"/>
      <c r="BQ14" s="327"/>
      <c r="BR14" s="400"/>
      <c r="BS14" s="436"/>
      <c r="BT14" s="436"/>
      <c r="BU14" s="438"/>
      <c r="BV14" s="333"/>
      <c r="BW14" s="327"/>
      <c r="BX14" s="400"/>
      <c r="BY14" s="436"/>
      <c r="BZ14" s="436"/>
      <c r="CA14" s="438"/>
      <c r="CB14" s="333"/>
      <c r="CC14" s="333"/>
      <c r="CE14" s="333"/>
      <c r="CF14" s="333"/>
      <c r="CG14" s="333"/>
      <c r="CH14" s="327"/>
      <c r="CI14" s="327"/>
    </row>
    <row r="15" ht="26.25" customHeight="1">
      <c r="A15" s="229"/>
      <c r="B15" s="228" t="str">
        <f>IFERROR(__xludf.DUMMYFUNCTION("TEXTJOIN(CHAR(10),TRUE,FILTER(ARRAYFORMULA(IF(AC$14:AC70&lt;&gt;"""", AB$14:AB70 &amp;"" : ""&amp; AC$14:AC70 &amp;"" cm"","""")), AB$14:AB70 &lt;&gt;""""))"),"お直し
↓箇所数↓ : ↓ 1箇所納期 ↓ cm")</f>
        <v>お直し
↓箇所数↓ : ↓ 1箇所納期 ↓ cm</v>
      </c>
      <c r="C15" s="429"/>
      <c r="D15" s="429" t="s">
        <v>98</v>
      </c>
      <c r="E15" s="413" t="s">
        <v>67</v>
      </c>
      <c r="F15" s="418"/>
      <c r="G15" s="418"/>
      <c r="H15" s="405" t="str">
        <f t="array" ref="H15">IF(
  G15 = 0, 
  "", 
  IFERROR(
    INDEX(
      'アイテム別限界値DB'!$K:$K, 
      MATCH(
        1, 
        ('アイテム別限界値DB'!$B:$B = D$4) * 
        ('アイテム別限界値DB'!$G:$G = D15) * 
        ('アイテム別限界値DB'!$H:$H = G15), 
        0
      )
    ), 
    "再製作"
  )
)
</f>
        <v/>
      </c>
      <c r="I15" s="397" t="str">
        <f t="array" ref="I15">IF(
  $G15 = 0, 
  "", 
  IFERROR(
    INDEX(
      'アイテム別限界値DB'!$N:$N, 
      MATCH(
        1, 
        ('アイテム別限界値DB'!$B:$B = $D$4) * 
        ('アイテム別限界値DB'!$G:$G = $D15) * 
        ('アイテム別限界値DB'!$H:$H = $G15), 
        0
      )
    )*F15, 
    "再製作"
  )
)
</f>
        <v/>
      </c>
      <c r="J15" s="388"/>
      <c r="K15" s="429" t="s">
        <v>87</v>
      </c>
      <c r="L15" s="414" t="s">
        <v>99</v>
      </c>
      <c r="M15" s="406"/>
      <c r="N15" s="422"/>
      <c r="O15" s="405"/>
      <c r="P15" s="397"/>
      <c r="Q15" s="424"/>
      <c r="R15" s="429"/>
      <c r="S15" s="413"/>
      <c r="T15" s="418"/>
      <c r="U15" s="418"/>
      <c r="V15" s="405" t="str">
        <f t="array" ref="V15">IF(
  $U15 = 0, 
  "", 
  IFERROR(
    INDEX(
      'アイテム別限界値DB'!$K:$K, 
      MATCH(
        1, 
        ('アイテム別限界値DB'!$B:$B = $R$4) * 
        ('アイテム別限界値DB'!$G:$G = $R15) * 
        ('アイテム別限界値DB'!$H:$H = $U15), 
        0
      )
    ), 
    "再製作"
  )
)
</f>
        <v/>
      </c>
      <c r="W15" s="397" t="str">
        <f t="array" ref="W15">IF(
  $U15 = 0, 
  "", 
  IFERROR(
    INDEX(
      'アイテム別限界値DB'!$N:$N, 
      MATCH(
        1, 
        ('アイテム別限界値DB'!$B:$B = $R$4) * 
        ('アイテム別限界値DB'!$G:$G = $R15) * 
        ('アイテム別限界値DB'!$H:$H = $U15), 
        0
      )
    )*T15, 
    "再製作"
  )
)
</f>
        <v/>
      </c>
      <c r="X15" s="327"/>
      <c r="Y15" s="429" t="s">
        <v>87</v>
      </c>
      <c r="Z15" s="413" t="s">
        <v>95</v>
      </c>
      <c r="AA15" s="407"/>
      <c r="AB15" s="407"/>
      <c r="AC15" s="405" t="str">
        <f t="array" ref="AC15">IF(
  $AB15 = 0, 
  "", 
  IFERROR(
    INDEX(
      'アイテム別限界値DB'!$K:$K, 
      MATCH(
        1, 
        ('アイテム別限界値DB'!$B:$B = $Y$4) * 
        ('アイテム別限界値DB'!$G:$G = $Y15) * 
        ('アイテム別限界値DB'!$H:$H = $AB15), 
        0
      )
    ), 
    "再製作"
  )
)
</f>
        <v/>
      </c>
      <c r="AD15" s="397" t="str">
        <f t="array" ref="AD15">IF(
  $AB15 = 0, 
  "", 
  IFERROR(
    INDEX(
      'アイテム別限界値DB'!$N:$N, 
      MATCH(
        1, 
        ('アイテム別限界値DB'!$B:$B = $Y$4) * 
        ('アイテム別限界値DB'!$G:$G = $Y15) * 
        ('アイテム別限界値DB'!$H:$H = $AB15), 
        0
      )
    )*AA15, 
    "再製作"
  )
)
</f>
        <v/>
      </c>
      <c r="AE15" s="332"/>
      <c r="AF15" s="429" t="s">
        <v>88</v>
      </c>
      <c r="AG15" s="413" t="s">
        <v>88</v>
      </c>
      <c r="AH15" s="418"/>
      <c r="AI15" s="418"/>
      <c r="AJ15" s="405" t="str">
        <f t="array" ref="AJ15">IF(
  $AI15 = 0, 
  "", 
  IFERROR(
    INDEX(
      'アイテム別限界値DB'!$K:$K, 
      MATCH(
        1, 
        ('アイテム別限界値DB'!$B:$B = AF$4) * 
        ('アイテム別限界値DB'!$G:$G = $AF15) * 
        ('アイテム別限界値DB'!$H:$H = $AI15), 
        0
      )
    ), 
    "再製作"
  )
)
</f>
        <v/>
      </c>
      <c r="AK15" s="397"/>
      <c r="AL15" s="327"/>
      <c r="AM15" s="429" t="s">
        <v>89</v>
      </c>
      <c r="AN15" s="432" t="s">
        <v>89</v>
      </c>
      <c r="AO15" s="418"/>
      <c r="AP15" s="418"/>
      <c r="AQ15" s="405" t="str">
        <f t="array" ref="AQ15">IF(
  $AP15 = 0, 
  "", 
  IFERROR(
    INDEX(
      'アイテム別限界値DB'!$K:$K, 
      MATCH(
        1, 
        ('アイテム別限界値DB'!$B:$B = $AM$4) * 
        ('アイテム別限界値DB'!$G:$G = $AM15) * 
        ('アイテム別限界値DB'!$H:$H = $AP15), 
        0
      )
    ), 
    "再製作"
  )
)
</f>
        <v/>
      </c>
      <c r="AR15" s="397" t="str">
        <f t="array" ref="AR15">IF(
  $AP15 = 0, 
  "", 
  IFERROR(
    INDEX(
      'アイテム別限界値DB'!$N:$N, 
      MATCH(
        1, 
        ('アイテム別限界値DB'!$B:$B = $AM$4) * 
        ('アイテム別限界値DB'!$G:$G = $AM15) * 
        ('アイテム別限界値DB'!$H:$H = $AP15), 
        0
      )
    )*AO15, 
    "再製作"
  )
)
</f>
        <v/>
      </c>
      <c r="AS15" s="327"/>
      <c r="AT15" s="432"/>
      <c r="AU15" s="439"/>
      <c r="AV15" s="439"/>
      <c r="AW15" s="438"/>
      <c r="AX15" s="333"/>
      <c r="AY15" s="327"/>
      <c r="AZ15" s="432"/>
      <c r="BA15" s="439"/>
      <c r="BB15" s="439"/>
      <c r="BC15" s="438"/>
      <c r="BD15" s="333"/>
      <c r="BE15" s="327"/>
      <c r="BF15" s="432"/>
      <c r="BG15" s="439"/>
      <c r="BH15" s="439"/>
      <c r="BI15" s="438"/>
      <c r="BJ15" s="333"/>
      <c r="BK15" s="327"/>
      <c r="BL15" s="432"/>
      <c r="BM15" s="439"/>
      <c r="BN15" s="439"/>
      <c r="BO15" s="438"/>
      <c r="BP15" s="333"/>
      <c r="BQ15" s="327"/>
      <c r="BR15" s="432"/>
      <c r="BS15" s="439"/>
      <c r="BT15" s="439"/>
      <c r="BU15" s="438"/>
      <c r="BV15" s="333"/>
      <c r="BW15" s="327"/>
      <c r="BX15" s="432"/>
      <c r="BY15" s="439"/>
      <c r="BZ15" s="439"/>
      <c r="CA15" s="438"/>
      <c r="CB15" s="333"/>
      <c r="CC15" s="333"/>
      <c r="CD15" s="333"/>
      <c r="CE15" s="333"/>
      <c r="CF15" s="333"/>
      <c r="CG15" s="333"/>
      <c r="CH15" s="327"/>
      <c r="CI15" s="327"/>
    </row>
    <row r="16" ht="15.75" customHeight="1">
      <c r="A16" s="229"/>
      <c r="B16" s="308" t="s">
        <v>218</v>
      </c>
      <c r="C16" s="429"/>
      <c r="D16" s="429"/>
      <c r="E16" s="421" t="s">
        <v>79</v>
      </c>
      <c r="F16" s="418"/>
      <c r="G16" s="418"/>
      <c r="H16" s="405" t="str">
        <f t="array" ref="H16">IF(
  G16 = 0, 
  "", 
  IFERROR(
    INDEX(
      'アイテム別限界値DB'!$K:$K, 
      MATCH(
        1, 
        ('アイテム別限界値DB'!$B:$B = D$4) * 
        ('アイテム別限界値DB'!$G:$G = D16) * 
        ('アイテム別限界値DB'!$H:$H = G16), 
        0
      )
    ), 
    "再製作"
  )
)
</f>
        <v/>
      </c>
      <c r="I16" s="397" t="str">
        <f t="array" ref="I16">IF(
  $G16 = 0, 
  "", 
  IFERROR(
    INDEX(
      'アイテム別限界値DB'!$N:$N, 
      MATCH(
        1, 
        ('アイテム別限界値DB'!$B:$B = $D$4) * 
        ('アイテム別限界値DB'!$G:$G = $D16) * 
        ('アイテム別限界値DB'!$H:$H = $G16), 
        0
      )
    )*F16, 
    "再製作"
  )
)
</f>
        <v/>
      </c>
      <c r="J16" s="388"/>
      <c r="K16" s="429" t="s">
        <v>93</v>
      </c>
      <c r="L16" s="414" t="s">
        <v>100</v>
      </c>
      <c r="M16" s="406"/>
      <c r="N16" s="422"/>
      <c r="O16" s="405" t="str">
        <f t="array" ref="O16">IF(
  $N16 = 0, 
  "", 
  IFERROR(
    INDEX(
      'アイテム別限界値DB'!$K:$K, 
      MATCH(
        1, 
        ('アイテム別限界値DB'!$B:$B = $K$4) * 
        ('アイテム別限界値DB'!$G:$G = $K16) * 
        ('アイテム別限界値DB'!$H:$H = $N16), 
        0
      )
    ), 
    "再製作"
  )
)
</f>
        <v/>
      </c>
      <c r="P16" s="397" t="str">
        <f t="array" ref="P16">IF(
  $N16 = 0, 
  "", 
  IFERROR(
    INDEX(
      'アイテム別限界値DB'!$N:$N, 
      MATCH(
        1, 
        ('アイテム別限界値DB'!$B:$B = $K$4) * 
        ('アイテム別限界値DB'!$G:$G = $K16) * 
        ('アイテム別限界値DB'!$H:$H = $N16), 
        0
      )
    )*$M16, 
    "再製作"
  )
)
</f>
        <v/>
      </c>
      <c r="Q16" s="332"/>
      <c r="R16" s="429"/>
      <c r="S16" s="421"/>
      <c r="T16" s="436"/>
      <c r="U16" s="436"/>
      <c r="V16" s="438"/>
      <c r="W16" s="333"/>
      <c r="X16" s="327"/>
      <c r="Y16" s="429" t="s">
        <v>93</v>
      </c>
      <c r="Z16" s="421" t="s">
        <v>99</v>
      </c>
      <c r="AA16" s="418"/>
      <c r="AB16" s="418"/>
      <c r="AC16" s="405" t="str">
        <f t="array" ref="AC16">IF(
  $AB16 = 0, 
  "", 
  IFERROR(
    INDEX(
      'アイテム別限界値DB'!$K:$K, 
      MATCH(
        1, 
        ('アイテム別限界値DB'!$B:$B = $Y$4) * 
        ('アイテム別限界値DB'!$G:$G = $Y16) * 
        ('アイテム別限界値DB'!$H:$H = $AB16), 
        0
      )
    ), 
    "再製作"
  )
)
</f>
        <v/>
      </c>
      <c r="AD16" s="397" t="str">
        <f t="array" ref="AD16">IF(
  $AB16 = 0, 
  "", 
  IFERROR(
    INDEX(
      'アイテム別限界値DB'!$N:$N, 
      MATCH(
        1, 
        ('アイテム別限界値DB'!$B:$B = $Y$4) * 
        ('アイテム別限界値DB'!$G:$G = $Y16) * 
        ('アイテム別限界値DB'!$H:$H = $AB16), 
        0
      )
    )*AA16, 
    "再製作"
  )
)
</f>
        <v/>
      </c>
      <c r="AE16" s="332"/>
      <c r="AF16" s="429" t="s">
        <v>89</v>
      </c>
      <c r="AG16" s="421" t="s">
        <v>89</v>
      </c>
      <c r="AH16" s="407"/>
      <c r="AI16" s="407"/>
      <c r="AJ16" s="405" t="str">
        <f t="array" ref="AJ16">IF(
  $AI16 = 0, 
  "", 
  IFERROR(
    INDEX(
      'アイテム別限界値DB'!$K:$K, 
      MATCH(
        1, 
        ('アイテム別限界値DB'!$B:$B = AF$4) * 
        ('アイテム別限界値DB'!$G:$G = $AF16) * 
        ('アイテム別限界値DB'!$H:$H = $AI16), 
        0
      )
    ), 
    "再製作"
  )
)
</f>
        <v/>
      </c>
      <c r="AK16" s="397"/>
      <c r="AL16" s="327"/>
      <c r="AM16" s="429" t="s">
        <v>90</v>
      </c>
      <c r="AN16" s="432" t="s">
        <v>90</v>
      </c>
      <c r="AO16" s="407"/>
      <c r="AP16" s="407"/>
      <c r="AQ16" s="405" t="str">
        <f t="array" ref="AQ16">IF(
  $AP16 = 0, 
  "", 
  IFERROR(
    INDEX(
      'アイテム別限界値DB'!$K:$K, 
      MATCH(
        1, 
        ('アイテム別限界値DB'!$B:$B = $AM$4) * 
        ('アイテム別限界値DB'!$G:$G = $AM16) * 
        ('アイテム別限界値DB'!$H:$H = $AP16), 
        0
      )
    ), 
    "再製作"
  )
)
</f>
        <v/>
      </c>
      <c r="AR16" s="397" t="str">
        <f t="array" ref="AR16">IF(
  $AP16 = 0, 
  "", 
  IFERROR(
    INDEX(
      'アイテム別限界値DB'!$N:$N, 
      MATCH(
        1, 
        ('アイテム別限界値DB'!$B:$B = $AM$4) * 
        ('アイテム別限界値DB'!$G:$G = $AM16) * 
        ('アイテム別限界値DB'!$H:$H = $AP16), 
        0
      )
    )*AO16, 
    "再製作"
  )
)
</f>
        <v/>
      </c>
      <c r="AS16" s="327"/>
      <c r="AT16" s="432"/>
      <c r="AU16" s="436"/>
      <c r="AV16" s="436"/>
      <c r="AW16" s="438"/>
      <c r="AX16" s="333"/>
      <c r="AY16" s="327"/>
      <c r="AZ16" s="432"/>
      <c r="BA16" s="436"/>
      <c r="BB16" s="436"/>
      <c r="BC16" s="438"/>
      <c r="BD16" s="333"/>
      <c r="BE16" s="327"/>
      <c r="BF16" s="432"/>
      <c r="BG16" s="436"/>
      <c r="BH16" s="436"/>
      <c r="BI16" s="438"/>
      <c r="BJ16" s="333"/>
      <c r="BK16" s="327"/>
      <c r="BL16" s="432"/>
      <c r="BM16" s="436"/>
      <c r="BN16" s="436"/>
      <c r="BO16" s="438"/>
      <c r="BP16" s="333"/>
      <c r="BQ16" s="327"/>
      <c r="BR16" s="432"/>
      <c r="BS16" s="436"/>
      <c r="BT16" s="436"/>
      <c r="BU16" s="438"/>
      <c r="BV16" s="333"/>
      <c r="BW16" s="327"/>
      <c r="BX16" s="432"/>
      <c r="BY16" s="436"/>
      <c r="BZ16" s="436"/>
      <c r="CA16" s="438"/>
      <c r="CB16" s="333"/>
      <c r="CC16" s="333"/>
      <c r="CD16" s="333"/>
      <c r="CE16" s="333"/>
      <c r="CF16" s="333"/>
      <c r="CG16" s="333"/>
      <c r="CH16" s="327"/>
      <c r="CI16" s="327"/>
    </row>
    <row r="17" ht="15.75" customHeight="1">
      <c r="A17" s="441"/>
      <c r="B17" s="228" t="str">
        <f>IFERROR(__xludf.DUMMYFUNCTION("TEXTJOIN(CHAR(10),TRUE,FILTER(ARRAYFORMULA(IF(AI$14:AI70&lt;&gt;"""",AG$14:AG70&amp;"" : ""&amp; AI$14:AI70 &amp;"" cm"","""")), AG$14:AG70 &lt;&gt;""""))"),"")</f>
        <v/>
      </c>
      <c r="C17" s="434"/>
      <c r="D17" s="434"/>
      <c r="E17" s="413" t="s">
        <v>83</v>
      </c>
      <c r="F17" s="418"/>
      <c r="G17" s="418"/>
      <c r="H17" s="405" t="str">
        <f t="array" ref="H17">IF(
  G17 = 0, 
  "", 
  IFERROR(
    INDEX(
      'アイテム別限界値DB'!$K:$K, 
      MATCH(
        1, 
        ('アイテム別限界値DB'!$B:$B = D$4) * 
        ('アイテム別限界値DB'!$G:$G = D17) * 
        ('アイテム別限界値DB'!$H:$H = G17), 
        0
      )
    ), 
    "再製作"
  )
)
</f>
        <v/>
      </c>
      <c r="I17" s="397" t="str">
        <f t="array" ref="I17">IF(
  $G17 = 0, 
  "", 
  IFERROR(
    INDEX(
      'アイテム別限界値DB'!$N:$N, 
      MATCH(
        1, 
        ('アイテム別限界値DB'!$B:$B = $D$4) * 
        ('アイテム別限界値DB'!$G:$G = $D17) * 
        ('アイテム別限界値DB'!$H:$H = $G17), 
        0
      )
    )*F17, 
    "再製作"
  )
)
</f>
        <v/>
      </c>
      <c r="J17" s="388"/>
      <c r="K17" s="434" t="s">
        <v>95</v>
      </c>
      <c r="L17" s="414" t="s">
        <v>103</v>
      </c>
      <c r="M17" s="406"/>
      <c r="N17" s="404"/>
      <c r="O17" s="405" t="str">
        <f t="array" ref="O17">IF(
  $N17 = 0, 
  "", 
  IFERROR(
    INDEX(
      'アイテム別限界値DB'!$K:$K, 
      MATCH(
        1, 
        ('アイテム別限界値DB'!$B:$B = $K$4) * 
        ('アイテム別限界値DB'!$G:$G = $K17) * 
        ('アイテム別限界値DB'!$H:$H = $N17), 
        0
      )
    ), 
    "再製作"
  )
)
</f>
        <v/>
      </c>
      <c r="P17" s="397" t="str">
        <f t="array" ref="P17">IF(
  $N17 = 0, 
  "", 
  IFERROR(
    INDEX(
      'アイテム別限界値DB'!$N:$N, 
      MATCH(
        1, 
        ('アイテム別限界値DB'!$B:$B = $K$4) * 
        ('アイテム別限界値DB'!$G:$G = $K17) * 
        ('アイテム別限界値DB'!$H:$H = $N17), 
        0
      )
    )*$M17, 
    "再製作"
  )
)
</f>
        <v/>
      </c>
      <c r="Q17" s="332"/>
      <c r="R17" s="434"/>
      <c r="S17" s="413"/>
      <c r="T17" s="439"/>
      <c r="U17" s="439"/>
      <c r="V17" s="438"/>
      <c r="W17" s="333"/>
      <c r="X17" s="327"/>
      <c r="Y17" s="434" t="s">
        <v>96</v>
      </c>
      <c r="Z17" s="413" t="s">
        <v>103</v>
      </c>
      <c r="AA17" s="418"/>
      <c r="AB17" s="418"/>
      <c r="AC17" s="405" t="str">
        <f t="array" ref="AC17">IF(
  $AB17 = 0, 
  "", 
  IFERROR(
    INDEX(
      'アイテム別限界値DB'!$K:$K, 
      MATCH(
        1, 
        ('アイテム別限界値DB'!$B:$B = $Y$4) * 
        ('アイテム別限界値DB'!$G:$G = $Y17) * 
        ('アイテム別限界値DB'!$H:$H = $AB17), 
        0
      )
    ), 
    "再製作"
  )
)
</f>
        <v/>
      </c>
      <c r="AD17" s="397" t="str">
        <f t="array" ref="AD17">IF(
  $AB17 = 0, 
  "", 
  IFERROR(
    INDEX(
      'アイテム別限界値DB'!$N:$N, 
      MATCH(
        1, 
        ('アイテム別限界値DB'!$B:$B = $Y$4) * 
        ('アイテム別限界値DB'!$G:$G = $Y17) * 
        ('アイテム別限界値DB'!$H:$H = $AB17), 
        0
      )
    )*AA17, 
    "再製作"
  )
)
</f>
        <v/>
      </c>
      <c r="AE17" s="332"/>
      <c r="AF17" s="434" t="s">
        <v>97</v>
      </c>
      <c r="AG17" s="413" t="s">
        <v>97</v>
      </c>
      <c r="AH17" s="418"/>
      <c r="AI17" s="418"/>
      <c r="AJ17" s="405" t="str">
        <f t="array" ref="AJ17">IF(
  $AI17 = 0, 
  "", 
  IFERROR(
    INDEX(
      'アイテム別限界値DB'!$K:$K, 
      MATCH(
        1, 
        ('アイテム別限界値DB'!$B:$B = AF$4) * 
        ('アイテム別限界値DB'!$G:$G = $AF17) * 
        ('アイテム別限界値DB'!$H:$H = $AI17), 
        0
      )
    ), 
    "再製作"
  )
)
</f>
        <v/>
      </c>
      <c r="AK17" s="397"/>
      <c r="AL17" s="327"/>
      <c r="AM17" s="434" t="s">
        <v>62</v>
      </c>
      <c r="AN17" s="400" t="s">
        <v>62</v>
      </c>
      <c r="AO17" s="407"/>
      <c r="AP17" s="407"/>
      <c r="AQ17" s="405" t="str">
        <f t="array" ref="AQ17">IF(
  $AP17 = 0, 
  "", 
  IFERROR(
    INDEX(
      'アイテム別限界値DB'!$K:$K, 
      MATCH(
        1, 
        ('アイテム別限界値DB'!$B:$B = $AM$4) * 
        ('アイテム別限界値DB'!$G:$G = $AM17) * 
        ('アイテム別限界値DB'!$H:$H = $AP17), 
        0
      )
    ), 
    "再製作"
  )
)
</f>
        <v/>
      </c>
      <c r="AR17" s="397" t="str">
        <f t="array" ref="AR17">IF(
  $AP17 = 0, 
  "", 
  IFERROR(
    INDEX(
      'アイテム別限界値DB'!$N:$N, 
      MATCH(
        1, 
        ('アイテム別限界値DB'!$B:$B = $AM$4) * 
        ('アイテム別限界値DB'!$G:$G = $AM17) * 
        ('アイテム別限界値DB'!$H:$H = $AP17), 
        0
      )
    )*AO17, 
    "再製作"
  )
)
</f>
        <v/>
      </c>
      <c r="AS17" s="327"/>
      <c r="AT17" s="400"/>
      <c r="AU17" s="439"/>
      <c r="AV17" s="439"/>
      <c r="AW17" s="438"/>
      <c r="AX17" s="333"/>
      <c r="AY17" s="327"/>
      <c r="AZ17" s="400"/>
      <c r="BA17" s="439"/>
      <c r="BB17" s="439"/>
      <c r="BC17" s="438"/>
      <c r="BD17" s="333"/>
      <c r="BE17" s="327"/>
      <c r="BF17" s="400"/>
      <c r="BG17" s="439"/>
      <c r="BH17" s="439"/>
      <c r="BI17" s="438"/>
      <c r="BJ17" s="333"/>
      <c r="BK17" s="327"/>
      <c r="BL17" s="400"/>
      <c r="BM17" s="439"/>
      <c r="BN17" s="439"/>
      <c r="BO17" s="438"/>
      <c r="BP17" s="333"/>
      <c r="BQ17" s="327"/>
      <c r="BR17" s="400"/>
      <c r="BS17" s="439"/>
      <c r="BT17" s="439"/>
      <c r="BU17" s="438"/>
      <c r="BV17" s="333"/>
      <c r="BW17" s="327"/>
      <c r="BX17" s="400"/>
      <c r="BY17" s="439"/>
      <c r="BZ17" s="439"/>
      <c r="CA17" s="438"/>
      <c r="CB17" s="333"/>
      <c r="CC17" s="333"/>
      <c r="CD17" s="333"/>
      <c r="CE17" s="333"/>
      <c r="CF17" s="333"/>
      <c r="CG17" s="333"/>
      <c r="CH17" s="327"/>
      <c r="CI17" s="327"/>
    </row>
    <row r="18" ht="15.75" customHeight="1">
      <c r="A18" s="442"/>
      <c r="B18" s="309" t="s">
        <v>219</v>
      </c>
      <c r="C18" s="400"/>
      <c r="D18" s="400"/>
      <c r="E18" s="421" t="s">
        <v>106</v>
      </c>
      <c r="F18" s="418"/>
      <c r="G18" s="418"/>
      <c r="H18" s="405" t="str">
        <f t="array" ref="H18">IF(
  G18 = 0, 
  "", 
  IFERROR(
    INDEX(
      'アイテム別限界値DB'!$K:$K, 
      MATCH(
        1, 
        ('アイテム別限界値DB'!$B:$B = D$4) * 
        ('アイテム別限界値DB'!$G:$G = D18) * 
        ('アイテム別限界値DB'!$H:$H = G18), 
        0
      )
    ), 
    "再製作"
  )
)
</f>
        <v/>
      </c>
      <c r="I18" s="397" t="str">
        <f t="array" ref="I18">IF(
  $G18 = 0, 
  "", 
  IFERROR(
    INDEX(
      'アイテム別限界値DB'!$N:$N, 
      MATCH(
        1, 
        ('アイテム別限界値DB'!$B:$B = $D$4) * 
        ('アイテム別限界値DB'!$G:$G = $D18) * 
        ('アイテム別限界値DB'!$H:$H = $G18), 
        0
      )
    )*F18, 
    "再製作"
  )
)
</f>
        <v/>
      </c>
      <c r="J18" s="443"/>
      <c r="K18" s="400" t="s">
        <v>99</v>
      </c>
      <c r="L18" s="414"/>
      <c r="M18" s="406"/>
      <c r="N18" s="422"/>
      <c r="O18" s="405" t="str">
        <f t="array" ref="O18">IF(
  $N18 = 0, 
  "", 
  IFERROR(
    INDEX(
      'アイテム別限界値DB'!$K:$K, 
      MATCH(
        1, 
        ('アイテム別限界値DB'!$B:$B = $K$4) * 
        ('アイテム別限界値DB'!$G:$G = $K18) * 
        ('アイテム別限界値DB'!$H:$H = $N18), 
        0
      )
    ), 
    "再製作"
  )
)
</f>
        <v/>
      </c>
      <c r="P18" s="397" t="str">
        <f t="array" ref="P18">IF(
  $N18 = 0, 
  "", 
  IFERROR(
    INDEX(
      'アイテム別限界値DB'!$N:$N, 
      MATCH(
        1, 
        ('アイテム別限界値DB'!$B:$B = $K$4) * 
        ('アイテム別限界値DB'!$G:$G = $K18) * 
        ('アイテム別限界値DB'!$H:$H = $N18), 
        0
      )
    )*$M18, 
    "再製作"
  )
)
</f>
        <v/>
      </c>
      <c r="Q18" s="444"/>
      <c r="R18" s="400"/>
      <c r="S18" s="421"/>
      <c r="T18" s="436"/>
      <c r="U18" s="436"/>
      <c r="V18" s="438"/>
      <c r="W18" s="333"/>
      <c r="X18" s="445"/>
      <c r="Y18" s="400" t="s">
        <v>100</v>
      </c>
      <c r="Z18" s="421"/>
      <c r="AA18" s="407"/>
      <c r="AB18" s="407"/>
      <c r="AC18" s="405" t="str">
        <f t="array" ref="AC18">IF(
  $AB18 = 0, 
  "", 
  IFERROR(
    INDEX(
      'アイテム別限界値DB'!$K:$K, 
      MATCH(
        1, 
        ('アイテム別限界値DB'!$B:$B = $Y$4) * 
        ('アイテム別限界値DB'!$G:$G = $Y18) * 
        ('アイテム別限界値DB'!$H:$H = $AB18), 
        0
      )
    ), 
    "再製作"
  )
)
</f>
        <v/>
      </c>
      <c r="AD18" s="397" t="str">
        <f t="array" ref="AD18">IF(
  $AB18 = 0, 
  "", 
  IFERROR(
    INDEX(
      'アイテム別限界値DB'!$N:$N, 
      MATCH(
        1, 
        ('アイテム別限界値DB'!$B:$B = $Y$4) * 
        ('アイテム別限界値DB'!$G:$G = $Y18) * 
        ('アイテム別限界値DB'!$H:$H = $AB18), 
        0
      )
    )*AA18, 
    "再製作"
  )
)
</f>
        <v/>
      </c>
      <c r="AE18" s="444"/>
      <c r="AF18" s="400" t="s">
        <v>101</v>
      </c>
      <c r="AG18" s="421" t="s">
        <v>101</v>
      </c>
      <c r="AH18" s="407"/>
      <c r="AI18" s="407"/>
      <c r="AJ18" s="405" t="str">
        <f t="array" ref="AJ18">IF(
  $AI18 = 0, 
  "", 
  IFERROR(
    INDEX(
      'アイテム別限界値DB'!$K:$K, 
      MATCH(
        1, 
        ('アイテム別限界値DB'!$B:$B = AF$4) * 
        ('アイテム別限界値DB'!$G:$G = $AF18) * 
        ('アイテム別限界値DB'!$H:$H = $AI18), 
        0
      )
    ), 
    "再製作"
  )
)
</f>
        <v/>
      </c>
      <c r="AK18" s="397"/>
      <c r="AL18" s="445"/>
      <c r="AM18" s="400" t="s">
        <v>74</v>
      </c>
      <c r="AN18" s="400" t="s">
        <v>74</v>
      </c>
      <c r="AO18" s="418"/>
      <c r="AP18" s="418"/>
      <c r="AQ18" s="405" t="str">
        <f t="array" ref="AQ18">IF(
  $AP18 = 0, 
  "", 
  IFERROR(
    INDEX(
      'アイテム別限界値DB'!$K:$K, 
      MATCH(
        1, 
        ('アイテム別限界値DB'!$B:$B = $AM$4) * 
        ('アイテム別限界値DB'!$G:$G = $AM18) * 
        ('アイテム別限界値DB'!$H:$H = $AP18), 
        0
      )
    ), 
    "再製作"
  )
)
</f>
        <v/>
      </c>
      <c r="AR18" s="397" t="str">
        <f t="array" ref="AR18">IF(
  $AP18 = 0, 
  "", 
  IFERROR(
    INDEX(
      'アイテム別限界値DB'!$N:$N, 
      MATCH(
        1, 
        ('アイテム別限界値DB'!$B:$B = $AM$4) * 
        ('アイテム別限界値DB'!$G:$G = $AM18) * 
        ('アイテム別限界値DB'!$H:$H = $AP18), 
        0
      )
    )*AO18, 
    "再製作"
  )
)
</f>
        <v/>
      </c>
      <c r="AS18" s="445"/>
      <c r="AT18" s="400"/>
      <c r="AU18" s="436"/>
      <c r="AV18" s="436"/>
      <c r="AW18" s="438"/>
      <c r="AX18" s="333"/>
      <c r="AY18" s="445"/>
      <c r="AZ18" s="400"/>
      <c r="BA18" s="436"/>
      <c r="BB18" s="436"/>
      <c r="BC18" s="438"/>
      <c r="BD18" s="333"/>
      <c r="BE18" s="445"/>
      <c r="BF18" s="400"/>
      <c r="BG18" s="436"/>
      <c r="BH18" s="436"/>
      <c r="BI18" s="438"/>
      <c r="BJ18" s="333"/>
      <c r="BK18" s="445"/>
      <c r="BL18" s="400"/>
      <c r="BM18" s="436"/>
      <c r="BN18" s="436"/>
      <c r="BO18" s="438"/>
      <c r="BP18" s="333"/>
      <c r="BQ18" s="445"/>
      <c r="BR18" s="400"/>
      <c r="BS18" s="436"/>
      <c r="BT18" s="436"/>
      <c r="BU18" s="438"/>
      <c r="BV18" s="333"/>
      <c r="BW18" s="445"/>
      <c r="BX18" s="400"/>
      <c r="BY18" s="436"/>
      <c r="BZ18" s="436"/>
      <c r="CA18" s="438"/>
      <c r="CB18" s="333"/>
      <c r="CC18" s="333"/>
      <c r="CD18" s="333"/>
      <c r="CE18" s="333"/>
      <c r="CF18" s="333"/>
      <c r="CG18" s="333"/>
      <c r="CH18" s="445"/>
      <c r="CI18" s="445"/>
    </row>
    <row r="19" ht="15.75" customHeight="1">
      <c r="A19" s="229"/>
      <c r="B19" s="228" t="str">
        <f>IFERROR(__xludf.DUMMYFUNCTION("TEXTJOIN(CHAR(10),TRUE,FILTER(ARRAYFORMULA(IF(AI$14:AI70&lt;&gt;"""",AG$14:AG70&amp;"" : ""&amp; AI$14:AI70 &amp;"" cm"","""")), AG$14:AG70 &lt;&gt;""""))"),"")</f>
        <v/>
      </c>
      <c r="C19" s="432"/>
      <c r="D19" s="432"/>
      <c r="E19" s="446" t="s">
        <v>107</v>
      </c>
      <c r="F19" s="418"/>
      <c r="G19" s="418"/>
      <c r="H19" s="405" t="str">
        <f t="array" ref="H19">IF(
  G19 = 0, 
  "", 
  IFERROR(
    INDEX(
      'アイテム別限界値DB'!$K:$K, 
      MATCH(
        1, 
        ('アイテム別限界値DB'!$B:$B = D$4) * 
        ('アイテム別限界値DB'!$G:$G = D19) * 
        ('アイテム別限界値DB'!$H:$H = G19), 
        0
      )
    ), 
    "再製作"
  )
)
</f>
        <v/>
      </c>
      <c r="I19" s="397" t="str">
        <f t="array" ref="I19">IF(
  $G19 = 0, 
  "", 
  IFERROR(
    INDEX(
      'アイテム別限界値DB'!$N:$N, 
      MATCH(
        1, 
        ('アイテム別限界値DB'!$B:$B = $D$4) * 
        ('アイテム別限界値DB'!$G:$G = $D19) * 
        ('アイテム別限界値DB'!$H:$H = $G19), 
        0
      )
    )*F19, 
    "再製作"
  )
)
</f>
        <v/>
      </c>
      <c r="J19" s="443"/>
      <c r="K19" s="425" t="s">
        <v>100</v>
      </c>
      <c r="L19" s="447"/>
      <c r="M19" s="455"/>
      <c r="N19" s="386"/>
      <c r="O19" s="396" t="str">
        <f t="array" ref="O19">
IF(N19=0, "", INDEX('アイテム別限界値DB'!$I:$I, MATCH(1, ('アイテム別限界値DB'!$B:$B = K$4) * ('アイテム別限界値DB'!$C:$C = K19) * ( 'アイテム別限界値DB'!$F:$F = N19)
  , 0)
))</f>
        <v/>
      </c>
      <c r="P19" s="451"/>
      <c r="Q19" s="444"/>
      <c r="R19" s="445"/>
      <c r="S19" s="316"/>
      <c r="T19" s="317"/>
      <c r="U19" s="317"/>
      <c r="V19" s="317"/>
      <c r="W19" s="317"/>
      <c r="X19" s="445"/>
      <c r="Y19" s="443" t="s">
        <v>95</v>
      </c>
      <c r="Z19" s="448"/>
      <c r="AA19" s="418"/>
      <c r="AB19" s="418"/>
      <c r="AC19" s="405" t="str">
        <f t="array" ref="AC19">IF(
  $AB19 = 0, 
  "", 
  IFERROR(
    INDEX(
      'アイテム別限界値DB'!$K:$K, 
      MATCH(
        1, 
        ('アイテム別限界値DB'!$B:$B = $Y$4) * 
        ('アイテム別限界値DB'!$G:$G = $Y19) * 
        ('アイテム別限界値DB'!$H:$H = $AB19), 
        0
      )
    ), 
    "再製作"
  )
)
</f>
        <v/>
      </c>
      <c r="AD19" s="397" t="str">
        <f t="array" ref="AD19">IF(
  $AB19 = 0, 
  "", 
  IFERROR(
    INDEX(
      'アイテム別限界値DB'!$N:$N, 
      MATCH(
        1, 
        ('アイテム別限界値DB'!$B:$B = $Y$4) * 
        ('アイテム別限界値DB'!$G:$G = $Y19) * 
        ('アイテム別限界値DB'!$H:$H = $AB19), 
        0
      )
    )*AA19, 
    "再製作"
  )
)
</f>
        <v/>
      </c>
      <c r="AE19" s="444"/>
      <c r="AF19" s="449" t="s">
        <v>62</v>
      </c>
      <c r="AG19" s="450" t="s">
        <v>62</v>
      </c>
      <c r="AH19" s="418"/>
      <c r="AI19" s="418"/>
      <c r="AJ19" s="405" t="str">
        <f t="array" ref="AJ19">IF(
  $AI19 = 0, 
  "", 
  IFERROR(
    INDEX(
      'アイテム別限界値DB'!$K:$K, 
      MATCH(
        1, 
        ('アイテム別限界値DB'!$B:$B = AF$4) * 
        ('アイテム別限界値DB'!$G:$G = $AF19) * 
        ('アイテム別限界値DB'!$H:$H = $AI19), 
        0
      )
    ), 
    "再製作"
  )
)
</f>
        <v/>
      </c>
      <c r="AK19" s="397"/>
      <c r="AL19" s="445"/>
      <c r="AM19" s="185" t="s">
        <v>67</v>
      </c>
      <c r="AN19" s="185" t="s">
        <v>67</v>
      </c>
      <c r="AO19" s="418"/>
      <c r="AP19" s="418"/>
      <c r="AQ19" s="405" t="str">
        <f t="array" ref="AQ19">IF(
  $AP19 = 0, 
  "", 
  IFERROR(
    INDEX(
      'アイテム別限界値DB'!$K:$K, 
      MATCH(
        1, 
        ('アイテム別限界値DB'!$B:$B = $AM$4) * 
        ('アイテム別限界値DB'!$G:$G = $AM19) * 
        ('アイテム別限界値DB'!$H:$H = $AP19), 
        0
      )
    ), 
    "再製作"
  )
)
</f>
        <v/>
      </c>
      <c r="AR19" s="397" t="str">
        <f t="array" ref="AR19">IF(
  $AP19 = 0, 
  "", 
  IFERROR(
    INDEX(
      'アイテム別限界値DB'!$N:$N, 
      MATCH(
        1, 
        ('アイテム別限界値DB'!$B:$B = $AM$4) * 
        ('アイテム別限界値DB'!$G:$G = $AM19) * 
        ('アイテム別限界値DB'!$H:$H = $AP19), 
        0
      )
    )*AO19, 
    "再製作"
  )
)
</f>
        <v/>
      </c>
      <c r="AS19" s="445"/>
      <c r="AT19" s="185"/>
      <c r="AU19" s="452"/>
      <c r="AV19" s="452"/>
      <c r="AW19" s="396" t="str">
        <f t="array" ref="AW19">IF(
  AV19 = 0, 
  "", 
  IFERROR(
    INDEX(
      'アイテム別限界値DB'!$I:$I, 
      MATCH(
        1, 
        ('アイテム別限界値DB'!$B:$B = AT$4) * 
        ('アイテム別限界値DB'!$C:$C = AT19) * 
        ('アイテム別限界値DB'!$F:$F = AV19), 
        0
      )
    ), 
    "再製作"
  )
)
</f>
        <v/>
      </c>
      <c r="AX19" s="451" t="str">
        <f t="array" ref="AX19">IF(
  AV19 = 0, 
  "", 
  IFERROR(
    INDEX(
      'アイテム別限界値DB'!$L:$L, 
      MATCH(
        1, 
        ('アイテム別限界値DB'!$B:$B = AT$4) * 
        ('アイテム別限界値DB'!$C:$C = AT19) * 
        ('アイテム別限界値DB'!$F:$F = AV19), 
        0
      )
    ), 
    ""
  )
)
</f>
        <v/>
      </c>
      <c r="AY19" s="445"/>
      <c r="AZ19" s="185"/>
      <c r="BA19" s="452"/>
      <c r="BB19" s="452"/>
      <c r="BC19" s="396" t="str">
        <f t="array" ref="BC19">IF(
  BB19 = 0, 
  "", 
  IFERROR(
    INDEX(
      'アイテム別限界値DB'!$I:$I, 
      MATCH(
        1, 
        ('アイテム別限界値DB'!$B:$B = AZ$4) * 
        ('アイテム別限界値DB'!$C:$C = AZ19) * 
        ('アイテム別限界値DB'!$F:$F = BB19), 
        0
      )
    ), 
    "再製作"
  )
)
</f>
        <v/>
      </c>
      <c r="BD19" s="451" t="str">
        <f t="array" ref="BD19">IF(
  BB19 = 0, 
  "", 
  IFERROR(
    INDEX(
      'アイテム別限界値DB'!$L:$L, 
      MATCH(
        1, 
        ('アイテム別限界値DB'!$B:$B = AZ$4) * 
        ('アイテム別限界値DB'!$C:$C = AZ19) * 
        ('アイテム別限界値DB'!$F:$F = BB19), 
        0
      )
    ), 
    ""
  )
)
</f>
        <v/>
      </c>
      <c r="BE19" s="445"/>
      <c r="BF19" s="185"/>
      <c r="BG19" s="452"/>
      <c r="BH19" s="452"/>
      <c r="BI19" s="396" t="str">
        <f t="array" ref="BI19">IF(
  BH19 = 0, 
  "", 
  IFERROR(
    INDEX(
      'アイテム別限界値DB'!$I:$I, 
      MATCH(
        1, 
        ('アイテム別限界値DB'!$B:$B = BF$4) * 
        ('アイテム別限界値DB'!$C:$C = BF19) * 
        ('アイテム別限界値DB'!$F:$F = BH19), 
        0
      )
    ), 
    "再製作"
  )
)
</f>
        <v/>
      </c>
      <c r="BJ19" s="451"/>
      <c r="BK19" s="445"/>
      <c r="BL19" s="185"/>
      <c r="BM19" s="452"/>
      <c r="BN19" s="452"/>
      <c r="BO19" s="396"/>
      <c r="BP19" s="451" t="str">
        <f t="array" ref="BP19">IF(
  BN19 = 0, 
  "", 
  IFERROR(
    INDEX(
      'アイテム別限界値DB'!$L:$L, 
      MATCH(
        1, 
        ('アイテム別限界値DB'!$B:$B = BL$4) * 
        ('アイテム別限界値DB'!$C:$C = BL19) * 
        ('アイテム別限界値DB'!$F:$F = BN19), 
        0
      )
    ), 
    ""
  )
)
</f>
        <v/>
      </c>
      <c r="BQ19" s="445"/>
      <c r="BR19" s="185"/>
      <c r="BS19" s="452"/>
      <c r="BT19" s="452"/>
      <c r="BU19" s="396" t="str">
        <f t="array" ref="BU19">IF(
  BT19 = 0, 
  "", 
  IFERROR(
    INDEX(
      'アイテム別限界値DB'!$I:$I, 
      MATCH(
        1, 
        ('アイテム別限界値DB'!$B:$B = BR$4) * 
        ('アイテム別限界値DB'!$C:$C = BR19) * 
        ('アイテム別限界値DB'!$F:$F = BT19), 
        0
      )
    ), 
    "再製作"
  )
)
</f>
        <v/>
      </c>
      <c r="BV19" s="451" t="str">
        <f t="array" ref="BV19">IF(
  BT19 = 0, 
  "", 
  IFERROR(
    INDEX(
      'アイテム別限界値DB'!$L:$L, 
      MATCH(
        1, 
        ('アイテム別限界値DB'!$B:$B = BR$4) * 
        ('アイテム別限界値DB'!$C:$C = BR19) * 
        ('アイテム別限界値DB'!$F:$F = BT19), 
        0
      )
    ), 
    ""
  )
)
</f>
        <v/>
      </c>
      <c r="BW19" s="445"/>
      <c r="BX19" s="185"/>
      <c r="BY19" s="452"/>
      <c r="BZ19" s="452"/>
      <c r="CA19" s="396" t="str">
        <f t="array" ref="CA19">IF(
  BZ19 = 0, 
  "", 
  IFERROR(
    INDEX(
      'アイテム別限界値DB'!$I:$I, 
      MATCH(
        1, 
        ('アイテム別限界値DB'!$B:$B = BX$4) * 
        ('アイテム別限界値DB'!$C:$C = BX19) * 
        ('アイテム別限界値DB'!$F:$F = BZ19), 
        0
      )
    ), 
    "再製作"
  )
)
</f>
        <v/>
      </c>
      <c r="CB19" s="451" t="str">
        <f t="array" ref="CB19">IF(
  BZ19 = 0, 
  "", 
  IFERROR(
    INDEX(
      'アイテム別限界値DB'!$L:$L, 
      MATCH(
        1, 
        ('アイテム別限界値DB'!$B:$B = BX$4) * 
        ('アイテム別限界値DB'!$C:$C = BX19) * 
        ('アイテム別限界値DB'!$F:$F = BZ19), 
        0
      )
    ), 
    ""
  )
)
</f>
        <v/>
      </c>
      <c r="CC19" s="451"/>
      <c r="CD19" s="451"/>
      <c r="CE19" s="451"/>
      <c r="CF19" s="451"/>
      <c r="CG19" s="451"/>
      <c r="CH19" s="445"/>
      <c r="CI19" s="445"/>
    </row>
    <row r="20" ht="15.75" customHeight="1">
      <c r="A20" s="441"/>
      <c r="B20" s="309" t="s">
        <v>220</v>
      </c>
      <c r="C20" s="432"/>
      <c r="D20" s="432"/>
      <c r="E20" s="446" t="s">
        <v>108</v>
      </c>
      <c r="F20" s="418"/>
      <c r="G20" s="418"/>
      <c r="H20" s="405" t="str">
        <f t="array" ref="H20">IF(
  G20 = 0, 
  "", 
  IFERROR(
    INDEX(
      'アイテム別限界値DB'!$K:$K, 
      MATCH(
        1, 
        ('アイテム別限界値DB'!$B:$B = D$4) * 
        ('アイテム別限界値DB'!$G:$G = D20) * 
        ('アイテム別限界値DB'!$H:$H = G20), 
        0
      )
    ), 
    "再製作"
  )
)
</f>
        <v/>
      </c>
      <c r="I20" s="397" t="str">
        <f t="array" ref="I20">IF(
  $G20 = 0, 
  "", 
  IFERROR(
    INDEX(
      'アイテム別限界値DB'!$N:$N, 
      MATCH(
        1, 
        ('アイテム別限界値DB'!$B:$B = $D$4) * 
        ('アイテム別限界値DB'!$G:$G = $D20) * 
        ('アイテム別限界値DB'!$H:$H = $G20), 
        0
      )
    )*F20, 
    "再製作"
  )
)
</f>
        <v/>
      </c>
      <c r="J20" s="443"/>
      <c r="K20" s="425" t="s">
        <v>103</v>
      </c>
      <c r="L20" s="447"/>
      <c r="M20" s="455"/>
      <c r="N20" s="386"/>
      <c r="O20" s="396"/>
      <c r="P20" s="451"/>
      <c r="Q20" s="444"/>
      <c r="R20" s="445"/>
      <c r="S20" s="316"/>
      <c r="T20" s="317"/>
      <c r="U20" s="317"/>
      <c r="V20" s="317"/>
      <c r="W20" s="317"/>
      <c r="X20" s="445"/>
      <c r="Y20" s="443" t="s">
        <v>99</v>
      </c>
      <c r="Z20" s="448"/>
      <c r="AA20" s="386"/>
      <c r="AB20" s="386"/>
      <c r="AC20" s="396"/>
      <c r="AD20" s="396"/>
      <c r="AE20" s="444"/>
      <c r="AF20" s="449" t="s">
        <v>74</v>
      </c>
      <c r="AG20" s="450" t="s">
        <v>74</v>
      </c>
      <c r="AH20" s="407"/>
      <c r="AI20" s="407"/>
      <c r="AJ20" s="405" t="str">
        <f t="array" ref="AJ20">IF(
  $AI20 = 0, 
  "", 
  IFERROR(
    INDEX(
      'アイテム別限界値DB'!$K:$K, 
      MATCH(
        1, 
        ('アイテム別限界値DB'!$B:$B = AF$4) * 
        ('アイテム別限界値DB'!$G:$G = $AF20) * 
        ('アイテム別限界値DB'!$H:$H = $AI20), 
        0
      )
    ), 
    "再製作"
  )
)
</f>
        <v/>
      </c>
      <c r="AK20" s="397"/>
      <c r="AL20" s="445"/>
      <c r="AM20" s="185" t="s">
        <v>79</v>
      </c>
      <c r="AN20" s="185" t="s">
        <v>79</v>
      </c>
      <c r="AO20" s="418"/>
      <c r="AP20" s="418"/>
      <c r="AQ20" s="405" t="str">
        <f t="array" ref="AQ20">IF(
  $AP20 = 0, 
  "", 
  IFERROR(
    INDEX(
      'アイテム別限界値DB'!$K:$K, 
      MATCH(
        1, 
        ('アイテム別限界値DB'!$B:$B = $AM$4) * 
        ('アイテム別限界値DB'!$G:$G = $AM20) * 
        ('アイテム別限界値DB'!$H:$H = $AP20), 
        0
      )
    ), 
    "再製作"
  )
)
</f>
        <v/>
      </c>
      <c r="AR20" s="397" t="str">
        <f t="array" ref="AR20">IF(
  $AP20 = 0, 
  "", 
  IFERROR(
    INDEX(
      'アイテム別限界値DB'!$N:$N, 
      MATCH(
        1, 
        ('アイテム別限界値DB'!$B:$B = $AM$4) * 
        ('アイテム別限界値DB'!$G:$G = $AM20) * 
        ('アイテム別限界値DB'!$H:$H = $AP20), 
        0
      )
    )*AO20, 
    "再製作"
  )
)
</f>
        <v/>
      </c>
      <c r="AS20" s="445"/>
      <c r="AT20" s="185"/>
      <c r="AU20" s="452"/>
      <c r="AV20" s="452"/>
      <c r="AW20" s="396"/>
      <c r="AX20" s="451"/>
      <c r="AY20" s="445"/>
      <c r="AZ20" s="185"/>
      <c r="BA20" s="452"/>
      <c r="BB20" s="452"/>
      <c r="BC20" s="396"/>
      <c r="BD20" s="451"/>
      <c r="BE20" s="445"/>
      <c r="BF20" s="185"/>
      <c r="BG20" s="452"/>
      <c r="BH20" s="452"/>
      <c r="BI20" s="396"/>
      <c r="BJ20" s="451"/>
      <c r="BK20" s="445"/>
      <c r="BL20" s="185"/>
      <c r="BM20" s="452"/>
      <c r="BN20" s="452"/>
      <c r="BO20" s="396"/>
      <c r="BP20" s="451"/>
      <c r="BQ20" s="445"/>
      <c r="BR20" s="185"/>
      <c r="BS20" s="452"/>
      <c r="BT20" s="452"/>
      <c r="BU20" s="396"/>
      <c r="BV20" s="451"/>
      <c r="BW20" s="445"/>
      <c r="BX20" s="185"/>
      <c r="BY20" s="452"/>
      <c r="BZ20" s="452"/>
      <c r="CA20" s="396"/>
      <c r="CB20" s="451"/>
      <c r="CC20" s="451"/>
      <c r="CD20" s="451"/>
      <c r="CE20" s="451"/>
      <c r="CF20" s="451"/>
      <c r="CG20" s="451"/>
      <c r="CH20" s="445"/>
      <c r="CI20" s="445"/>
    </row>
    <row r="21" ht="15.75" customHeight="1">
      <c r="A21" s="229"/>
      <c r="B21" s="228" t="str">
        <f>IFERROR(__xludf.DUMMYFUNCTION("TEXTJOIN(CHAR(10),TRUE,FILTER(ARRAYFORMULA(IF(AI$14:AI70&lt;&gt;"""",AG$14:AG70&amp;"" : ""&amp; AI$14:AI70 &amp;"" cm"","""")), AG$14:AG70 &lt;&gt;""""))"),"")</f>
        <v/>
      </c>
      <c r="C21" s="432"/>
      <c r="D21" s="432"/>
      <c r="E21" s="446" t="s">
        <v>110</v>
      </c>
      <c r="F21" s="418"/>
      <c r="G21" s="418"/>
      <c r="H21" s="405" t="str">
        <f t="array" ref="H21">IF(
  G21 = 0, 
  "", 
  IFERROR(
    INDEX(
      'アイテム別限界値DB'!$K:$K, 
      MATCH(
        1, 
        ('アイテム別限界値DB'!$B:$B = D$4) * 
        ('アイテム別限界値DB'!$G:$G = D21) * 
        ('アイテム別限界値DB'!$H:$H = G21), 
        0
      )
    ), 
    "再製作"
  )
)
</f>
        <v/>
      </c>
      <c r="I21" s="397" t="str">
        <f t="array" ref="I21">IF(
  $G21 = 0, 
  "", 
  IFERROR(
    INDEX(
      'アイテム別限界値DB'!$N:$N, 
      MATCH(
        1, 
        ('アイテム別限界値DB'!$B:$B = $D$4) * 
        ('アイテム別限界値DB'!$G:$G = $D21) * 
        ('アイテム別限界値DB'!$H:$H = $G21), 
        0
      )
    )*F21, 
    "再製作"
  )
)
</f>
        <v/>
      </c>
      <c r="J21" s="443"/>
      <c r="K21" s="425"/>
      <c r="L21" s="447"/>
      <c r="M21" s="455"/>
      <c r="N21" s="386"/>
      <c r="O21" s="396"/>
      <c r="P21" s="451"/>
      <c r="Q21" s="444"/>
      <c r="R21" s="445"/>
      <c r="S21" s="316"/>
      <c r="T21" s="317"/>
      <c r="U21" s="317"/>
      <c r="V21" s="317"/>
      <c r="W21" s="317"/>
      <c r="X21" s="445"/>
      <c r="Y21" s="443" t="s">
        <v>103</v>
      </c>
      <c r="Z21" s="448"/>
      <c r="AA21" s="386"/>
      <c r="AB21" s="386"/>
      <c r="AC21" s="396"/>
      <c r="AD21" s="396"/>
      <c r="AE21" s="444"/>
      <c r="AF21" s="449" t="s">
        <v>67</v>
      </c>
      <c r="AG21" s="450" t="s">
        <v>67</v>
      </c>
      <c r="AH21" s="418"/>
      <c r="AI21" s="418"/>
      <c r="AJ21" s="405" t="str">
        <f t="array" ref="AJ21">IF(
  $AI21 = 0, 
  "", 
  IFERROR(
    INDEX(
      'アイテム別限界値DB'!$K:$K, 
      MATCH(
        1, 
        ('アイテム別限界値DB'!$B:$B = AF$4) * 
        ('アイテム別限界値DB'!$G:$G = $AF21) * 
        ('アイテム別限界値DB'!$H:$H = $AI21), 
        0
      )
    ), 
    "再製作"
  )
)
</f>
        <v/>
      </c>
      <c r="AK21" s="397"/>
      <c r="AL21" s="445"/>
      <c r="AM21" s="185" t="s">
        <v>83</v>
      </c>
      <c r="AN21" s="185" t="s">
        <v>83</v>
      </c>
      <c r="AO21" s="407"/>
      <c r="AP21" s="407"/>
      <c r="AQ21" s="405" t="str">
        <f t="array" ref="AQ21">IF(
  $AP21 = 0, 
  "", 
  IFERROR(
    INDEX(
      'アイテム別限界値DB'!$K:$K, 
      MATCH(
        1, 
        ('アイテム別限界値DB'!$B:$B = $AM$4) * 
        ('アイテム別限界値DB'!$G:$G = $AM21) * 
        ('アイテム別限界値DB'!$H:$H = $AP21), 
        0
      )
    ), 
    "再製作"
  )
)
</f>
        <v/>
      </c>
      <c r="AR21" s="397" t="str">
        <f t="array" ref="AR21">IF(
  $AP21 = 0, 
  "", 
  IFERROR(
    INDEX(
      'アイテム別限界値DB'!$N:$N, 
      MATCH(
        1, 
        ('アイテム別限界値DB'!$B:$B = $AM$4) * 
        ('アイテム別限界値DB'!$G:$G = $AM21) * 
        ('アイテム別限界値DB'!$H:$H = $AP21), 
        0
      )
    )*AO21, 
    "再製作"
  )
)
</f>
        <v/>
      </c>
      <c r="AS21" s="445"/>
      <c r="AT21" s="185"/>
      <c r="AU21" s="452"/>
      <c r="AV21" s="452"/>
      <c r="AW21" s="396"/>
      <c r="AX21" s="451"/>
      <c r="AY21" s="445"/>
      <c r="AZ21" s="185"/>
      <c r="BA21" s="452"/>
      <c r="BB21" s="452"/>
      <c r="BC21" s="396"/>
      <c r="BD21" s="451"/>
      <c r="BE21" s="445"/>
      <c r="BF21" s="185"/>
      <c r="BG21" s="452"/>
      <c r="BH21" s="452"/>
      <c r="BI21" s="396"/>
      <c r="BJ21" s="451"/>
      <c r="BK21" s="445"/>
      <c r="BL21" s="185"/>
      <c r="BM21" s="452"/>
      <c r="BN21" s="452"/>
      <c r="BO21" s="396"/>
      <c r="BP21" s="451"/>
      <c r="BQ21" s="445"/>
      <c r="BR21" s="185"/>
      <c r="BS21" s="452"/>
      <c r="BT21" s="452"/>
      <c r="BU21" s="396"/>
      <c r="BV21" s="451"/>
      <c r="BW21" s="445"/>
      <c r="BX21" s="185"/>
      <c r="BY21" s="452"/>
      <c r="BZ21" s="452"/>
      <c r="CA21" s="396"/>
      <c r="CB21" s="451"/>
      <c r="CC21" s="451"/>
      <c r="CD21" s="451"/>
      <c r="CE21" s="451"/>
      <c r="CF21" s="451"/>
      <c r="CG21" s="451"/>
      <c r="CH21" s="445"/>
      <c r="CI21" s="445"/>
    </row>
    <row r="22" ht="15.75" customHeight="1">
      <c r="A22" s="229"/>
      <c r="B22" s="309" t="s">
        <v>221</v>
      </c>
      <c r="C22" s="432"/>
      <c r="D22" s="432"/>
      <c r="E22" s="446" t="s">
        <v>111</v>
      </c>
      <c r="F22" s="418"/>
      <c r="G22" s="418"/>
      <c r="H22" s="405" t="str">
        <f t="array" ref="H22">IF(
  G22 = 0, 
  "", 
  IFERROR(
    INDEX(
      'アイテム別限界値DB'!$K:$K, 
      MATCH(
        1, 
        ('アイテム別限界値DB'!$B:$B = D$4) * 
        ('アイテム別限界値DB'!$G:$G = D22) * 
        ('アイテム別限界値DB'!$H:$H = G22), 
        0
      )
    ), 
    "再製作"
  )
)
</f>
        <v/>
      </c>
      <c r="I22" s="397" t="str">
        <f t="array" ref="I22">IF(
  $G22 = 0, 
  "", 
  IFERROR(
    INDEX(
      'アイテム別限界値DB'!$N:$N, 
      MATCH(
        1, 
        ('アイテム別限界値DB'!$B:$B = $D$4) * 
        ('アイテム別限界値DB'!$G:$G = $D22) * 
        ('アイテム別限界値DB'!$H:$H = $G22), 
        0
      )
    )*F22, 
    "再製作"
  )
)
</f>
        <v/>
      </c>
      <c r="J22" s="443"/>
      <c r="K22" s="425"/>
      <c r="L22" s="447"/>
      <c r="M22" s="455"/>
      <c r="N22" s="386"/>
      <c r="O22" s="396"/>
      <c r="P22" s="451"/>
      <c r="Q22" s="444"/>
      <c r="R22" s="445"/>
      <c r="S22" s="316"/>
      <c r="T22" s="317"/>
      <c r="U22" s="317"/>
      <c r="V22" s="317"/>
      <c r="W22" s="317"/>
      <c r="X22" s="445"/>
      <c r="Y22" s="443"/>
      <c r="Z22" s="448"/>
      <c r="AA22" s="386"/>
      <c r="AB22" s="386"/>
      <c r="AC22" s="396"/>
      <c r="AD22" s="396"/>
      <c r="AE22" s="444"/>
      <c r="AF22" s="449" t="s">
        <v>79</v>
      </c>
      <c r="AG22" s="450" t="s">
        <v>79</v>
      </c>
      <c r="AH22" s="407"/>
      <c r="AI22" s="407"/>
      <c r="AJ22" s="405" t="str">
        <f t="array" ref="AJ22">IF(
  $AI22 = 0, 
  "", 
  IFERROR(
    INDEX(
      'アイテム別限界値DB'!$K:$K, 
      MATCH(
        1, 
        ('アイテム別限界値DB'!$B:$B = AF$4) * 
        ('アイテム別限界値DB'!$G:$G = $AF22) * 
        ('アイテム別限界値DB'!$H:$H = $AI22), 
        0
      )
    ), 
    "再製作"
  )
)
</f>
        <v/>
      </c>
      <c r="AK22" s="397"/>
      <c r="AL22" s="445"/>
      <c r="AM22" s="185" t="s">
        <v>105</v>
      </c>
      <c r="AN22" s="185" t="s">
        <v>105</v>
      </c>
      <c r="AO22" s="418"/>
      <c r="AP22" s="418"/>
      <c r="AQ22" s="405" t="str">
        <f t="array" ref="AQ22">IF(
  $AP22 = 0, 
  "", 
  IFERROR(
    INDEX(
      'アイテム別限界値DB'!$K:$K, 
      MATCH(
        1, 
        ('アイテム別限界値DB'!$B:$B = $AM$4) * 
        ('アイテム別限界値DB'!$G:$G = $AM22) * 
        ('アイテム別限界値DB'!$H:$H = $AP22), 
        0
      )
    ), 
    "再製作"
  )
)
</f>
        <v/>
      </c>
      <c r="AR22" s="397" t="str">
        <f t="array" ref="AR22">IF(
  $AP22 = 0, 
  "", 
  IFERROR(
    INDEX(
      'アイテム別限界値DB'!$N:$N, 
      MATCH(
        1, 
        ('アイテム別限界値DB'!$B:$B = $AM$4) * 
        ('アイテム別限界値DB'!$G:$G = $AM22) * 
        ('アイテム別限界値DB'!$H:$H = $AP22), 
        0
      )
    )*AO22, 
    "再製作"
  )
)
</f>
        <v/>
      </c>
      <c r="AS22" s="445"/>
      <c r="AT22" s="185"/>
      <c r="AU22" s="452"/>
      <c r="AV22" s="452"/>
      <c r="AW22" s="396"/>
      <c r="AX22" s="451"/>
      <c r="AY22" s="445"/>
      <c r="AZ22" s="185"/>
      <c r="BA22" s="452"/>
      <c r="BB22" s="452"/>
      <c r="BC22" s="396"/>
      <c r="BD22" s="451"/>
      <c r="BE22" s="445"/>
      <c r="BF22" s="185"/>
      <c r="BG22" s="452"/>
      <c r="BH22" s="452"/>
      <c r="BI22" s="396"/>
      <c r="BJ22" s="451"/>
      <c r="BK22" s="445"/>
      <c r="BL22" s="185"/>
      <c r="BM22" s="452"/>
      <c r="BN22" s="452"/>
      <c r="BO22" s="396"/>
      <c r="BP22" s="451"/>
      <c r="BQ22" s="445"/>
      <c r="BR22" s="185"/>
      <c r="BS22" s="452"/>
      <c r="BT22" s="452"/>
      <c r="BU22" s="396"/>
      <c r="BV22" s="451"/>
      <c r="BW22" s="445"/>
      <c r="BX22" s="185"/>
      <c r="BY22" s="452"/>
      <c r="BZ22" s="452"/>
      <c r="CA22" s="396"/>
      <c r="CB22" s="451"/>
      <c r="CC22" s="451"/>
      <c r="CD22" s="451"/>
      <c r="CE22" s="451"/>
      <c r="CF22" s="451"/>
      <c r="CG22" s="451"/>
      <c r="CH22" s="445"/>
      <c r="CI22" s="445"/>
    </row>
    <row r="23" ht="15.75" customHeight="1">
      <c r="A23" s="441"/>
      <c r="B23" s="228" t="str">
        <f>IFERROR(__xludf.DUMMYFUNCTION("TEXTJOIN(CHAR(10),TRUE,FILTER(ARRAYFORMULA(IF(AI$14:AI70&lt;&gt;"""",AG$14:AG70&amp;"" : ""&amp; AI$14:AI70 &amp;"" cm"","""")), AG$14:AG70 &lt;&gt;""""))"),"")</f>
        <v/>
      </c>
      <c r="C23" s="432"/>
      <c r="D23" s="432"/>
      <c r="E23" s="446" t="s">
        <v>112</v>
      </c>
      <c r="F23" s="418"/>
      <c r="G23" s="418"/>
      <c r="H23" s="405" t="str">
        <f t="array" ref="H23">IF(
  G23 = 0, 
  "", 
  IFERROR(
    INDEX(
      'アイテム別限界値DB'!$K:$K, 
      MATCH(
        1, 
        ('アイテム別限界値DB'!$B:$B = D$4) * 
        ('アイテム別限界値DB'!$G:$G = D23) * 
        ('アイテム別限界値DB'!$H:$H = G23), 
        0
      )
    ), 
    "再製作"
  )
)
</f>
        <v/>
      </c>
      <c r="I23" s="397" t="str">
        <f t="array" ref="I23">IF(
  $G23 = 0, 
  "", 
  IFERROR(
    INDEX(
      'アイテム別限界値DB'!$N:$N, 
      MATCH(
        1, 
        ('アイテム別限界値DB'!$B:$B = $D$4) * 
        ('アイテム別限界値DB'!$G:$G = $D23) * 
        ('アイテム別限界値DB'!$H:$H = $G23), 
        0
      )
    )*F23, 
    "再製作"
  )
)
</f>
        <v/>
      </c>
      <c r="J23" s="443"/>
      <c r="K23" s="425"/>
      <c r="L23" s="447"/>
      <c r="M23" s="455"/>
      <c r="N23" s="386"/>
      <c r="O23" s="396"/>
      <c r="P23" s="451"/>
      <c r="Q23" s="444"/>
      <c r="R23" s="445"/>
      <c r="S23" s="316"/>
      <c r="T23" s="317"/>
      <c r="U23" s="317"/>
      <c r="V23" s="317"/>
      <c r="W23" s="317"/>
      <c r="X23" s="445"/>
      <c r="Y23" s="443"/>
      <c r="Z23" s="448"/>
      <c r="AA23" s="386"/>
      <c r="AB23" s="386"/>
      <c r="AC23" s="396"/>
      <c r="AD23" s="396"/>
      <c r="AE23" s="444"/>
      <c r="AF23" s="449" t="s">
        <v>83</v>
      </c>
      <c r="AG23" s="450" t="s">
        <v>83</v>
      </c>
      <c r="AH23" s="450"/>
      <c r="AI23" s="450"/>
      <c r="AJ23" s="396"/>
      <c r="AK23" s="451"/>
      <c r="AL23" s="445"/>
      <c r="AM23" s="185"/>
      <c r="AN23" s="185"/>
      <c r="AO23" s="452"/>
      <c r="AP23" s="452"/>
      <c r="AQ23" s="396"/>
      <c r="AR23" s="451"/>
      <c r="AS23" s="445"/>
      <c r="AT23" s="185"/>
      <c r="AU23" s="452"/>
      <c r="AV23" s="452"/>
      <c r="AW23" s="396"/>
      <c r="AX23" s="451"/>
      <c r="AY23" s="445"/>
      <c r="AZ23" s="185"/>
      <c r="BA23" s="452"/>
      <c r="BB23" s="452"/>
      <c r="BC23" s="396"/>
      <c r="BD23" s="451"/>
      <c r="BE23" s="445"/>
      <c r="BF23" s="185"/>
      <c r="BG23" s="452"/>
      <c r="BH23" s="452"/>
      <c r="BI23" s="396"/>
      <c r="BJ23" s="451"/>
      <c r="BK23" s="445"/>
      <c r="BL23" s="185"/>
      <c r="BM23" s="452"/>
      <c r="BN23" s="452"/>
      <c r="BO23" s="396"/>
      <c r="BP23" s="451"/>
      <c r="BQ23" s="445"/>
      <c r="BR23" s="185"/>
      <c r="BS23" s="452"/>
      <c r="BT23" s="452"/>
      <c r="BU23" s="396"/>
      <c r="BV23" s="451"/>
      <c r="BW23" s="445"/>
      <c r="BX23" s="185"/>
      <c r="BY23" s="452"/>
      <c r="BZ23" s="452"/>
      <c r="CA23" s="396"/>
      <c r="CB23" s="451"/>
      <c r="CC23" s="451"/>
      <c r="CD23" s="451"/>
      <c r="CE23" s="451"/>
      <c r="CF23" s="451"/>
      <c r="CG23" s="451"/>
      <c r="CH23" s="445"/>
      <c r="CI23" s="445"/>
    </row>
    <row r="24" ht="15.75" customHeight="1">
      <c r="A24" s="229"/>
      <c r="B24" s="309" t="s">
        <v>222</v>
      </c>
      <c r="C24" s="432"/>
      <c r="D24" s="432"/>
      <c r="E24" s="446" t="s">
        <v>113</v>
      </c>
      <c r="F24" s="418"/>
      <c r="G24" s="418"/>
      <c r="H24" s="405" t="str">
        <f t="array" ref="H24">IF(
  G24 = 0, 
  "", 
  IFERROR(
    INDEX(
      'アイテム別限界値DB'!$K:$K, 
      MATCH(
        1, 
        ('アイテム別限界値DB'!$B:$B = D$4) * 
        ('アイテム別限界値DB'!$G:$G = D24) * 
        ('アイテム別限界値DB'!$H:$H = G24), 
        0
      )
    ), 
    "再製作"
  )
)
</f>
        <v/>
      </c>
      <c r="I24" s="397" t="str">
        <f t="array" ref="I24">IF(
  $G24 = 0, 
  "", 
  IFERROR(
    INDEX(
      'アイテム別限界値DB'!$N:$N, 
      MATCH(
        1, 
        ('アイテム別限界値DB'!$B:$B = $D$4) * 
        ('アイテム別限界値DB'!$G:$G = $D24) * 
        ('アイテム別限界値DB'!$H:$H = $G24), 
        0
      )
    )*F24, 
    "再製作"
  )
)
</f>
        <v/>
      </c>
      <c r="J24" s="443"/>
      <c r="K24" s="425"/>
      <c r="L24" s="447"/>
      <c r="M24" s="455"/>
      <c r="N24" s="386"/>
      <c r="O24" s="396"/>
      <c r="P24" s="451"/>
      <c r="Q24" s="444"/>
      <c r="R24" s="445"/>
      <c r="S24" s="316"/>
      <c r="T24" s="317"/>
      <c r="U24" s="317"/>
      <c r="V24" s="317"/>
      <c r="W24" s="317"/>
      <c r="X24" s="445"/>
      <c r="Y24" s="443"/>
      <c r="Z24" s="448"/>
      <c r="AA24" s="386"/>
      <c r="AB24" s="386"/>
      <c r="AC24" s="396"/>
      <c r="AD24" s="396"/>
      <c r="AE24" s="444"/>
      <c r="AF24" s="449" t="s">
        <v>105</v>
      </c>
      <c r="AG24" s="450" t="s">
        <v>105</v>
      </c>
      <c r="AH24" s="450"/>
      <c r="AI24" s="450"/>
      <c r="AJ24" s="396"/>
      <c r="AK24" s="451"/>
      <c r="AL24" s="445"/>
      <c r="AM24" s="185"/>
      <c r="AN24" s="185"/>
      <c r="AO24" s="452"/>
      <c r="AP24" s="452"/>
      <c r="AQ24" s="396"/>
      <c r="AR24" s="451"/>
      <c r="AS24" s="445"/>
      <c r="AT24" s="185"/>
      <c r="AU24" s="452"/>
      <c r="AV24" s="452"/>
      <c r="AW24" s="396"/>
      <c r="AX24" s="451"/>
      <c r="AY24" s="445"/>
      <c r="AZ24" s="185"/>
      <c r="BA24" s="452"/>
      <c r="BB24" s="452"/>
      <c r="BC24" s="396"/>
      <c r="BD24" s="451"/>
      <c r="BE24" s="445"/>
      <c r="BF24" s="185"/>
      <c r="BG24" s="452"/>
      <c r="BH24" s="452"/>
      <c r="BI24" s="396"/>
      <c r="BJ24" s="451"/>
      <c r="BK24" s="445"/>
      <c r="BL24" s="185"/>
      <c r="BM24" s="452"/>
      <c r="BN24" s="452"/>
      <c r="BO24" s="396"/>
      <c r="BP24" s="451"/>
      <c r="BQ24" s="445"/>
      <c r="BR24" s="185"/>
      <c r="BS24" s="452"/>
      <c r="BT24" s="452"/>
      <c r="BU24" s="396"/>
      <c r="BV24" s="451"/>
      <c r="BW24" s="445"/>
      <c r="BX24" s="185"/>
      <c r="BY24" s="452"/>
      <c r="BZ24" s="452"/>
      <c r="CA24" s="396"/>
      <c r="CB24" s="451"/>
      <c r="CC24" s="451"/>
      <c r="CD24" s="451"/>
      <c r="CE24" s="451"/>
      <c r="CF24" s="451"/>
      <c r="CG24" s="451"/>
      <c r="CH24" s="445"/>
      <c r="CI24" s="445"/>
    </row>
    <row r="25" ht="15.75" customHeight="1">
      <c r="A25" s="229"/>
      <c r="B25" s="228" t="str">
        <f>IFERROR(__xludf.DUMMYFUNCTION("TEXTJOIN(CHAR(10),TRUE,FILTER(ARRAYFORMULA(IF(AI$14:AI70&lt;&gt;"""",AG$14:AG70&amp;"" : ""&amp; AI$14:AI70 &amp;"" cm"","""")), AG$14:AG70 &lt;&gt;""""))"),"")</f>
        <v/>
      </c>
      <c r="C25" s="432"/>
      <c r="D25" s="432"/>
      <c r="E25" s="446" t="s">
        <v>114</v>
      </c>
      <c r="F25" s="418"/>
      <c r="G25" s="418"/>
      <c r="H25" s="405" t="str">
        <f t="array" ref="H25">IF(
  G25 = 0, 
  "", 
  IFERROR(
    INDEX(
      'アイテム別限界値DB'!$K:$K, 
      MATCH(
        1, 
        ('アイテム別限界値DB'!$B:$B = D$4) * 
        ('アイテム別限界値DB'!$G:$G = D25) * 
        ('アイテム別限界値DB'!$H:$H = G25), 
        0
      )
    ), 
    "再製作"
  )
)
</f>
        <v/>
      </c>
      <c r="I25" s="397" t="str">
        <f t="array" ref="I25">IF(
  $G25 = 0, 
  "", 
  IFERROR(
    INDEX(
      'アイテム別限界値DB'!$N:$N, 
      MATCH(
        1, 
        ('アイテム別限界値DB'!$B:$B = $D$4) * 
        ('アイテム別限界値DB'!$G:$G = $D25) * 
        ('アイテム別限界値DB'!$H:$H = $G25), 
        0
      )
    )*F25, 
    "再製作"
  )
)
</f>
        <v/>
      </c>
      <c r="J25" s="443"/>
      <c r="K25" s="425"/>
      <c r="L25" s="447"/>
      <c r="M25" s="455"/>
      <c r="N25" s="386"/>
      <c r="O25" s="396"/>
      <c r="P25" s="451"/>
      <c r="Q25" s="444"/>
      <c r="R25" s="445"/>
      <c r="S25" s="316"/>
      <c r="T25" s="317"/>
      <c r="U25" s="317"/>
      <c r="V25" s="317"/>
      <c r="W25" s="317"/>
      <c r="X25" s="445"/>
      <c r="Y25" s="443"/>
      <c r="Z25" s="448"/>
      <c r="AA25" s="386"/>
      <c r="AB25" s="386"/>
      <c r="AC25" s="396"/>
      <c r="AD25" s="396"/>
      <c r="AE25" s="444"/>
      <c r="AF25" s="449"/>
      <c r="AG25" s="450"/>
      <c r="AH25" s="450"/>
      <c r="AI25" s="450"/>
      <c r="AJ25" s="396"/>
      <c r="AK25" s="451"/>
      <c r="AL25" s="445"/>
      <c r="AM25" s="185"/>
      <c r="AN25" s="185"/>
      <c r="AO25" s="452"/>
      <c r="AP25" s="452"/>
      <c r="AQ25" s="396"/>
      <c r="AR25" s="451"/>
      <c r="AS25" s="445"/>
      <c r="AT25" s="185"/>
      <c r="AU25" s="452"/>
      <c r="AV25" s="452"/>
      <c r="AW25" s="396"/>
      <c r="AX25" s="451"/>
      <c r="AY25" s="445"/>
      <c r="AZ25" s="185"/>
      <c r="BA25" s="452"/>
      <c r="BB25" s="452"/>
      <c r="BC25" s="396"/>
      <c r="BD25" s="451"/>
      <c r="BE25" s="445"/>
      <c r="BF25" s="185"/>
      <c r="BG25" s="452"/>
      <c r="BH25" s="452"/>
      <c r="BI25" s="396"/>
      <c r="BJ25" s="451"/>
      <c r="BK25" s="445"/>
      <c r="BL25" s="185"/>
      <c r="BM25" s="452"/>
      <c r="BN25" s="452"/>
      <c r="BO25" s="396"/>
      <c r="BP25" s="451"/>
      <c r="BQ25" s="445"/>
      <c r="BR25" s="185"/>
      <c r="BS25" s="452"/>
      <c r="BT25" s="452"/>
      <c r="BU25" s="396"/>
      <c r="BV25" s="451"/>
      <c r="BW25" s="445"/>
      <c r="BX25" s="185"/>
      <c r="BY25" s="452"/>
      <c r="BZ25" s="452"/>
      <c r="CA25" s="396"/>
      <c r="CB25" s="451"/>
      <c r="CC25" s="451"/>
      <c r="CD25" s="451"/>
      <c r="CE25" s="451"/>
      <c r="CF25" s="451"/>
      <c r="CG25" s="451"/>
      <c r="CH25" s="445"/>
      <c r="CI25" s="445"/>
    </row>
    <row r="26" ht="15.75" customHeight="1">
      <c r="A26" s="441"/>
      <c r="B26" s="309" t="s">
        <v>223</v>
      </c>
      <c r="C26" s="432"/>
      <c r="D26" s="432"/>
      <c r="E26" s="446" t="s">
        <v>116</v>
      </c>
      <c r="F26" s="418"/>
      <c r="G26" s="418"/>
      <c r="H26" s="405" t="str">
        <f t="array" ref="H26">IF(
  G26 = 0, 
  "", 
  IFERROR(
    INDEX(
      'アイテム別限界値DB'!$K:$K, 
      MATCH(
        1, 
        ('アイテム別限界値DB'!$B:$B = D$4) * 
        ('アイテム別限界値DB'!$G:$G = D26) * 
        ('アイテム別限界値DB'!$H:$H = G26), 
        0
      )
    ), 
    "再製作"
  )
)
</f>
        <v/>
      </c>
      <c r="I26" s="397" t="str">
        <f t="array" ref="I26">IF(
  $G26 = 0, 
  "", 
  IFERROR(
    INDEX(
      'アイテム別限界値DB'!$N:$N, 
      MATCH(
        1, 
        ('アイテム別限界値DB'!$B:$B = $D$4) * 
        ('アイテム別限界値DB'!$G:$G = $D26) * 
        ('アイテム別限界値DB'!$H:$H = $G26), 
        0
      )
    )*F26, 
    "再製作"
  )
)
</f>
        <v/>
      </c>
      <c r="J26" s="443"/>
      <c r="K26" s="425"/>
      <c r="L26" s="447"/>
      <c r="M26" s="455"/>
      <c r="N26" s="386"/>
      <c r="O26" s="396"/>
      <c r="P26" s="451"/>
      <c r="Q26" s="444"/>
      <c r="R26" s="445"/>
      <c r="S26" s="316"/>
      <c r="T26" s="317"/>
      <c r="U26" s="317"/>
      <c r="V26" s="317"/>
      <c r="W26" s="317"/>
      <c r="X26" s="445"/>
      <c r="Y26" s="443"/>
      <c r="Z26" s="448"/>
      <c r="AA26" s="386"/>
      <c r="AB26" s="386"/>
      <c r="AC26" s="396"/>
      <c r="AD26" s="396"/>
      <c r="AE26" s="444"/>
      <c r="AF26" s="449"/>
      <c r="AG26" s="450"/>
      <c r="AH26" s="450"/>
      <c r="AI26" s="450"/>
      <c r="AJ26" s="396"/>
      <c r="AK26" s="451"/>
      <c r="AL26" s="445"/>
      <c r="AM26" s="185"/>
      <c r="AN26" s="185"/>
      <c r="AO26" s="452"/>
      <c r="AP26" s="452"/>
      <c r="AQ26" s="396"/>
      <c r="AR26" s="451"/>
      <c r="AS26" s="445"/>
      <c r="AT26" s="185"/>
      <c r="AU26" s="452"/>
      <c r="AV26" s="452"/>
      <c r="AW26" s="396"/>
      <c r="AX26" s="451"/>
      <c r="AY26" s="445"/>
      <c r="AZ26" s="185"/>
      <c r="BA26" s="452"/>
      <c r="BB26" s="452"/>
      <c r="BC26" s="396"/>
      <c r="BD26" s="451"/>
      <c r="BE26" s="445"/>
      <c r="BF26" s="185"/>
      <c r="BG26" s="452"/>
      <c r="BH26" s="452"/>
      <c r="BI26" s="396"/>
      <c r="BJ26" s="451"/>
      <c r="BK26" s="445"/>
      <c r="BL26" s="185"/>
      <c r="BM26" s="452"/>
      <c r="BN26" s="452"/>
      <c r="BO26" s="396"/>
      <c r="BP26" s="451"/>
      <c r="BQ26" s="445"/>
      <c r="BR26" s="185"/>
      <c r="BS26" s="452"/>
      <c r="BT26" s="452"/>
      <c r="BU26" s="396"/>
      <c r="BV26" s="451"/>
      <c r="BW26" s="445"/>
      <c r="BX26" s="185"/>
      <c r="BY26" s="452"/>
      <c r="BZ26" s="452"/>
      <c r="CA26" s="396"/>
      <c r="CB26" s="451"/>
      <c r="CC26" s="451"/>
      <c r="CD26" s="451"/>
      <c r="CE26" s="451"/>
      <c r="CF26" s="451"/>
      <c r="CG26" s="451"/>
      <c r="CH26" s="445"/>
      <c r="CI26" s="445"/>
    </row>
    <row r="27" ht="15.75" customHeight="1">
      <c r="A27" s="229"/>
      <c r="B27" s="228" t="str">
        <f>IFERROR(__xludf.DUMMYFUNCTION("TEXTJOIN(CHAR(10),TRUE,FILTER(ARRAYFORMULA(IF(AI$14:AI70&lt;&gt;"""",AG$14:AG70&amp;"" : ""&amp; AI$14:AI70 &amp;"" cm"","""")), AG$14:AG70 &lt;&gt;""""))"),"")</f>
        <v/>
      </c>
      <c r="C27" s="432"/>
      <c r="D27" s="432"/>
      <c r="E27" s="446" t="s">
        <v>117</v>
      </c>
      <c r="F27" s="418"/>
      <c r="G27" s="418"/>
      <c r="H27" s="405" t="str">
        <f t="array" ref="H27">IF(
  G27 = 0, 
  "", 
  IFERROR(
    INDEX(
      'アイテム別限界値DB'!$K:$K, 
      MATCH(
        1, 
        ('アイテム別限界値DB'!$B:$B = D$4) * 
        ('アイテム別限界値DB'!$G:$G = D27) * 
        ('アイテム別限界値DB'!$H:$H = G27), 
        0
      )
    ), 
    "再製作"
  )
)
</f>
        <v/>
      </c>
      <c r="I27" s="397" t="str">
        <f t="array" ref="I27">IF(
  $G27 = 0, 
  "", 
  IFERROR(
    INDEX(
      'アイテム別限界値DB'!$N:$N, 
      MATCH(
        1, 
        ('アイテム別限界値DB'!$B:$B = $D$4) * 
        ('アイテム別限界値DB'!$G:$G = $D27) * 
        ('アイテム別限界値DB'!$H:$H = $G27), 
        0
      )
    )*F27, 
    "再製作"
  )
)
</f>
        <v/>
      </c>
      <c r="J27" s="443"/>
      <c r="K27" s="425"/>
      <c r="L27" s="447"/>
      <c r="M27" s="455"/>
      <c r="N27" s="386"/>
      <c r="O27" s="396"/>
      <c r="P27" s="451"/>
      <c r="Q27" s="444"/>
      <c r="R27" s="445"/>
      <c r="S27" s="316"/>
      <c r="T27" s="317"/>
      <c r="U27" s="317"/>
      <c r="V27" s="317"/>
      <c r="W27" s="317"/>
      <c r="X27" s="445"/>
      <c r="Y27" s="443"/>
      <c r="Z27" s="448"/>
      <c r="AA27" s="386"/>
      <c r="AB27" s="386"/>
      <c r="AC27" s="396"/>
      <c r="AD27" s="396"/>
      <c r="AE27" s="444"/>
      <c r="AF27" s="449"/>
      <c r="AG27" s="450"/>
      <c r="AH27" s="450"/>
      <c r="AI27" s="450"/>
      <c r="AJ27" s="396"/>
      <c r="AK27" s="451"/>
      <c r="AL27" s="445"/>
      <c r="AM27" s="185"/>
      <c r="AN27" s="185"/>
      <c r="AO27" s="452"/>
      <c r="AP27" s="452"/>
      <c r="AQ27" s="396"/>
      <c r="AR27" s="451"/>
      <c r="AS27" s="445"/>
      <c r="AT27" s="185"/>
      <c r="AU27" s="452"/>
      <c r="AV27" s="452"/>
      <c r="AW27" s="396"/>
      <c r="AX27" s="451"/>
      <c r="AY27" s="445"/>
      <c r="AZ27" s="185"/>
      <c r="BA27" s="452"/>
      <c r="BB27" s="452"/>
      <c r="BC27" s="396"/>
      <c r="BD27" s="451"/>
      <c r="BE27" s="445"/>
      <c r="BF27" s="185"/>
      <c r="BG27" s="452"/>
      <c r="BH27" s="452"/>
      <c r="BI27" s="396"/>
      <c r="BJ27" s="451"/>
      <c r="BK27" s="445"/>
      <c r="BL27" s="185"/>
      <c r="BM27" s="452"/>
      <c r="BN27" s="452"/>
      <c r="BO27" s="396"/>
      <c r="BP27" s="451"/>
      <c r="BQ27" s="445"/>
      <c r="BR27" s="185"/>
      <c r="BS27" s="452"/>
      <c r="BT27" s="452"/>
      <c r="BU27" s="396"/>
      <c r="BV27" s="451"/>
      <c r="BW27" s="445"/>
      <c r="BX27" s="185"/>
      <c r="BY27" s="452"/>
      <c r="BZ27" s="452"/>
      <c r="CA27" s="396"/>
      <c r="CB27" s="451"/>
      <c r="CC27" s="451"/>
      <c r="CD27" s="451"/>
      <c r="CE27" s="451"/>
      <c r="CF27" s="451"/>
      <c r="CG27" s="451"/>
      <c r="CH27" s="445"/>
      <c r="CI27" s="445"/>
    </row>
    <row r="28" ht="15.75" customHeight="1">
      <c r="A28" s="229"/>
      <c r="C28" s="432"/>
      <c r="D28" s="432"/>
      <c r="E28" s="446" t="s">
        <v>118</v>
      </c>
      <c r="F28" s="418"/>
      <c r="G28" s="418"/>
      <c r="H28" s="405" t="str">
        <f t="array" ref="H28">IF(
  G28 = 0, 
  "", 
  IFERROR(
    INDEX(
      'アイテム別限界値DB'!$K:$K, 
      MATCH(
        1, 
        ('アイテム別限界値DB'!$B:$B = D$4) * 
        ('アイテム別限界値DB'!$G:$G = D28) * 
        ('アイテム別限界値DB'!$H:$H = G28), 
        0
      )
    ), 
    "再製作"
  )
)
</f>
        <v/>
      </c>
      <c r="I28" s="397" t="str">
        <f t="array" ref="I28">IF(
  $G28 = 0, 
  "", 
  IFERROR(
    INDEX(
      'アイテム別限界値DB'!$N:$N, 
      MATCH(
        1, 
        ('アイテム別限界値DB'!$B:$B = $D$4) * 
        ('アイテム別限界値DB'!$G:$G = $D28) * 
        ('アイテム別限界値DB'!$H:$H = $G28), 
        0
      )
    )*F28, 
    "再製作"
  )
)
</f>
        <v/>
      </c>
      <c r="J28" s="443"/>
      <c r="K28" s="425"/>
      <c r="L28" s="447"/>
      <c r="M28" s="455"/>
      <c r="N28" s="386"/>
      <c r="O28" s="396"/>
      <c r="P28" s="451"/>
      <c r="Q28" s="444"/>
      <c r="R28" s="445"/>
      <c r="S28" s="316"/>
      <c r="T28" s="317"/>
      <c r="U28" s="317"/>
      <c r="V28" s="317"/>
      <c r="W28" s="317"/>
      <c r="X28" s="445"/>
      <c r="Y28" s="443"/>
      <c r="Z28" s="448"/>
      <c r="AA28" s="386"/>
      <c r="AB28" s="386"/>
      <c r="AC28" s="396"/>
      <c r="AD28" s="396"/>
      <c r="AE28" s="444"/>
      <c r="AF28" s="449"/>
      <c r="AG28" s="450"/>
      <c r="AH28" s="450"/>
      <c r="AI28" s="450"/>
      <c r="AJ28" s="396"/>
      <c r="AK28" s="451"/>
      <c r="AL28" s="445"/>
      <c r="AM28" s="185"/>
      <c r="AN28" s="185"/>
      <c r="AO28" s="452"/>
      <c r="AP28" s="452"/>
      <c r="AQ28" s="396"/>
      <c r="AR28" s="451"/>
      <c r="AS28" s="445"/>
      <c r="AT28" s="185"/>
      <c r="AU28" s="452"/>
      <c r="AV28" s="452"/>
      <c r="AW28" s="396"/>
      <c r="AX28" s="451"/>
      <c r="AY28" s="445"/>
      <c r="AZ28" s="185"/>
      <c r="BA28" s="452"/>
      <c r="BB28" s="452"/>
      <c r="BC28" s="396"/>
      <c r="BD28" s="451"/>
      <c r="BE28" s="445"/>
      <c r="BF28" s="185"/>
      <c r="BG28" s="452"/>
      <c r="BH28" s="452"/>
      <c r="BI28" s="396"/>
      <c r="BJ28" s="451"/>
      <c r="BK28" s="445"/>
      <c r="BL28" s="185"/>
      <c r="BM28" s="452"/>
      <c r="BN28" s="452"/>
      <c r="BO28" s="396"/>
      <c r="BP28" s="451"/>
      <c r="BQ28" s="445"/>
      <c r="BR28" s="185"/>
      <c r="BS28" s="452"/>
      <c r="BT28" s="452"/>
      <c r="BU28" s="396"/>
      <c r="BV28" s="451"/>
      <c r="BW28" s="445"/>
      <c r="BX28" s="185"/>
      <c r="BY28" s="452"/>
      <c r="BZ28" s="452"/>
      <c r="CA28" s="396"/>
      <c r="CB28" s="451"/>
      <c r="CC28" s="451"/>
      <c r="CD28" s="451"/>
      <c r="CE28" s="451"/>
      <c r="CF28" s="451"/>
      <c r="CG28" s="451"/>
      <c r="CH28" s="445"/>
      <c r="CI28" s="445"/>
    </row>
    <row r="29" ht="15.75" customHeight="1">
      <c r="A29" s="456"/>
      <c r="C29" s="432"/>
      <c r="D29" s="432"/>
      <c r="E29" s="446" t="s">
        <v>119</v>
      </c>
      <c r="F29" s="418"/>
      <c r="G29" s="418"/>
      <c r="H29" s="405" t="str">
        <f t="array" ref="H29">IF(
  G29 = 0, 
  "", 
  IFERROR(
    INDEX(
      'アイテム別限界値DB'!$K:$K, 
      MATCH(
        1, 
        ('アイテム別限界値DB'!$B:$B = D$4) * 
        ('アイテム別限界値DB'!$G:$G = D29) * 
        ('アイテム別限界値DB'!$H:$H = G29), 
        0
      )
    ), 
    "再製作"
  )
)
</f>
        <v/>
      </c>
      <c r="I29" s="397" t="str">
        <f t="array" ref="I29">IF(
  $G29 = 0, 
  "", 
  IFERROR(
    INDEX(
      'アイテム別限界値DB'!$N:$N, 
      MATCH(
        1, 
        ('アイテム別限界値DB'!$B:$B = $D$4) * 
        ('アイテム別限界値DB'!$G:$G = $D29) * 
        ('アイテム別限界値DB'!$H:$H = $G29), 
        0
      )
    )*F29, 
    "再製作"
  )
)
</f>
        <v/>
      </c>
      <c r="J29" s="443"/>
      <c r="K29" s="425"/>
      <c r="L29" s="447"/>
      <c r="M29" s="455"/>
      <c r="N29" s="386"/>
      <c r="O29" s="396"/>
      <c r="P29" s="451"/>
      <c r="Q29" s="444"/>
      <c r="R29" s="445"/>
      <c r="S29" s="316"/>
      <c r="T29" s="317"/>
      <c r="U29" s="317"/>
      <c r="V29" s="317"/>
      <c r="W29" s="317"/>
      <c r="X29" s="445"/>
      <c r="Y29" s="443"/>
      <c r="Z29" s="448"/>
      <c r="AA29" s="386"/>
      <c r="AB29" s="386"/>
      <c r="AC29" s="396"/>
      <c r="AD29" s="396"/>
      <c r="AE29" s="444"/>
      <c r="AF29" s="449"/>
      <c r="AG29" s="450"/>
      <c r="AH29" s="450"/>
      <c r="AI29" s="450"/>
      <c r="AJ29" s="396"/>
      <c r="AK29" s="451"/>
      <c r="AL29" s="445"/>
      <c r="AM29" s="185"/>
      <c r="AN29" s="185"/>
      <c r="AO29" s="452"/>
      <c r="AP29" s="452"/>
      <c r="AQ29" s="396"/>
      <c r="AR29" s="451"/>
      <c r="AS29" s="445"/>
      <c r="AT29" s="185"/>
      <c r="AU29" s="452"/>
      <c r="AV29" s="452"/>
      <c r="AW29" s="396"/>
      <c r="AX29" s="451"/>
      <c r="AY29" s="445"/>
      <c r="AZ29" s="185"/>
      <c r="BA29" s="452"/>
      <c r="BB29" s="452"/>
      <c r="BC29" s="396"/>
      <c r="BD29" s="451"/>
      <c r="BE29" s="445"/>
      <c r="BF29" s="185"/>
      <c r="BG29" s="452"/>
      <c r="BH29" s="452"/>
      <c r="BI29" s="396"/>
      <c r="BJ29" s="451"/>
      <c r="BK29" s="445"/>
      <c r="BL29" s="185"/>
      <c r="BM29" s="452"/>
      <c r="BN29" s="452"/>
      <c r="BO29" s="396"/>
      <c r="BP29" s="451"/>
      <c r="BQ29" s="445"/>
      <c r="BR29" s="185"/>
      <c r="BS29" s="452"/>
      <c r="BT29" s="452"/>
      <c r="BU29" s="396"/>
      <c r="BV29" s="451"/>
      <c r="BW29" s="445"/>
      <c r="BX29" s="185"/>
      <c r="BY29" s="452"/>
      <c r="BZ29" s="452"/>
      <c r="CA29" s="396"/>
      <c r="CB29" s="451"/>
      <c r="CC29" s="451"/>
      <c r="CD29" s="451"/>
      <c r="CE29" s="451"/>
      <c r="CF29" s="451"/>
      <c r="CG29" s="451"/>
      <c r="CH29" s="445"/>
      <c r="CI29" s="445"/>
    </row>
    <row r="30" ht="15.75" customHeight="1">
      <c r="A30" s="160"/>
      <c r="C30" s="432"/>
      <c r="D30" s="432"/>
      <c r="E30" s="446" t="s">
        <v>120</v>
      </c>
      <c r="F30" s="418"/>
      <c r="G30" s="418"/>
      <c r="H30" s="405" t="str">
        <f t="array" ref="H30">IF(
  G30 = 0, 
  "", 
  IFERROR(
    INDEX(
      'アイテム別限界値DB'!$K:$K, 
      MATCH(
        1, 
        ('アイテム別限界値DB'!$B:$B = D$4) * 
        ('アイテム別限界値DB'!$G:$G = D30) * 
        ('アイテム別限界値DB'!$H:$H = G30), 
        0
      )
    ), 
    "再製作"
  )
)
</f>
        <v/>
      </c>
      <c r="I30" s="397" t="str">
        <f t="array" ref="I30">IF(
  $G30 = 0, 
  "", 
  IFERROR(
    INDEX(
      'アイテム別限界値DB'!$N:$N, 
      MATCH(
        1, 
        ('アイテム別限界値DB'!$B:$B = $D$4) * 
        ('アイテム別限界値DB'!$G:$G = $D30) * 
        ('アイテム別限界値DB'!$H:$H = $G30), 
        0
      )
    )*F30, 
    "再製作"
  )
)
</f>
        <v/>
      </c>
      <c r="J30" s="443"/>
      <c r="K30" s="425"/>
      <c r="L30" s="447"/>
      <c r="M30" s="455"/>
      <c r="N30" s="386"/>
      <c r="O30" s="396"/>
      <c r="P30" s="451"/>
      <c r="Q30" s="444"/>
      <c r="R30" s="445"/>
      <c r="S30" s="316"/>
      <c r="T30" s="317"/>
      <c r="U30" s="317"/>
      <c r="V30" s="317"/>
      <c r="W30" s="317"/>
      <c r="X30" s="445"/>
      <c r="Y30" s="443"/>
      <c r="Z30" s="448"/>
      <c r="AA30" s="386"/>
      <c r="AB30" s="386"/>
      <c r="AC30" s="396"/>
      <c r="AD30" s="396"/>
      <c r="AE30" s="444"/>
      <c r="AF30" s="449"/>
      <c r="AG30" s="450"/>
      <c r="AH30" s="450"/>
      <c r="AI30" s="450"/>
      <c r="AJ30" s="396"/>
      <c r="AK30" s="451"/>
      <c r="AL30" s="445"/>
      <c r="AM30" s="185"/>
      <c r="AN30" s="185"/>
      <c r="AO30" s="452"/>
      <c r="AP30" s="452"/>
      <c r="AQ30" s="396"/>
      <c r="AR30" s="451"/>
      <c r="AS30" s="445"/>
      <c r="AT30" s="185"/>
      <c r="AU30" s="452"/>
      <c r="AV30" s="452"/>
      <c r="AW30" s="396"/>
      <c r="AX30" s="451"/>
      <c r="AY30" s="445"/>
      <c r="AZ30" s="185"/>
      <c r="BA30" s="452"/>
      <c r="BB30" s="452"/>
      <c r="BC30" s="396"/>
      <c r="BD30" s="451"/>
      <c r="BE30" s="445"/>
      <c r="BF30" s="185"/>
      <c r="BG30" s="452"/>
      <c r="BH30" s="452"/>
      <c r="BI30" s="396"/>
      <c r="BJ30" s="451"/>
      <c r="BK30" s="445"/>
      <c r="BL30" s="185"/>
      <c r="BM30" s="452"/>
      <c r="BN30" s="452"/>
      <c r="BO30" s="396"/>
      <c r="BP30" s="451"/>
      <c r="BQ30" s="445"/>
      <c r="BR30" s="185"/>
      <c r="BS30" s="452"/>
      <c r="BT30" s="452"/>
      <c r="BU30" s="396"/>
      <c r="BV30" s="451"/>
      <c r="BW30" s="445"/>
      <c r="BX30" s="185"/>
      <c r="BY30" s="452"/>
      <c r="BZ30" s="452"/>
      <c r="CA30" s="396"/>
      <c r="CB30" s="451"/>
      <c r="CC30" s="451"/>
      <c r="CD30" s="451"/>
      <c r="CE30" s="451"/>
      <c r="CF30" s="451"/>
      <c r="CG30" s="451"/>
      <c r="CH30" s="445"/>
      <c r="CI30" s="445"/>
    </row>
    <row r="31" ht="15.75" customHeight="1">
      <c r="A31" s="229"/>
      <c r="C31" s="432"/>
      <c r="D31" s="432"/>
      <c r="E31" s="446"/>
      <c r="F31" s="418"/>
      <c r="G31" s="418"/>
      <c r="H31" s="405" t="str">
        <f t="array" ref="H31">IF(
  G31 = 0, 
  "", 
  IFERROR(
    INDEX(
      'アイテム別限界値DB'!$K:$K, 
      MATCH(
        1, 
        ('アイテム別限界値DB'!$B:$B = D$4) * 
        ('アイテム別限界値DB'!$G:$G = D31) * 
        ('アイテム別限界値DB'!$H:$H = G31), 
        0
      )
    ), 
    "再製作"
  )
)
</f>
        <v/>
      </c>
      <c r="I31" s="397" t="str">
        <f t="array" ref="I31">IF(
  $G31 = 0, 
  "", 
  IFERROR(
    INDEX(
      'アイテム別限界値DB'!$N:$N, 
      MATCH(
        1, 
        ('アイテム別限界値DB'!$B:$B = $D$4) * 
        ('アイテム別限界値DB'!$G:$G = $D31) * 
        ('アイテム別限界値DB'!$H:$H = $G31), 
        0
      )
    )*F31, 
    "再製作"
  )
)
</f>
        <v/>
      </c>
      <c r="J31" s="443"/>
      <c r="K31" s="425"/>
      <c r="L31" s="447"/>
      <c r="M31" s="455"/>
      <c r="N31" s="386"/>
      <c r="O31" s="396"/>
      <c r="P31" s="451"/>
      <c r="Q31" s="444"/>
      <c r="R31" s="445"/>
      <c r="S31" s="316"/>
      <c r="T31" s="317"/>
      <c r="U31" s="317"/>
      <c r="V31" s="317"/>
      <c r="W31" s="317"/>
      <c r="X31" s="445"/>
      <c r="Y31" s="443"/>
      <c r="Z31" s="448"/>
      <c r="AA31" s="386"/>
      <c r="AB31" s="386"/>
      <c r="AC31" s="396"/>
      <c r="AD31" s="396"/>
      <c r="AE31" s="444"/>
      <c r="AF31" s="449"/>
      <c r="AG31" s="450"/>
      <c r="AH31" s="450"/>
      <c r="AI31" s="450"/>
      <c r="AJ31" s="396"/>
      <c r="AK31" s="451"/>
      <c r="AL31" s="445"/>
      <c r="AM31" s="185"/>
      <c r="AN31" s="185"/>
      <c r="AO31" s="452"/>
      <c r="AP31" s="452"/>
      <c r="AQ31" s="396"/>
      <c r="AR31" s="451"/>
      <c r="AS31" s="445"/>
      <c r="AT31" s="185"/>
      <c r="AU31" s="452"/>
      <c r="AV31" s="452"/>
      <c r="AW31" s="396"/>
      <c r="AX31" s="451"/>
      <c r="AY31" s="445"/>
      <c r="AZ31" s="185"/>
      <c r="BA31" s="452"/>
      <c r="BB31" s="452"/>
      <c r="BC31" s="396"/>
      <c r="BD31" s="451"/>
      <c r="BE31" s="445"/>
      <c r="BF31" s="185"/>
      <c r="BG31" s="452"/>
      <c r="BH31" s="452"/>
      <c r="BI31" s="396"/>
      <c r="BJ31" s="451"/>
      <c r="BK31" s="445"/>
      <c r="BL31" s="185"/>
      <c r="BM31" s="452"/>
      <c r="BN31" s="452"/>
      <c r="BO31" s="396"/>
      <c r="BP31" s="451"/>
      <c r="BQ31" s="445"/>
      <c r="BR31" s="185"/>
      <c r="BS31" s="452"/>
      <c r="BT31" s="452"/>
      <c r="BU31" s="396"/>
      <c r="BV31" s="451"/>
      <c r="BW31" s="445"/>
      <c r="BX31" s="185"/>
      <c r="BY31" s="452"/>
      <c r="BZ31" s="452"/>
      <c r="CA31" s="396"/>
      <c r="CB31" s="451"/>
      <c r="CC31" s="451"/>
      <c r="CD31" s="451"/>
      <c r="CE31" s="451"/>
      <c r="CF31" s="451"/>
      <c r="CG31" s="451"/>
      <c r="CH31" s="445"/>
      <c r="CI31" s="445"/>
    </row>
    <row r="32" ht="15.75" customHeight="1">
      <c r="A32" s="457"/>
      <c r="C32" s="432"/>
      <c r="D32" s="432"/>
      <c r="E32" s="446"/>
      <c r="F32" s="418"/>
      <c r="G32" s="418"/>
      <c r="H32" s="405" t="str">
        <f t="array" ref="H32">IF(
  G32 = 0, 
  "", 
  IFERROR(
    INDEX(
      'アイテム別限界値DB'!$K:$K, 
      MATCH(
        1, 
        ('アイテム別限界値DB'!$B:$B = D$4) * 
        ('アイテム別限界値DB'!$G:$G = D32) * 
        ('アイテム別限界値DB'!$H:$H = G32), 
        0
      )
    ), 
    "再製作"
  )
)
</f>
        <v/>
      </c>
      <c r="I32" s="397" t="str">
        <f t="array" ref="I32">IF(
  $G32 = 0, 
  "", 
  IFERROR(
    INDEX(
      'アイテム別限界値DB'!$N:$N, 
      MATCH(
        1, 
        ('アイテム別限界値DB'!$B:$B = $D$4) * 
        ('アイテム別限界値DB'!$G:$G = $D32) * 
        ('アイテム別限界値DB'!$H:$H = $G32), 
        0
      )
    )*F32, 
    "再製作"
  )
)
</f>
        <v/>
      </c>
      <c r="J32" s="443"/>
      <c r="K32" s="425"/>
      <c r="L32" s="447"/>
      <c r="M32" s="455"/>
      <c r="N32" s="386"/>
      <c r="O32" s="396"/>
      <c r="P32" s="451"/>
      <c r="Q32" s="444"/>
      <c r="R32" s="445"/>
      <c r="S32" s="316"/>
      <c r="T32" s="317"/>
      <c r="U32" s="317"/>
      <c r="V32" s="317"/>
      <c r="W32" s="317"/>
      <c r="X32" s="445"/>
      <c r="Y32" s="443"/>
      <c r="Z32" s="448"/>
      <c r="AA32" s="386"/>
      <c r="AB32" s="386"/>
      <c r="AC32" s="396"/>
      <c r="AD32" s="396"/>
      <c r="AE32" s="444"/>
      <c r="AF32" s="449"/>
      <c r="AG32" s="450"/>
      <c r="AH32" s="450"/>
      <c r="AI32" s="450"/>
      <c r="AJ32" s="396"/>
      <c r="AK32" s="451"/>
      <c r="AL32" s="445"/>
      <c r="AM32" s="185"/>
      <c r="AN32" s="185"/>
      <c r="AO32" s="452"/>
      <c r="AP32" s="452"/>
      <c r="AQ32" s="396"/>
      <c r="AR32" s="451"/>
      <c r="AS32" s="445"/>
      <c r="AT32" s="185"/>
      <c r="AU32" s="452"/>
      <c r="AV32" s="452"/>
      <c r="AW32" s="396"/>
      <c r="AX32" s="451"/>
      <c r="AY32" s="445"/>
      <c r="AZ32" s="185"/>
      <c r="BA32" s="452"/>
      <c r="BB32" s="452"/>
      <c r="BC32" s="396"/>
      <c r="BD32" s="451"/>
      <c r="BE32" s="445"/>
      <c r="BF32" s="185"/>
      <c r="BG32" s="452"/>
      <c r="BH32" s="452"/>
      <c r="BI32" s="396"/>
      <c r="BJ32" s="451"/>
      <c r="BK32" s="445"/>
      <c r="BL32" s="185"/>
      <c r="BM32" s="452"/>
      <c r="BN32" s="452"/>
      <c r="BO32" s="396"/>
      <c r="BP32" s="451"/>
      <c r="BQ32" s="445"/>
      <c r="BR32" s="185"/>
      <c r="BS32" s="452"/>
      <c r="BT32" s="452"/>
      <c r="BU32" s="396"/>
      <c r="BV32" s="451"/>
      <c r="BW32" s="445"/>
      <c r="BX32" s="185"/>
      <c r="BY32" s="452"/>
      <c r="BZ32" s="452"/>
      <c r="CA32" s="396"/>
      <c r="CB32" s="451"/>
      <c r="CC32" s="451"/>
      <c r="CD32" s="451"/>
      <c r="CE32" s="451"/>
      <c r="CF32" s="451"/>
      <c r="CG32" s="451"/>
      <c r="CH32" s="445"/>
      <c r="CI32" s="445"/>
    </row>
    <row r="33" ht="15.75" customHeight="1">
      <c r="A33" s="160"/>
      <c r="C33" s="432"/>
      <c r="D33" s="432"/>
      <c r="E33" s="446"/>
      <c r="F33" s="418"/>
      <c r="G33" s="418"/>
      <c r="H33" s="405" t="str">
        <f t="array" ref="H33">IF(
  G33 = 0, 
  "", 
  IFERROR(
    INDEX(
      'アイテム別限界値DB'!$K:$K, 
      MATCH(
        1, 
        ('アイテム別限界値DB'!$B:$B = D$4) * 
        ('アイテム別限界値DB'!$G:$G = D33) * 
        ('アイテム別限界値DB'!$H:$H = G33), 
        0
      )
    ), 
    "再製作"
  )
)
</f>
        <v/>
      </c>
      <c r="I33" s="397" t="str">
        <f t="array" ref="I33">IF(
  $G33 = 0, 
  "", 
  IFERROR(
    INDEX(
      'アイテム別限界値DB'!$N:$N, 
      MATCH(
        1, 
        ('アイテム別限界値DB'!$B:$B = $D$4) * 
        ('アイテム別限界値DB'!$G:$G = $D33) * 
        ('アイテム別限界値DB'!$H:$H = $G33), 
        0
      )
    )*F33, 
    "再製作"
  )
)
</f>
        <v/>
      </c>
      <c r="J33" s="443"/>
      <c r="K33" s="425"/>
      <c r="L33" s="447"/>
      <c r="M33" s="455"/>
      <c r="N33" s="386"/>
      <c r="O33" s="396"/>
      <c r="P33" s="451"/>
      <c r="Q33" s="444"/>
      <c r="R33" s="445"/>
      <c r="S33" s="316"/>
      <c r="T33" s="317"/>
      <c r="U33" s="317"/>
      <c r="V33" s="317"/>
      <c r="W33" s="317"/>
      <c r="X33" s="445"/>
      <c r="Y33" s="443"/>
      <c r="Z33" s="448"/>
      <c r="AA33" s="386"/>
      <c r="AB33" s="386"/>
      <c r="AC33" s="396"/>
      <c r="AD33" s="396"/>
      <c r="AE33" s="444"/>
      <c r="AF33" s="449"/>
      <c r="AG33" s="450"/>
      <c r="AH33" s="450"/>
      <c r="AI33" s="450"/>
      <c r="AJ33" s="396"/>
      <c r="AK33" s="451"/>
      <c r="AL33" s="445"/>
      <c r="AM33" s="185"/>
      <c r="AN33" s="185"/>
      <c r="AO33" s="452"/>
      <c r="AP33" s="452"/>
      <c r="AQ33" s="396"/>
      <c r="AR33" s="451"/>
      <c r="AS33" s="445"/>
      <c r="AT33" s="185"/>
      <c r="AU33" s="452"/>
      <c r="AV33" s="452"/>
      <c r="AW33" s="396"/>
      <c r="AX33" s="451"/>
      <c r="AY33" s="445"/>
      <c r="AZ33" s="185"/>
      <c r="BA33" s="452"/>
      <c r="BB33" s="452"/>
      <c r="BC33" s="396"/>
      <c r="BD33" s="451"/>
      <c r="BE33" s="445"/>
      <c r="BF33" s="185"/>
      <c r="BG33" s="452"/>
      <c r="BH33" s="452"/>
      <c r="BI33" s="396"/>
      <c r="BJ33" s="451"/>
      <c r="BK33" s="445"/>
      <c r="BL33" s="185"/>
      <c r="BM33" s="452"/>
      <c r="BN33" s="452"/>
      <c r="BO33" s="396"/>
      <c r="BP33" s="451"/>
      <c r="BQ33" s="445"/>
      <c r="BR33" s="185"/>
      <c r="BS33" s="452"/>
      <c r="BT33" s="452"/>
      <c r="BU33" s="396"/>
      <c r="BV33" s="451"/>
      <c r="BW33" s="445"/>
      <c r="BX33" s="185"/>
      <c r="BY33" s="452"/>
      <c r="BZ33" s="452"/>
      <c r="CA33" s="396"/>
      <c r="CB33" s="451"/>
      <c r="CC33" s="451"/>
      <c r="CD33" s="451"/>
      <c r="CE33" s="451"/>
      <c r="CF33" s="451"/>
      <c r="CG33" s="451"/>
      <c r="CH33" s="445"/>
      <c r="CI33" s="445"/>
    </row>
    <row r="34" ht="15.75" customHeight="1">
      <c r="A34" s="229"/>
      <c r="C34" s="432"/>
      <c r="D34" s="432"/>
      <c r="E34" s="446"/>
      <c r="F34" s="418"/>
      <c r="G34" s="418"/>
      <c r="H34" s="516" t="str">
        <f t="array" ref="H34">IF(
  G34 = 0, 
  "", 
  IFERROR(
    INDEX(
      'アイテム別限界値DB'!$I:$I, 
      MATCH(
        1, 
        ('アイテム別限界値DB'!$B:$B = D$4) * 
        ('アイテム別限界値DB'!$E:$E = D34) * 
        ('アイテム別限界値DB'!$F:$F = G34), 
        0
      )
    ), 
    "再製作"
  )
)
</f>
        <v/>
      </c>
      <c r="I34" s="397" t="str">
        <f t="array" ref="I34">IF(
  $G34 = 0, 
  "", 
  IFERROR(
    INDEX(
      'アイテム別限界値DB'!$N:$N, 
      MATCH(
        1, 
        ('アイテム別限界値DB'!$B:$B = $D$4) * 
        ('アイテム別限界値DB'!$G:$G = $D34) * 
        ('アイテム別限界値DB'!$H:$H = $G34), 
        0
      )
    )*F34, 
    "再製作"
  )
)
</f>
        <v/>
      </c>
      <c r="J34" s="443"/>
      <c r="K34" s="425"/>
      <c r="L34" s="447"/>
      <c r="M34" s="455"/>
      <c r="N34" s="386"/>
      <c r="O34" s="396"/>
      <c r="P34" s="451"/>
      <c r="Q34" s="444"/>
      <c r="R34" s="445"/>
      <c r="S34" s="316"/>
      <c r="T34" s="317"/>
      <c r="U34" s="317"/>
      <c r="V34" s="317"/>
      <c r="W34" s="317"/>
      <c r="X34" s="445"/>
      <c r="Y34" s="443"/>
      <c r="Z34" s="448"/>
      <c r="AA34" s="386"/>
      <c r="AB34" s="386"/>
      <c r="AC34" s="396"/>
      <c r="AD34" s="396"/>
      <c r="AE34" s="444"/>
      <c r="AF34" s="449"/>
      <c r="AG34" s="450"/>
      <c r="AH34" s="450"/>
      <c r="AI34" s="450"/>
      <c r="AJ34" s="396"/>
      <c r="AK34" s="451"/>
      <c r="AL34" s="445"/>
      <c r="AM34" s="185"/>
      <c r="AN34" s="185"/>
      <c r="AO34" s="452"/>
      <c r="AP34" s="452"/>
      <c r="AQ34" s="396"/>
      <c r="AR34" s="451"/>
      <c r="AS34" s="445"/>
      <c r="AT34" s="185"/>
      <c r="AU34" s="452"/>
      <c r="AV34" s="452"/>
      <c r="AW34" s="396"/>
      <c r="AX34" s="451"/>
      <c r="AY34" s="445"/>
      <c r="AZ34" s="185"/>
      <c r="BA34" s="452"/>
      <c r="BB34" s="452"/>
      <c r="BC34" s="396"/>
      <c r="BD34" s="451"/>
      <c r="BE34" s="445"/>
      <c r="BF34" s="185"/>
      <c r="BG34" s="452"/>
      <c r="BH34" s="452"/>
      <c r="BI34" s="396"/>
      <c r="BJ34" s="451"/>
      <c r="BK34" s="445"/>
      <c r="BL34" s="185"/>
      <c r="BM34" s="452"/>
      <c r="BN34" s="452"/>
      <c r="BO34" s="396"/>
      <c r="BP34" s="451"/>
      <c r="BQ34" s="445"/>
      <c r="BR34" s="185"/>
      <c r="BS34" s="452"/>
      <c r="BT34" s="452"/>
      <c r="BU34" s="396"/>
      <c r="BV34" s="451"/>
      <c r="BW34" s="445"/>
      <c r="BX34" s="185"/>
      <c r="BY34" s="452"/>
      <c r="BZ34" s="452"/>
      <c r="CA34" s="396"/>
      <c r="CB34" s="451"/>
      <c r="CC34" s="451"/>
      <c r="CD34" s="451"/>
      <c r="CE34" s="451"/>
      <c r="CF34" s="451"/>
      <c r="CG34" s="451"/>
      <c r="CH34" s="445"/>
      <c r="CI34" s="445"/>
    </row>
    <row r="35" ht="18.75" customHeight="1">
      <c r="A35" s="457"/>
      <c r="C35" s="432"/>
      <c r="D35" s="432"/>
      <c r="E35" s="446"/>
      <c r="F35" s="446"/>
      <c r="G35" s="446"/>
      <c r="H35" s="517"/>
      <c r="I35" s="396"/>
      <c r="J35" s="443"/>
      <c r="K35" s="425"/>
      <c r="L35" s="447"/>
      <c r="M35" s="455"/>
      <c r="N35" s="386"/>
      <c r="O35" s="396"/>
      <c r="P35" s="396"/>
      <c r="Q35" s="444"/>
      <c r="R35" s="445"/>
      <c r="S35" s="316"/>
      <c r="T35" s="317"/>
      <c r="U35" s="317"/>
      <c r="V35" s="317"/>
      <c r="W35" s="317"/>
      <c r="X35" s="445"/>
      <c r="Y35" s="443"/>
      <c r="Z35" s="448"/>
      <c r="AA35" s="386"/>
      <c r="AB35" s="386"/>
      <c r="AC35" s="396"/>
      <c r="AD35" s="396"/>
      <c r="AE35" s="444"/>
      <c r="AF35" s="449"/>
      <c r="AG35" s="450"/>
      <c r="AH35" s="450"/>
      <c r="AI35" s="450"/>
      <c r="AJ35" s="396"/>
      <c r="AK35" s="396"/>
      <c r="AL35" s="445"/>
      <c r="AM35" s="185"/>
      <c r="AN35" s="185"/>
      <c r="AO35" s="452"/>
      <c r="AP35" s="452"/>
      <c r="AQ35" s="396"/>
      <c r="AR35" s="396"/>
      <c r="AS35" s="445"/>
      <c r="AT35" s="185"/>
      <c r="AU35" s="452"/>
      <c r="AV35" s="452"/>
      <c r="AW35" s="396"/>
      <c r="AX35" s="396"/>
      <c r="AY35" s="445"/>
      <c r="AZ35" s="185"/>
      <c r="BA35" s="452"/>
      <c r="BB35" s="452"/>
      <c r="BC35" s="396"/>
      <c r="BD35" s="396"/>
      <c r="BE35" s="445"/>
      <c r="BF35" s="185"/>
      <c r="BG35" s="452"/>
      <c r="BH35" s="452"/>
      <c r="BI35" s="396"/>
      <c r="BJ35" s="396"/>
      <c r="BK35" s="445"/>
      <c r="BL35" s="185"/>
      <c r="BM35" s="452"/>
      <c r="BN35" s="452"/>
      <c r="BO35" s="396"/>
      <c r="BP35" s="396"/>
      <c r="BQ35" s="445"/>
      <c r="BR35" s="185"/>
      <c r="BS35" s="452"/>
      <c r="BT35" s="452"/>
      <c r="BU35" s="396"/>
      <c r="BV35" s="396"/>
      <c r="BW35" s="445"/>
      <c r="BX35" s="185"/>
      <c r="BY35" s="452"/>
      <c r="BZ35" s="452"/>
      <c r="CA35" s="396"/>
      <c r="CB35" s="396"/>
      <c r="CC35" s="396"/>
      <c r="CD35" s="396"/>
      <c r="CE35" s="396"/>
      <c r="CF35" s="396"/>
      <c r="CG35" s="396"/>
      <c r="CH35" s="445"/>
      <c r="CI35" s="445"/>
    </row>
    <row r="36">
      <c r="A36" s="160"/>
      <c r="C36" s="360"/>
      <c r="D36" s="459" t="s">
        <v>34</v>
      </c>
      <c r="E36" s="362"/>
      <c r="F36" s="362"/>
      <c r="G36" s="362"/>
      <c r="H36" s="363"/>
      <c r="I36" s="363"/>
      <c r="J36" s="364"/>
      <c r="K36" s="365" t="s">
        <v>36</v>
      </c>
      <c r="L36" s="460"/>
      <c r="M36" s="461"/>
      <c r="N36" s="363"/>
      <c r="O36" s="363"/>
      <c r="P36" s="363"/>
      <c r="Q36" s="332"/>
      <c r="R36" s="367" t="s">
        <v>37</v>
      </c>
      <c r="S36" s="366"/>
      <c r="T36" s="363"/>
      <c r="U36" s="363"/>
      <c r="V36" s="363"/>
      <c r="W36" s="363"/>
      <c r="X36" s="327"/>
      <c r="Y36" s="368" t="s">
        <v>38</v>
      </c>
      <c r="Z36" s="366"/>
      <c r="AA36" s="363"/>
      <c r="AB36" s="363"/>
      <c r="AC36" s="363"/>
      <c r="AD36" s="363"/>
      <c r="AE36" s="332"/>
      <c r="AF36" s="299" t="s">
        <v>39</v>
      </c>
      <c r="AG36" s="369"/>
      <c r="AH36" s="363"/>
      <c r="AI36" s="363"/>
      <c r="AJ36" s="363"/>
      <c r="AK36" s="363"/>
      <c r="AL36" s="332"/>
      <c r="AM36" s="299" t="s">
        <v>40</v>
      </c>
      <c r="AN36" s="365"/>
      <c r="AO36" s="363"/>
      <c r="AP36" s="363"/>
      <c r="AQ36" s="363"/>
      <c r="AR36" s="363"/>
      <c r="AS36" s="332"/>
      <c r="AT36" s="365" t="s">
        <v>41</v>
      </c>
      <c r="AU36" s="363"/>
      <c r="AV36" s="363"/>
      <c r="AW36" s="363"/>
      <c r="AX36" s="363"/>
      <c r="AY36" s="332"/>
      <c r="AZ36" s="365" t="s">
        <v>42</v>
      </c>
      <c r="BA36" s="363"/>
      <c r="BB36" s="363"/>
      <c r="BC36" s="363"/>
      <c r="BD36" s="363"/>
      <c r="BE36" s="332"/>
      <c r="BF36" s="365" t="s">
        <v>43</v>
      </c>
      <c r="BG36" s="363"/>
      <c r="BH36" s="363"/>
      <c r="BI36" s="363"/>
      <c r="BJ36" s="363"/>
      <c r="BK36" s="332"/>
      <c r="BL36" s="365" t="s">
        <v>44</v>
      </c>
      <c r="BM36" s="363"/>
      <c r="BN36" s="363"/>
      <c r="BO36" s="363"/>
      <c r="BP36" s="363"/>
      <c r="BQ36" s="332"/>
      <c r="BR36" s="365" t="s">
        <v>45</v>
      </c>
      <c r="BS36" s="363"/>
      <c r="BT36" s="363"/>
      <c r="BU36" s="363"/>
      <c r="BV36" s="363"/>
      <c r="BW36" s="332"/>
      <c r="BX36" s="365" t="s">
        <v>46</v>
      </c>
      <c r="BY36" s="363"/>
      <c r="BZ36" s="363"/>
      <c r="CA36" s="363"/>
      <c r="CB36" s="363"/>
      <c r="CC36" s="330"/>
      <c r="CD36" s="365" t="s">
        <v>188</v>
      </c>
      <c r="CE36" s="363"/>
      <c r="CF36" s="363"/>
      <c r="CG36" s="363"/>
      <c r="CH36" s="332"/>
      <c r="CI36" s="332"/>
    </row>
    <row r="37" ht="37.5" customHeight="1">
      <c r="A37" s="229"/>
      <c r="C37" s="370"/>
      <c r="D37" s="371">
        <f>round(sum(I39:I70),0)</f>
        <v>0</v>
      </c>
      <c r="E37" s="462"/>
      <c r="F37" s="373" t="s">
        <v>189</v>
      </c>
      <c r="G37" s="373" t="s">
        <v>228</v>
      </c>
      <c r="H37" s="463" t="s">
        <v>190</v>
      </c>
      <c r="I37" s="463" t="s">
        <v>191</v>
      </c>
      <c r="J37" s="376"/>
      <c r="K37" s="371">
        <f>round(sum(P39:P70),0)</f>
        <v>0</v>
      </c>
      <c r="L37" s="377"/>
      <c r="M37" s="373" t="s">
        <v>189</v>
      </c>
      <c r="N37" s="373" t="s">
        <v>228</v>
      </c>
      <c r="O37" s="463" t="s">
        <v>190</v>
      </c>
      <c r="P37" s="463" t="s">
        <v>191</v>
      </c>
      <c r="Q37" s="378"/>
      <c r="R37" s="371">
        <f>round(sum(W39:W70),0)</f>
        <v>0</v>
      </c>
      <c r="S37" s="377"/>
      <c r="T37" s="373" t="s">
        <v>189</v>
      </c>
      <c r="U37" s="373" t="s">
        <v>229</v>
      </c>
      <c r="V37" s="463" t="s">
        <v>190</v>
      </c>
      <c r="W37" s="463" t="s">
        <v>191</v>
      </c>
      <c r="X37" s="327"/>
      <c r="Y37" s="371">
        <f>round(sum(AD39:AD70),0)</f>
        <v>0</v>
      </c>
      <c r="Z37" s="377"/>
      <c r="AA37" s="373" t="s">
        <v>189</v>
      </c>
      <c r="AB37" s="373" t="s">
        <v>229</v>
      </c>
      <c r="AC37" s="463" t="s">
        <v>190</v>
      </c>
      <c r="AD37" s="463" t="s">
        <v>191</v>
      </c>
      <c r="AE37" s="380"/>
      <c r="AF37" s="371">
        <f>round(sum(AK39:AK70),0)</f>
        <v>0</v>
      </c>
      <c r="AG37" s="462"/>
      <c r="AH37" s="373" t="s">
        <v>189</v>
      </c>
      <c r="AI37" s="373" t="s">
        <v>229</v>
      </c>
      <c r="AJ37" s="463" t="s">
        <v>190</v>
      </c>
      <c r="AK37" s="463" t="s">
        <v>191</v>
      </c>
      <c r="AL37" s="327"/>
      <c r="AM37" s="371">
        <f>round(sum(AR39:AR70),0)</f>
        <v>0</v>
      </c>
      <c r="AN37" s="371"/>
      <c r="AO37" s="373" t="s">
        <v>189</v>
      </c>
      <c r="AP37" s="373" t="s">
        <v>229</v>
      </c>
      <c r="AQ37" s="463" t="s">
        <v>190</v>
      </c>
      <c r="AR37" s="463" t="s">
        <v>191</v>
      </c>
      <c r="AS37" s="327"/>
      <c r="AT37" s="371">
        <f>round(sum(AX39:AX70),0)</f>
        <v>0</v>
      </c>
      <c r="AU37" s="373" t="s">
        <v>189</v>
      </c>
      <c r="AV37" s="373" t="s">
        <v>229</v>
      </c>
      <c r="AW37" s="463" t="s">
        <v>190</v>
      </c>
      <c r="AX37" s="463" t="s">
        <v>191</v>
      </c>
      <c r="AY37" s="327"/>
      <c r="AZ37" s="371">
        <f>round(sum(BD39:BD70),0)</f>
        <v>0</v>
      </c>
      <c r="BA37" s="373" t="s">
        <v>189</v>
      </c>
      <c r="BB37" s="373" t="s">
        <v>229</v>
      </c>
      <c r="BC37" s="463" t="s">
        <v>190</v>
      </c>
      <c r="BD37" s="463" t="s">
        <v>191</v>
      </c>
      <c r="BE37" s="327"/>
      <c r="BF37" s="371">
        <f>round(sum(BJ39:BJ70),0)</f>
        <v>0</v>
      </c>
      <c r="BG37" s="373" t="s">
        <v>189</v>
      </c>
      <c r="BH37" s="373" t="s">
        <v>229</v>
      </c>
      <c r="BI37" s="463" t="s">
        <v>190</v>
      </c>
      <c r="BJ37" s="463" t="s">
        <v>191</v>
      </c>
      <c r="BK37" s="327"/>
      <c r="BL37" s="371">
        <f>round(sum(BP39:BP70),0)</f>
        <v>0</v>
      </c>
      <c r="BM37" s="373" t="s">
        <v>189</v>
      </c>
      <c r="BN37" s="373" t="s">
        <v>229</v>
      </c>
      <c r="BO37" s="463" t="s">
        <v>190</v>
      </c>
      <c r="BP37" s="463" t="s">
        <v>191</v>
      </c>
      <c r="BQ37" s="327"/>
      <c r="BR37" s="371">
        <f>round(sum(BV39:BV70),0)</f>
        <v>0</v>
      </c>
      <c r="BS37" s="373" t="s">
        <v>189</v>
      </c>
      <c r="BT37" s="373" t="s">
        <v>229</v>
      </c>
      <c r="BU37" s="463" t="s">
        <v>190</v>
      </c>
      <c r="BV37" s="463" t="s">
        <v>191</v>
      </c>
      <c r="BW37" s="327"/>
      <c r="BX37" s="371">
        <f>round(sum(CB39:CB70),0)</f>
        <v>0</v>
      </c>
      <c r="BY37" s="373" t="s">
        <v>189</v>
      </c>
      <c r="BZ37" s="373" t="s">
        <v>229</v>
      </c>
      <c r="CA37" s="463" t="s">
        <v>190</v>
      </c>
      <c r="CB37" s="463" t="s">
        <v>191</v>
      </c>
      <c r="CC37" s="464"/>
      <c r="CD37" s="371">
        <f>round(sum(CG39:CG70),0)</f>
        <v>0</v>
      </c>
      <c r="CE37" s="373" t="s">
        <v>229</v>
      </c>
      <c r="CF37" s="463" t="s">
        <v>190</v>
      </c>
      <c r="CG37" s="463" t="s">
        <v>191</v>
      </c>
      <c r="CH37" s="327"/>
      <c r="CI37" s="327"/>
    </row>
    <row r="38" ht="18.75" hidden="1" customHeight="1">
      <c r="A38" s="457"/>
      <c r="B38" s="465"/>
      <c r="C38" s="93"/>
      <c r="D38" s="466" t="b">
        <f t="array" ref="D38:D48">UNIQUE(IF( ('アイテム別限界値DB'!$B:$B = D$4) * ('アイテム別限界値DB'!$A:$A = "縫製"),  IF('アイテム別限界値DB'!$B:$B = D$4, 'アイテム別限界値DB'!$G:$G, "") ))</f>
        <v>0</v>
      </c>
      <c r="E38" s="466" t="b">
        <f t="array" ref="E38:E48">UNIQUE(IF( ('アイテム別限界値DB'!$B:$B = D$4) * ('アイテム別限界値DB'!$A:$A = "縫製"),  IF('アイテム別限界値DB'!$B:$B = D$4, 'アイテム別限界値DB'!$C:$C, "") ))</f>
        <v>0</v>
      </c>
      <c r="F38" s="224"/>
      <c r="G38" s="224"/>
      <c r="H38" s="12"/>
      <c r="I38" s="12"/>
      <c r="J38" s="93"/>
      <c r="K38" s="466" t="b">
        <f t="array" ref="K38:K56">UNIQUE(IF( ('アイテム別限界値DB'!$B:$B = K$4) * ('アイテム別限界値DB'!$A:$A = "縫製"),  IF('アイテム別限界値DB'!$B:$B = K$4, 'アイテム別限界値DB'!$G:$G, "") ))</f>
        <v>0</v>
      </c>
      <c r="L38" s="466" t="b">
        <f t="array" ref="L38:L56">UNIQUE(IF( ('アイテム別限界値DB'!$B:$B = K$4) * ('アイテム別限界値DB'!$A:$A = "縫製"),  IF('アイテム別限界値DB'!$B:$B = K$4, 'アイテム別限界値DB'!$C:$C, "") ))</f>
        <v>0</v>
      </c>
      <c r="M38" s="12"/>
      <c r="N38" s="226"/>
      <c r="O38" s="12"/>
      <c r="P38" s="12"/>
      <c r="Q38" s="93"/>
      <c r="R38" s="466" t="b">
        <f t="array" ref="R38:R49">UNIQUE(IF( ('アイテム別限界値DB'!$B:$B = R$4) * ('アイテム別限界値DB'!$A:$A = "縫製"),  IF('アイテム別限界値DB'!$B:$B = R$4, 'アイテム別限界値DB'!$G:$G, "") ))</f>
        <v>0</v>
      </c>
      <c r="S38" s="466" t="b">
        <f t="array" ref="S38:S49">UNIQUE(IF( ('アイテム別限界値DB'!$B:$B = R$4) * ('アイテム別限界値DB'!$A:$A = "縫製"),  IF('アイテム別限界値DB'!$B:$B = R$4, 'アイテム別限界値DB'!$C:$C, "") ))</f>
        <v>0</v>
      </c>
      <c r="T38" s="12"/>
      <c r="U38" s="12"/>
      <c r="V38" s="12"/>
      <c r="W38" s="12"/>
      <c r="X38" s="160"/>
      <c r="Y38" s="466" t="b">
        <f t="array" ref="Y38:Y49">UNIQUE(IF( ('アイテム別限界値DB'!$B:$B = Y$4) * ('アイテム別限界値DB'!$A:$A = "縫製"),  IF('アイテム別限界値DB'!$B:$B = Y$4, 'アイテム別限界値DB'!$G:$G, "") ))</f>
        <v>0</v>
      </c>
      <c r="Z38" s="466" t="b">
        <f t="array" ref="Z38:Z49">UNIQUE(IF( ('アイテム別限界値DB'!$B:$B = Y$4) * ('アイテム別限界値DB'!$A:$A = "縫製"),  IF('アイテム別限界値DB'!$B:$B = Y$4, 'アイテム別限界値DB'!$C:$C, "") ))</f>
        <v>0</v>
      </c>
      <c r="AA38" s="12"/>
      <c r="AB38" s="12"/>
      <c r="AC38" s="12"/>
      <c r="AD38" s="12"/>
      <c r="AE38" s="93"/>
      <c r="AF38" s="466" t="b">
        <f t="array" ref="AF38:AF43">UNIQUE(IF( ('アイテム別限界値DB'!$B:$B = AF$4) * ('アイテム別限界値DB'!$A:$A = "縫製"),  IF('アイテム別限界値DB'!$B:$B = AF$4, 'アイテム別限界値DB'!$G:$G, "") ))</f>
        <v>0</v>
      </c>
      <c r="AG38" s="466" t="b">
        <f t="array" ref="AG38:AG43">UNIQUE(IF( ('アイテム別限界値DB'!$B:$B = AF$4) * ('アイテム別限界値DB'!$A:$A = "縫製"),  IF('アイテム別限界値DB'!$B:$B = AF$4, 'アイテム別限界値DB'!$C:$C, "") ))</f>
        <v>0</v>
      </c>
      <c r="AH38" s="12"/>
      <c r="AI38" s="12"/>
      <c r="AJ38" s="12"/>
      <c r="AK38" s="12"/>
      <c r="AL38" s="160"/>
      <c r="AM38" s="466" t="b">
        <f t="array" ref="AM38:AM43">UNIQUE(IF( ('アイテム別限界値DB'!$B:$B = AM$4) * ('アイテム別限界値DB'!$A:$A = "縫製"),  IF('アイテム別限界値DB'!$B:$B = AM$4, 'アイテム別限界値DB'!$G:$G, "") ))</f>
        <v>0</v>
      </c>
      <c r="AN38" s="466" t="b">
        <f t="array" ref="AN38:AN43">UNIQUE(IF( ('アイテム別限界値DB'!$B:$B = AM$4) * ('アイテム別限界値DB'!$A:$A = "縫製"),  IF('アイテム別限界値DB'!$B:$B = AM$4, 'アイテム別限界値DB'!$C:$C, "") ))</f>
        <v>0</v>
      </c>
      <c r="AO38" s="12"/>
      <c r="AP38" s="12"/>
      <c r="AQ38" s="12"/>
      <c r="AR38" s="12"/>
      <c r="AS38" s="160"/>
      <c r="AT38" s="467" t="b">
        <f t="array" ref="AT38:AT39">UNIQUE(IF( ('アイテム別限界値DB'!$B:$B = AT$4) * ('アイテム別限界値DB'!$A:$A = "縫製"),  IF('アイテム別限界値DB'!$B:$B = AT$4, 'アイテム別限界値DB'!$G:$G, "") ))</f>
        <v>0</v>
      </c>
      <c r="AU38" s="12"/>
      <c r="AV38" s="12"/>
      <c r="AW38" s="12"/>
      <c r="AX38" s="12"/>
      <c r="AY38" s="160"/>
      <c r="AZ38" s="467" t="b">
        <f t="array" ref="AZ38:AZ39">UNIQUE(IF( ('アイテム別限界値DB'!$B:$B = AZ$4) * ('アイテム別限界値DB'!$A:$A = "縫製"),  IF('アイテム別限界値DB'!$B:$B = AZ$4, 'アイテム別限界値DB'!$G:$G, "") ))</f>
        <v>0</v>
      </c>
      <c r="BA38" s="12"/>
      <c r="BB38" s="12"/>
      <c r="BC38" s="12"/>
      <c r="BD38" s="12"/>
      <c r="BE38" s="160"/>
      <c r="BF38" s="467" t="b">
        <f t="array" ref="BF38:BF39">UNIQUE(IF( ('アイテム別限界値DB'!$B:$B = BF$4) * ('アイテム別限界値DB'!$A:$A = "縫製"),  IF('アイテム別限界値DB'!$B:$B = BF$4, 'アイテム別限界値DB'!$G:$G, "") ))</f>
        <v>0</v>
      </c>
      <c r="BG38" s="12"/>
      <c r="BH38" s="12"/>
      <c r="BI38" s="12"/>
      <c r="BJ38" s="12"/>
      <c r="BK38" s="160"/>
      <c r="BL38" s="467" t="b">
        <f t="array" ref="BL38:BL39">UNIQUE(IF( ('アイテム別限界値DB'!$B:$B = BL$4) * ('アイテム別限界値DB'!$A:$A = "縫製"),  IF('アイテム別限界値DB'!$B:$B = BL$4, 'アイテム別限界値DB'!$G:$G, "") ))</f>
        <v>0</v>
      </c>
      <c r="BM38" s="12"/>
      <c r="BN38" s="12"/>
      <c r="BO38" s="12"/>
      <c r="BP38" s="12"/>
      <c r="BQ38" s="160"/>
      <c r="BR38" s="467" t="b">
        <f t="array" ref="BR38:BR39">UNIQUE(IF( ('アイテム別限界値DB'!$B:$B = BR$4) * ('アイテム別限界値DB'!$A:$A = "縫製"),  IF('アイテム別限界値DB'!$B:$B = BR$4, 'アイテム別限界値DB'!$G:$G, "") ))</f>
        <v>0</v>
      </c>
      <c r="BS38" s="12"/>
      <c r="BT38" s="12"/>
      <c r="BU38" s="12"/>
      <c r="BV38" s="12"/>
      <c r="BW38" s="160"/>
      <c r="BX38" s="467" t="b">
        <f t="array" ref="BX38:BX39">UNIQUE(IF( ('アイテム別限界値DB'!$B:$B = BX$4) * ('アイテム別限界値DB'!$A:$A = "縫製"),  IF('アイテム別限界値DB'!$B:$B = BX$4, 'アイテム別限界値DB'!$G:$G, "") ))</f>
        <v>0</v>
      </c>
      <c r="BY38" s="12"/>
      <c r="BZ38" s="12"/>
      <c r="CA38" s="12"/>
      <c r="CB38" s="12"/>
      <c r="CC38" s="93"/>
      <c r="CD38" s="468" t="b">
        <f t="array" ref="CD38">UNIQUE(IF( ('アイテム別限界値DB'!$B:$B = CD$4) * ('アイテム別限界値DB'!$A:$A = "縫製"),  IF('アイテム別限界値DB'!$B:$B = CD$4, 'アイテム別限界値DB'!$E:$E, "") ))</f>
        <v>0</v>
      </c>
      <c r="CE38" s="392" t="s">
        <v>230</v>
      </c>
      <c r="CG38" s="387"/>
      <c r="CH38" s="469"/>
      <c r="CI38" s="469"/>
    </row>
    <row r="39" ht="18.75" hidden="1" customHeight="1">
      <c r="A39" s="160"/>
      <c r="B39" s="470"/>
      <c r="C39" s="229"/>
      <c r="D39" s="246" t="s">
        <v>51</v>
      </c>
      <c r="E39" s="303" t="s">
        <v>51</v>
      </c>
      <c r="F39" s="471"/>
      <c r="G39" s="471" t="str">
        <f>IF(COUNTA(G40:G70)&gt;0, "プレスあり", "")</f>
        <v/>
      </c>
      <c r="H39" s="195"/>
      <c r="I39" s="227" t="str">
        <f t="array" ref="I39">IF(
  G39 = "", 
  "", 
  IFERROR(
    INDEX(
      'アイテム別限界値DB'!$N:$N, 
      MATCH(
        1, 
        ('アイテム別限界値DB'!$B:$B = D$4) * 
        ('アイテム別限界値DB'!$G:$G = D39), 
        0
      )
    ), 
    "再製作"
  )
)
</f>
        <v/>
      </c>
      <c r="J39" s="472"/>
      <c r="K39" s="246" t="s">
        <v>51</v>
      </c>
      <c r="L39" s="303" t="s">
        <v>51</v>
      </c>
      <c r="M39" s="224"/>
      <c r="N39" s="219" t="str">
        <f>IF(COUNTA(N40:N70)&gt;0, "プレスあり", "")</f>
        <v/>
      </c>
      <c r="O39" s="195"/>
      <c r="P39" s="473" t="str">
        <f t="array" ref="P39">IF(
  N39 = "", 
  "", 
  IFERROR(
    INDEX(
      'アイテム別限界値DB'!$N:$N, 
      MATCH(
        1, 
        ('アイテム別限界値DB'!$B:$B = K$4) * 
        ('アイテム別限界値DB'!$G:$G = K39), 
        0
      )
    ) * MAX(M40:M70), 
    "再製作"
  )
)
</f>
        <v/>
      </c>
      <c r="Q39" s="93"/>
      <c r="R39" s="474" t="s">
        <v>51</v>
      </c>
      <c r="S39" s="303" t="s">
        <v>51</v>
      </c>
      <c r="T39" s="217"/>
      <c r="U39" s="217" t="str">
        <f>IF(COUNTA(U40:U70)&gt;0, "プレスあり", "")</f>
        <v/>
      </c>
      <c r="V39" s="195"/>
      <c r="W39" s="218" t="str">
        <f t="array" ref="W39">IF(
  U39 = "", 
  "", 
  IFERROR(
    INDEX(
      'アイテム別限界値DB'!$N:$N, 
      MATCH(
        1, 
        ('アイテム別限界値DB'!$B:$B = R$4) * 
        ('アイテム別限界値DB'!$G:$G = R39), 
        0
      )
    ), 
    "再製作"
  )
)
</f>
        <v/>
      </c>
      <c r="X39" s="93"/>
      <c r="Y39" s="474" t="s">
        <v>51</v>
      </c>
      <c r="Z39" s="303" t="s">
        <v>51</v>
      </c>
      <c r="AA39" s="217"/>
      <c r="AB39" s="217" t="str">
        <f>IF(COUNTA(AB40:AB70)&gt;0, "プレスあり", "")</f>
        <v/>
      </c>
      <c r="AC39" s="195"/>
      <c r="AD39" s="218" t="str">
        <f t="array" ref="AD39">IF(
  AB39 = "", 
  "", 
  IFERROR(
    INDEX(
      'アイテム別限界値DB'!$N:$N, 
      MATCH(
        1, 
        ('アイテム別限界値DB'!$B:$B = Y$4) * 
        ('アイテム別限界値DB'!$G:$G = Y39), 
        0
      )
    ), 
    "再製作"
  )
)
</f>
        <v/>
      </c>
      <c r="AE39" s="93"/>
      <c r="AF39" s="93" t="s">
        <v>51</v>
      </c>
      <c r="AG39" s="303" t="s">
        <v>51</v>
      </c>
      <c r="AH39" s="217"/>
      <c r="AI39" s="217" t="str">
        <f>IF(COUNTA(AI40:AI70)&gt;0, "プレスあり", "")</f>
        <v/>
      </c>
      <c r="AJ39" s="195"/>
      <c r="AK39" s="218" t="str">
        <f t="array" ref="AK39">IF(
  AI39 = "", 
  "", 
  IFERROR(
    INDEX(
      'アイテム別限界値DB'!$N:$N, 
      MATCH(
        1, 
        ('アイテム別限界値DB'!$B:$B = AF$4) * 
        ('アイテム別限界値DB'!$G:$G = AF39), 
        0
      )
    ), 
    "再製作"
  )
)
</f>
        <v/>
      </c>
      <c r="AL39" s="160"/>
      <c r="AM39" s="93" t="s">
        <v>51</v>
      </c>
      <c r="AN39" s="474" t="s">
        <v>51</v>
      </c>
      <c r="AO39" s="217"/>
      <c r="AP39" s="217" t="str">
        <f>IF(COUNTA(AP40:AP70)&gt;0, "プレスあり", "")</f>
        <v/>
      </c>
      <c r="AQ39" s="195"/>
      <c r="AR39" s="218" t="str">
        <f t="array" ref="AR39">IF(
  AP39 = "", 
  "", 
  IFERROR(
    INDEX(
      'アイテム別限界値DB'!$N:$N, 
      MATCH(
        1, 
        ('アイテム別限界値DB'!$B:$B = AM$4) * 
        ('アイテム別限界値DB'!$G:$G = AM39), 
        0
      )
    ), 
    "再製作"
  )
)
</f>
        <v/>
      </c>
      <c r="AS39" s="160"/>
      <c r="AT39" s="93" t="s">
        <v>51</v>
      </c>
      <c r="AU39" s="217"/>
      <c r="AV39" s="217" t="str">
        <f>IF(COUNTA(AV40:AV70)&gt;0, "プレスあり", "")</f>
        <v/>
      </c>
      <c r="AW39" s="195"/>
      <c r="AX39" s="218" t="str">
        <f t="array" ref="AX39">IF(
  AV39 = "", 
  "", 
  IFERROR(
    INDEX(
      'アイテム別限界値DB'!$N:$N, 
      MATCH(
        1, 
        ('アイテム別限界値DB'!$B:$B = AT$4) * 
        ('アイテム別限界値DB'!$G:$G = AT39), 
        0
      )
    ), 
    "再製作"
  )
)
</f>
        <v/>
      </c>
      <c r="AY39" s="160"/>
      <c r="AZ39" s="93" t="s">
        <v>51</v>
      </c>
      <c r="BA39" s="217"/>
      <c r="BB39" s="217" t="str">
        <f>IF(COUNTA(BB40:BB70)&gt;0, "プレスあり", "")</f>
        <v/>
      </c>
      <c r="BC39" s="195"/>
      <c r="BD39" s="218" t="str">
        <f t="array" ref="BD39">IF(
  BB39 = "", 
  "", 
  IFERROR(
    INDEX(
      'アイテム別限界値DB'!$N:$N, 
      MATCH(
        1, 
        ('アイテム別限界値DB'!$B:$B = AZ$4) * 
        ('アイテム別限界値DB'!$G:$G = AZ39), 
        0
      )
    ), 
    "再製作"
  )
)
</f>
        <v/>
      </c>
      <c r="BE39" s="160"/>
      <c r="BF39" s="93" t="s">
        <v>51</v>
      </c>
      <c r="BG39" s="217"/>
      <c r="BH39" s="217" t="str">
        <f>IF(COUNTA(BH40:BH70)&gt;0, "プレスあり", "")</f>
        <v/>
      </c>
      <c r="BI39" s="195"/>
      <c r="BJ39" s="218" t="str">
        <f t="array" ref="BJ39">IF(
  BH39 = "", 
  "", 
  IFERROR(
    INDEX(
      'アイテム別限界値DB'!$N:$N, 
      MATCH(
        1, 
        ('アイテム別限界値DB'!$B:$B = BF$4) * 
        ('アイテム別限界値DB'!$G:$G = BF39), 
        0
      )
    ), 
    "再製作"
  )
)
</f>
        <v/>
      </c>
      <c r="BK39" s="160"/>
      <c r="BL39" s="93" t="s">
        <v>51</v>
      </c>
      <c r="BM39" s="217"/>
      <c r="BN39" s="217" t="str">
        <f>IF(COUNTA(BN40:BN70)&gt;0, "プレスあり", "")</f>
        <v/>
      </c>
      <c r="BO39" s="195"/>
      <c r="BP39" s="218" t="str">
        <f t="array" ref="BP39">IF(
  BN39 = "", 
  "", 
  IFERROR(
    INDEX(
      'アイテム別限界値DB'!$N:$N, 
      MATCH(
        1, 
        ('アイテム別限界値DB'!$B:$B = BL$4) * 
        ('アイテム別限界値DB'!$G:$G = BL39), 
        0
      )
    ), 
    "再製作"
  )
)
</f>
        <v/>
      </c>
      <c r="BQ39" s="160"/>
      <c r="BR39" s="93" t="s">
        <v>51</v>
      </c>
      <c r="BS39" s="217"/>
      <c r="BT39" s="217" t="str">
        <f>IF(COUNTA(BT40:BT70)&gt;0, "プレスあり", "")</f>
        <v/>
      </c>
      <c r="BU39" s="195"/>
      <c r="BV39" s="218" t="str">
        <f t="array" ref="BV39">IF(
  BT39 = "", 
  "", 
  IFERROR(
    INDEX(
      'アイテム別限界値DB'!$N:$N, 
      MATCH(
        1, 
        ('アイテム別限界値DB'!$B:$B = BR$4) * 
        ('アイテム別限界値DB'!$G:$G = BR39), 
        0
      )
    ), 
    "再製作"
  )
)
</f>
        <v/>
      </c>
      <c r="BW39" s="160"/>
      <c r="BX39" s="93" t="s">
        <v>51</v>
      </c>
      <c r="BY39" s="217"/>
      <c r="BZ39" s="217" t="str">
        <f>IF(COUNTA(BZ40:BZ70)&gt;0, "プレスあり", "")</f>
        <v/>
      </c>
      <c r="CA39" s="195"/>
      <c r="CB39" s="218" t="str">
        <f t="array" ref="CB39">IF(
  BZ39 = "", 
  "", 
  IFERROR(
    INDEX(
      'アイテム別限界値DB'!$N:$N, 
      MATCH(
        1, 
        ('アイテム別限界値DB'!$B:$B = BX$4) * 
        ('アイテム別限界値DB'!$G:$G = BX39), 
        0
      )
    ), 
    "再製作"
  )
)
</f>
        <v/>
      </c>
      <c r="CC39" s="475"/>
      <c r="CD39" s="474"/>
      <c r="CE39" s="476" t="str">
        <f>IF(COUNTA(CE42:CE70)&gt;0, "プレスあり", "")</f>
        <v/>
      </c>
      <c r="CF39" s="396"/>
      <c r="CG39" s="397" t="str">
        <f t="array" ref="CG39">IF(
  CE39 = "", 
  "", 
  IFERROR(
    INDEX(
      'アイテム別限界値DB'!$N:$N, 
      MATCH(
        1, 
        ('アイテム別限界値DB'!$B:$B = CD$4) * 
        ('アイテム別限界値DB'!$G:$G = CD39), 
        0
      )
    ), 
    "再製作"
  )
)
</f>
        <v/>
      </c>
      <c r="CH39" s="469"/>
      <c r="CI39" s="469"/>
    </row>
    <row r="40">
      <c r="A40" s="229"/>
      <c r="B40" s="470"/>
      <c r="C40" s="470"/>
      <c r="D40" s="477" t="s">
        <v>231</v>
      </c>
      <c r="E40" s="478" t="s">
        <v>231</v>
      </c>
      <c r="F40" s="423"/>
      <c r="G40" s="423"/>
      <c r="H40" s="405" t="str">
        <f t="array" ref="H40">IF(
  G40 = 0, 
  "", 
  IFERROR(
    INDEX(
      'アイテム別限界値DB'!$K:$K, 
      MATCH(
        1, 
        ('アイテム別限界値DB'!$B:$B = D$4) * 
        ('アイテム別限界値DB'!$G:$G = D40) , 
        0
      )
    ), 
    "再製作"
  )
)
</f>
        <v/>
      </c>
      <c r="I40" s="397" t="str">
        <f t="array" ref="I40">IF(
  G40 = "", 
  "", 
  IFERROR(
    INDEX(
      'アイテム別限界値DB'!$N:$N, 
      MATCH(
        1, 
        ('アイテム別限界値DB'!$B:$B = D$4) * 
        ('アイテム別限界値DB'!$G:$G = D40), 
        0
      )
    )*$G40*F40, 
    "再製作"
  )
)
</f>
        <v/>
      </c>
      <c r="J40" s="479"/>
      <c r="K40" s="246" t="s">
        <v>231</v>
      </c>
      <c r="L40" s="478" t="s">
        <v>231</v>
      </c>
      <c r="M40" s="423"/>
      <c r="N40" s="423"/>
      <c r="O40" s="405" t="str">
        <f t="array" ref="O40">IF(
  N40 = 0, 
  "", 
  IFERROR(
    INDEX(
      'アイテム別限界値DB'!$K:$K, 
      MATCH(
        1, 
        ('アイテム別限界値DB'!$B:$B = K$4) * 
        ('アイテム別限界値DB'!$G:$G = K40) , 
        0
      )
    ), 
    "再製作"
  )
)
</f>
        <v/>
      </c>
      <c r="P40" s="397" t="str">
        <f t="array" ref="P40">IF(
  N40 = "", 
  "", 
  IFERROR(
    INDEX(
      'アイテム別限界値DB'!$N:$N, 
      MATCH(
        1, 
        ('アイテム別限界値DB'!$B:$B = K$4) * 
        ('アイテム別限界値DB'!$G:$G = K40), 
        0
      )
    )*$N40, 
    "再製作"
  )
)
</f>
        <v/>
      </c>
      <c r="Q40" s="480"/>
      <c r="R40" s="468" t="s">
        <v>231</v>
      </c>
      <c r="S40" s="478" t="s">
        <v>231</v>
      </c>
      <c r="T40" s="423"/>
      <c r="U40" s="423"/>
      <c r="V40" s="405" t="str">
        <f t="array" ref="V40">IF(
  U40 = 0, 
  "", 
  IFERROR(
    INDEX(
      'アイテム別限界値DB'!$K:$K, 
      MATCH(
        1, 
        ('アイテム別限界値DB'!$B:$B = R$4) * 
        ('アイテム別限界値DB'!$G:$G = R40) , 
        0
      )
    ), 
    "再製作"
  )
)
</f>
        <v/>
      </c>
      <c r="W40" s="397" t="str">
        <f t="array" ref="W40">IF(
  U40 = "", 
  "", 
  IFERROR(
    INDEX(
      'アイテム別限界値DB'!$N:$N, 
      MATCH(
        1, 
        ('アイテム別限界値DB'!$B:$B = R$4) * 
        ('アイテム別限界値DB'!$G:$G = R40), 
        0
      )
    )*U40*T40, 
    "再製作"
  )
)
</f>
        <v/>
      </c>
      <c r="X40" s="480"/>
      <c r="Y40" s="481" t="s">
        <v>231</v>
      </c>
      <c r="Z40" s="478" t="s">
        <v>231</v>
      </c>
      <c r="AA40" s="423"/>
      <c r="AB40" s="423"/>
      <c r="AC40" s="405" t="str">
        <f t="array" ref="AC40">IF(
  AB40 = 0, 
  "", 
  IFERROR(
    INDEX(
      'アイテム別限界値DB'!$K:$K, 
      MATCH(
        1, 
        ('アイテム別限界値DB'!$B:$B = Y$4) * 
        ('アイテム別限界値DB'!$G:$G = Y40) , 
        0
      )
    ), 
    "再製作"
  )
)
</f>
        <v/>
      </c>
      <c r="AD40" s="397" t="str">
        <f t="array" ref="AD40">IF(
  AB40 = "", 
  "", 
  IFERROR(
    INDEX(
      'アイテム別限界値DB'!$N:$N, 
      MATCH(
        1, 
        ('アイテム別限界値DB'!$B:$B = Y$4) * 
        ('アイテム別限界値DB'!$G:$G = Y40), 
        0
      )
    )*AB40*AA40, 
    "再製作"
  )
)
</f>
        <v/>
      </c>
      <c r="AE40" s="480"/>
      <c r="AF40" s="93" t="s">
        <v>231</v>
      </c>
      <c r="AG40" s="478" t="s">
        <v>231</v>
      </c>
      <c r="AH40" s="423"/>
      <c r="AI40" s="423"/>
      <c r="AJ40" s="405" t="str">
        <f t="array" ref="AJ40">IF(
  AI40 = 0, 
  "", 
  IFERROR(
    INDEX(
      'アイテム別限界値DB'!$K:$K, 
      MATCH(
        1, 
        ('アイテム別限界値DB'!$B:$B = AF$4) * 
        ('アイテム別限界値DB'!$G:$G = AF40) , 
        0
      )
    ), 
    "再製作"
  )
)
</f>
        <v/>
      </c>
      <c r="AK40" s="397"/>
      <c r="AL40" s="469"/>
      <c r="AM40" s="93" t="s">
        <v>231</v>
      </c>
      <c r="AN40" s="474" t="s">
        <v>231</v>
      </c>
      <c r="AO40" s="423"/>
      <c r="AP40" s="423"/>
      <c r="AQ40" s="405" t="str">
        <f t="array" ref="AQ40">IF(
  AP40 = 0, 
  "", 
  IFERROR(
    INDEX(
      'アイテム別限界値DB'!$K:$K, 
      MATCH(
        1, 
        ('アイテム別限界値DB'!$B:$B = AM$4) * 
        ('アイテム別限界値DB'!$G:$G = AM40) , 
        0
      )
    ), 
    "再製作"
  )
)
</f>
        <v/>
      </c>
      <c r="AR40" s="397" t="str">
        <f t="array" ref="AR40">IF(
  AP40 = "", 
  "", 
  IFERROR(
    INDEX(
      'アイテム別限界値DB'!$N:$N, 
      MATCH(
        1, 
        ('アイテム別限界値DB'!$B:$B = AM$4) * 
        ('アイテム別限界値DB'!$G:$G = AM40), 
        0
      )
    )*AP40*AO40, 
    "再製作"
  )
)
</f>
        <v/>
      </c>
      <c r="AS40" s="469"/>
      <c r="AT40" s="474"/>
      <c r="AU40" s="423"/>
      <c r="AV40" s="423"/>
      <c r="AW40" s="405" t="str">
        <f t="array" ref="AW40">IF(
  AV40 = 0, 
  "", 
  IFERROR(
    INDEX(
      'アイテム別限界値DB'!$K:$K, 
      MATCH(
        1, 
        ('アイテム別限界値DB'!$B:$B = AS$4) * 
        ('アイテム別限界値DB'!$G:$G = AS40) , 
        0
      )
    ), 
    "再製作"
  )
)
</f>
        <v/>
      </c>
      <c r="AX40" s="397" t="str">
        <f t="array" ref="AX40">IF(
  AV40 = "", 
  "", 
  IFERROR(
    INDEX(
      'アイテム別限界値DB'!$N:$N, 
      MATCH(
        1, 
        ('アイテム別限界値DB'!$B:$B = AS$4) * 
        ('アイテム別限界値DB'!$G:$G = AS40), 
        0
      )
    )*AV40*AU40, 
    "再製作"
  )
)
</f>
        <v/>
      </c>
      <c r="AY40" s="469"/>
      <c r="AZ40" s="474"/>
      <c r="BA40" s="423"/>
      <c r="BB40" s="423"/>
      <c r="BC40" s="405" t="str">
        <f t="array" ref="BC40">IF(
  BB40 = 0, 
  "", 
  IFERROR(
    INDEX(
      'アイテム別限界値DB'!$K:$K, 
      MATCH(
        1, 
        ('アイテム別限界値DB'!$B:$B = AY$4) * 
        ('アイテム別限界値DB'!$G:$G = AY40) , 
        0
      )
    ), 
    "再製作"
  )
)
</f>
        <v/>
      </c>
      <c r="BD40" s="397" t="str">
        <f t="array" ref="BD40">IF(
  BB40 = "", 
  "", 
  IFERROR(
    INDEX(
      'アイテム別限界値DB'!$N:$N, 
      MATCH(
        1, 
        ('アイテム別限界値DB'!$B:$B = AZ$4) * 
        ('アイテム別限界値DB'!$G:$G = BB40), 
        0
      )
    )*BB40*BA40, 
    "再製作"
  )
)
</f>
        <v/>
      </c>
      <c r="BE40" s="469"/>
      <c r="BF40" s="474"/>
      <c r="BG40" s="423"/>
      <c r="BH40" s="423"/>
      <c r="BI40" s="405" t="str">
        <f t="array" ref="BI40">IF(
  BH40 = 0, 
  "", 
  IFERROR(
    INDEX(
      'アイテム別限界値DB'!$K:$K, 
      MATCH(
        1, 
        ('アイテム別限界値DB'!$B:$B = BE$4) * 
        ('アイテム別限界値DB'!$G:$G = BE40) , 
        0
      )
    ), 
    "再製作"
  )
)
</f>
        <v/>
      </c>
      <c r="BJ40" s="397"/>
      <c r="BK40" s="469"/>
      <c r="BL40" s="474"/>
      <c r="BM40" s="423"/>
      <c r="BN40" s="423"/>
      <c r="BO40" s="405"/>
      <c r="BP40" s="397" t="str">
        <f t="array" ref="BP40">IF(
  BN40 = "", 
  "", 
  IFERROR(
    INDEX(
      'アイテム別限界値DB'!$N:$N, 
      MATCH(
        1, 
        ('アイテム別限界値DB'!$B:$B = BL$4) * 
        ('アイテム別限界値DB'!$G:$G = BL40), 
        0
      )
    )*BN40, 
    "再製作"
  )
)
</f>
        <v/>
      </c>
      <c r="BQ40" s="469"/>
      <c r="BR40" s="474"/>
      <c r="BS40" s="423"/>
      <c r="BT40" s="423"/>
      <c r="BU40" s="405" t="str">
        <f t="array" ref="BU40">IF(
  BT40 = 0, 
  "", 
  IFERROR(
    INDEX(
      'アイテム別限界値DB'!$K:$K, 
      MATCH(
        1, 
        ('アイテム別限界値DB'!$B:$B = BQ$4) * 
        ('アイテム別限界値DB'!$G:$G = BQ40) , 
        0
      )
    ), 
    "再製作"
  )
)
</f>
        <v/>
      </c>
      <c r="BV40" s="397" t="str">
        <f t="array" ref="BV40">IF(
  BT40 = "", 
  "", 
  IFERROR(
    INDEX(
      'アイテム別限界値DB'!$N:$N, 
      MATCH(
        1, 
        ('アイテム別限界値DB'!$B:$B = BR$4) * 
        ('アイテム別限界値DB'!$G:$G = BR40), 
        0
      )
    )*BT40*BS40, 
    "再製作"
  )
)
</f>
        <v/>
      </c>
      <c r="BW40" s="469"/>
      <c r="BX40" s="474"/>
      <c r="BY40" s="423"/>
      <c r="BZ40" s="423"/>
      <c r="CA40" s="405" t="str">
        <f t="array" ref="CA40">IF(
  BZ40 = 0, 
  "", 
  IFERROR(
    INDEX(
      'アイテム別限界値DB'!$K:$K, 
      MATCH(
        1, 
        ('アイテム別限界値DB'!$B:$B = BW$4) * 
        ('アイテム別限界値DB'!$G:$G = BW40) , 
        0
      )
    ), 
    "再製作"
  )
)
</f>
        <v/>
      </c>
      <c r="CB40" s="397" t="str">
        <f t="array" ref="CB40">IF(
  BZ40 = "", 
  "", 
  IFERROR(
    INDEX(
      'アイテム別限界値DB'!$N:$N, 
      MATCH(
        1, 
        ('アイテム別限界値DB'!$B:$B = BX$4) * 
        ('アイテム別限界値DB'!$G:$G = BX40), 
        0
      )
    )*BZ40*BY40, 
    "再製作"
  )
)
</f>
        <v/>
      </c>
      <c r="CC40" s="402"/>
      <c r="CD40" s="397"/>
      <c r="CE40" s="397"/>
      <c r="CF40" s="397"/>
      <c r="CG40" s="397"/>
      <c r="CH40" s="469"/>
      <c r="CI40" s="469"/>
    </row>
    <row r="41">
      <c r="A41" s="457"/>
      <c r="B41" s="482"/>
      <c r="C41" s="482"/>
      <c r="D41" s="483" t="s">
        <v>232</v>
      </c>
      <c r="E41" s="484" t="s">
        <v>233</v>
      </c>
      <c r="F41" s="485"/>
      <c r="G41" s="485"/>
      <c r="H41" s="405" t="str">
        <f t="array" ref="H41">IF(
  G41 = 0, 
  "", 
  IFERROR(
    INDEX(
      'アイテム別限界値DB'!$K:$K, 
      MATCH(
        1, 
        ('アイテム別限界値DB'!$B:$B = D$4) * 
        ('アイテム別限界値DB'!$G:$G = D41) , 
        0
      )
    ), 
    "再製作"
  )
)
</f>
        <v/>
      </c>
      <c r="I41" s="397" t="str">
        <f t="array" ref="I41">IF(
  G41 = "", 
  "", 
  IFERROR(
    INDEX(
      'アイテム別限界値DB'!$N:$N, 
      MATCH(
        1, 
        ('アイテム別限界値DB'!$B:$B = D$4) * 
        ('アイテム別限界値DB'!$G:$G = D41), 
        0
      )
    )*$G41*F41, 
    "再製作"
  )
)
</f>
        <v/>
      </c>
      <c r="J41" s="479"/>
      <c r="K41" s="246" t="s">
        <v>232</v>
      </c>
      <c r="L41" s="414" t="s">
        <v>233</v>
      </c>
      <c r="M41" s="406"/>
      <c r="N41" s="485"/>
      <c r="O41" s="405" t="str">
        <f t="array" ref="O41">IF(
  N41 = 0, 
  "", 
  IFERROR(
    INDEX(
      'アイテム別限界値DB'!$K:$K, 
      MATCH(
        1, 
        ('アイテム別限界値DB'!$B:$B = K$4) * 
        ('アイテム別限界値DB'!$G:$G = K41) , 
        0
      )
    ), 
    "再製作"
  )
)
</f>
        <v/>
      </c>
      <c r="P41" s="397" t="str">
        <f t="array" ref="P41">IF(
  N41 = "", 
  "", 
  IFERROR(
    INDEX(
      'アイテム別限界値DB'!$N:$N, 
      MATCH(
        1, 
        ('アイテム別限界値DB'!$B:$B = K$4) * 
        ('アイテム別限界値DB'!$G:$G = K41), 
        0
      )
    )*$N41, 
    "再製作"
  )
)
</f>
        <v/>
      </c>
      <c r="Q41" s="480"/>
      <c r="R41" s="481" t="s">
        <v>232</v>
      </c>
      <c r="S41" s="484" t="s">
        <v>233</v>
      </c>
      <c r="T41" s="485"/>
      <c r="U41" s="485"/>
      <c r="V41" s="405" t="str">
        <f t="array" ref="V41">IF(
  U41 = 0, 
  "", 
  IFERROR(
    INDEX(
      'アイテム別限界値DB'!$K:$K, 
      MATCH(
        1, 
        ('アイテム別限界値DB'!$B:$B = R$4) * 
        ('アイテム別限界値DB'!$G:$G = R41) , 
        0
      )
    ), 
    "再製作"
  )
)
</f>
        <v/>
      </c>
      <c r="W41" s="397" t="str">
        <f t="array" ref="W41">IF(
  U41 = "", 
  "", 
  IFERROR(
    INDEX(
      'アイテム別限界値DB'!$N:$N, 
      MATCH(
        1, 
        ('アイテム別限界値DB'!$B:$B = R$4) * 
        ('アイテム別限界値DB'!$G:$G = R41), 
        0
      )
    )*U41*T41, 
    "再製作"
  )
)
</f>
        <v/>
      </c>
      <c r="X41" s="480"/>
      <c r="Y41" s="481" t="s">
        <v>232</v>
      </c>
      <c r="Z41" s="484" t="s">
        <v>233</v>
      </c>
      <c r="AA41" s="485"/>
      <c r="AB41" s="485"/>
      <c r="AC41" s="405" t="str">
        <f t="array" ref="AC41">IF(
  AB41 = 0, 
  "", 
  IFERROR(
    INDEX(
      'アイテム別限界値DB'!$K:$K, 
      MATCH(
        1, 
        ('アイテム別限界値DB'!$B:$B = Y$4) * 
        ('アイテム別限界値DB'!$G:$G = Y41) , 
        0
      )
    ), 
    "再製作"
  )
)
</f>
        <v/>
      </c>
      <c r="AD41" s="397" t="str">
        <f t="array" ref="AD41">IF(
  AB41 = "", 
  "", 
  IFERROR(
    INDEX(
      'アイテム別限界値DB'!$N:$N, 
      MATCH(
        1, 
        ('アイテム別限界値DB'!$B:$B = Y$4) * 
        ('アイテム別限界値DB'!$G:$G = Y41), 
        0
      )
    )*AB41*AA41, 
    "再製作"
  )
)
</f>
        <v/>
      </c>
      <c r="AE41" s="486"/>
      <c r="AF41" s="487" t="s">
        <v>232</v>
      </c>
      <c r="AG41" s="484" t="s">
        <v>233</v>
      </c>
      <c r="AH41" s="485"/>
      <c r="AI41" s="485"/>
      <c r="AJ41" s="405" t="str">
        <f t="array" ref="AJ41">IF(
  AI41 = 0, 
  "", 
  IFERROR(
    INDEX(
      'アイテム別限界値DB'!$K:$K, 
      MATCH(
        1, 
        ('アイテム別限界値DB'!$B:$B = AF$4) * 
        ('アイテム別限界値DB'!$G:$G = AF41) , 
        0
      )
    ), 
    "再製作"
  )
)
</f>
        <v/>
      </c>
      <c r="AK41" s="397"/>
      <c r="AL41" s="469"/>
      <c r="AM41" s="487" t="s">
        <v>232</v>
      </c>
      <c r="AN41" s="488" t="s">
        <v>233</v>
      </c>
      <c r="AO41" s="485"/>
      <c r="AP41" s="485"/>
      <c r="AQ41" s="405" t="str">
        <f t="array" ref="AQ41">IF(
  AP41 = 0, 
  "", 
  IFERROR(
    INDEX(
      'アイテム別限界値DB'!$K:$K, 
      MATCH(
        1, 
        ('アイテム別限界値DB'!$B:$B = AM$4) * 
        ('アイテム別限界値DB'!$G:$G = AM41) , 
        0
      )
    ), 
    "再製作"
  )
)
</f>
        <v/>
      </c>
      <c r="AR41" s="397" t="str">
        <f t="array" ref="AR41">IF(
  AP41 = "", 
  "", 
  IFERROR(
    INDEX(
      'アイテム別限界値DB'!$N:$N, 
      MATCH(
        1, 
        ('アイテム別限界値DB'!$B:$B = AM$4) * 
        ('アイテム別限界値DB'!$G:$G = AM41), 
        0
      )
    )*AP41*AO41, 
    "再製作"
  )
)
</f>
        <v/>
      </c>
      <c r="AS41" s="469"/>
      <c r="AT41" s="488"/>
      <c r="AU41" s="485"/>
      <c r="AV41" s="485"/>
      <c r="AW41" s="405" t="str">
        <f t="array" ref="AW41">IF(
  AV41 = 0, 
  "", 
  IFERROR(
    INDEX(
      'アイテム別限界値DB'!$K:$K, 
      MATCH(
        1, 
        ('アイテム別限界値DB'!$B:$B = AS$4) * 
        ('アイテム別限界値DB'!$G:$G = AS41) , 
        0
      )
    ), 
    "再製作"
  )
)
</f>
        <v/>
      </c>
      <c r="AX41" s="397" t="str">
        <f t="array" ref="AX41">IF(
  AV41 = "", 
  "", 
  IFERROR(
    INDEX(
      'アイテム別限界値DB'!$N:$N, 
      MATCH(
        1, 
        ('アイテム別限界値DB'!$B:$B = AS$4) * 
        ('アイテム別限界値DB'!$G:$G = AS41), 
        0
      )
    )*AV41*AU41, 
    "再製作"
  )
)
</f>
        <v/>
      </c>
      <c r="AY41" s="469"/>
      <c r="AZ41" s="488"/>
      <c r="BA41" s="485"/>
      <c r="BB41" s="485"/>
      <c r="BC41" s="405" t="str">
        <f t="array" ref="BC41">IF(
  BB41 = 0, 
  "", 
  IFERROR(
    INDEX(
      'アイテム別限界値DB'!$K:$K, 
      MATCH(
        1, 
        ('アイテム別限界値DB'!$B:$B = AY$4) * 
        ('アイテム別限界値DB'!$G:$G = AY41) , 
        0
      )
    ), 
    "再製作"
  )
)
</f>
        <v/>
      </c>
      <c r="BD41" s="397" t="str">
        <f t="array" ref="BD41">IF(
  BB41 = "", 
  "", 
  IFERROR(
    INDEX(
      'アイテム別限界値DB'!$N:$N, 
      MATCH(
        1, 
        ('アイテム別限界値DB'!$B:$B = AZ$4) * 
        ('アイテム別限界値DB'!$G:$G = BB41), 
        0
      )
    )*BB41*BA41, 
    "再製作"
  )
)
</f>
        <v/>
      </c>
      <c r="BE41" s="469"/>
      <c r="BF41" s="488"/>
      <c r="BG41" s="485"/>
      <c r="BH41" s="485"/>
      <c r="BI41" s="405" t="str">
        <f t="array" ref="BI41">IF(
  BH41 = 0, 
  "", 
  IFERROR(
    INDEX(
      'アイテム別限界値DB'!$K:$K, 
      MATCH(
        1, 
        ('アイテム別限界値DB'!$B:$B = BE$4) * 
        ('アイテム別限界値DB'!$G:$G = BE41) , 
        0
      )
    ), 
    "再製作"
  )
)
</f>
        <v/>
      </c>
      <c r="BJ41" s="397"/>
      <c r="BK41" s="469"/>
      <c r="BL41" s="488"/>
      <c r="BM41" s="485"/>
      <c r="BN41" s="485"/>
      <c r="BO41" s="405"/>
      <c r="BP41" s="397" t="str">
        <f t="array" ref="BP41">IF(
  BN41 = "", 
  "", 
  IFERROR(
    INDEX(
      'アイテム別限界値DB'!$N:$N, 
      MATCH(
        1, 
        ('アイテム別限界値DB'!$B:$B = BL$4) * 
        ('アイテム別限界値DB'!$G:$G = BL41), 
        0
      )
    )*BN41, 
    "再製作"
  )
)
</f>
        <v/>
      </c>
      <c r="BQ41" s="469"/>
      <c r="BR41" s="488"/>
      <c r="BS41" s="485"/>
      <c r="BT41" s="485"/>
      <c r="BU41" s="405" t="str">
        <f t="array" ref="BU41">IF(
  BT41 = 0, 
  "", 
  IFERROR(
    INDEX(
      'アイテム別限界値DB'!$K:$K, 
      MATCH(
        1, 
        ('アイテム別限界値DB'!$B:$B = BQ$4) * 
        ('アイテム別限界値DB'!$G:$G = BQ41) , 
        0
      )
    ), 
    "再製作"
  )
)
</f>
        <v/>
      </c>
      <c r="BV41" s="397" t="str">
        <f t="array" ref="BV41">IF(
  BT41 = "", 
  "", 
  IFERROR(
    INDEX(
      'アイテム別限界値DB'!$N:$N, 
      MATCH(
        1, 
        ('アイテム別限界値DB'!$B:$B = BR$4) * 
        ('アイテム別限界値DB'!$G:$G = BR41), 
        0
      )
    )*BT41*BS41, 
    "再製作"
  )
)
</f>
        <v/>
      </c>
      <c r="BW41" s="469"/>
      <c r="BX41" s="488"/>
      <c r="BY41" s="485"/>
      <c r="BZ41" s="485"/>
      <c r="CA41" s="405" t="str">
        <f t="array" ref="CA41">IF(
  BZ41 = 0, 
  "", 
  IFERROR(
    INDEX(
      'アイテム別限界値DB'!$K:$K, 
      MATCH(
        1, 
        ('アイテム別限界値DB'!$B:$B = BW$4) * 
        ('アイテム別限界値DB'!$G:$G = BW41) , 
        0
      )
    ), 
    "再製作"
  )
)
</f>
        <v/>
      </c>
      <c r="CB41" s="397" t="str">
        <f t="array" ref="CB41">IF(
  BZ41 = "", 
  "", 
  IFERROR(
    INDEX(
      'アイテム別限界値DB'!$N:$N, 
      MATCH(
        1, 
        ('アイテム別限界値DB'!$B:$B = BX$4) * 
        ('アイテム別限界値DB'!$G:$G = BX41), 
        0
      )
    )*BZ41*BY41, 
    "再製作"
  )
)
</f>
        <v/>
      </c>
      <c r="CC41" s="402"/>
      <c r="CD41" s="397"/>
      <c r="CE41" s="397"/>
      <c r="CF41" s="397"/>
      <c r="CG41" s="397"/>
      <c r="CH41" s="469"/>
      <c r="CI41" s="469"/>
    </row>
    <row r="42">
      <c r="A42" s="160"/>
      <c r="B42" s="470"/>
      <c r="C42" s="470"/>
      <c r="D42" s="477" t="s">
        <v>234</v>
      </c>
      <c r="E42" s="489" t="s">
        <v>235</v>
      </c>
      <c r="F42" s="490"/>
      <c r="G42" s="490"/>
      <c r="H42" s="405" t="str">
        <f t="array" ref="H42">IF(
  G42 = 0, 
  "", 
  IFERROR(
    INDEX(
      'アイテム別限界値DB'!$K:$K, 
      MATCH(
        1, 
        ('アイテム別限界値DB'!$B:$B = D$4) * 
        ('アイテム別限界値DB'!$G:$G = D42) , 
        0
      )
    ), 
    "再製作"
  )
)
</f>
        <v/>
      </c>
      <c r="I42" s="397" t="str">
        <f t="array" ref="I42">IF(
  G42 = "", 
  "", 
  IFERROR(
    INDEX(
      'アイテム別限界値DB'!$N:$N, 
      MATCH(
        1, 
        ('アイテム別限界値DB'!$B:$B = D$4) * 
        ('アイテム別限界値DB'!$G:$G = D42), 
        0
      )
    )*$G42*F42, 
    "再製作"
  )
)
</f>
        <v/>
      </c>
      <c r="J42" s="479"/>
      <c r="K42" s="491" t="s">
        <v>235</v>
      </c>
      <c r="L42" s="414" t="s">
        <v>235</v>
      </c>
      <c r="M42" s="423"/>
      <c r="N42" s="490"/>
      <c r="O42" s="405" t="str">
        <f t="array" ref="O42">IF(
  N42 = 0, 
  "", 
  IFERROR(
    INDEX(
      'アイテム別限界値DB'!$K:$K, 
      MATCH(
        1, 
        ('アイテム別限界値DB'!$B:$B = K$4) * 
        ('アイテム別限界値DB'!$G:$G = K42) , 
        0
      )
    ), 
    "再製作"
  )
)
</f>
        <v/>
      </c>
      <c r="P42" s="397" t="str">
        <f t="array" ref="P42">IF(
  N42 = "", 
  "", 
  IFERROR(
    INDEX(
      'アイテム別限界値DB'!$N:$N, 
      MATCH(
        1, 
        ('アイテム別限界値DB'!$B:$B = K$4) * 
        ('アイテム別限界値DB'!$G:$G = K42), 
        0
      )
    )*$N42, 
    "再製作"
  )
)
</f>
        <v/>
      </c>
      <c r="Q42" s="480"/>
      <c r="R42" s="481" t="s">
        <v>235</v>
      </c>
      <c r="S42" s="484" t="s">
        <v>235</v>
      </c>
      <c r="T42" s="490"/>
      <c r="U42" s="490"/>
      <c r="V42" s="405" t="str">
        <f t="array" ref="V42">IF(
  U42 = 0, 
  "", 
  IFERROR(
    INDEX(
      'アイテム別限界値DB'!$K:$K, 
      MATCH(
        1, 
        ('アイテム別限界値DB'!$B:$B = R$4) * 
        ('アイテム別限界値DB'!$G:$G = R42) , 
        0
      )
    ), 
    "再製作"
  )
)
</f>
        <v/>
      </c>
      <c r="W42" s="397" t="str">
        <f t="array" ref="W42">IF(
  U42 = "", 
  "", 
  IFERROR(
    INDEX(
      'アイテム別限界値DB'!$N:$N, 
      MATCH(
        1, 
        ('アイテム別限界値DB'!$B:$B = R$4) * 
        ('アイテム別限界値DB'!$G:$G = R42), 
        0
      )
    )*U42*T42, 
    "再製作"
  )
)
</f>
        <v/>
      </c>
      <c r="X42" s="469"/>
      <c r="Y42" s="492" t="s">
        <v>235</v>
      </c>
      <c r="Z42" s="484" t="s">
        <v>235</v>
      </c>
      <c r="AA42" s="490"/>
      <c r="AB42" s="490"/>
      <c r="AC42" s="405" t="str">
        <f t="array" ref="AC42">IF(
  AB42 = 0, 
  "", 
  IFERROR(
    INDEX(
      'アイテム別限界値DB'!$K:$K, 
      MATCH(
        1, 
        ('アイテム別限界値DB'!$B:$B = Y$4) * 
        ('アイテム別限界値DB'!$G:$G = Y42) , 
        0
      )
    ), 
    "再製作"
  )
)
</f>
        <v/>
      </c>
      <c r="AD42" s="397" t="str">
        <f t="array" ref="AD42">IF(
  AB42 = "", 
  "", 
  IFERROR(
    INDEX(
      'アイテム別限界値DB'!$N:$N, 
      MATCH(
        1, 
        ('アイテム別限界値DB'!$B:$B = Y$4) * 
        ('アイテム別限界値DB'!$G:$G = Y42), 
        0
      )
    )*AB42*AA42, 
    "再製作"
  )
)
</f>
        <v/>
      </c>
      <c r="AE42" s="486"/>
      <c r="AF42" s="487" t="s">
        <v>235</v>
      </c>
      <c r="AG42" s="484" t="s">
        <v>235</v>
      </c>
      <c r="AH42" s="485"/>
      <c r="AI42" s="485"/>
      <c r="AJ42" s="405" t="str">
        <f t="array" ref="AJ42">IF(
  AI42 = 0, 
  "", 
  IFERROR(
    INDEX(
      'アイテム別限界値DB'!$K:$K, 
      MATCH(
        1, 
        ('アイテム別限界値DB'!$B:$B = AF$4) * 
        ('アイテム別限界値DB'!$G:$G = AF42) , 
        0
      )
    ), 
    "再製作"
  )
)
</f>
        <v/>
      </c>
      <c r="AK42" s="397"/>
      <c r="AL42" s="469"/>
      <c r="AM42" s="469" t="s">
        <v>235</v>
      </c>
      <c r="AN42" s="493" t="s">
        <v>235</v>
      </c>
      <c r="AO42" s="485"/>
      <c r="AP42" s="485"/>
      <c r="AQ42" s="405" t="str">
        <f t="array" ref="AQ42">IF(
  AP42 = 0, 
  "", 
  IFERROR(
    INDEX(
      'アイテム別限界値DB'!$K:$K, 
      MATCH(
        1, 
        ('アイテム別限界値DB'!$B:$B = AM$4) * 
        ('アイテム別限界値DB'!$G:$G = AM42) , 
        0
      )
    ), 
    "再製作"
  )
)
</f>
        <v/>
      </c>
      <c r="AR42" s="397" t="str">
        <f t="array" ref="AR42">IF(
  AP42 = "", 
  "", 
  IFERROR(
    INDEX(
      'アイテム別限界値DB'!$N:$N, 
      MATCH(
        1, 
        ('アイテム別限界値DB'!$B:$B = AM$4) * 
        ('アイテム別限界値DB'!$G:$G = AM42), 
        0
      )
    )*AP42*AO42, 
    "再製作"
  )
)
</f>
        <v/>
      </c>
      <c r="AS42" s="469"/>
      <c r="AT42" s="493"/>
      <c r="AU42" s="485"/>
      <c r="AV42" s="485"/>
      <c r="AW42" s="405" t="str">
        <f t="array" ref="AW42">IF(
  AV42 = 0, 
  "", 
  IFERROR(
    INDEX(
      'アイテム別限界値DB'!$K:$K, 
      MATCH(
        1, 
        ('アイテム別限界値DB'!$B:$B = AS$4) * 
        ('アイテム別限界値DB'!$G:$G = AS42) , 
        0
      )
    ), 
    "再製作"
  )
)
</f>
        <v/>
      </c>
      <c r="AX42" s="397" t="str">
        <f t="array" ref="AX42">IF(
  AV42 = "", 
  "", 
  IFERROR(
    INDEX(
      'アイテム別限界値DB'!$N:$N, 
      MATCH(
        1, 
        ('アイテム別限界値DB'!$B:$B = AS$4) * 
        ('アイテム別限界値DB'!$G:$G = AS42), 
        0
      )
    )*AV42*AU42, 
    "再製作"
  )
)
</f>
        <v/>
      </c>
      <c r="AY42" s="469"/>
      <c r="AZ42" s="493"/>
      <c r="BA42" s="485"/>
      <c r="BB42" s="485"/>
      <c r="BC42" s="405" t="str">
        <f t="array" ref="BC42">IF(
  BB42 = 0, 
  "", 
  IFERROR(
    INDEX(
      'アイテム別限界値DB'!$K:$K, 
      MATCH(
        1, 
        ('アイテム別限界値DB'!$B:$B = AY$4) * 
        ('アイテム別限界値DB'!$G:$G = AY42) , 
        0
      )
    ), 
    "再製作"
  )
)
</f>
        <v/>
      </c>
      <c r="BD42" s="397" t="str">
        <f t="array" ref="BD42">IF(
  BB42 = "", 
  "", 
  IFERROR(
    INDEX(
      'アイテム別限界値DB'!$N:$N, 
      MATCH(
        1, 
        ('アイテム別限界値DB'!$B:$B = AZ$4) * 
        ('アイテム別限界値DB'!$G:$G = BB42), 
        0
      )
    )*BB42*BA42, 
    "再製作"
  )
)
</f>
        <v/>
      </c>
      <c r="BE42" s="469"/>
      <c r="BF42" s="493"/>
      <c r="BG42" s="485"/>
      <c r="BH42" s="485"/>
      <c r="BI42" s="405" t="str">
        <f t="array" ref="BI42">IF(
  BH42 = 0, 
  "", 
  IFERROR(
    INDEX(
      'アイテム別限界値DB'!$K:$K, 
      MATCH(
        1, 
        ('アイテム別限界値DB'!$B:$B = BE$4) * 
        ('アイテム別限界値DB'!$G:$G = BE42) , 
        0
      )
    ), 
    "再製作"
  )
)
</f>
        <v/>
      </c>
      <c r="BJ42" s="397"/>
      <c r="BK42" s="469"/>
      <c r="BL42" s="493"/>
      <c r="BM42" s="485"/>
      <c r="BN42" s="485"/>
      <c r="BO42" s="405"/>
      <c r="BP42" s="397" t="str">
        <f t="array" ref="BP42">IF(
  BN42 = "", 
  "", 
  IFERROR(
    INDEX(
      'アイテム別限界値DB'!$N:$N, 
      MATCH(
        1, 
        ('アイテム別限界値DB'!$B:$B = BL$4) * 
        ('アイテム別限界値DB'!$G:$G = BL42), 
        0
      )
    )*BN42, 
    "再製作"
  )
)
</f>
        <v/>
      </c>
      <c r="BQ42" s="469"/>
      <c r="BR42" s="493"/>
      <c r="BS42" s="485"/>
      <c r="BT42" s="485"/>
      <c r="BU42" s="405" t="str">
        <f t="array" ref="BU42">IF(
  BT42 = 0, 
  "", 
  IFERROR(
    INDEX(
      'アイテム別限界値DB'!$K:$K, 
      MATCH(
        1, 
        ('アイテム別限界値DB'!$B:$B = BQ$4) * 
        ('アイテム別限界値DB'!$G:$G = BQ42) , 
        0
      )
    ), 
    "再製作"
  )
)
</f>
        <v/>
      </c>
      <c r="BV42" s="397" t="str">
        <f t="array" ref="BV42">IF(
  BT42 = "", 
  "", 
  IFERROR(
    INDEX(
      'アイテム別限界値DB'!$N:$N, 
      MATCH(
        1, 
        ('アイテム別限界値DB'!$B:$B = BR$4) * 
        ('アイテム別限界値DB'!$G:$G = BR42), 
        0
      )
    )*BT42*BS42, 
    "再製作"
  )
)
</f>
        <v/>
      </c>
      <c r="BW42" s="469"/>
      <c r="BX42" s="493"/>
      <c r="BY42" s="485"/>
      <c r="BZ42" s="485"/>
      <c r="CA42" s="405" t="str">
        <f t="array" ref="CA42">IF(
  BZ42 = 0, 
  "", 
  IFERROR(
    INDEX(
      'アイテム別限界値DB'!$K:$K, 
      MATCH(
        1, 
        ('アイテム別限界値DB'!$B:$B = BW$4) * 
        ('アイテム別限界値DB'!$G:$G = BW42) , 
        0
      )
    ), 
    "再製作"
  )
)
</f>
        <v/>
      </c>
      <c r="CB42" s="397" t="str">
        <f t="array" ref="CB42">IF(
  BZ42 = "", 
  "", 
  IFERROR(
    INDEX(
      'アイテム別限界値DB'!$N:$N, 
      MATCH(
        1, 
        ('アイテム別限界値DB'!$B:$B = BX$4) * 
        ('アイテム別限界値DB'!$G:$G = BX42), 
        0
      )
    )*BZ42*BY42, 
    "再製作"
  )
)
</f>
        <v/>
      </c>
      <c r="CC42" s="402"/>
      <c r="CD42" s="397"/>
      <c r="CE42" s="397"/>
      <c r="CF42" s="397"/>
      <c r="CG42" s="397"/>
      <c r="CH42" s="469"/>
      <c r="CI42" s="469"/>
    </row>
    <row r="43">
      <c r="A43" s="229"/>
      <c r="B43" s="494"/>
      <c r="C43" s="494"/>
      <c r="D43" s="495" t="s">
        <v>236</v>
      </c>
      <c r="E43" s="484" t="s">
        <v>236</v>
      </c>
      <c r="F43" s="485"/>
      <c r="G43" s="485"/>
      <c r="H43" s="405" t="str">
        <f t="array" ref="H43">IF(
  G43 = 0, 
  "", 
  IFERROR(
    INDEX(
      'アイテム別限界値DB'!$K:$K, 
      MATCH(
        1, 
        ('アイテム別限界値DB'!$B:$B = D$4) * 
        ('アイテム別限界値DB'!$G:$G = D43) , 
        0
      )
    ), 
    "再製作"
  )
)
</f>
        <v/>
      </c>
      <c r="I43" s="397" t="str">
        <f t="array" ref="I43">IF(
  G43 = "", 
  "", 
  IFERROR(
    INDEX(
      'アイテム別限界値DB'!$N:$N, 
      MATCH(
        1, 
        ('アイテム別限界値DB'!$B:$B = D$4) * 
        ('アイテム別限界値DB'!$G:$G = D43), 
        0
      )
    )*$G43*F43, 
    "再製作"
  )
)
</f>
        <v/>
      </c>
      <c r="J43" s="479"/>
      <c r="K43" s="491" t="s">
        <v>236</v>
      </c>
      <c r="L43" s="414" t="s">
        <v>236</v>
      </c>
      <c r="M43" s="403"/>
      <c r="N43" s="496"/>
      <c r="O43" s="405" t="str">
        <f t="array" ref="O43">IF(
  N43 = 0, 
  "", 
  IFERROR(
    INDEX(
      'アイテム別限界値DB'!$K:$K, 
      MATCH(
        1, 
        ('アイテム別限界値DB'!$B:$B = K$4) * 
        ('アイテム別限界値DB'!$G:$G = K43) , 
        0
      )
    ), 
    "再製作"
  )
)
</f>
        <v/>
      </c>
      <c r="P43" s="397" t="str">
        <f t="array" ref="P43">IF(
  N43 = "", 
  "", 
  IFERROR(
    INDEX(
      'アイテム別限界値DB'!$N:$N, 
      MATCH(
        1, 
        ('アイテム別限界値DB'!$B:$B = K$4) * 
        ('アイテム別限界値DB'!$G:$G = K43), 
        0
      )
    )*$N43, 
    "再製作"
  )
)
</f>
        <v/>
      </c>
      <c r="Q43" s="480"/>
      <c r="R43" s="497" t="s">
        <v>236</v>
      </c>
      <c r="S43" s="484" t="s">
        <v>236</v>
      </c>
      <c r="T43" s="485"/>
      <c r="U43" s="485"/>
      <c r="V43" s="405" t="str">
        <f t="array" ref="V43">IF(
  U43 = 0, 
  "", 
  IFERROR(
    INDEX(
      'アイテム別限界値DB'!$K:$K, 
      MATCH(
        1, 
        ('アイテム別限界値DB'!$B:$B = R$4) * 
        ('アイテム別限界値DB'!$G:$G = R43) , 
        0
      )
    ), 
    "再製作"
  )
)
</f>
        <v/>
      </c>
      <c r="W43" s="397" t="str">
        <f t="array" ref="W43">IF(
  U43 = "", 
  "", 
  IFERROR(
    INDEX(
      'アイテム別限界値DB'!$N:$N, 
      MATCH(
        1, 
        ('アイテム別限界値DB'!$B:$B = R$4) * 
        ('アイテム別限界値DB'!$G:$G = R43), 
        0
      )
    )*U43*T43, 
    "再製作"
  )
)
</f>
        <v/>
      </c>
      <c r="X43" s="469"/>
      <c r="Y43" s="492" t="s">
        <v>236</v>
      </c>
      <c r="Z43" s="484" t="s">
        <v>236</v>
      </c>
      <c r="AA43" s="485"/>
      <c r="AB43" s="485"/>
      <c r="AC43" s="405" t="str">
        <f t="array" ref="AC43">IF(
  AB43 = 0, 
  "", 
  IFERROR(
    INDEX(
      'アイテム別限界値DB'!$K:$K, 
      MATCH(
        1, 
        ('アイテム別限界値DB'!$B:$B = Y$4) * 
        ('アイテム別限界値DB'!$G:$G = Y43) , 
        0
      )
    ), 
    "再製作"
  )
)
</f>
        <v/>
      </c>
      <c r="AD43" s="397" t="str">
        <f t="array" ref="AD43">IF(
  AB43 = "", 
  "", 
  IFERROR(
    INDEX(
      'アイテム別限界値DB'!$N:$N, 
      MATCH(
        1, 
        ('アイテム別限界値DB'!$B:$B = Y$4) * 
        ('アイテム別限界値DB'!$G:$G = Y43), 
        0
      )
    )*AB43*AA43, 
    "再製作"
  )
)
</f>
        <v/>
      </c>
      <c r="AE43" s="498"/>
      <c r="AF43" s="487" t="s">
        <v>236</v>
      </c>
      <c r="AG43" s="484" t="s">
        <v>236</v>
      </c>
      <c r="AH43" s="485"/>
      <c r="AI43" s="485"/>
      <c r="AJ43" s="405" t="str">
        <f t="array" ref="AJ43">IF(
  AI43 = 0, 
  "", 
  IFERROR(
    INDEX(
      'アイテム別限界値DB'!$K:$K, 
      MATCH(
        1, 
        ('アイテム別限界値DB'!$B:$B = AF$4) * 
        ('アイテム別限界値DB'!$G:$G = AF43) , 
        0
      )
    ), 
    "再製作"
  )
)
</f>
        <v/>
      </c>
      <c r="AK43" s="397"/>
      <c r="AL43" s="469"/>
      <c r="AM43" s="487" t="s">
        <v>236</v>
      </c>
      <c r="AN43" s="488" t="s">
        <v>236</v>
      </c>
      <c r="AO43" s="485"/>
      <c r="AP43" s="485"/>
      <c r="AQ43" s="405" t="str">
        <f t="array" ref="AQ43">IF(
  AP43 = 0, 
  "", 
  IFERROR(
    INDEX(
      'アイテム別限界値DB'!$K:$K, 
      MATCH(
        1, 
        ('アイテム別限界値DB'!$B:$B = AM$4) * 
        ('アイテム別限界値DB'!$G:$G = AM43) , 
        0
      )
    ), 
    "再製作"
  )
)
</f>
        <v/>
      </c>
      <c r="AR43" s="397" t="str">
        <f t="array" ref="AR43">IF(
  AP43 = "", 
  "", 
  IFERROR(
    INDEX(
      'アイテム別限界値DB'!$N:$N, 
      MATCH(
        1, 
        ('アイテム別限界値DB'!$B:$B = AM$4) * 
        ('アイテム別限界値DB'!$G:$G = AM43), 
        0
      )
    )*AP43*AO43, 
    "再製作"
  )
)
</f>
        <v/>
      </c>
      <c r="AS43" s="469"/>
      <c r="AT43" s="488"/>
      <c r="AU43" s="485"/>
      <c r="AV43" s="485"/>
      <c r="AW43" s="405" t="str">
        <f t="array" ref="AW43">IF(
  AV43 = 0, 
  "", 
  IFERROR(
    INDEX(
      'アイテム別限界値DB'!$K:$K, 
      MATCH(
        1, 
        ('アイテム別限界値DB'!$B:$B = AS$4) * 
        ('アイテム別限界値DB'!$G:$G = AS43) , 
        0
      )
    ), 
    "再製作"
  )
)
</f>
        <v/>
      </c>
      <c r="AX43" s="397" t="str">
        <f t="array" ref="AX43">IF(
  AV43 = "", 
  "", 
  IFERROR(
    INDEX(
      'アイテム別限界値DB'!$N:$N, 
      MATCH(
        1, 
        ('アイテム別限界値DB'!$B:$B = AS$4) * 
        ('アイテム別限界値DB'!$G:$G = AS43), 
        0
      )
    )*AV43*AU43, 
    "再製作"
  )
)
</f>
        <v/>
      </c>
      <c r="AY43" s="469"/>
      <c r="AZ43" s="488"/>
      <c r="BA43" s="485"/>
      <c r="BB43" s="485"/>
      <c r="BC43" s="405" t="str">
        <f t="array" ref="BC43">IF(
  BB43 = 0, 
  "", 
  IFERROR(
    INDEX(
      'アイテム別限界値DB'!$K:$K, 
      MATCH(
        1, 
        ('アイテム別限界値DB'!$B:$B = AY$4) * 
        ('アイテム別限界値DB'!$G:$G = AY43) , 
        0
      )
    ), 
    "再製作"
  )
)
</f>
        <v/>
      </c>
      <c r="BD43" s="397" t="str">
        <f t="array" ref="BD43">IF(
  BB43 = "", 
  "", 
  IFERROR(
    INDEX(
      'アイテム別限界値DB'!$N:$N, 
      MATCH(
        1, 
        ('アイテム別限界値DB'!$B:$B = AZ$4) * 
        ('アイテム別限界値DB'!$G:$G = BB43), 
        0
      )
    )*BB43*BA43, 
    "再製作"
  )
)
</f>
        <v/>
      </c>
      <c r="BE43" s="469"/>
      <c r="BF43" s="488"/>
      <c r="BG43" s="485"/>
      <c r="BH43" s="485"/>
      <c r="BI43" s="405" t="str">
        <f t="array" ref="BI43">IF(
  BH43 = 0, 
  "", 
  IFERROR(
    INDEX(
      'アイテム別限界値DB'!$K:$K, 
      MATCH(
        1, 
        ('アイテム別限界値DB'!$B:$B = BE$4) * 
        ('アイテム別限界値DB'!$G:$G = BE43) , 
        0
      )
    ), 
    "再製作"
  )
)
</f>
        <v/>
      </c>
      <c r="BJ43" s="397"/>
      <c r="BK43" s="469"/>
      <c r="BL43" s="488"/>
      <c r="BM43" s="485"/>
      <c r="BN43" s="485"/>
      <c r="BO43" s="405"/>
      <c r="BP43" s="397" t="str">
        <f t="array" ref="BP43">IF(
  BN43 = "", 
  "", 
  IFERROR(
    INDEX(
      'アイテム別限界値DB'!$N:$N, 
      MATCH(
        1, 
        ('アイテム別限界値DB'!$B:$B = BL$4) * 
        ('アイテム別限界値DB'!$G:$G = BL43), 
        0
      )
    )*BN43, 
    "再製作"
  )
)
</f>
        <v/>
      </c>
      <c r="BQ43" s="469"/>
      <c r="BR43" s="488"/>
      <c r="BS43" s="485"/>
      <c r="BT43" s="485"/>
      <c r="BU43" s="405" t="str">
        <f t="array" ref="BU43">IF(
  BT43 = 0, 
  "", 
  IFERROR(
    INDEX(
      'アイテム別限界値DB'!$K:$K, 
      MATCH(
        1, 
        ('アイテム別限界値DB'!$B:$B = BQ$4) * 
        ('アイテム別限界値DB'!$G:$G = BQ43) , 
        0
      )
    ), 
    "再製作"
  )
)
</f>
        <v/>
      </c>
      <c r="BV43" s="397" t="str">
        <f t="array" ref="BV43">IF(
  BT43 = "", 
  "", 
  IFERROR(
    INDEX(
      'アイテム別限界値DB'!$N:$N, 
      MATCH(
        1, 
        ('アイテム別限界値DB'!$B:$B = BR$4) * 
        ('アイテム別限界値DB'!$G:$G = BR43), 
        0
      )
    )*BT43*BS43, 
    "再製作"
  )
)
</f>
        <v/>
      </c>
      <c r="BW43" s="469"/>
      <c r="BX43" s="488"/>
      <c r="BY43" s="485"/>
      <c r="BZ43" s="485"/>
      <c r="CA43" s="405" t="str">
        <f t="array" ref="CA43">IF(
  BZ43 = 0, 
  "", 
  IFERROR(
    INDEX(
      'アイテム別限界値DB'!$K:$K, 
      MATCH(
        1, 
        ('アイテム別限界値DB'!$B:$B = BW$4) * 
        ('アイテム別限界値DB'!$G:$G = BW43) , 
        0
      )
    ), 
    "再製作"
  )
)
</f>
        <v/>
      </c>
      <c r="CB43" s="397" t="str">
        <f t="array" ref="CB43">IF(
  BZ43 = "", 
  "", 
  IFERROR(
    INDEX(
      'アイテム別限界値DB'!$N:$N, 
      MATCH(
        1, 
        ('アイテム別限界値DB'!$B:$B = BX$4) * 
        ('アイテム別限界値DB'!$G:$G = BX43), 
        0
      )
    )*BZ43*BY43, 
    "再製作"
  )
)
</f>
        <v/>
      </c>
      <c r="CC43" s="402"/>
      <c r="CD43" s="397"/>
      <c r="CE43" s="397"/>
      <c r="CF43" s="397"/>
      <c r="CG43" s="397"/>
      <c r="CH43" s="469"/>
      <c r="CI43" s="469"/>
    </row>
    <row r="44">
      <c r="A44" s="457"/>
      <c r="B44" s="499"/>
      <c r="C44" s="499"/>
      <c r="D44" s="500" t="s">
        <v>237</v>
      </c>
      <c r="E44" s="489" t="s">
        <v>238</v>
      </c>
      <c r="F44" s="490"/>
      <c r="G44" s="490"/>
      <c r="H44" s="405" t="str">
        <f t="array" ref="H44">IF(
  G44 = 0, 
  "", 
  IFERROR(
    INDEX(
      'アイテム別限界値DB'!$K:$K, 
      MATCH(
        1, 
        ('アイテム別限界値DB'!$B:$B = D$4) * 
        ('アイテム別限界値DB'!$G:$G = D44) , 
        0
      )
    ), 
    "再製作"
  )
)
</f>
        <v/>
      </c>
      <c r="I44" s="397" t="str">
        <f t="array" ref="I44">IF(
  G44 = "", 
  "", 
  IFERROR(
    INDEX(
      'アイテム別限界値DB'!$N:$N, 
      MATCH(
        1, 
        ('アイテム別限界値DB'!$B:$B = D$4) * 
        ('アイテム別限界値DB'!$G:$G = D44), 
        0
      )
    )*$G44*F44, 
    "再製作"
  )
)
</f>
        <v/>
      </c>
      <c r="J44" s="479"/>
      <c r="K44" s="246" t="s">
        <v>239</v>
      </c>
      <c r="L44" s="414" t="s">
        <v>239</v>
      </c>
      <c r="M44" s="423"/>
      <c r="N44" s="490"/>
      <c r="O44" s="405" t="str">
        <f t="array" ref="O44">IF(
  N44 = 0, 
  "", 
  IFERROR(
    INDEX(
      'アイテム別限界値DB'!$K:$K, 
      MATCH(
        1, 
        ('アイテム別限界値DB'!$B:$B = K$4) * 
        ('アイテム別限界値DB'!$G:$G = K44) , 
        0
      )
    ), 
    "再製作"
  )
)
</f>
        <v/>
      </c>
      <c r="P44" s="397" t="str">
        <f t="array" ref="P44">IF(
  N44 = "", 
  "", 
  IFERROR(
    INDEX(
      'アイテム別限界値DB'!$N:$N, 
      MATCH(
        1, 
        ('アイテム別限界値DB'!$B:$B = K$4) * 
        ('アイテム別限界値DB'!$G:$G = K44), 
        0
      )
    )*$N44, 
    "再製作"
  )
)
</f>
        <v/>
      </c>
      <c r="Q44" s="480"/>
      <c r="R44" s="501" t="s">
        <v>238</v>
      </c>
      <c r="S44" s="484" t="s">
        <v>238</v>
      </c>
      <c r="T44" s="490"/>
      <c r="U44" s="490"/>
      <c r="V44" s="405" t="str">
        <f t="array" ref="V44">IF(
  U44 = 0, 
  "", 
  IFERROR(
    INDEX(
      'アイテム別限界値DB'!$K:$K, 
      MATCH(
        1, 
        ('アイテム別限界値DB'!$B:$B = R$4) * 
        ('アイテム別限界値DB'!$G:$G = R44) , 
        0
      )
    ), 
    "再製作"
  )
)
</f>
        <v/>
      </c>
      <c r="W44" s="397" t="str">
        <f t="array" ref="W44">IF(
  U44 = "", 
  "", 
  IFERROR(
    INDEX(
      'アイテム別限界値DB'!$N:$N, 
      MATCH(
        1, 
        ('アイテム別限界値DB'!$B:$B = R$4) * 
        ('アイテム別限界値DB'!$G:$G = R44), 
        0
      )
    )*U44*T44, 
    "再製作"
  )
)
</f>
        <v/>
      </c>
      <c r="X44" s="469"/>
      <c r="Y44" s="481" t="s">
        <v>240</v>
      </c>
      <c r="Z44" s="484" t="s">
        <v>240</v>
      </c>
      <c r="AA44" s="490"/>
      <c r="AB44" s="490"/>
      <c r="AC44" s="405" t="str">
        <f t="array" ref="AC44">IF(
  AB44 = 0, 
  "", 
  IFERROR(
    INDEX(
      'アイテム別限界値DB'!$K:$K, 
      MATCH(
        1, 
        ('アイテム別限界値DB'!$B:$B = Y$4) * 
        ('アイテム別限界値DB'!$G:$G = Y44) , 
        0
      )
    ), 
    "再製作"
  )
)
</f>
        <v/>
      </c>
      <c r="AD44" s="397" t="str">
        <f t="array" ref="AD44">IF(
  AB44 = "", 
  "", 
  IFERROR(
    INDEX(
      'アイテム別限界値DB'!$N:$N, 
      MATCH(
        1, 
        ('アイテム別限界値DB'!$B:$B = Y$4) * 
        ('アイテム別限界値DB'!$G:$G = Y44), 
        0
      )
    )*AB44*AA44, 
    "再製作"
  )
)
</f>
        <v/>
      </c>
      <c r="AE44" s="498"/>
      <c r="AF44" s="487"/>
      <c r="AG44" s="437"/>
      <c r="AH44" s="440"/>
      <c r="AI44" s="440"/>
      <c r="AJ44" s="396" t="str">
        <f t="array" ref="AJ44">IF(
  AI44 = 0, 
  "", 
  IFERROR(
    INDEX(
      'アイテム別限界値DB'!$I:$I, 
      MATCH(
        1, 
        ('アイテム別限界値DB'!$B:$B = AF$4) * 
        ('アイテム別限界値DB'!$C:$C = AF44) * 
        ('アイテム別限界値DB'!$F:$F = AI44), 
        0
      )
    ), 
    "再製作"
  )
)
</f>
        <v/>
      </c>
      <c r="AK44" s="396"/>
      <c r="AL44" s="469"/>
      <c r="AM44" s="487"/>
      <c r="AN44" s="488"/>
      <c r="AO44" s="440"/>
      <c r="AP44" s="440"/>
      <c r="AQ44" s="396" t="str">
        <f t="array" ref="AQ44">IFS(
  AP44 = "", "", 
  AP44 = "バスト連動値", "", 
  AP44&lt;&gt;0,
  IFERROR(
    INDEX(
      'アイテム別限界値DB'!$I:$I, 
      MATCH(
        1, 
        ('アイテム別限界値DB'!$B:$B = AM$4) * 
        ('アイテム別限界値DB'!$C:$C = AM44) * 
        ('アイテム別限界値DB'!$F:$F = AP44), 
        0
      )
    ), 
    "再製作"
  )
)
</f>
        <v/>
      </c>
      <c r="AR44" s="396"/>
      <c r="AS44" s="469"/>
      <c r="AT44" s="488"/>
      <c r="AU44" s="440"/>
      <c r="AV44" s="440"/>
      <c r="AW44" s="396" t="str">
        <f t="array" ref="AW44">IFS(
  AV44 = "", "", 
  AV44 = "バスト連動値", "", 
  AV44&lt;&gt;0,
  IFERROR(
    INDEX(
      'アイテム別限界値DB'!$I:$I, 
      MATCH(
        1, 
        ('アイテム別限界値DB'!$B:$B = AT$4) * 
        ('アイテム別限界値DB'!$C:$C = AT44) * 
        ('アイテム別限界値DB'!$F:$F = AV44), 
        0
      )
    ), 
    "再製作"
  )
)
</f>
        <v/>
      </c>
      <c r="AX44" s="396"/>
      <c r="AY44" s="469"/>
      <c r="AZ44" s="488"/>
      <c r="BA44" s="440"/>
      <c r="BB44" s="440"/>
      <c r="BC44" s="396" t="str">
        <f t="array" ref="BC44">IFS(
  BB44 = "", "", 
  BB44 = "バスト連動値", "", 
  BB44&lt;&gt;0,
  IFERROR(
    INDEX(
      'アイテム別限界値DB'!$I:$I, 
      MATCH(
        1, 
        ('アイテム別限界値DB'!$B:$B = AZ$4) * 
        ('アイテム別限界値DB'!$C:$C = AZ44) * 
        ('アイテム別限界値DB'!$F:$F = BB44), 
        0
      )
    ), 
    "再製作"
  )
)
</f>
        <v/>
      </c>
      <c r="BD44" s="396"/>
      <c r="BE44" s="469"/>
      <c r="BF44" s="488"/>
      <c r="BG44" s="440"/>
      <c r="BH44" s="440"/>
      <c r="BI44" s="396" t="str">
        <f t="array" ref="BI44">IFS(
  BH44 = "", "", 
  BH44 = "バスト連動値", "", 
  BH44&lt;&gt;0,
  IFERROR(
    INDEX(
      'アイテム別限界値DB'!$I:$I, 
      MATCH(
        1, 
        ('アイテム別限界値DB'!$B:$B = BF$4) * 
        ('アイテム別限界値DB'!$C:$C = BF44) * 
        ('アイテム別限界値DB'!$F:$F = BH44), 
        0
      )
    ), 
    "再製作"
  )
)
</f>
        <v/>
      </c>
      <c r="BJ44" s="396"/>
      <c r="BK44" s="469"/>
      <c r="BL44" s="488"/>
      <c r="BM44" s="440"/>
      <c r="BN44" s="440"/>
      <c r="BO44" s="396"/>
      <c r="BP44" s="396"/>
      <c r="BQ44" s="469"/>
      <c r="BR44" s="488"/>
      <c r="BS44" s="440"/>
      <c r="BT44" s="440"/>
      <c r="BU44" s="396" t="str">
        <f t="array" ref="BU44">IFS(
  BT44 = "", "", 
  BT44 = "バスト連動値", "", 
  BT44&lt;&gt;0,
  IFERROR(
    INDEX(
      'アイテム別限界値DB'!$I:$I, 
      MATCH(
        1, 
        ('アイテム別限界値DB'!$B:$B = BR$4) * 
        ('アイテム別限界値DB'!$C:$C = BR44) * 
        ('アイテム別限界値DB'!$F:$F = BT44), 
        0
      )
    ), 
    "再製作"
  )
)
</f>
        <v/>
      </c>
      <c r="BV44" s="396"/>
      <c r="BW44" s="469"/>
      <c r="BX44" s="488"/>
      <c r="BY44" s="440"/>
      <c r="BZ44" s="440"/>
      <c r="CA44" s="396" t="str">
        <f t="array" ref="CA44">IFS(
  BZ44 = "", "", 
  BZ44 = "バスト連動値", "", 
  BZ44&lt;&gt;0,
  IFERROR(
    INDEX(
      'アイテム別限界値DB'!$I:$I, 
      MATCH(
        1, 
        ('アイテム別限界値DB'!$B:$B = BX$4) * 
        ('アイテム別限界値DB'!$C:$C = BX44) * 
        ('アイテム別限界値DB'!$F:$F = BZ44), 
        0
      )
    ), 
    "再製作"
  )
)
</f>
        <v/>
      </c>
      <c r="CB44" s="396"/>
      <c r="CC44" s="396"/>
      <c r="CD44" s="396"/>
      <c r="CE44" s="396"/>
      <c r="CF44" s="396"/>
      <c r="CG44" s="396"/>
      <c r="CH44" s="469"/>
      <c r="CI44" s="469"/>
    </row>
    <row r="45">
      <c r="A45" s="160"/>
      <c r="B45" s="502"/>
      <c r="C45" s="502"/>
      <c r="D45" s="503" t="s">
        <v>241</v>
      </c>
      <c r="E45" s="484" t="s">
        <v>242</v>
      </c>
      <c r="F45" s="485"/>
      <c r="G45" s="485"/>
      <c r="H45" s="405" t="str">
        <f t="array" ref="H45">IF(
  G45 = 0, 
  "", 
  IFERROR(
    INDEX(
      'アイテム別限界値DB'!$K:$K, 
      MATCH(
        1, 
        ('アイテム別限界値DB'!$B:$B = D$4) * 
        ('アイテム別限界値DB'!$G:$G = D45) , 
        0
      )
    ), 
    "再製作"
  )
)
</f>
        <v/>
      </c>
      <c r="I45" s="397" t="str">
        <f t="array" ref="I45">IF(
  G45 = "", 
  "", 
  IFERROR(
    INDEX(
      'アイテム別限界値DB'!$N:$N, 
      MATCH(
        1, 
        ('アイテム別限界値DB'!$B:$B = D$4) * 
        ('アイテム別限界値DB'!$G:$G = D45), 
        0
      )
    )*$G45*F45, 
    "再製作"
  )
)
</f>
        <v/>
      </c>
      <c r="J45" s="479"/>
      <c r="K45" s="246" t="s">
        <v>243</v>
      </c>
      <c r="L45" s="414" t="s">
        <v>244</v>
      </c>
      <c r="M45" s="406"/>
      <c r="N45" s="485"/>
      <c r="O45" s="405" t="str">
        <f t="array" ref="O45">IF(
  N45 = 0, 
  "", 
  IFERROR(
    INDEX(
      'アイテム別限界値DB'!$K:$K, 
      MATCH(
        1, 
        ('アイテム別限界値DB'!$B:$B = K$4) * 
        ('アイテム別限界値DB'!$G:$G = K45) , 
        0
      )
    ), 
    "再製作"
  )
)
</f>
        <v/>
      </c>
      <c r="P45" s="397" t="str">
        <f t="array" ref="P45">IF(
  N45 = "", 
  "", 
  IFERROR(
    INDEX(
      'アイテム別限界値DB'!$N:$N, 
      MATCH(
        1, 
        ('アイテム別限界値DB'!$B:$B = K$4) * 
        ('アイテム別限界値DB'!$G:$G = K45), 
        0
      )
    )*$N45, 
    "再製作"
  )
)
</f>
        <v/>
      </c>
      <c r="Q45" s="480"/>
      <c r="R45" s="501" t="s">
        <v>245</v>
      </c>
      <c r="S45" s="484" t="s">
        <v>245</v>
      </c>
      <c r="T45" s="485"/>
      <c r="U45" s="485"/>
      <c r="V45" s="405" t="str">
        <f t="array" ref="V45">IF(
  U45 = 0, 
  "", 
  IFERROR(
    INDEX(
      'アイテム別限界値DB'!$K:$K, 
      MATCH(
        1, 
        ('アイテム別限界値DB'!$B:$B = R$4) * 
        ('アイテム別限界値DB'!$G:$G = R45) , 
        0
      )
    ), 
    "再製作"
  )
)
</f>
        <v/>
      </c>
      <c r="W45" s="397" t="str">
        <f t="array" ref="W45">IF(
  U45 = "", 
  "", 
  IFERROR(
    INDEX(
      'アイテム別限界値DB'!$N:$N, 
      MATCH(
        1, 
        ('アイテム別限界値DB'!$B:$B = R$4) * 
        ('アイテム別限界値DB'!$G:$G = R45), 
        0
      )
    )*U45*T45, 
    "再製作"
  )
)
</f>
        <v/>
      </c>
      <c r="X45" s="469"/>
      <c r="Y45" s="468" t="s">
        <v>246</v>
      </c>
      <c r="Z45" s="484" t="s">
        <v>247</v>
      </c>
      <c r="AA45" s="485"/>
      <c r="AB45" s="485"/>
      <c r="AC45" s="405" t="str">
        <f t="array" ref="AC45">IF(
  AB45 = 0, 
  "", 
  IFERROR(
    INDEX(
      'アイテム別限界値DB'!$K:$K, 
      MATCH(
        1, 
        ('アイテム別限界値DB'!$B:$B = Y$4) * 
        ('アイテム別限界値DB'!$G:$G = Y45) , 
        0
      )
    ), 
    "再製作"
  )
)
</f>
        <v/>
      </c>
      <c r="AD45" s="397" t="str">
        <f t="array" ref="AD45">IF(
  AB45 = "", 
  "", 
  IFERROR(
    INDEX(
      'アイテム別限界値DB'!$N:$N, 
      MATCH(
        1, 
        ('アイテム別限界値DB'!$B:$B = Y$4) * 
        ('アイテム別限界値DB'!$G:$G = Y45), 
        0
      )
    )*AB45*AA45, 
    "再製作"
  )
)
</f>
        <v/>
      </c>
      <c r="AE45" s="498"/>
      <c r="AF45" s="487"/>
      <c r="AG45" s="437"/>
      <c r="AH45" s="440"/>
      <c r="AI45" s="440"/>
      <c r="AJ45" s="396" t="str">
        <f t="array" ref="AJ45">IFS(
  AI45 = "", "", 
  AI45 = "バスト連動値", "", 
  AI45&lt;&gt;0,
  IFERROR(
    INDEX(
      'アイテム別限界値DB'!$I:$I, 
      MATCH(
        1, 
        ('アイテム別限界値DB'!$B:$B = AF$4) * 
        ('アイテム別限界値DB'!$C:$C = AF45) * 
        ('アイテム別限界値DB'!$F:$F = AI45), 
        0
      )
    ), 
    "再製作"
  )
)
</f>
        <v/>
      </c>
      <c r="AK45" s="396"/>
      <c r="AL45" s="469"/>
      <c r="AM45" s="487"/>
      <c r="AN45" s="488"/>
      <c r="AO45" s="504"/>
      <c r="AP45" s="504"/>
      <c r="AQ45" s="396" t="str">
        <f t="array" ref="AQ45">IF(
  AP45 = 0, 
  "", 
  IFERROR(
    INDEX(
      'アイテム別限界値DB'!$I:$I, 
      MATCH(
        1, 
        ('アイテム別限界値DB'!$B:$B = AM$4) * 
        ('アイテム別限界値DB'!$C:$C = AM45) * 
        ('アイテム別限界値DB'!$F:$F = AP45), 
        0
      )
    ), 
    "再製作"
  )
)
</f>
        <v/>
      </c>
      <c r="AR45" s="396"/>
      <c r="AS45" s="469"/>
      <c r="AT45" s="488"/>
      <c r="AU45" s="504"/>
      <c r="AV45" s="504"/>
      <c r="AW45" s="396" t="str">
        <f t="array" ref="AW45">IF(
  AV45 = 0, 
  "", 
  IFERROR(
    INDEX(
      'アイテム別限界値DB'!$I:$I, 
      MATCH(
        1, 
        ('アイテム別限界値DB'!$B:$B = AT$4) * 
        ('アイテム別限界値DB'!$C:$C = AT45) * 
        ('アイテム別限界値DB'!$F:$F = AV45), 
        0
      )
    ), 
    "再製作"
  )
)
</f>
        <v/>
      </c>
      <c r="AX45" s="396"/>
      <c r="AY45" s="469"/>
      <c r="AZ45" s="488"/>
      <c r="BA45" s="504"/>
      <c r="BB45" s="504"/>
      <c r="BC45" s="396" t="str">
        <f t="array" ref="BC45">IF(
  BB45 = 0, 
  "", 
  IFERROR(
    INDEX(
      'アイテム別限界値DB'!$I:$I, 
      MATCH(
        1, 
        ('アイテム別限界値DB'!$B:$B = AZ$4) * 
        ('アイテム別限界値DB'!$C:$C = AZ45) * 
        ('アイテム別限界値DB'!$F:$F = BB45), 
        0
      )
    ), 
    "再製作"
  )
)
</f>
        <v/>
      </c>
      <c r="BD45" s="396"/>
      <c r="BE45" s="469"/>
      <c r="BF45" s="488"/>
      <c r="BG45" s="504"/>
      <c r="BH45" s="504"/>
      <c r="BI45" s="396" t="str">
        <f t="array" ref="BI45">IF(
  BH45 = 0, 
  "", 
  IFERROR(
    INDEX(
      'アイテム別限界値DB'!$I:$I, 
      MATCH(
        1, 
        ('アイテム別限界値DB'!$B:$B = BF$4) * 
        ('アイテム別限界値DB'!$C:$C = BF45) * 
        ('アイテム別限界値DB'!$F:$F = BH45), 
        0
      )
    ), 
    "再製作"
  )
)
</f>
        <v/>
      </c>
      <c r="BJ45" s="396"/>
      <c r="BK45" s="469"/>
      <c r="BL45" s="488"/>
      <c r="BM45" s="504"/>
      <c r="BN45" s="504"/>
      <c r="BO45" s="396"/>
      <c r="BP45" s="396"/>
      <c r="BQ45" s="469"/>
      <c r="BR45" s="488"/>
      <c r="BS45" s="504"/>
      <c r="BT45" s="504"/>
      <c r="BU45" s="396" t="str">
        <f t="array" ref="BU45">IF(
  BT45 = 0, 
  "", 
  IFERROR(
    INDEX(
      'アイテム別限界値DB'!$I:$I, 
      MATCH(
        1, 
        ('アイテム別限界値DB'!$B:$B = BR$4) * 
        ('アイテム別限界値DB'!$C:$C = BR45) * 
        ('アイテム別限界値DB'!$F:$F = BT45), 
        0
      )
    ), 
    "再製作"
  )
)
</f>
        <v/>
      </c>
      <c r="BV45" s="396"/>
      <c r="BW45" s="469"/>
      <c r="BX45" s="488"/>
      <c r="BY45" s="504"/>
      <c r="BZ45" s="504"/>
      <c r="CA45" s="396" t="str">
        <f t="array" ref="CA45">IF(
  BZ45 = 0, 
  "", 
  IFERROR(
    INDEX(
      'アイテム別限界値DB'!$I:$I, 
      MATCH(
        1, 
        ('アイテム別限界値DB'!$B:$B = BX$4) * 
        ('アイテム別限界値DB'!$C:$C = BX45) * 
        ('アイテム別限界値DB'!$F:$F = BZ45), 
        0
      )
    ), 
    "再製作"
  )
)
</f>
        <v/>
      </c>
      <c r="CB45" s="396"/>
      <c r="CC45" s="396"/>
      <c r="CD45" s="396"/>
      <c r="CE45" s="396"/>
      <c r="CF45" s="396"/>
      <c r="CG45" s="396"/>
      <c r="CH45" s="469"/>
      <c r="CI45" s="469"/>
    </row>
    <row r="46">
      <c r="A46" s="229"/>
      <c r="B46" s="499"/>
      <c r="C46" s="499"/>
      <c r="D46" s="500" t="s">
        <v>248</v>
      </c>
      <c r="E46" s="489" t="s">
        <v>249</v>
      </c>
      <c r="F46" s="490"/>
      <c r="G46" s="490"/>
      <c r="H46" s="405" t="str">
        <f t="array" ref="H46">IF(
  G46 = 0, 
  "", 
  IFERROR(
    INDEX(
      'アイテム別限界値DB'!$K:$K, 
      MATCH(
        1, 
        ('アイテム別限界値DB'!$B:$B = D$4) * 
        ('アイテム別限界値DB'!$G:$G = D46) , 
        0
      )
    ), 
    "再製作"
  )
)
</f>
        <v/>
      </c>
      <c r="I46" s="397" t="str">
        <f t="array" ref="I46">IF(
  G46 = "", 
  "", 
  IFERROR(
    INDEX(
      'アイテム別限界値DB'!$N:$N, 
      MATCH(
        1, 
        ('アイテム別限界値DB'!$B:$B = D$4) * 
        ('アイテム別限界値DB'!$G:$G = D46), 
        0
      )
    )*$G46*F46, 
    "再製作"
  )
)
</f>
        <v/>
      </c>
      <c r="J46" s="479"/>
      <c r="K46" s="491" t="s">
        <v>238</v>
      </c>
      <c r="L46" s="414" t="s">
        <v>238</v>
      </c>
      <c r="M46" s="423"/>
      <c r="N46" s="490"/>
      <c r="O46" s="405" t="str">
        <f t="array" ref="O46">IF(
  N46 = 0, 
  "", 
  IFERROR(
    INDEX(
      'アイテム別限界値DB'!$K:$K, 
      MATCH(
        1, 
        ('アイテム別限界値DB'!$B:$B = K$4) * 
        ('アイテム別限界値DB'!$G:$G = K46) , 
        0
      )
    ), 
    "再製作"
  )
)
</f>
        <v/>
      </c>
      <c r="P46" s="397" t="str">
        <f t="array" ref="P46">IF(
  N46 = "", 
  "", 
  IFERROR(
    INDEX(
      'アイテム別限界値DB'!$N:$N, 
      MATCH(
        1, 
        ('アイテム別限界値DB'!$B:$B = K$4) * 
        ('アイテム別限界値DB'!$G:$G = K46), 
        0
      )
    )*$N46, 
    "再製作"
  )
)
</f>
        <v/>
      </c>
      <c r="Q46" s="486"/>
      <c r="R46" s="493" t="s">
        <v>250</v>
      </c>
      <c r="S46" s="484" t="s">
        <v>251</v>
      </c>
      <c r="T46" s="485"/>
      <c r="U46" s="485"/>
      <c r="V46" s="405" t="str">
        <f t="array" ref="V46">IF(
  U46 = 0, 
  "", 
  IFERROR(
    INDEX(
      'アイテム別限界値DB'!$K:$K, 
      MATCH(
        1, 
        ('アイテム別限界値DB'!$B:$B = R$4) * 
        ('アイテム別限界値DB'!$G:$G = R46) , 
        0
      )
    ), 
    "再製作"
  )
)
</f>
        <v/>
      </c>
      <c r="W46" s="397" t="str">
        <f t="array" ref="W46">IF(
  U46 = "", 
  "", 
  IFERROR(
    INDEX(
      'アイテム別限界値DB'!$N:$N, 
      MATCH(
        1, 
        ('アイテム別限界値DB'!$B:$B = R$4) * 
        ('アイテム別限界値DB'!$G:$G = R46), 
        0
      )
    )*U46*T46, 
    "再製作"
  )
)
</f>
        <v/>
      </c>
      <c r="X46" s="469"/>
      <c r="Y46" s="481" t="s">
        <v>243</v>
      </c>
      <c r="Z46" s="484" t="s">
        <v>244</v>
      </c>
      <c r="AA46" s="490"/>
      <c r="AB46" s="490"/>
      <c r="AC46" s="405" t="str">
        <f t="array" ref="AC46">IF(
  AB46 = 0, 
  "", 
  IFERROR(
    INDEX(
      'アイテム別限界値DB'!$K:$K, 
      MATCH(
        1, 
        ('アイテム別限界値DB'!$B:$B = Y$4) * 
        ('アイテム別限界値DB'!$G:$G = Y46) , 
        0
      )
    ), 
    "再製作"
  )
)
</f>
        <v/>
      </c>
      <c r="AD46" s="397" t="str">
        <f t="array" ref="AD46">IF(
  AB46 = "", 
  "", 
  IFERROR(
    INDEX(
      'アイテム別限界値DB'!$N:$N, 
      MATCH(
        1, 
        ('アイテム別限界値DB'!$B:$B = Y$4) * 
        ('アイテム別限界値DB'!$G:$G = Y46), 
        0
      )
    )*AB46*AA46, 
    "再製作"
  )
)
</f>
        <v/>
      </c>
      <c r="AE46" s="498"/>
      <c r="AF46" s="93"/>
      <c r="AG46" s="437"/>
      <c r="AH46" s="440"/>
      <c r="AI46" s="440"/>
      <c r="AJ46" s="396" t="str">
        <f t="array" ref="AJ46">IF(
  AI46 = 0, 
  "", 
  IFERROR(
    INDEX(
      'アイテム別限界値DB'!$I:$I, 
      MATCH(
        1, 
        ('アイテム別限界値DB'!$B:$B = AF$4) * 
        ('アイテム別限界値DB'!$C:$C = AF46) * 
        ('アイテム別限界値DB'!$F:$F = AI46), 
        0
      )
    ), 
    "再製作"
  )
)
</f>
        <v/>
      </c>
      <c r="AK46" s="396"/>
      <c r="AL46" s="469"/>
      <c r="AM46" s="487"/>
      <c r="AN46" s="488"/>
      <c r="AO46" s="504"/>
      <c r="AP46" s="504"/>
      <c r="AQ46" s="396" t="str">
        <f t="array" ref="AQ46">IF(
  AP46 = 0, 
  "", 
  IFERROR(
    INDEX(
      'アイテム別限界値DB'!$I:$I, 
      MATCH(
        1, 
        ('アイテム別限界値DB'!$B:$B = AM$4) * 
        ('アイテム別限界値DB'!$C:$C = AM46) * 
        ('アイテム別限界値DB'!$F:$F = AP46), 
        0
      )
    ), 
    "再製作"
  )
)
</f>
        <v/>
      </c>
      <c r="AR46" s="396"/>
      <c r="AS46" s="469"/>
      <c r="AT46" s="488"/>
      <c r="AU46" s="504"/>
      <c r="AV46" s="504"/>
      <c r="AW46" s="396" t="str">
        <f t="array" ref="AW46">IF(
  AV46 = 0, 
  "", 
  IFERROR(
    INDEX(
      'アイテム別限界値DB'!$I:$I, 
      MATCH(
        1, 
        ('アイテム別限界値DB'!$B:$B = AT$4) * 
        ('アイテム別限界値DB'!$C:$C = AT46) * 
        ('アイテム別限界値DB'!$F:$F = AV46), 
        0
      )
    ), 
    "再製作"
  )
)
</f>
        <v/>
      </c>
      <c r="AX46" s="396"/>
      <c r="AY46" s="469"/>
      <c r="AZ46" s="488"/>
      <c r="BA46" s="504"/>
      <c r="BB46" s="504"/>
      <c r="BC46" s="396" t="str">
        <f t="array" ref="BC46">IF(
  BB46 = 0, 
  "", 
  IFERROR(
    INDEX(
      'アイテム別限界値DB'!$I:$I, 
      MATCH(
        1, 
        ('アイテム別限界値DB'!$B:$B = AZ$4) * 
        ('アイテム別限界値DB'!$C:$C = AZ46) * 
        ('アイテム別限界値DB'!$F:$F = BB46), 
        0
      )
    ), 
    "再製作"
  )
)
</f>
        <v/>
      </c>
      <c r="BD46" s="396"/>
      <c r="BE46" s="469"/>
      <c r="BF46" s="488"/>
      <c r="BG46" s="504"/>
      <c r="BH46" s="504"/>
      <c r="BI46" s="396" t="str">
        <f t="array" ref="BI46">IF(
  BH46 = 0, 
  "", 
  IFERROR(
    INDEX(
      'アイテム別限界値DB'!$I:$I, 
      MATCH(
        1, 
        ('アイテム別限界値DB'!$B:$B = BF$4) * 
        ('アイテム別限界値DB'!$C:$C = BF46) * 
        ('アイテム別限界値DB'!$F:$F = BH46), 
        0
      )
    ), 
    "再製作"
  )
)
</f>
        <v/>
      </c>
      <c r="BJ46" s="396"/>
      <c r="BK46" s="469"/>
      <c r="BL46" s="488"/>
      <c r="BM46" s="504"/>
      <c r="BN46" s="504"/>
      <c r="BO46" s="396"/>
      <c r="BP46" s="396"/>
      <c r="BQ46" s="469"/>
      <c r="BR46" s="488"/>
      <c r="BS46" s="504"/>
      <c r="BT46" s="504"/>
      <c r="BU46" s="396" t="str">
        <f t="array" ref="BU46">IF(
  BT46 = 0, 
  "", 
  IFERROR(
    INDEX(
      'アイテム別限界値DB'!$I:$I, 
      MATCH(
        1, 
        ('アイテム別限界値DB'!$B:$B = BR$4) * 
        ('アイテム別限界値DB'!$C:$C = BR46) * 
        ('アイテム別限界値DB'!$F:$F = BT46), 
        0
      )
    ), 
    "再製作"
  )
)
</f>
        <v/>
      </c>
      <c r="BV46" s="396"/>
      <c r="BW46" s="469"/>
      <c r="BX46" s="488"/>
      <c r="BY46" s="504"/>
      <c r="BZ46" s="504"/>
      <c r="CA46" s="396" t="str">
        <f t="array" ref="CA46">IF(
  BZ46 = 0, 
  "", 
  IFERROR(
    INDEX(
      'アイテム別限界値DB'!$I:$I, 
      MATCH(
        1, 
        ('アイテム別限界値DB'!$B:$B = BX$4) * 
        ('アイテム別限界値DB'!$C:$C = BX46) * 
        ('アイテム別限界値DB'!$F:$F = BZ46), 
        0
      )
    ), 
    "再製作"
  )
)
</f>
        <v/>
      </c>
      <c r="CB46" s="396"/>
      <c r="CC46" s="396"/>
      <c r="CD46" s="396"/>
      <c r="CE46" s="396"/>
      <c r="CF46" s="396"/>
      <c r="CG46" s="396"/>
      <c r="CH46" s="469"/>
      <c r="CI46" s="469"/>
    </row>
    <row r="47">
      <c r="A47" s="499"/>
      <c r="B47" s="499"/>
      <c r="C47" s="499"/>
      <c r="D47" s="500" t="s">
        <v>252</v>
      </c>
      <c r="E47" s="489" t="s">
        <v>253</v>
      </c>
      <c r="F47" s="490"/>
      <c r="G47" s="490"/>
      <c r="H47" s="405" t="str">
        <f t="array" ref="H47">IF(
  G47 = 0, 
  "", 
  IFERROR(
    INDEX(
      'アイテム別限界値DB'!$K:$K, 
      MATCH(
        1, 
        ('アイテム別限界値DB'!$B:$B = D$4) * 
        ('アイテム別限界値DB'!$G:$G = D47) , 
        0
      )
    ), 
    "再製作"
  )
)
</f>
        <v/>
      </c>
      <c r="I47" s="397" t="str">
        <f t="array" ref="I47">IF(
  G47 = "", 
  "", 
  IFERROR(
    INDEX(
      'アイテム別限界値DB'!$N:$N, 
      MATCH(
        1, 
        ('アイテム別限界値DB'!$B:$B = D$4) * 
        ('アイテム別限界値DB'!$G:$G = D47), 
        0
      )
    )*$G47*F47, 
    "再製作"
  )
)
</f>
        <v/>
      </c>
      <c r="J47" s="479"/>
      <c r="K47" s="505" t="s">
        <v>254</v>
      </c>
      <c r="L47" s="414" t="s">
        <v>251</v>
      </c>
      <c r="M47" s="406"/>
      <c r="N47" s="485"/>
      <c r="O47" s="405" t="str">
        <f t="array" ref="O47">IF(
  N47 = 0, 
  "", 
  IFERROR(
    INDEX(
      'アイテム別限界値DB'!$K:$K, 
      MATCH(
        1, 
        ('アイテム別限界値DB'!$B:$B = K$4) * 
        ('アイテム別限界値DB'!$G:$G = K47) , 
        0
      )
    ), 
    "再製作"
  )
)
</f>
        <v/>
      </c>
      <c r="P47" s="397" t="str">
        <f t="array" ref="P47">IF(
  N47 = "", 
  "", 
  IFERROR(
    INDEX(
      'アイテム別限界値DB'!$N:$N, 
      MATCH(
        1, 
        ('アイテム別限界値DB'!$B:$B = K$4) * 
        ('アイテム別限界値DB'!$G:$G = K47), 
        0
      )
    )*$N47, 
    "再製作"
  )
)
</f>
        <v/>
      </c>
      <c r="Q47" s="498"/>
      <c r="R47" s="493" t="s">
        <v>255</v>
      </c>
      <c r="S47" s="484" t="s">
        <v>249</v>
      </c>
      <c r="T47" s="490"/>
      <c r="U47" s="490"/>
      <c r="V47" s="405" t="str">
        <f t="array" ref="V47">IF(
  U47 = 0, 
  "", 
  IFERROR(
    INDEX(
      'アイテム別限界値DB'!$K:$K, 
      MATCH(
        1, 
        ('アイテム別限界値DB'!$B:$B = R$4) * 
        ('アイテム別限界値DB'!$G:$G = R47) , 
        0
      )
    ), 
    "再製作"
  )
)
</f>
        <v/>
      </c>
      <c r="W47" s="397" t="str">
        <f t="array" ref="W47">IF(
  U47 = "", 
  "", 
  IFERROR(
    INDEX(
      'アイテム別限界値DB'!$N:$N, 
      MATCH(
        1, 
        ('アイテム別限界値DB'!$B:$B = R$4) * 
        ('アイテム別限界値DB'!$G:$G = R47), 
        0
      )
    )*U47*T47, 
    "再製作"
  )
)
</f>
        <v/>
      </c>
      <c r="X47" s="469"/>
      <c r="Y47" s="468" t="s">
        <v>256</v>
      </c>
      <c r="Z47" s="484" t="s">
        <v>249</v>
      </c>
      <c r="AA47" s="485"/>
      <c r="AB47" s="485"/>
      <c r="AC47" s="405" t="str">
        <f t="array" ref="AC47">IF(
  AB47 = 0, 
  "", 
  IFERROR(
    INDEX(
      'アイテム別限界値DB'!$K:$K, 
      MATCH(
        1, 
        ('アイテム別限界値DB'!$B:$B = Y$4) * 
        ('アイテム別限界値DB'!$G:$G = Y47) , 
        0
      )
    ), 
    "再製作"
  )
)
</f>
        <v/>
      </c>
      <c r="AD47" s="397" t="str">
        <f t="array" ref="AD47">IF(
  AB47 = "", 
  "", 
  IFERROR(
    INDEX(
      'アイテム別限界値DB'!$N:$N, 
      MATCH(
        1, 
        ('アイテム別限界値DB'!$B:$B = Y$4) * 
        ('アイテム別限界値DB'!$G:$G = Y47), 
        0
      )
    )*AB47*AA47, 
    "再製作"
  )
)
</f>
        <v/>
      </c>
      <c r="AE47" s="498"/>
      <c r="AF47" s="93"/>
      <c r="AG47" s="437"/>
      <c r="AH47" s="440"/>
      <c r="AI47" s="440"/>
      <c r="AJ47" s="396" t="str">
        <f t="array" ref="AJ47">IF(
  AI47 = 0, 
  "", 
  IFERROR(
    INDEX(
      'アイテム別限界値DB'!$I:$I, 
      MATCH(
        1, 
        ('アイテム別限界値DB'!$B:$B = AF$4) * 
        ('アイテム別限界値DB'!$C:$C = AF47) * 
        ('アイテム別限界値DB'!$F:$F = AI47), 
        0
      )
    ), 
    "再製作"
  )
)
</f>
        <v/>
      </c>
      <c r="AK47" s="396"/>
      <c r="AL47" s="469"/>
      <c r="AM47" s="93"/>
      <c r="AN47" s="474"/>
      <c r="AO47" s="504"/>
      <c r="AP47" s="504"/>
      <c r="AQ47" s="396" t="str">
        <f t="array" ref="AQ47">IF(
  AP47 = 0, 
  "", 
  IFERROR(
    INDEX(
      'アイテム別限界値DB'!$I:$I, 
      MATCH(
        1, 
        ('アイテム別限界値DB'!$B:$B = AM$4) * 
        ('アイテム別限界値DB'!$C:$C = AM47) * 
        ('アイテム別限界値DB'!$F:$F = AP47), 
        0
      )
    ), 
    "再製作"
  )
)
</f>
        <v/>
      </c>
      <c r="AR47" s="396"/>
      <c r="AS47" s="469"/>
      <c r="AT47" s="474"/>
      <c r="AU47" s="504"/>
      <c r="AV47" s="504"/>
      <c r="AW47" s="396" t="str">
        <f t="array" ref="AW47">IF(
  AV47 = 0, 
  "", 
  IFERROR(
    INDEX(
      'アイテム別限界値DB'!$I:$I, 
      MATCH(
        1, 
        ('アイテム別限界値DB'!$B:$B = AT$4) * 
        ('アイテム別限界値DB'!$C:$C = AT47) * 
        ('アイテム別限界値DB'!$F:$F = AV47), 
        0
      )
    ), 
    "再製作"
  )
)
</f>
        <v/>
      </c>
      <c r="AX47" s="396"/>
      <c r="AY47" s="469"/>
      <c r="AZ47" s="474"/>
      <c r="BA47" s="504"/>
      <c r="BB47" s="504"/>
      <c r="BC47" s="396" t="str">
        <f t="array" ref="BC47">IF(
  BB47 = 0, 
  "", 
  IFERROR(
    INDEX(
      'アイテム別限界値DB'!$I:$I, 
      MATCH(
        1, 
        ('アイテム別限界値DB'!$B:$B = AZ$4) * 
        ('アイテム別限界値DB'!$C:$C = AZ47) * 
        ('アイテム別限界値DB'!$F:$F = BB47), 
        0
      )
    ), 
    "再製作"
  )
)
</f>
        <v/>
      </c>
      <c r="BD47" s="396"/>
      <c r="BE47" s="469"/>
      <c r="BF47" s="474"/>
      <c r="BG47" s="504"/>
      <c r="BH47" s="504"/>
      <c r="BI47" s="396" t="str">
        <f t="array" ref="BI47">IF(
  BH47 = 0, 
  "", 
  IFERROR(
    INDEX(
      'アイテム別限界値DB'!$I:$I, 
      MATCH(
        1, 
        ('アイテム別限界値DB'!$B:$B = BF$4) * 
        ('アイテム別限界値DB'!$C:$C = BF47) * 
        ('アイテム別限界値DB'!$F:$F = BH47), 
        0
      )
    ), 
    "再製作"
  )
)
</f>
        <v/>
      </c>
      <c r="BJ47" s="396"/>
      <c r="BK47" s="469"/>
      <c r="BL47" s="474"/>
      <c r="BM47" s="504"/>
      <c r="BN47" s="504"/>
      <c r="BO47" s="396"/>
      <c r="BP47" s="396"/>
      <c r="BQ47" s="469"/>
      <c r="BR47" s="474"/>
      <c r="BS47" s="504"/>
      <c r="BT47" s="504"/>
      <c r="BU47" s="396" t="str">
        <f t="array" ref="BU47">IF(
  BT47 = 0, 
  "", 
  IFERROR(
    INDEX(
      'アイテム別限界値DB'!$I:$I, 
      MATCH(
        1, 
        ('アイテム別限界値DB'!$B:$B = BR$4) * 
        ('アイテム別限界値DB'!$C:$C = BR47) * 
        ('アイテム別限界値DB'!$F:$F = BT47), 
        0
      )
    ), 
    "再製作"
  )
)
</f>
        <v/>
      </c>
      <c r="BV47" s="396"/>
      <c r="BW47" s="469"/>
      <c r="BX47" s="474"/>
      <c r="BY47" s="504"/>
      <c r="BZ47" s="504"/>
      <c r="CA47" s="396" t="str">
        <f t="array" ref="CA47">IF(
  BZ47 = 0, 
  "", 
  IFERROR(
    INDEX(
      'アイテム別限界値DB'!$I:$I, 
      MATCH(
        1, 
        ('アイテム別限界値DB'!$B:$B = BX$4) * 
        ('アイテム別限界値DB'!$C:$C = BX47) * 
        ('アイテム別限界値DB'!$F:$F = BZ47), 
        0
      )
    ), 
    "再製作"
  )
)
</f>
        <v/>
      </c>
      <c r="CB47" s="396"/>
      <c r="CC47" s="396"/>
      <c r="CD47" s="396"/>
      <c r="CE47" s="396"/>
      <c r="CF47" s="396"/>
      <c r="CG47" s="396"/>
      <c r="CH47" s="469"/>
      <c r="CI47" s="469"/>
    </row>
    <row r="48">
      <c r="A48" s="502"/>
      <c r="B48" s="502"/>
      <c r="C48" s="502"/>
      <c r="D48" s="503" t="s">
        <v>257</v>
      </c>
      <c r="E48" s="489" t="s">
        <v>258</v>
      </c>
      <c r="F48" s="490"/>
      <c r="G48" s="490"/>
      <c r="H48" s="405" t="str">
        <f t="array" ref="H48">IF(
  G48 = 0, 
  "", 
  IFERROR(
    INDEX(
      'アイテム別限界値DB'!$K:$K, 
      MATCH(
        1, 
        ('アイテム別限界値DB'!$B:$B = D$4) * 
        ('アイテム別限界値DB'!$G:$G = D48) , 
        0
      )
    ), 
    "再製作"
  )
)
</f>
        <v/>
      </c>
      <c r="I48" s="397" t="str">
        <f t="array" ref="I48">IF(
  G48 = "", 
  "", 
  IFERROR(
    INDEX(
      'アイテム別限界値DB'!$N:$N, 
      MATCH(
        1, 
        ('アイテム別限界値DB'!$B:$B = D$4) * 
        ('アイテム別限界値DB'!$G:$G = D48), 
        0
      )
    )*$G48*F48, 
    "再製作"
  )
)
</f>
        <v/>
      </c>
      <c r="J48" s="479"/>
      <c r="K48" s="483" t="s">
        <v>259</v>
      </c>
      <c r="L48" s="414" t="s">
        <v>259</v>
      </c>
      <c r="M48" s="406"/>
      <c r="N48" s="485"/>
      <c r="O48" s="405" t="str">
        <f t="array" ref="O48">IF(
  N48 = 0, 
  "", 
  IFERROR(
    INDEX(
      'アイテム別限界値DB'!$K:$K, 
      MATCH(
        1, 
        ('アイテム別限界値DB'!$B:$B = K$4) * 
        ('アイテム別限界値DB'!$G:$G = K48) , 
        0
      )
    ), 
    "再製作"
  )
)
</f>
        <v/>
      </c>
      <c r="P48" s="397" t="str">
        <f t="array" ref="P48">IF(
  N48 = "", 
  "", 
  IFERROR(
    INDEX(
      'アイテム別限界値DB'!$N:$N, 
      MATCH(
        1, 
        ('アイテム別限界値DB'!$B:$B = K$4) * 
        ('アイテム別限界値DB'!$G:$G = K48), 
        0
      )
    )*$N48, 
    "再製作"
  )
)
</f>
        <v/>
      </c>
      <c r="Q48" s="498"/>
      <c r="R48" s="493" t="s">
        <v>260</v>
      </c>
      <c r="S48" s="484" t="s">
        <v>253</v>
      </c>
      <c r="T48" s="485"/>
      <c r="U48" s="485"/>
      <c r="V48" s="405" t="str">
        <f t="array" ref="V48">IF(
  U48 = 0, 
  "", 
  IFERROR(
    INDEX(
      'アイテム別限界値DB'!$K:$K, 
      MATCH(
        1, 
        ('アイテム別限界値DB'!$B:$B = R$4) * 
        ('アイテム別限界値DB'!$G:$G = R48) , 
        0
      )
    ), 
    "再製作"
  )
)
</f>
        <v/>
      </c>
      <c r="W48" s="397" t="str">
        <f t="array" ref="W48">IF(
  U48 = "", 
  "", 
  IFERROR(
    INDEX(
      'アイテム別限界値DB'!$N:$N, 
      MATCH(
        1, 
        ('アイテム別限界値DB'!$B:$B = R$4) * 
        ('アイテム別限界値DB'!$G:$G = R48), 
        0
      )
    )*U48*T48, 
    "再製作"
  )
)
</f>
        <v/>
      </c>
      <c r="X48" s="469"/>
      <c r="Y48" s="468" t="s">
        <v>260</v>
      </c>
      <c r="Z48" s="484" t="s">
        <v>253</v>
      </c>
      <c r="AA48" s="490"/>
      <c r="AB48" s="490"/>
      <c r="AC48" s="405" t="str">
        <f t="array" ref="AC48">IF(
  AB48 = 0, 
  "", 
  IFERROR(
    INDEX(
      'アイテム別限界値DB'!$K:$K, 
      MATCH(
        1, 
        ('アイテム別限界値DB'!$B:$B = Y$4) * 
        ('アイテム別限界値DB'!$G:$G = Y48) , 
        0
      )
    ), 
    "再製作"
  )
)
</f>
        <v/>
      </c>
      <c r="AD48" s="397" t="str">
        <f t="array" ref="AD48">IF(
  AB48 = "", 
  "", 
  IFERROR(
    INDEX(
      'アイテム別限界値DB'!$N:$N, 
      MATCH(
        1, 
        ('アイテム別限界値DB'!$B:$B = Y$4) * 
        ('アイテム別限界値DB'!$G:$G = Y48), 
        0
      )
    )*AB48*AA48, 
    "再製作"
  )
)
</f>
        <v/>
      </c>
      <c r="AE48" s="498"/>
      <c r="AF48" s="487"/>
      <c r="AG48" s="506"/>
      <c r="AH48" s="507"/>
      <c r="AI48" s="507"/>
      <c r="AJ48" s="396" t="str">
        <f t="array" ref="AJ48">IF(
  AI48 = 0, 
  "", 
  IFERROR(
    INDEX(
      'アイテム別限界値DB'!$I:$I, 
      MATCH(
        1, 
        ('アイテム別限界値DB'!$B:$B = AF$4) * 
        ('アイテム別限界値DB'!$C:$C = AF48) * 
        ('アイテム別限界値DB'!$F:$F = AI48), 
        0
      )
    ), 
    "再製作"
  )
)
</f>
        <v/>
      </c>
      <c r="AK48" s="396"/>
      <c r="AL48" s="469"/>
      <c r="AM48" s="93"/>
      <c r="AN48" s="474"/>
      <c r="AO48" s="504"/>
      <c r="AP48" s="504"/>
      <c r="AQ48" s="396" t="str">
        <f t="array" ref="AQ48">IF(
  AP48 = 0, 
  "", 
  IFERROR(
    INDEX(
      'アイテム別限界値DB'!$I:$I, 
      MATCH(
        1, 
        ('アイテム別限界値DB'!$B:$B = AM$4) * 
        ('アイテム別限界値DB'!$C:$C = AM48) * 
        ('アイテム別限界値DB'!$F:$F = AP48), 
        0
      )
    ), 
    "再製作"
  )
)
</f>
        <v/>
      </c>
      <c r="AR48" s="396"/>
      <c r="AS48" s="469"/>
      <c r="AT48" s="474"/>
      <c r="AU48" s="504"/>
      <c r="AV48" s="504"/>
      <c r="AW48" s="396" t="str">
        <f t="array" ref="AW48">IF(
  AV48 = 0, 
  "", 
  IFERROR(
    INDEX(
      'アイテム別限界値DB'!$I:$I, 
      MATCH(
        1, 
        ('アイテム別限界値DB'!$B:$B = AT$4) * 
        ('アイテム別限界値DB'!$C:$C = AT48) * 
        ('アイテム別限界値DB'!$F:$F = AV48), 
        0
      )
    ), 
    "再製作"
  )
)
</f>
        <v/>
      </c>
      <c r="AX48" s="396"/>
      <c r="AY48" s="469"/>
      <c r="AZ48" s="474"/>
      <c r="BA48" s="504"/>
      <c r="BB48" s="504"/>
      <c r="BC48" s="396" t="str">
        <f t="array" ref="BC48">IF(
  BB48 = 0, 
  "", 
  IFERROR(
    INDEX(
      'アイテム別限界値DB'!$I:$I, 
      MATCH(
        1, 
        ('アイテム別限界値DB'!$B:$B = AZ$4) * 
        ('アイテム別限界値DB'!$C:$C = AZ48) * 
        ('アイテム別限界値DB'!$F:$F = BB48), 
        0
      )
    ), 
    "再製作"
  )
)
</f>
        <v/>
      </c>
      <c r="BD48" s="396"/>
      <c r="BE48" s="469"/>
      <c r="BF48" s="474"/>
      <c r="BG48" s="504"/>
      <c r="BH48" s="504"/>
      <c r="BI48" s="396" t="str">
        <f t="array" ref="BI48">IF(
  BH48 = 0, 
  "", 
  IFERROR(
    INDEX(
      'アイテム別限界値DB'!$I:$I, 
      MATCH(
        1, 
        ('アイテム別限界値DB'!$B:$B = BF$4) * 
        ('アイテム別限界値DB'!$C:$C = BF48) * 
        ('アイテム別限界値DB'!$F:$F = BH48), 
        0
      )
    ), 
    "再製作"
  )
)
</f>
        <v/>
      </c>
      <c r="BJ48" s="396"/>
      <c r="BK48" s="469"/>
      <c r="BL48" s="474"/>
      <c r="BM48" s="504"/>
      <c r="BN48" s="504"/>
      <c r="BO48" s="396"/>
      <c r="BP48" s="396"/>
      <c r="BQ48" s="469"/>
      <c r="BR48" s="474"/>
      <c r="BS48" s="504"/>
      <c r="BT48" s="504"/>
      <c r="BU48" s="396" t="str">
        <f t="array" ref="BU48">IF(
  BT48 = 0, 
  "", 
  IFERROR(
    INDEX(
      'アイテム別限界値DB'!$I:$I, 
      MATCH(
        1, 
        ('アイテム別限界値DB'!$B:$B = BR$4) * 
        ('アイテム別限界値DB'!$C:$C = BR48) * 
        ('アイテム別限界値DB'!$F:$F = BT48), 
        0
      )
    ), 
    "再製作"
  )
)
</f>
        <v/>
      </c>
      <c r="BV48" s="396"/>
      <c r="BW48" s="469"/>
      <c r="BX48" s="474"/>
      <c r="BY48" s="504"/>
      <c r="BZ48" s="504"/>
      <c r="CA48" s="396" t="str">
        <f t="array" ref="CA48">IF(
  BZ48 = 0, 
  "", 
  IFERROR(
    INDEX(
      'アイテム別限界値DB'!$I:$I, 
      MATCH(
        1, 
        ('アイテム別限界値DB'!$B:$B = BX$4) * 
        ('アイテム別限界値DB'!$C:$C = BX48) * 
        ('アイテム別限界値DB'!$F:$F = BZ48), 
        0
      )
    ), 
    "再製作"
  )
)
</f>
        <v/>
      </c>
      <c r="CB48" s="396"/>
      <c r="CC48" s="396"/>
      <c r="CD48" s="396"/>
      <c r="CE48" s="396"/>
      <c r="CF48" s="396"/>
      <c r="CG48" s="396"/>
      <c r="CH48" s="469"/>
      <c r="CI48" s="469"/>
    </row>
    <row r="49">
      <c r="A49" s="503"/>
      <c r="B49" s="503"/>
      <c r="C49" s="503"/>
      <c r="D49" s="503"/>
      <c r="E49" s="508"/>
      <c r="F49" s="509"/>
      <c r="G49" s="509"/>
      <c r="H49" s="396"/>
      <c r="I49" s="402"/>
      <c r="J49" s="468"/>
      <c r="K49" s="483" t="s">
        <v>261</v>
      </c>
      <c r="L49" s="414" t="s">
        <v>262</v>
      </c>
      <c r="M49" s="406"/>
      <c r="N49" s="485"/>
      <c r="O49" s="405" t="str">
        <f t="array" ref="O49">IF(
  N49 = 0, 
  "", 
  IFERROR(
    INDEX(
      'アイテム別限界値DB'!$K:$K, 
      MATCH(
        1, 
        ('アイテム別限界値DB'!$B:$B = K$4) * 
        ('アイテム別限界値DB'!$G:$G = K49) , 
        0
      )
    ), 
    "再製作"
  )
)
</f>
        <v/>
      </c>
      <c r="P49" s="397" t="str">
        <f t="array" ref="P49">IF(
  N49 = "", 
  "", 
  IFERROR(
    INDEX(
      'アイテム別限界値DB'!$N:$N, 
      MATCH(
        1, 
        ('アイテム別限界値DB'!$B:$B = K$4) * 
        ('アイテム別限界値DB'!$G:$G = K49), 
        0
      )
    )*$N49, 
    "再製作"
  )
)
</f>
        <v/>
      </c>
      <c r="Q49" s="501"/>
      <c r="R49" s="493" t="s">
        <v>263</v>
      </c>
      <c r="S49" s="484" t="s">
        <v>258</v>
      </c>
      <c r="T49" s="490"/>
      <c r="U49" s="490"/>
      <c r="V49" s="405" t="str">
        <f t="array" ref="V49">IF(
  U49 = 0, 
  "", 
  IFERROR(
    INDEX(
      'アイテム別限界値DB'!$K:$K, 
      MATCH(
        1, 
        ('アイテム別限界値DB'!$B:$B = R$4) * 
        ('アイテム別限界値DB'!$G:$G = R49) , 
        0
      )
    ), 
    "再製作"
  )
)
</f>
        <v/>
      </c>
      <c r="W49" s="397" t="str">
        <f t="array" ref="W49">IF(
  U49 = "", 
  "", 
  IFERROR(
    INDEX(
      'アイテム別限界値DB'!$N:$N, 
      MATCH(
        1, 
        ('アイテム別限界値DB'!$B:$B = R$4) * 
        ('アイテム別限界値DB'!$G:$G = R49), 
        0
      )
    )*U49*T49, 
    "再製作"
  )
)
</f>
        <v/>
      </c>
      <c r="X49" s="493"/>
      <c r="Y49" s="468" t="s">
        <v>264</v>
      </c>
      <c r="Z49" s="484" t="s">
        <v>265</v>
      </c>
      <c r="AA49" s="485"/>
      <c r="AB49" s="485"/>
      <c r="AC49" s="405" t="str">
        <f t="array" ref="AC49">IF(
  AB49 = 0, 
  "", 
  IFERROR(
    INDEX(
      'アイテム別限界値DB'!$K:$K, 
      MATCH(
        1, 
        ('アイテム別限界値DB'!$B:$B = Y$4) * 
        ('アイテム別限界値DB'!$G:$G = Y49) , 
        0
      )
    ), 
    "再製作"
  )
)
</f>
        <v/>
      </c>
      <c r="AD49" s="397" t="str">
        <f t="array" ref="AD49">IF(
  AB49 = "", 
  "", 
  IFERROR(
    INDEX(
      'アイテム別限界値DB'!$N:$N, 
      MATCH(
        1, 
        ('アイテム別限界値DB'!$B:$B = Y$4) * 
        ('アイテム別限界値DB'!$G:$G = Y49), 
        0
      )
    )*AB49*AA49, 
    "再製作"
  )
)
</f>
        <v/>
      </c>
      <c r="AE49" s="501"/>
      <c r="AF49" s="497"/>
      <c r="AG49" s="510"/>
      <c r="AH49" s="386"/>
      <c r="AI49" s="386"/>
      <c r="AJ49" s="396" t="str">
        <f t="array" ref="AJ49">IF(
  AI49 = 0, 
  "", 
  IFERROR(
    INDEX(
      'アイテム別限界値DB'!$I:$I, 
      MATCH(
        1, 
        ('アイテム別限界値DB'!$B:$B = AF$4) * 
        ('アイテム別限界値DB'!$C:$C = AF49) * 
        ('アイテム別限界値DB'!$F:$F = AI49), 
        0
      )
    ), 
    "再製作"
  )
)
</f>
        <v/>
      </c>
      <c r="AK49" s="396"/>
      <c r="AL49" s="493"/>
      <c r="AM49" s="487"/>
      <c r="AN49" s="488"/>
      <c r="AO49" s="511"/>
      <c r="AP49" s="511"/>
      <c r="AQ49" s="396" t="str">
        <f t="array" ref="AQ49">IF(
  AP49 = 0, 
  "", 
  IFERROR(
    INDEX(
      'アイテム別限界値DB'!$I:$I, 
      MATCH(
        1, 
        ('アイテム別限界値DB'!$B:$B = AM$4) * 
        ('アイテム別限界値DB'!$C:$C = AM49) * 
        ('アイテム別限界値DB'!$F:$F = AP49), 
        0
      )
    ), 
    "再製作"
  )
)
</f>
        <v/>
      </c>
      <c r="AR49" s="396"/>
      <c r="AS49" s="493"/>
      <c r="AT49" s="488"/>
      <c r="AU49" s="511"/>
      <c r="AV49" s="511"/>
      <c r="AW49" s="396" t="str">
        <f t="array" ref="AW49">IF(
  AV49 = 0, 
  "", 
  IFERROR(
    INDEX(
      'アイテム別限界値DB'!$I:$I, 
      MATCH(
        1, 
        ('アイテム別限界値DB'!$B:$B = AT$4) * 
        ('アイテム別限界値DB'!$C:$C = AT49) * 
        ('アイテム別限界値DB'!$F:$F = AV49), 
        0
      )
    ), 
    "再製作"
  )
)
</f>
        <v/>
      </c>
      <c r="AX49" s="396"/>
      <c r="AY49" s="493"/>
      <c r="AZ49" s="488"/>
      <c r="BA49" s="511"/>
      <c r="BB49" s="511"/>
      <c r="BC49" s="396" t="str">
        <f t="array" ref="BC49">IF(
  BB49 = 0, 
  "", 
  IFERROR(
    INDEX(
      'アイテム別限界値DB'!$I:$I, 
      MATCH(
        1, 
        ('アイテム別限界値DB'!$B:$B = AZ$4) * 
        ('アイテム別限界値DB'!$C:$C = AZ49) * 
        ('アイテム別限界値DB'!$F:$F = BB49), 
        0
      )
    ), 
    "再製作"
  )
)
</f>
        <v/>
      </c>
      <c r="BD49" s="396"/>
      <c r="BE49" s="493"/>
      <c r="BF49" s="488"/>
      <c r="BG49" s="511"/>
      <c r="BH49" s="511"/>
      <c r="BI49" s="396" t="str">
        <f t="array" ref="BI49">IF(
  BH49 = 0, 
  "", 
  IFERROR(
    INDEX(
      'アイテム別限界値DB'!$I:$I, 
      MATCH(
        1, 
        ('アイテム別限界値DB'!$B:$B = BF$4) * 
        ('アイテム別限界値DB'!$C:$C = BF49) * 
        ('アイテム別限界値DB'!$F:$F = BH49), 
        0
      )
    ), 
    "再製作"
  )
)
</f>
        <v/>
      </c>
      <c r="BJ49" s="396"/>
      <c r="BK49" s="493"/>
      <c r="BL49" s="488"/>
      <c r="BM49" s="511"/>
      <c r="BN49" s="511"/>
      <c r="BO49" s="396"/>
      <c r="BP49" s="396"/>
      <c r="BQ49" s="493"/>
      <c r="BR49" s="488"/>
      <c r="BS49" s="511"/>
      <c r="BT49" s="511"/>
      <c r="BU49" s="396" t="str">
        <f t="array" ref="BU49">IF(
  BT49 = 0, 
  "", 
  IFERROR(
    INDEX(
      'アイテム別限界値DB'!$I:$I, 
      MATCH(
        1, 
        ('アイテム別限界値DB'!$B:$B = BR$4) * 
        ('アイテム別限界値DB'!$C:$C = BR49) * 
        ('アイテム別限界値DB'!$F:$F = BT49), 
        0
      )
    ), 
    "再製作"
  )
)
</f>
        <v/>
      </c>
      <c r="BV49" s="396"/>
      <c r="BW49" s="493"/>
      <c r="BX49" s="488"/>
      <c r="BY49" s="511"/>
      <c r="BZ49" s="511"/>
      <c r="CA49" s="396" t="str">
        <f t="array" ref="CA49">IF(
  BZ49 = 0, 
  "", 
  IFERROR(
    INDEX(
      'アイテム別限界値DB'!$I:$I, 
      MATCH(
        1, 
        ('アイテム別限界値DB'!$B:$B = BX$4) * 
        ('アイテム別限界値DB'!$C:$C = BX49) * 
        ('アイテム別限界値DB'!$F:$F = BZ49), 
        0
      )
    ), 
    "再製作"
  )
)
</f>
        <v/>
      </c>
      <c r="CB49" s="396"/>
      <c r="CC49" s="396"/>
      <c r="CD49" s="396"/>
      <c r="CE49" s="396"/>
      <c r="CF49" s="396"/>
      <c r="CG49" s="396"/>
      <c r="CH49" s="493"/>
      <c r="CI49" s="493"/>
    </row>
    <row r="50">
      <c r="A50" s="503"/>
      <c r="B50" s="503"/>
      <c r="C50" s="503"/>
      <c r="D50" s="503"/>
      <c r="E50" s="509"/>
      <c r="F50" s="509"/>
      <c r="G50" s="509"/>
      <c r="H50" s="396"/>
      <c r="I50" s="402"/>
      <c r="J50" s="468"/>
      <c r="K50" s="483" t="s">
        <v>266</v>
      </c>
      <c r="L50" s="414" t="s">
        <v>240</v>
      </c>
      <c r="M50" s="406"/>
      <c r="N50" s="485"/>
      <c r="O50" s="405" t="str">
        <f t="array" ref="O50">IF(
  N50 = 0, 
  "", 
  IFERROR(
    INDEX(
      'アイテム別限界値DB'!$K:$K, 
      MATCH(
        1, 
        ('アイテム別限界値DB'!$B:$B = K$4) * 
        ('アイテム別限界値DB'!$G:$G = K50) , 
        0
      )
    ), 
    "再製作"
  )
)
</f>
        <v/>
      </c>
      <c r="P50" s="397" t="str">
        <f t="array" ref="P50">IF(
  N50 = "", 
  "", 
  IFERROR(
    INDEX(
      'アイテム別限界値DB'!$N:$N, 
      MATCH(
        1, 
        ('アイテム別限界値DB'!$B:$B = K$4) * 
        ('アイテム別限界値DB'!$G:$G = K50), 
        0
      )
    )*$N50, 
    "再製作"
  )
)
</f>
        <v/>
      </c>
      <c r="Q50" s="501"/>
      <c r="R50" s="493"/>
      <c r="S50" s="493"/>
      <c r="T50" s="493"/>
      <c r="U50" s="493"/>
      <c r="V50" s="317"/>
      <c r="W50" s="317"/>
      <c r="X50" s="493"/>
      <c r="Y50" s="468"/>
      <c r="Z50" s="448"/>
      <c r="AA50" s="386"/>
      <c r="AB50" s="386"/>
      <c r="AC50" s="396"/>
      <c r="AD50" s="396"/>
      <c r="AE50" s="501"/>
      <c r="AF50" s="497"/>
      <c r="AG50" s="510"/>
      <c r="AH50" s="386"/>
      <c r="AI50" s="386"/>
      <c r="AJ50" s="396"/>
      <c r="AK50" s="396"/>
      <c r="AL50" s="493"/>
      <c r="AM50" s="487"/>
      <c r="AN50" s="488"/>
      <c r="AO50" s="511"/>
      <c r="AP50" s="511"/>
      <c r="AQ50" s="396"/>
      <c r="AR50" s="396"/>
      <c r="AS50" s="493"/>
      <c r="AT50" s="488"/>
      <c r="AU50" s="511"/>
      <c r="AV50" s="511"/>
      <c r="AW50" s="396"/>
      <c r="AX50" s="396"/>
      <c r="AY50" s="493"/>
      <c r="AZ50" s="488"/>
      <c r="BA50" s="511"/>
      <c r="BB50" s="511"/>
      <c r="BC50" s="396"/>
      <c r="BD50" s="396"/>
      <c r="BE50" s="493"/>
      <c r="BF50" s="488"/>
      <c r="BG50" s="511"/>
      <c r="BH50" s="511"/>
      <c r="BI50" s="396"/>
      <c r="BJ50" s="396"/>
      <c r="BK50" s="493"/>
      <c r="BL50" s="488"/>
      <c r="BM50" s="511"/>
      <c r="BN50" s="511"/>
      <c r="BO50" s="396"/>
      <c r="BP50" s="396"/>
      <c r="BQ50" s="493"/>
      <c r="BR50" s="488"/>
      <c r="BS50" s="511"/>
      <c r="BT50" s="511"/>
      <c r="BU50" s="396"/>
      <c r="BV50" s="396"/>
      <c r="BW50" s="493"/>
      <c r="BX50" s="488"/>
      <c r="BY50" s="511"/>
      <c r="BZ50" s="511"/>
      <c r="CA50" s="396"/>
      <c r="CB50" s="396"/>
      <c r="CC50" s="396"/>
      <c r="CD50" s="396"/>
      <c r="CE50" s="396"/>
      <c r="CF50" s="396"/>
      <c r="CG50" s="396"/>
      <c r="CH50" s="493"/>
      <c r="CI50" s="493"/>
    </row>
    <row r="51">
      <c r="A51" s="503"/>
      <c r="B51" s="503"/>
      <c r="C51" s="503"/>
      <c r="D51" s="503"/>
      <c r="E51" s="509"/>
      <c r="F51" s="509"/>
      <c r="G51" s="509"/>
      <c r="H51" s="396"/>
      <c r="I51" s="402"/>
      <c r="J51" s="468"/>
      <c r="K51" s="483" t="s">
        <v>267</v>
      </c>
      <c r="L51" s="414" t="s">
        <v>247</v>
      </c>
      <c r="M51" s="406"/>
      <c r="N51" s="485"/>
      <c r="O51" s="405" t="str">
        <f t="array" ref="O51">IF(
  N51 = 0, 
  "", 
  IFERROR(
    INDEX(
      'アイテム別限界値DB'!$K:$K, 
      MATCH(
        1, 
        ('アイテム別限界値DB'!$B:$B = K$4) * 
        ('アイテム別限界値DB'!$G:$G = K51) , 
        0
      )
    ), 
    "再製作"
  )
)
</f>
        <v/>
      </c>
      <c r="P51" s="397" t="str">
        <f t="array" ref="P51">IF(
  N51 = "", 
  "", 
  IFERROR(
    INDEX(
      'アイテム別限界値DB'!$N:$N, 
      MATCH(
        1, 
        ('アイテム別限界値DB'!$B:$B = K$4) * 
        ('アイテム別限界値DB'!$G:$G = K51), 
        0
      )
    )*$N51, 
    "再製作"
  )
)
</f>
        <v/>
      </c>
      <c r="Q51" s="501"/>
      <c r="R51" s="493"/>
      <c r="S51" s="316"/>
      <c r="T51" s="317"/>
      <c r="U51" s="317"/>
      <c r="V51" s="317"/>
      <c r="W51" s="317"/>
      <c r="X51" s="493"/>
      <c r="Y51" s="468"/>
      <c r="Z51" s="448"/>
      <c r="AA51" s="386"/>
      <c r="AB51" s="386"/>
      <c r="AC51" s="396"/>
      <c r="AD51" s="396"/>
      <c r="AE51" s="501"/>
      <c r="AF51" s="497"/>
      <c r="AG51" s="510"/>
      <c r="AH51" s="386"/>
      <c r="AI51" s="386"/>
      <c r="AJ51" s="396"/>
      <c r="AK51" s="396"/>
      <c r="AL51" s="493"/>
      <c r="AM51" s="487"/>
      <c r="AN51" s="488"/>
      <c r="AO51" s="511"/>
      <c r="AP51" s="511"/>
      <c r="AQ51" s="396"/>
      <c r="AR51" s="396"/>
      <c r="AS51" s="493"/>
      <c r="AT51" s="488"/>
      <c r="AU51" s="511"/>
      <c r="AV51" s="511"/>
      <c r="AW51" s="396"/>
      <c r="AX51" s="396"/>
      <c r="AY51" s="493"/>
      <c r="AZ51" s="488"/>
      <c r="BA51" s="511"/>
      <c r="BB51" s="511"/>
      <c r="BC51" s="396"/>
      <c r="BD51" s="396"/>
      <c r="BE51" s="493"/>
      <c r="BF51" s="488"/>
      <c r="BG51" s="511"/>
      <c r="BH51" s="511"/>
      <c r="BI51" s="396"/>
      <c r="BJ51" s="396"/>
      <c r="BK51" s="493"/>
      <c r="BL51" s="488"/>
      <c r="BM51" s="511"/>
      <c r="BN51" s="511"/>
      <c r="BO51" s="396"/>
      <c r="BP51" s="396"/>
      <c r="BQ51" s="493"/>
      <c r="BR51" s="488"/>
      <c r="BS51" s="511"/>
      <c r="BT51" s="511"/>
      <c r="BU51" s="396"/>
      <c r="BV51" s="396"/>
      <c r="BW51" s="493"/>
      <c r="BX51" s="488"/>
      <c r="BY51" s="511"/>
      <c r="BZ51" s="511"/>
      <c r="CA51" s="396"/>
      <c r="CB51" s="396"/>
      <c r="CC51" s="396"/>
      <c r="CD51" s="396"/>
      <c r="CE51" s="396"/>
      <c r="CF51" s="396"/>
      <c r="CG51" s="396"/>
      <c r="CH51" s="493"/>
      <c r="CI51" s="493"/>
    </row>
    <row r="52">
      <c r="A52" s="503"/>
      <c r="B52" s="503"/>
      <c r="C52" s="503"/>
      <c r="D52" s="503"/>
      <c r="E52" s="509"/>
      <c r="F52" s="509"/>
      <c r="G52" s="509"/>
      <c r="H52" s="396"/>
      <c r="I52" s="402"/>
      <c r="J52" s="468"/>
      <c r="K52" s="483" t="s">
        <v>256</v>
      </c>
      <c r="L52" s="414" t="s">
        <v>249</v>
      </c>
      <c r="M52" s="406"/>
      <c r="N52" s="485"/>
      <c r="O52" s="405" t="str">
        <f t="array" ref="O52">IF(
  N52 = 0, 
  "", 
  IFERROR(
    INDEX(
      'アイテム別限界値DB'!$K:$K, 
      MATCH(
        1, 
        ('アイテム別限界値DB'!$B:$B = K$4) * 
        ('アイテム別限界値DB'!$G:$G = K52) , 
        0
      )
    ), 
    "再製作"
  )
)
</f>
        <v/>
      </c>
      <c r="P52" s="397" t="str">
        <f t="array" ref="P52">IF(
  N52 = "", 
  "", 
  IFERROR(
    INDEX(
      'アイテム別限界値DB'!$N:$N, 
      MATCH(
        1, 
        ('アイテム別限界値DB'!$B:$B = K$4) * 
        ('アイテム別限界値DB'!$G:$G = K52), 
        0
      )
    )*$N52, 
    "再製作"
  )
)
</f>
        <v/>
      </c>
      <c r="Q52" s="501"/>
      <c r="R52" s="493"/>
      <c r="S52" s="316"/>
      <c r="T52" s="317"/>
      <c r="U52" s="317"/>
      <c r="V52" s="317"/>
      <c r="W52" s="317"/>
      <c r="X52" s="493"/>
      <c r="Y52" s="468"/>
      <c r="Z52" s="448"/>
      <c r="AA52" s="386"/>
      <c r="AB52" s="386"/>
      <c r="AC52" s="396"/>
      <c r="AD52" s="396"/>
      <c r="AE52" s="501"/>
      <c r="AF52" s="497"/>
      <c r="AG52" s="510"/>
      <c r="AH52" s="386"/>
      <c r="AI52" s="386"/>
      <c r="AJ52" s="396"/>
      <c r="AK52" s="396"/>
      <c r="AL52" s="493"/>
      <c r="AM52" s="487"/>
      <c r="AN52" s="488"/>
      <c r="AO52" s="511"/>
      <c r="AP52" s="511"/>
      <c r="AQ52" s="396"/>
      <c r="AR52" s="396"/>
      <c r="AS52" s="493"/>
      <c r="AT52" s="488"/>
      <c r="AU52" s="511"/>
      <c r="AV52" s="511"/>
      <c r="AW52" s="396"/>
      <c r="AX52" s="396"/>
      <c r="AY52" s="493"/>
      <c r="AZ52" s="488"/>
      <c r="BA52" s="511"/>
      <c r="BB52" s="511"/>
      <c r="BC52" s="396"/>
      <c r="BD52" s="396"/>
      <c r="BE52" s="493"/>
      <c r="BF52" s="488"/>
      <c r="BG52" s="511"/>
      <c r="BH52" s="511"/>
      <c r="BI52" s="396"/>
      <c r="BJ52" s="396"/>
      <c r="BK52" s="493"/>
      <c r="BL52" s="488"/>
      <c r="BM52" s="511"/>
      <c r="BN52" s="511"/>
      <c r="BO52" s="396"/>
      <c r="BP52" s="396"/>
      <c r="BQ52" s="493"/>
      <c r="BR52" s="488"/>
      <c r="BS52" s="511"/>
      <c r="BT52" s="511"/>
      <c r="BU52" s="396"/>
      <c r="BV52" s="396"/>
      <c r="BW52" s="493"/>
      <c r="BX52" s="488"/>
      <c r="BY52" s="511"/>
      <c r="BZ52" s="511"/>
      <c r="CA52" s="396"/>
      <c r="CB52" s="396"/>
      <c r="CC52" s="396"/>
      <c r="CD52" s="396"/>
      <c r="CE52" s="396"/>
      <c r="CF52" s="396"/>
      <c r="CG52" s="396"/>
      <c r="CH52" s="493"/>
      <c r="CI52" s="493"/>
    </row>
    <row r="53">
      <c r="A53" s="503"/>
      <c r="B53" s="503"/>
      <c r="C53" s="503"/>
      <c r="D53" s="503"/>
      <c r="E53" s="509"/>
      <c r="F53" s="509"/>
      <c r="G53" s="509"/>
      <c r="H53" s="396"/>
      <c r="I53" s="402"/>
      <c r="J53" s="468"/>
      <c r="K53" s="483" t="s">
        <v>260</v>
      </c>
      <c r="L53" s="414" t="s">
        <v>253</v>
      </c>
      <c r="M53" s="406"/>
      <c r="N53" s="485"/>
      <c r="O53" s="405" t="str">
        <f t="array" ref="O53">IF(
  N53 = 0, 
  "", 
  IFERROR(
    INDEX(
      'アイテム別限界値DB'!$K:$K, 
      MATCH(
        1, 
        ('アイテム別限界値DB'!$B:$B = K$4) * 
        ('アイテム別限界値DB'!$G:$G = K53) , 
        0
      )
    ), 
    "再製作"
  )
)
</f>
        <v/>
      </c>
      <c r="P53" s="397" t="str">
        <f t="array" ref="P53">IF(
  N53 = "", 
  "", 
  IFERROR(
    INDEX(
      'アイテム別限界値DB'!$N:$N, 
      MATCH(
        1, 
        ('アイテム別限界値DB'!$B:$B = K$4) * 
        ('アイテム別限界値DB'!$G:$G = K53), 
        0
      )
    )*$N53, 
    "再製作"
  )
)
</f>
        <v/>
      </c>
      <c r="Q53" s="501"/>
      <c r="R53" s="493"/>
      <c r="S53" s="316"/>
      <c r="T53" s="317"/>
      <c r="U53" s="317"/>
      <c r="V53" s="317"/>
      <c r="W53" s="317"/>
      <c r="X53" s="493"/>
      <c r="Y53" s="468"/>
      <c r="Z53" s="448"/>
      <c r="AA53" s="386"/>
      <c r="AB53" s="386"/>
      <c r="AC53" s="396"/>
      <c r="AD53" s="396"/>
      <c r="AE53" s="501"/>
      <c r="AF53" s="497"/>
      <c r="AG53" s="510"/>
      <c r="AH53" s="386"/>
      <c r="AI53" s="386"/>
      <c r="AJ53" s="396"/>
      <c r="AK53" s="396"/>
      <c r="AL53" s="493"/>
      <c r="AM53" s="487"/>
      <c r="AN53" s="488"/>
      <c r="AO53" s="511"/>
      <c r="AP53" s="511"/>
      <c r="AQ53" s="396"/>
      <c r="AR53" s="396"/>
      <c r="AS53" s="493"/>
      <c r="AT53" s="488"/>
      <c r="AU53" s="511"/>
      <c r="AV53" s="511"/>
      <c r="AW53" s="396"/>
      <c r="AX53" s="396"/>
      <c r="AY53" s="493"/>
      <c r="AZ53" s="488"/>
      <c r="BA53" s="511"/>
      <c r="BB53" s="511"/>
      <c r="BC53" s="396"/>
      <c r="BD53" s="396"/>
      <c r="BE53" s="493"/>
      <c r="BF53" s="488"/>
      <c r="BG53" s="511"/>
      <c r="BH53" s="511"/>
      <c r="BI53" s="396"/>
      <c r="BJ53" s="396"/>
      <c r="BK53" s="493"/>
      <c r="BL53" s="488"/>
      <c r="BM53" s="511"/>
      <c r="BN53" s="511"/>
      <c r="BO53" s="396"/>
      <c r="BP53" s="396"/>
      <c r="BQ53" s="493"/>
      <c r="BR53" s="488"/>
      <c r="BS53" s="511"/>
      <c r="BT53" s="511"/>
      <c r="BU53" s="396"/>
      <c r="BV53" s="396"/>
      <c r="BW53" s="493"/>
      <c r="BX53" s="488"/>
      <c r="BY53" s="511"/>
      <c r="BZ53" s="511"/>
      <c r="CA53" s="396"/>
      <c r="CB53" s="396"/>
      <c r="CC53" s="396"/>
      <c r="CD53" s="396"/>
      <c r="CE53" s="396"/>
      <c r="CF53" s="396"/>
      <c r="CG53" s="396"/>
      <c r="CH53" s="493"/>
      <c r="CI53" s="493"/>
    </row>
    <row r="54">
      <c r="A54" s="503"/>
      <c r="B54" s="503"/>
      <c r="C54" s="503"/>
      <c r="D54" s="503"/>
      <c r="E54" s="509"/>
      <c r="F54" s="509"/>
      <c r="G54" s="509"/>
      <c r="H54" s="396"/>
      <c r="I54" s="402"/>
      <c r="J54" s="468"/>
      <c r="K54" s="483" t="s">
        <v>263</v>
      </c>
      <c r="L54" s="414" t="s">
        <v>258</v>
      </c>
      <c r="M54" s="406"/>
      <c r="N54" s="485"/>
      <c r="O54" s="405" t="str">
        <f t="array" ref="O54">IF(
  N54 = 0, 
  "", 
  IFERROR(
    INDEX(
      'アイテム別限界値DB'!$K:$K, 
      MATCH(
        1, 
        ('アイテム別限界値DB'!$B:$B = K$4) * 
        ('アイテム別限界値DB'!$G:$G = K54) , 
        0
      )
    ), 
    "再製作"
  )
)
</f>
        <v/>
      </c>
      <c r="P54" s="397" t="str">
        <f t="array" ref="P54">IF(
  N54 = "", 
  "", 
  IFERROR(
    INDEX(
      'アイテム別限界値DB'!$N:$N, 
      MATCH(
        1, 
        ('アイテム別限界値DB'!$B:$B = K$4) * 
        ('アイテム別限界値DB'!$G:$G = K54), 
        0
      )
    )*$N54, 
    "再製作"
  )
)
</f>
        <v/>
      </c>
      <c r="Q54" s="501"/>
      <c r="R54" s="493"/>
      <c r="S54" s="316"/>
      <c r="T54" s="317"/>
      <c r="U54" s="317"/>
      <c r="V54" s="317"/>
      <c r="W54" s="317"/>
      <c r="X54" s="493"/>
      <c r="Y54" s="468"/>
      <c r="Z54" s="448"/>
      <c r="AA54" s="386"/>
      <c r="AB54" s="386"/>
      <c r="AC54" s="396"/>
      <c r="AD54" s="396"/>
      <c r="AE54" s="501"/>
      <c r="AF54" s="497"/>
      <c r="AG54" s="510"/>
      <c r="AH54" s="386"/>
      <c r="AI54" s="386"/>
      <c r="AJ54" s="396"/>
      <c r="AK54" s="396"/>
      <c r="AL54" s="493"/>
      <c r="AM54" s="487"/>
      <c r="AN54" s="488"/>
      <c r="AO54" s="511"/>
      <c r="AP54" s="511"/>
      <c r="AQ54" s="396"/>
      <c r="AR54" s="396"/>
      <c r="AS54" s="493"/>
      <c r="AT54" s="488"/>
      <c r="AU54" s="511"/>
      <c r="AV54" s="511"/>
      <c r="AW54" s="396"/>
      <c r="AX54" s="396"/>
      <c r="AY54" s="493"/>
      <c r="AZ54" s="488"/>
      <c r="BA54" s="511"/>
      <c r="BB54" s="511"/>
      <c r="BC54" s="396"/>
      <c r="BD54" s="396"/>
      <c r="BE54" s="493"/>
      <c r="BF54" s="488"/>
      <c r="BG54" s="511"/>
      <c r="BH54" s="511"/>
      <c r="BI54" s="396"/>
      <c r="BJ54" s="396"/>
      <c r="BK54" s="493"/>
      <c r="BL54" s="488"/>
      <c r="BM54" s="511"/>
      <c r="BN54" s="511"/>
      <c r="BO54" s="396"/>
      <c r="BP54" s="396"/>
      <c r="BQ54" s="493"/>
      <c r="BR54" s="488"/>
      <c r="BS54" s="511"/>
      <c r="BT54" s="511"/>
      <c r="BU54" s="396"/>
      <c r="BV54" s="396"/>
      <c r="BW54" s="493"/>
      <c r="BX54" s="488"/>
      <c r="BY54" s="511"/>
      <c r="BZ54" s="511"/>
      <c r="CA54" s="396"/>
      <c r="CB54" s="396"/>
      <c r="CC54" s="396"/>
      <c r="CD54" s="396"/>
      <c r="CE54" s="396"/>
      <c r="CF54" s="396"/>
      <c r="CG54" s="396"/>
      <c r="CH54" s="493"/>
      <c r="CI54" s="493"/>
    </row>
    <row r="55">
      <c r="A55" s="503"/>
      <c r="B55" s="503"/>
      <c r="C55" s="503"/>
      <c r="D55" s="503"/>
      <c r="E55" s="509"/>
      <c r="F55" s="509"/>
      <c r="G55" s="509"/>
      <c r="H55" s="396"/>
      <c r="I55" s="402"/>
      <c r="J55" s="468"/>
      <c r="K55" s="483" t="s">
        <v>268</v>
      </c>
      <c r="L55" s="414" t="s">
        <v>269</v>
      </c>
      <c r="M55" s="406"/>
      <c r="N55" s="485"/>
      <c r="O55" s="405" t="str">
        <f t="array" ref="O55">IF(
  N55 = 0, 
  "", 
  IFERROR(
    INDEX(
      'アイテム別限界値DB'!$K:$K, 
      MATCH(
        1, 
        ('アイテム別限界値DB'!$B:$B = K$4) * 
        ('アイテム別限界値DB'!$G:$G = K55) , 
        0
      )
    ), 
    "再製作"
  )
)
</f>
        <v/>
      </c>
      <c r="P55" s="397" t="str">
        <f t="array" ref="P55">IF(
  N55 = "", 
  "", 
  IFERROR(
    INDEX(
      'アイテム別限界値DB'!$N:$N, 
      MATCH(
        1, 
        ('アイテム別限界値DB'!$B:$B = K$4) * 
        ('アイテム別限界値DB'!$G:$G = K55), 
        0
      )
    )*$N55, 
    "再製作"
  )
)
</f>
        <v/>
      </c>
      <c r="Q55" s="501"/>
      <c r="R55" s="493"/>
      <c r="S55" s="316"/>
      <c r="T55" s="317"/>
      <c r="U55" s="317"/>
      <c r="V55" s="317"/>
      <c r="W55" s="317"/>
      <c r="X55" s="493"/>
      <c r="Y55" s="468"/>
      <c r="Z55" s="448"/>
      <c r="AA55" s="386"/>
      <c r="AB55" s="386"/>
      <c r="AC55" s="396"/>
      <c r="AD55" s="396"/>
      <c r="AE55" s="501"/>
      <c r="AF55" s="497"/>
      <c r="AG55" s="510"/>
      <c r="AH55" s="386"/>
      <c r="AI55" s="386"/>
      <c r="AJ55" s="396"/>
      <c r="AK55" s="396"/>
      <c r="AL55" s="493"/>
      <c r="AM55" s="487"/>
      <c r="AN55" s="488"/>
      <c r="AO55" s="511"/>
      <c r="AP55" s="511"/>
      <c r="AQ55" s="396"/>
      <c r="AR55" s="396"/>
      <c r="AS55" s="493"/>
      <c r="AT55" s="488"/>
      <c r="AU55" s="511"/>
      <c r="AV55" s="511"/>
      <c r="AW55" s="396"/>
      <c r="AX55" s="396"/>
      <c r="AY55" s="493"/>
      <c r="AZ55" s="488"/>
      <c r="BA55" s="511"/>
      <c r="BB55" s="511"/>
      <c r="BC55" s="396"/>
      <c r="BD55" s="396"/>
      <c r="BE55" s="493"/>
      <c r="BF55" s="488"/>
      <c r="BG55" s="511"/>
      <c r="BH55" s="511"/>
      <c r="BI55" s="396"/>
      <c r="BJ55" s="396"/>
      <c r="BK55" s="493"/>
      <c r="BL55" s="488"/>
      <c r="BM55" s="511"/>
      <c r="BN55" s="511"/>
      <c r="BO55" s="396"/>
      <c r="BP55" s="396"/>
      <c r="BQ55" s="493"/>
      <c r="BR55" s="488"/>
      <c r="BS55" s="511"/>
      <c r="BT55" s="511"/>
      <c r="BU55" s="396"/>
      <c r="BV55" s="396"/>
      <c r="BW55" s="493"/>
      <c r="BX55" s="488"/>
      <c r="BY55" s="511"/>
      <c r="BZ55" s="511"/>
      <c r="CA55" s="396"/>
      <c r="CB55" s="396"/>
      <c r="CC55" s="396"/>
      <c r="CD55" s="396"/>
      <c r="CE55" s="396"/>
      <c r="CF55" s="396"/>
      <c r="CG55" s="396"/>
      <c r="CH55" s="493"/>
      <c r="CI55" s="493"/>
    </row>
    <row r="56">
      <c r="A56" s="503"/>
      <c r="B56" s="503"/>
      <c r="C56" s="503"/>
      <c r="D56" s="503"/>
      <c r="E56" s="509"/>
      <c r="F56" s="509"/>
      <c r="G56" s="509"/>
      <c r="H56" s="396"/>
      <c r="I56" s="402"/>
      <c r="J56" s="468"/>
      <c r="K56" s="483" t="s">
        <v>270</v>
      </c>
      <c r="L56" s="448" t="s">
        <v>271</v>
      </c>
      <c r="M56" s="406"/>
      <c r="N56" s="485"/>
      <c r="O56" s="405" t="str">
        <f t="array" ref="O56">IF(
  N56 = 0, 
  "", 
  IFERROR(
    INDEX(
      'アイテム別限界値DB'!$K:$K, 
      MATCH(
        1, 
        ('アイテム別限界値DB'!$B:$B = K$4) * 
        ('アイテム別限界値DB'!$G:$G = K56) , 
        0
      )
    ), 
    "再製作"
  )
)
</f>
        <v/>
      </c>
      <c r="P56" s="397" t="str">
        <f t="array" ref="P56">IF(
  N56 = "", 
  "", 
  IFERROR(
    INDEX(
      'アイテム別限界値DB'!$N:$N, 
      MATCH(
        1, 
        ('アイテム別限界値DB'!$B:$B = K$4) * 
        ('アイテム別限界値DB'!$G:$G = K56), 
        0
      )
    )*$N56, 
    "再製作"
  )
)
</f>
        <v/>
      </c>
      <c r="Q56" s="501"/>
      <c r="R56" s="493"/>
      <c r="S56" s="316"/>
      <c r="T56" s="317"/>
      <c r="U56" s="317"/>
      <c r="V56" s="317"/>
      <c r="W56" s="317"/>
      <c r="X56" s="493"/>
      <c r="Y56" s="468"/>
      <c r="Z56" s="448"/>
      <c r="AA56" s="386"/>
      <c r="AB56" s="386"/>
      <c r="AC56" s="396"/>
      <c r="AD56" s="396"/>
      <c r="AE56" s="501"/>
      <c r="AF56" s="497"/>
      <c r="AG56" s="510"/>
      <c r="AH56" s="386"/>
      <c r="AI56" s="386"/>
      <c r="AJ56" s="396"/>
      <c r="AK56" s="396"/>
      <c r="AL56" s="493"/>
      <c r="AM56" s="487"/>
      <c r="AN56" s="488"/>
      <c r="AO56" s="511"/>
      <c r="AP56" s="511"/>
      <c r="AQ56" s="396"/>
      <c r="AR56" s="396"/>
      <c r="AS56" s="493"/>
      <c r="AT56" s="488"/>
      <c r="AU56" s="511"/>
      <c r="AV56" s="511"/>
      <c r="AW56" s="396"/>
      <c r="AX56" s="396"/>
      <c r="AY56" s="493"/>
      <c r="AZ56" s="488"/>
      <c r="BA56" s="511"/>
      <c r="BB56" s="511"/>
      <c r="BC56" s="396"/>
      <c r="BD56" s="396"/>
      <c r="BE56" s="493"/>
      <c r="BF56" s="488"/>
      <c r="BG56" s="511"/>
      <c r="BH56" s="511"/>
      <c r="BI56" s="396"/>
      <c r="BJ56" s="396"/>
      <c r="BK56" s="493"/>
      <c r="BL56" s="488"/>
      <c r="BM56" s="511"/>
      <c r="BN56" s="511"/>
      <c r="BO56" s="396"/>
      <c r="BP56" s="396"/>
      <c r="BQ56" s="493"/>
      <c r="BR56" s="488"/>
      <c r="BS56" s="511"/>
      <c r="BT56" s="511"/>
      <c r="BU56" s="396"/>
      <c r="BV56" s="396"/>
      <c r="BW56" s="493"/>
      <c r="BX56" s="488"/>
      <c r="BY56" s="511"/>
      <c r="BZ56" s="511"/>
      <c r="CA56" s="396"/>
      <c r="CB56" s="396"/>
      <c r="CC56" s="396"/>
      <c r="CD56" s="396"/>
      <c r="CE56" s="396"/>
      <c r="CF56" s="396"/>
      <c r="CG56" s="396"/>
      <c r="CH56" s="493"/>
      <c r="CI56" s="493"/>
    </row>
    <row r="57">
      <c r="A57" s="503"/>
      <c r="B57" s="503"/>
      <c r="C57" s="503"/>
      <c r="D57" s="503"/>
      <c r="E57" s="509"/>
      <c r="F57" s="509"/>
      <c r="G57" s="509"/>
      <c r="H57" s="396"/>
      <c r="I57" s="402"/>
      <c r="J57" s="468"/>
      <c r="K57" s="483"/>
      <c r="L57" s="448"/>
      <c r="M57" s="386"/>
      <c r="N57" s="512"/>
      <c r="O57" s="396"/>
      <c r="P57" s="396"/>
      <c r="Q57" s="501"/>
      <c r="R57" s="493"/>
      <c r="S57" s="316"/>
      <c r="T57" s="317"/>
      <c r="U57" s="317"/>
      <c r="V57" s="317"/>
      <c r="W57" s="317"/>
      <c r="X57" s="493"/>
      <c r="Y57" s="468"/>
      <c r="Z57" s="448"/>
      <c r="AA57" s="386"/>
      <c r="AB57" s="386"/>
      <c r="AC57" s="396"/>
      <c r="AD57" s="396"/>
      <c r="AE57" s="501"/>
      <c r="AF57" s="497"/>
      <c r="AG57" s="510"/>
      <c r="AH57" s="386"/>
      <c r="AI57" s="386"/>
      <c r="AJ57" s="396"/>
      <c r="AK57" s="396"/>
      <c r="AL57" s="493"/>
      <c r="AM57" s="487"/>
      <c r="AN57" s="488"/>
      <c r="AO57" s="511"/>
      <c r="AP57" s="511"/>
      <c r="AQ57" s="396"/>
      <c r="AR57" s="396"/>
      <c r="AS57" s="493"/>
      <c r="AT57" s="488"/>
      <c r="AU57" s="511"/>
      <c r="AV57" s="511"/>
      <c r="AW57" s="396"/>
      <c r="AX57" s="396"/>
      <c r="AY57" s="493"/>
      <c r="AZ57" s="488"/>
      <c r="BA57" s="511"/>
      <c r="BB57" s="511"/>
      <c r="BC57" s="396"/>
      <c r="BD57" s="396"/>
      <c r="BE57" s="493"/>
      <c r="BF57" s="488"/>
      <c r="BG57" s="511"/>
      <c r="BH57" s="511"/>
      <c r="BI57" s="396"/>
      <c r="BJ57" s="396"/>
      <c r="BK57" s="493"/>
      <c r="BL57" s="488"/>
      <c r="BM57" s="511"/>
      <c r="BN57" s="511"/>
      <c r="BO57" s="396"/>
      <c r="BP57" s="396"/>
      <c r="BQ57" s="493"/>
      <c r="BR57" s="488"/>
      <c r="BS57" s="511"/>
      <c r="BT57" s="511"/>
      <c r="BU57" s="396"/>
      <c r="BV57" s="396"/>
      <c r="BW57" s="493"/>
      <c r="BX57" s="488"/>
      <c r="BY57" s="511"/>
      <c r="BZ57" s="511"/>
      <c r="CA57" s="396"/>
      <c r="CB57" s="396"/>
      <c r="CC57" s="396"/>
      <c r="CD57" s="396"/>
      <c r="CE57" s="396"/>
      <c r="CF57" s="396"/>
      <c r="CG57" s="396"/>
      <c r="CH57" s="493"/>
      <c r="CI57" s="493"/>
    </row>
    <row r="58">
      <c r="A58" s="503"/>
      <c r="B58" s="503"/>
      <c r="C58" s="503"/>
      <c r="D58" s="503"/>
      <c r="E58" s="509"/>
      <c r="F58" s="509"/>
      <c r="G58" s="509"/>
      <c r="H58" s="396"/>
      <c r="I58" s="402"/>
      <c r="J58" s="468"/>
      <c r="K58" s="483"/>
      <c r="L58" s="448"/>
      <c r="M58" s="386"/>
      <c r="N58" s="512"/>
      <c r="O58" s="396"/>
      <c r="P58" s="396"/>
      <c r="Q58" s="501"/>
      <c r="R58" s="493"/>
      <c r="S58" s="316"/>
      <c r="T58" s="317"/>
      <c r="U58" s="317"/>
      <c r="V58" s="317"/>
      <c r="W58" s="317"/>
      <c r="X58" s="493"/>
      <c r="Y58" s="468"/>
      <c r="Z58" s="448"/>
      <c r="AA58" s="386"/>
      <c r="AB58" s="386"/>
      <c r="AC58" s="396"/>
      <c r="AD58" s="396"/>
      <c r="AE58" s="501"/>
      <c r="AF58" s="497"/>
      <c r="AG58" s="510"/>
      <c r="AH58" s="386"/>
      <c r="AI58" s="386"/>
      <c r="AJ58" s="396"/>
      <c r="AK58" s="396"/>
      <c r="AL58" s="493"/>
      <c r="AM58" s="487"/>
      <c r="AN58" s="488"/>
      <c r="AO58" s="511"/>
      <c r="AP58" s="511"/>
      <c r="AQ58" s="396"/>
      <c r="AR58" s="396"/>
      <c r="AS58" s="493"/>
      <c r="AT58" s="488"/>
      <c r="AU58" s="511"/>
      <c r="AV58" s="511"/>
      <c r="AW58" s="396"/>
      <c r="AX58" s="396"/>
      <c r="AY58" s="493"/>
      <c r="AZ58" s="488"/>
      <c r="BA58" s="511"/>
      <c r="BB58" s="511"/>
      <c r="BC58" s="396"/>
      <c r="BD58" s="396"/>
      <c r="BE58" s="493"/>
      <c r="BF58" s="488"/>
      <c r="BG58" s="511"/>
      <c r="BH58" s="511"/>
      <c r="BI58" s="396"/>
      <c r="BJ58" s="396"/>
      <c r="BK58" s="493"/>
      <c r="BL58" s="488"/>
      <c r="BM58" s="511"/>
      <c r="BN58" s="511"/>
      <c r="BO58" s="396"/>
      <c r="BP58" s="396"/>
      <c r="BQ58" s="493"/>
      <c r="BR58" s="488"/>
      <c r="BS58" s="511"/>
      <c r="BT58" s="511"/>
      <c r="BU58" s="396"/>
      <c r="BV58" s="396"/>
      <c r="BW58" s="493"/>
      <c r="BX58" s="488"/>
      <c r="BY58" s="511"/>
      <c r="BZ58" s="511"/>
      <c r="CA58" s="396"/>
      <c r="CB58" s="396"/>
      <c r="CC58" s="396"/>
      <c r="CD58" s="396"/>
      <c r="CE58" s="396"/>
      <c r="CF58" s="396"/>
      <c r="CG58" s="396"/>
      <c r="CH58" s="493"/>
      <c r="CI58" s="493"/>
    </row>
    <row r="59">
      <c r="A59" s="503"/>
      <c r="B59" s="503"/>
      <c r="C59" s="503"/>
      <c r="D59" s="503"/>
      <c r="E59" s="509"/>
      <c r="F59" s="509"/>
      <c r="G59" s="509"/>
      <c r="H59" s="396"/>
      <c r="I59" s="402"/>
      <c r="J59" s="468"/>
      <c r="K59" s="483"/>
      <c r="L59" s="448"/>
      <c r="M59" s="386"/>
      <c r="N59" s="512"/>
      <c r="O59" s="396"/>
      <c r="P59" s="396"/>
      <c r="Q59" s="501"/>
      <c r="R59" s="493"/>
      <c r="S59" s="316"/>
      <c r="T59" s="317"/>
      <c r="U59" s="317"/>
      <c r="V59" s="317"/>
      <c r="W59" s="317"/>
      <c r="X59" s="493"/>
      <c r="Y59" s="468"/>
      <c r="Z59" s="448"/>
      <c r="AA59" s="386"/>
      <c r="AB59" s="386"/>
      <c r="AC59" s="396"/>
      <c r="AD59" s="396"/>
      <c r="AE59" s="501"/>
      <c r="AF59" s="497"/>
      <c r="AG59" s="510"/>
      <c r="AH59" s="386"/>
      <c r="AI59" s="386"/>
      <c r="AJ59" s="396"/>
      <c r="AK59" s="396"/>
      <c r="AL59" s="493"/>
      <c r="AM59" s="487"/>
      <c r="AN59" s="488"/>
      <c r="AO59" s="511"/>
      <c r="AP59" s="511"/>
      <c r="AQ59" s="396"/>
      <c r="AR59" s="396"/>
      <c r="AS59" s="493"/>
      <c r="AT59" s="488"/>
      <c r="AU59" s="511"/>
      <c r="AV59" s="511"/>
      <c r="AW59" s="396"/>
      <c r="AX59" s="396"/>
      <c r="AY59" s="493"/>
      <c r="AZ59" s="488"/>
      <c r="BA59" s="511"/>
      <c r="BB59" s="511"/>
      <c r="BC59" s="396"/>
      <c r="BD59" s="396"/>
      <c r="BE59" s="493"/>
      <c r="BF59" s="488"/>
      <c r="BG59" s="511"/>
      <c r="BH59" s="511"/>
      <c r="BI59" s="396"/>
      <c r="BJ59" s="396"/>
      <c r="BK59" s="493"/>
      <c r="BL59" s="488"/>
      <c r="BM59" s="511"/>
      <c r="BN59" s="511"/>
      <c r="BO59" s="396"/>
      <c r="BP59" s="396"/>
      <c r="BQ59" s="493"/>
      <c r="BR59" s="488"/>
      <c r="BS59" s="511"/>
      <c r="BT59" s="511"/>
      <c r="BU59" s="396"/>
      <c r="BV59" s="396"/>
      <c r="BW59" s="493"/>
      <c r="BX59" s="488"/>
      <c r="BY59" s="511"/>
      <c r="BZ59" s="511"/>
      <c r="CA59" s="396"/>
      <c r="CB59" s="396"/>
      <c r="CC59" s="396"/>
      <c r="CD59" s="396"/>
      <c r="CE59" s="396"/>
      <c r="CF59" s="396"/>
      <c r="CG59" s="396"/>
      <c r="CH59" s="493"/>
      <c r="CI59" s="493"/>
    </row>
    <row r="60">
      <c r="A60" s="503"/>
      <c r="B60" s="503"/>
      <c r="C60" s="503"/>
      <c r="D60" s="503"/>
      <c r="E60" s="509"/>
      <c r="F60" s="509"/>
      <c r="G60" s="509"/>
      <c r="H60" s="396"/>
      <c r="I60" s="402"/>
      <c r="J60" s="468"/>
      <c r="K60" s="483"/>
      <c r="L60" s="448"/>
      <c r="M60" s="386"/>
      <c r="N60" s="512"/>
      <c r="O60" s="396"/>
      <c r="P60" s="396"/>
      <c r="Q60" s="501"/>
      <c r="R60" s="493"/>
      <c r="S60" s="316"/>
      <c r="T60" s="317"/>
      <c r="U60" s="317"/>
      <c r="V60" s="317"/>
      <c r="W60" s="317"/>
      <c r="X60" s="493"/>
      <c r="Y60" s="468"/>
      <c r="Z60" s="448"/>
      <c r="AA60" s="386"/>
      <c r="AB60" s="386"/>
      <c r="AC60" s="396"/>
      <c r="AD60" s="396"/>
      <c r="AE60" s="501"/>
      <c r="AF60" s="497"/>
      <c r="AG60" s="510"/>
      <c r="AH60" s="386"/>
      <c r="AI60" s="386"/>
      <c r="AJ60" s="396"/>
      <c r="AK60" s="396"/>
      <c r="AL60" s="493"/>
      <c r="AM60" s="487"/>
      <c r="AN60" s="488"/>
      <c r="AO60" s="511"/>
      <c r="AP60" s="511"/>
      <c r="AQ60" s="396"/>
      <c r="AR60" s="396"/>
      <c r="AS60" s="493"/>
      <c r="AT60" s="488"/>
      <c r="AU60" s="511"/>
      <c r="AV60" s="511"/>
      <c r="AW60" s="396"/>
      <c r="AX60" s="396"/>
      <c r="AY60" s="493"/>
      <c r="AZ60" s="488"/>
      <c r="BA60" s="511"/>
      <c r="BB60" s="511"/>
      <c r="BC60" s="396"/>
      <c r="BD60" s="396"/>
      <c r="BE60" s="493"/>
      <c r="BF60" s="488"/>
      <c r="BG60" s="511"/>
      <c r="BH60" s="511"/>
      <c r="BI60" s="396"/>
      <c r="BJ60" s="396"/>
      <c r="BK60" s="493"/>
      <c r="BL60" s="488"/>
      <c r="BM60" s="511"/>
      <c r="BN60" s="511"/>
      <c r="BO60" s="396"/>
      <c r="BP60" s="396"/>
      <c r="BQ60" s="493"/>
      <c r="BR60" s="488"/>
      <c r="BS60" s="511"/>
      <c r="BT60" s="511"/>
      <c r="BU60" s="396"/>
      <c r="BV60" s="396"/>
      <c r="BW60" s="493"/>
      <c r="BX60" s="488"/>
      <c r="BY60" s="511"/>
      <c r="BZ60" s="511"/>
      <c r="CA60" s="396"/>
      <c r="CB60" s="396"/>
      <c r="CC60" s="396"/>
      <c r="CD60" s="396"/>
      <c r="CE60" s="396"/>
      <c r="CF60" s="396"/>
      <c r="CG60" s="396"/>
      <c r="CH60" s="493"/>
      <c r="CI60" s="493"/>
    </row>
    <row r="61">
      <c r="A61" s="503"/>
      <c r="B61" s="503"/>
      <c r="C61" s="503"/>
      <c r="D61" s="503"/>
      <c r="E61" s="509"/>
      <c r="F61" s="509"/>
      <c r="G61" s="509"/>
      <c r="H61" s="396"/>
      <c r="I61" s="402"/>
      <c r="J61" s="468"/>
      <c r="K61" s="483"/>
      <c r="L61" s="448"/>
      <c r="M61" s="386"/>
      <c r="N61" s="512"/>
      <c r="O61" s="396"/>
      <c r="P61" s="396"/>
      <c r="Q61" s="501"/>
      <c r="R61" s="493"/>
      <c r="S61" s="316"/>
      <c r="T61" s="317"/>
      <c r="U61" s="317"/>
      <c r="V61" s="317"/>
      <c r="W61" s="317"/>
      <c r="X61" s="493"/>
      <c r="Y61" s="468"/>
      <c r="Z61" s="448"/>
      <c r="AA61" s="386"/>
      <c r="AB61" s="386"/>
      <c r="AC61" s="396"/>
      <c r="AD61" s="396"/>
      <c r="AE61" s="501"/>
      <c r="AF61" s="497"/>
      <c r="AG61" s="510"/>
      <c r="AH61" s="386"/>
      <c r="AI61" s="386"/>
      <c r="AJ61" s="396"/>
      <c r="AK61" s="396"/>
      <c r="AL61" s="493"/>
      <c r="AM61" s="487"/>
      <c r="AN61" s="488"/>
      <c r="AO61" s="511"/>
      <c r="AP61" s="511"/>
      <c r="AQ61" s="396"/>
      <c r="AR61" s="396"/>
      <c r="AS61" s="493"/>
      <c r="AT61" s="488"/>
      <c r="AU61" s="511"/>
      <c r="AV61" s="511"/>
      <c r="AW61" s="396"/>
      <c r="AX61" s="396"/>
      <c r="AY61" s="493"/>
      <c r="AZ61" s="488"/>
      <c r="BA61" s="511"/>
      <c r="BB61" s="511"/>
      <c r="BC61" s="396"/>
      <c r="BD61" s="396"/>
      <c r="BE61" s="493"/>
      <c r="BF61" s="488"/>
      <c r="BG61" s="511"/>
      <c r="BH61" s="511"/>
      <c r="BI61" s="396"/>
      <c r="BJ61" s="396"/>
      <c r="BK61" s="493"/>
      <c r="BL61" s="488"/>
      <c r="BM61" s="511"/>
      <c r="BN61" s="511"/>
      <c r="BO61" s="396"/>
      <c r="BP61" s="396"/>
      <c r="BQ61" s="493"/>
      <c r="BR61" s="488"/>
      <c r="BS61" s="511"/>
      <c r="BT61" s="511"/>
      <c r="BU61" s="396"/>
      <c r="BV61" s="396"/>
      <c r="BW61" s="493"/>
      <c r="BX61" s="488"/>
      <c r="BY61" s="511"/>
      <c r="BZ61" s="511"/>
      <c r="CA61" s="396"/>
      <c r="CB61" s="396"/>
      <c r="CC61" s="396"/>
      <c r="CD61" s="396"/>
      <c r="CE61" s="396"/>
      <c r="CF61" s="396"/>
      <c r="CG61" s="396"/>
      <c r="CH61" s="493"/>
      <c r="CI61" s="493"/>
    </row>
    <row r="62">
      <c r="A62" s="503"/>
      <c r="B62" s="503"/>
      <c r="C62" s="503"/>
      <c r="D62" s="503"/>
      <c r="E62" s="509"/>
      <c r="F62" s="509"/>
      <c r="G62" s="509"/>
      <c r="H62" s="396"/>
      <c r="I62" s="402"/>
      <c r="J62" s="468"/>
      <c r="K62" s="483"/>
      <c r="L62" s="448"/>
      <c r="M62" s="386"/>
      <c r="N62" s="512"/>
      <c r="O62" s="396"/>
      <c r="P62" s="396"/>
      <c r="Q62" s="501"/>
      <c r="R62" s="493"/>
      <c r="S62" s="316"/>
      <c r="T62" s="317"/>
      <c r="U62" s="317"/>
      <c r="V62" s="317"/>
      <c r="W62" s="317"/>
      <c r="X62" s="493"/>
      <c r="Y62" s="468"/>
      <c r="Z62" s="448"/>
      <c r="AA62" s="386"/>
      <c r="AB62" s="386"/>
      <c r="AC62" s="396"/>
      <c r="AD62" s="396"/>
      <c r="AE62" s="501"/>
      <c r="AF62" s="497"/>
      <c r="AG62" s="510"/>
      <c r="AH62" s="386"/>
      <c r="AI62" s="386"/>
      <c r="AJ62" s="396"/>
      <c r="AK62" s="396"/>
      <c r="AL62" s="493"/>
      <c r="AM62" s="487"/>
      <c r="AN62" s="488"/>
      <c r="AO62" s="511"/>
      <c r="AP62" s="511"/>
      <c r="AQ62" s="396"/>
      <c r="AR62" s="396"/>
      <c r="AS62" s="493"/>
      <c r="AT62" s="488"/>
      <c r="AU62" s="511"/>
      <c r="AV62" s="511"/>
      <c r="AW62" s="396"/>
      <c r="AX62" s="396"/>
      <c r="AY62" s="493"/>
      <c r="AZ62" s="488"/>
      <c r="BA62" s="511"/>
      <c r="BB62" s="511"/>
      <c r="BC62" s="396"/>
      <c r="BD62" s="396"/>
      <c r="BE62" s="493"/>
      <c r="BF62" s="488"/>
      <c r="BG62" s="511"/>
      <c r="BH62" s="511"/>
      <c r="BI62" s="396"/>
      <c r="BJ62" s="396"/>
      <c r="BK62" s="493"/>
      <c r="BL62" s="488"/>
      <c r="BM62" s="511"/>
      <c r="BN62" s="511"/>
      <c r="BO62" s="396"/>
      <c r="BP62" s="396"/>
      <c r="BQ62" s="493"/>
      <c r="BR62" s="488"/>
      <c r="BS62" s="511"/>
      <c r="BT62" s="511"/>
      <c r="BU62" s="396"/>
      <c r="BV62" s="396"/>
      <c r="BW62" s="493"/>
      <c r="BX62" s="488"/>
      <c r="BY62" s="511"/>
      <c r="BZ62" s="511"/>
      <c r="CA62" s="396"/>
      <c r="CB62" s="396"/>
      <c r="CC62" s="396"/>
      <c r="CD62" s="396"/>
      <c r="CE62" s="396"/>
      <c r="CF62" s="396"/>
      <c r="CG62" s="396"/>
      <c r="CH62" s="493"/>
      <c r="CI62" s="493"/>
    </row>
    <row r="63">
      <c r="A63" s="503"/>
      <c r="B63" s="503"/>
      <c r="C63" s="503"/>
      <c r="D63" s="503"/>
      <c r="E63" s="509"/>
      <c r="F63" s="509"/>
      <c r="G63" s="509"/>
      <c r="H63" s="396"/>
      <c r="I63" s="402"/>
      <c r="J63" s="468"/>
      <c r="K63" s="483"/>
      <c r="L63" s="448"/>
      <c r="M63" s="386"/>
      <c r="N63" s="512"/>
      <c r="O63" s="396"/>
      <c r="P63" s="396"/>
      <c r="Q63" s="501"/>
      <c r="R63" s="493"/>
      <c r="S63" s="316"/>
      <c r="T63" s="317"/>
      <c r="U63" s="317"/>
      <c r="V63" s="317"/>
      <c r="W63" s="317"/>
      <c r="X63" s="493"/>
      <c r="Y63" s="468"/>
      <c r="Z63" s="448"/>
      <c r="AA63" s="386"/>
      <c r="AB63" s="386"/>
      <c r="AC63" s="396"/>
      <c r="AD63" s="396"/>
      <c r="AE63" s="501"/>
      <c r="AF63" s="497"/>
      <c r="AG63" s="510"/>
      <c r="AH63" s="386"/>
      <c r="AI63" s="386"/>
      <c r="AJ63" s="396"/>
      <c r="AK63" s="396"/>
      <c r="AL63" s="493"/>
      <c r="AM63" s="487"/>
      <c r="AN63" s="488"/>
      <c r="AO63" s="511"/>
      <c r="AP63" s="511"/>
      <c r="AQ63" s="396"/>
      <c r="AR63" s="396"/>
      <c r="AS63" s="493"/>
      <c r="AT63" s="488"/>
      <c r="AU63" s="511"/>
      <c r="AV63" s="511"/>
      <c r="AW63" s="396"/>
      <c r="AX63" s="396"/>
      <c r="AY63" s="493"/>
      <c r="AZ63" s="488"/>
      <c r="BA63" s="511"/>
      <c r="BB63" s="511"/>
      <c r="BC63" s="396"/>
      <c r="BD63" s="396"/>
      <c r="BE63" s="493"/>
      <c r="BF63" s="488"/>
      <c r="BG63" s="511"/>
      <c r="BH63" s="511"/>
      <c r="BI63" s="396"/>
      <c r="BJ63" s="396"/>
      <c r="BK63" s="493"/>
      <c r="BL63" s="488"/>
      <c r="BM63" s="511"/>
      <c r="BN63" s="511"/>
      <c r="BO63" s="396"/>
      <c r="BP63" s="396"/>
      <c r="BQ63" s="493"/>
      <c r="BR63" s="488"/>
      <c r="BS63" s="511"/>
      <c r="BT63" s="511"/>
      <c r="BU63" s="396"/>
      <c r="BV63" s="396"/>
      <c r="BW63" s="493"/>
      <c r="BX63" s="488"/>
      <c r="BY63" s="511"/>
      <c r="BZ63" s="511"/>
      <c r="CA63" s="396"/>
      <c r="CB63" s="396"/>
      <c r="CC63" s="396"/>
      <c r="CD63" s="396"/>
      <c r="CE63" s="396"/>
      <c r="CF63" s="396"/>
      <c r="CG63" s="396"/>
      <c r="CH63" s="493"/>
      <c r="CI63" s="493"/>
    </row>
    <row r="64">
      <c r="A64" s="503"/>
      <c r="B64" s="503"/>
      <c r="C64" s="503"/>
      <c r="D64" s="503"/>
      <c r="E64" s="509"/>
      <c r="F64" s="509"/>
      <c r="G64" s="509"/>
      <c r="H64" s="396"/>
      <c r="I64" s="402"/>
      <c r="J64" s="468"/>
      <c r="K64" s="483"/>
      <c r="L64" s="448"/>
      <c r="M64" s="386"/>
      <c r="N64" s="512"/>
      <c r="O64" s="396"/>
      <c r="P64" s="396"/>
      <c r="Q64" s="501"/>
      <c r="R64" s="493"/>
      <c r="S64" s="316"/>
      <c r="T64" s="317"/>
      <c r="U64" s="317"/>
      <c r="V64" s="317"/>
      <c r="W64" s="317"/>
      <c r="X64" s="493"/>
      <c r="Y64" s="468"/>
      <c r="Z64" s="448"/>
      <c r="AA64" s="386"/>
      <c r="AB64" s="386"/>
      <c r="AC64" s="396"/>
      <c r="AD64" s="396"/>
      <c r="AE64" s="501"/>
      <c r="AF64" s="497"/>
      <c r="AG64" s="510"/>
      <c r="AH64" s="386"/>
      <c r="AI64" s="386"/>
      <c r="AJ64" s="396"/>
      <c r="AK64" s="396"/>
      <c r="AL64" s="493"/>
      <c r="AM64" s="487"/>
      <c r="AN64" s="488"/>
      <c r="AO64" s="511"/>
      <c r="AP64" s="511"/>
      <c r="AQ64" s="396"/>
      <c r="AR64" s="396"/>
      <c r="AS64" s="493"/>
      <c r="AT64" s="488"/>
      <c r="AU64" s="511"/>
      <c r="AV64" s="511"/>
      <c r="AW64" s="396"/>
      <c r="AX64" s="396"/>
      <c r="AY64" s="493"/>
      <c r="AZ64" s="488"/>
      <c r="BA64" s="511"/>
      <c r="BB64" s="511"/>
      <c r="BC64" s="396"/>
      <c r="BD64" s="396"/>
      <c r="BE64" s="493"/>
      <c r="BF64" s="488"/>
      <c r="BG64" s="511"/>
      <c r="BH64" s="511"/>
      <c r="BI64" s="396"/>
      <c r="BJ64" s="396"/>
      <c r="BK64" s="493"/>
      <c r="BL64" s="488"/>
      <c r="BM64" s="511"/>
      <c r="BN64" s="511"/>
      <c r="BO64" s="396"/>
      <c r="BP64" s="396"/>
      <c r="BQ64" s="493"/>
      <c r="BR64" s="488"/>
      <c r="BS64" s="511"/>
      <c r="BT64" s="511"/>
      <c r="BU64" s="396"/>
      <c r="BV64" s="396"/>
      <c r="BW64" s="493"/>
      <c r="BX64" s="488"/>
      <c r="BY64" s="511"/>
      <c r="BZ64" s="511"/>
      <c r="CA64" s="396"/>
      <c r="CB64" s="396"/>
      <c r="CC64" s="396"/>
      <c r="CD64" s="396"/>
      <c r="CE64" s="396"/>
      <c r="CF64" s="396"/>
      <c r="CG64" s="396"/>
      <c r="CH64" s="493"/>
      <c r="CI64" s="493"/>
    </row>
    <row r="65">
      <c r="A65" s="503"/>
      <c r="B65" s="503"/>
      <c r="C65" s="503"/>
      <c r="D65" s="503"/>
      <c r="E65" s="509"/>
      <c r="F65" s="509"/>
      <c r="G65" s="509"/>
      <c r="H65" s="396"/>
      <c r="I65" s="402"/>
      <c r="J65" s="468"/>
      <c r="K65" s="483"/>
      <c r="L65" s="448"/>
      <c r="M65" s="386"/>
      <c r="N65" s="512"/>
      <c r="O65" s="396"/>
      <c r="P65" s="396"/>
      <c r="Q65" s="501"/>
      <c r="R65" s="493"/>
      <c r="S65" s="316"/>
      <c r="T65" s="317"/>
      <c r="U65" s="317"/>
      <c r="V65" s="317"/>
      <c r="W65" s="317"/>
      <c r="X65" s="493"/>
      <c r="Y65" s="468"/>
      <c r="Z65" s="448"/>
      <c r="AA65" s="386"/>
      <c r="AB65" s="386"/>
      <c r="AC65" s="396"/>
      <c r="AD65" s="396"/>
      <c r="AE65" s="501"/>
      <c r="AF65" s="497"/>
      <c r="AG65" s="510"/>
      <c r="AH65" s="386"/>
      <c r="AI65" s="386"/>
      <c r="AJ65" s="396"/>
      <c r="AK65" s="396"/>
      <c r="AL65" s="493"/>
      <c r="AM65" s="487"/>
      <c r="AN65" s="488"/>
      <c r="AO65" s="511"/>
      <c r="AP65" s="511"/>
      <c r="AQ65" s="396"/>
      <c r="AR65" s="396"/>
      <c r="AS65" s="493"/>
      <c r="AT65" s="488"/>
      <c r="AU65" s="511"/>
      <c r="AV65" s="511"/>
      <c r="AW65" s="396"/>
      <c r="AX65" s="396"/>
      <c r="AY65" s="493"/>
      <c r="AZ65" s="488"/>
      <c r="BA65" s="511"/>
      <c r="BB65" s="511"/>
      <c r="BC65" s="396"/>
      <c r="BD65" s="396"/>
      <c r="BE65" s="493"/>
      <c r="BF65" s="488"/>
      <c r="BG65" s="511"/>
      <c r="BH65" s="511"/>
      <c r="BI65" s="396"/>
      <c r="BJ65" s="396"/>
      <c r="BK65" s="493"/>
      <c r="BL65" s="488"/>
      <c r="BM65" s="511"/>
      <c r="BN65" s="511"/>
      <c r="BO65" s="396"/>
      <c r="BP65" s="396"/>
      <c r="BQ65" s="493"/>
      <c r="BR65" s="488"/>
      <c r="BS65" s="511"/>
      <c r="BT65" s="511"/>
      <c r="BU65" s="396"/>
      <c r="BV65" s="396"/>
      <c r="BW65" s="493"/>
      <c r="BX65" s="488"/>
      <c r="BY65" s="511"/>
      <c r="BZ65" s="511"/>
      <c r="CA65" s="396"/>
      <c r="CB65" s="396"/>
      <c r="CC65" s="396"/>
      <c r="CD65" s="396"/>
      <c r="CE65" s="396"/>
      <c r="CF65" s="396"/>
      <c r="CG65" s="396"/>
      <c r="CH65" s="493"/>
      <c r="CI65" s="493"/>
    </row>
    <row r="66">
      <c r="A66" s="503"/>
      <c r="B66" s="503"/>
      <c r="C66" s="503"/>
      <c r="D66" s="503"/>
      <c r="E66" s="509"/>
      <c r="F66" s="509"/>
      <c r="G66" s="509"/>
      <c r="H66" s="396"/>
      <c r="I66" s="402"/>
      <c r="J66" s="468"/>
      <c r="K66" s="483"/>
      <c r="L66" s="448"/>
      <c r="M66" s="386"/>
      <c r="N66" s="512"/>
      <c r="O66" s="396"/>
      <c r="P66" s="396"/>
      <c r="Q66" s="501"/>
      <c r="R66" s="493"/>
      <c r="S66" s="316"/>
      <c r="T66" s="317"/>
      <c r="U66" s="317"/>
      <c r="V66" s="317"/>
      <c r="W66" s="317"/>
      <c r="X66" s="493"/>
      <c r="Y66" s="468"/>
      <c r="Z66" s="448"/>
      <c r="AA66" s="386"/>
      <c r="AB66" s="386"/>
      <c r="AC66" s="396"/>
      <c r="AD66" s="396"/>
      <c r="AE66" s="501"/>
      <c r="AF66" s="497"/>
      <c r="AG66" s="510"/>
      <c r="AH66" s="386"/>
      <c r="AI66" s="386"/>
      <c r="AJ66" s="396"/>
      <c r="AK66" s="396"/>
      <c r="AL66" s="493"/>
      <c r="AM66" s="487"/>
      <c r="AN66" s="488"/>
      <c r="AO66" s="511"/>
      <c r="AP66" s="511"/>
      <c r="AQ66" s="396"/>
      <c r="AR66" s="396"/>
      <c r="AS66" s="493"/>
      <c r="AT66" s="488"/>
      <c r="AU66" s="511"/>
      <c r="AV66" s="511"/>
      <c r="AW66" s="396"/>
      <c r="AX66" s="396"/>
      <c r="AY66" s="493"/>
      <c r="AZ66" s="488"/>
      <c r="BA66" s="511"/>
      <c r="BB66" s="511"/>
      <c r="BC66" s="396"/>
      <c r="BD66" s="396"/>
      <c r="BE66" s="493"/>
      <c r="BF66" s="488"/>
      <c r="BG66" s="511"/>
      <c r="BH66" s="511"/>
      <c r="BI66" s="396"/>
      <c r="BJ66" s="396"/>
      <c r="BK66" s="493"/>
      <c r="BL66" s="488"/>
      <c r="BM66" s="511"/>
      <c r="BN66" s="511"/>
      <c r="BO66" s="396"/>
      <c r="BP66" s="396"/>
      <c r="BQ66" s="493"/>
      <c r="BR66" s="488"/>
      <c r="BS66" s="511"/>
      <c r="BT66" s="511"/>
      <c r="BU66" s="396"/>
      <c r="BV66" s="396"/>
      <c r="BW66" s="493"/>
      <c r="BX66" s="488"/>
      <c r="BY66" s="511"/>
      <c r="BZ66" s="511"/>
      <c r="CA66" s="396"/>
      <c r="CB66" s="396"/>
      <c r="CC66" s="396"/>
      <c r="CD66" s="396"/>
      <c r="CE66" s="396"/>
      <c r="CF66" s="396"/>
      <c r="CG66" s="396"/>
      <c r="CH66" s="493"/>
      <c r="CI66" s="493"/>
    </row>
    <row r="67">
      <c r="A67" s="503"/>
      <c r="B67" s="503"/>
      <c r="C67" s="503"/>
      <c r="D67" s="503"/>
      <c r="E67" s="509"/>
      <c r="F67" s="509"/>
      <c r="G67" s="509"/>
      <c r="H67" s="396"/>
      <c r="I67" s="402"/>
      <c r="J67" s="468"/>
      <c r="K67" s="483"/>
      <c r="L67" s="448"/>
      <c r="M67" s="386"/>
      <c r="N67" s="512"/>
      <c r="O67" s="396"/>
      <c r="P67" s="396"/>
      <c r="Q67" s="501"/>
      <c r="R67" s="493"/>
      <c r="S67" s="316"/>
      <c r="T67" s="317"/>
      <c r="U67" s="317"/>
      <c r="V67" s="317"/>
      <c r="W67" s="317"/>
      <c r="X67" s="493"/>
      <c r="Y67" s="468"/>
      <c r="Z67" s="448"/>
      <c r="AA67" s="386"/>
      <c r="AB67" s="386"/>
      <c r="AC67" s="396"/>
      <c r="AD67" s="396"/>
      <c r="AE67" s="501"/>
      <c r="AF67" s="497"/>
      <c r="AG67" s="510"/>
      <c r="AH67" s="386"/>
      <c r="AI67" s="386"/>
      <c r="AJ67" s="396"/>
      <c r="AK67" s="396"/>
      <c r="AL67" s="493"/>
      <c r="AM67" s="487"/>
      <c r="AN67" s="488"/>
      <c r="AO67" s="511"/>
      <c r="AP67" s="511"/>
      <c r="AQ67" s="396"/>
      <c r="AR67" s="396"/>
      <c r="AS67" s="493"/>
      <c r="AT67" s="488"/>
      <c r="AU67" s="511"/>
      <c r="AV67" s="511"/>
      <c r="AW67" s="396"/>
      <c r="AX67" s="396"/>
      <c r="AY67" s="493"/>
      <c r="AZ67" s="488"/>
      <c r="BA67" s="511"/>
      <c r="BB67" s="511"/>
      <c r="BC67" s="396"/>
      <c r="BD67" s="396"/>
      <c r="BE67" s="493"/>
      <c r="BF67" s="488"/>
      <c r="BG67" s="511"/>
      <c r="BH67" s="511"/>
      <c r="BI67" s="396"/>
      <c r="BJ67" s="396"/>
      <c r="BK67" s="493"/>
      <c r="BL67" s="488"/>
      <c r="BM67" s="511"/>
      <c r="BN67" s="511"/>
      <c r="BO67" s="396"/>
      <c r="BP67" s="396"/>
      <c r="BQ67" s="493"/>
      <c r="BR67" s="488"/>
      <c r="BS67" s="511"/>
      <c r="BT67" s="511"/>
      <c r="BU67" s="396"/>
      <c r="BV67" s="396"/>
      <c r="BW67" s="493"/>
      <c r="BX67" s="488"/>
      <c r="BY67" s="511"/>
      <c r="BZ67" s="511"/>
      <c r="CA67" s="396"/>
      <c r="CB67" s="396"/>
      <c r="CC67" s="396"/>
      <c r="CD67" s="396"/>
      <c r="CE67" s="396"/>
      <c r="CF67" s="396"/>
      <c r="CG67" s="396"/>
      <c r="CH67" s="493"/>
      <c r="CI67" s="493"/>
    </row>
    <row r="68">
      <c r="A68" s="503"/>
      <c r="B68" s="503"/>
      <c r="C68" s="503"/>
      <c r="D68" s="503"/>
      <c r="E68" s="509"/>
      <c r="F68" s="509"/>
      <c r="G68" s="509"/>
      <c r="H68" s="396"/>
      <c r="I68" s="402"/>
      <c r="J68" s="468"/>
      <c r="K68" s="483"/>
      <c r="L68" s="448"/>
      <c r="M68" s="386"/>
      <c r="N68" s="512"/>
      <c r="O68" s="396"/>
      <c r="P68" s="396"/>
      <c r="Q68" s="501"/>
      <c r="R68" s="493"/>
      <c r="S68" s="316"/>
      <c r="T68" s="317"/>
      <c r="U68" s="317"/>
      <c r="V68" s="317"/>
      <c r="W68" s="317"/>
      <c r="X68" s="493"/>
      <c r="Y68" s="468"/>
      <c r="Z68" s="448"/>
      <c r="AA68" s="386"/>
      <c r="AB68" s="386"/>
      <c r="AC68" s="396"/>
      <c r="AD68" s="396"/>
      <c r="AE68" s="501"/>
      <c r="AF68" s="497"/>
      <c r="AG68" s="510"/>
      <c r="AH68" s="386"/>
      <c r="AI68" s="386"/>
      <c r="AJ68" s="396"/>
      <c r="AK68" s="396"/>
      <c r="AL68" s="493"/>
      <c r="AM68" s="487"/>
      <c r="AN68" s="488"/>
      <c r="AO68" s="511"/>
      <c r="AP68" s="511"/>
      <c r="AQ68" s="396"/>
      <c r="AR68" s="396"/>
      <c r="AS68" s="493"/>
      <c r="AT68" s="488"/>
      <c r="AU68" s="511"/>
      <c r="AV68" s="511"/>
      <c r="AW68" s="396"/>
      <c r="AX68" s="396"/>
      <c r="AY68" s="493"/>
      <c r="AZ68" s="488"/>
      <c r="BA68" s="511"/>
      <c r="BB68" s="511"/>
      <c r="BC68" s="396"/>
      <c r="BD68" s="396"/>
      <c r="BE68" s="493"/>
      <c r="BF68" s="488"/>
      <c r="BG68" s="511"/>
      <c r="BH68" s="511"/>
      <c r="BI68" s="396"/>
      <c r="BJ68" s="396"/>
      <c r="BK68" s="493"/>
      <c r="BL68" s="488"/>
      <c r="BM68" s="511"/>
      <c r="BN68" s="511"/>
      <c r="BO68" s="396"/>
      <c r="BP68" s="396"/>
      <c r="BQ68" s="493"/>
      <c r="BR68" s="488"/>
      <c r="BS68" s="511"/>
      <c r="BT68" s="511"/>
      <c r="BU68" s="396"/>
      <c r="BV68" s="396"/>
      <c r="BW68" s="493"/>
      <c r="BX68" s="488"/>
      <c r="BY68" s="511"/>
      <c r="BZ68" s="511"/>
      <c r="CA68" s="396"/>
      <c r="CB68" s="396"/>
      <c r="CC68" s="396"/>
      <c r="CD68" s="396"/>
      <c r="CE68" s="396"/>
      <c r="CF68" s="396"/>
      <c r="CG68" s="396"/>
      <c r="CH68" s="493"/>
      <c r="CI68" s="493"/>
    </row>
    <row r="69">
      <c r="A69" s="503"/>
      <c r="B69" s="503"/>
      <c r="C69" s="503"/>
      <c r="D69" s="503"/>
      <c r="E69" s="509"/>
      <c r="F69" s="509"/>
      <c r="G69" s="509"/>
      <c r="H69" s="396"/>
      <c r="I69" s="402"/>
      <c r="J69" s="468"/>
      <c r="K69" s="483"/>
      <c r="L69" s="448"/>
      <c r="M69" s="386"/>
      <c r="N69" s="512"/>
      <c r="O69" s="396"/>
      <c r="P69" s="396"/>
      <c r="Q69" s="501"/>
      <c r="R69" s="493"/>
      <c r="S69" s="316"/>
      <c r="T69" s="317"/>
      <c r="U69" s="317"/>
      <c r="V69" s="317"/>
      <c r="W69" s="317"/>
      <c r="X69" s="493"/>
      <c r="Y69" s="468"/>
      <c r="Z69" s="448"/>
      <c r="AA69" s="386"/>
      <c r="AB69" s="386"/>
      <c r="AC69" s="396"/>
      <c r="AD69" s="396"/>
      <c r="AE69" s="501"/>
      <c r="AF69" s="497"/>
      <c r="AG69" s="510"/>
      <c r="AH69" s="386"/>
      <c r="AI69" s="386"/>
      <c r="AJ69" s="396"/>
      <c r="AK69" s="396"/>
      <c r="AL69" s="493"/>
      <c r="AM69" s="487"/>
      <c r="AN69" s="488"/>
      <c r="AO69" s="511"/>
      <c r="AP69" s="511"/>
      <c r="AQ69" s="396"/>
      <c r="AR69" s="396"/>
      <c r="AS69" s="493"/>
      <c r="AT69" s="488"/>
      <c r="AU69" s="511"/>
      <c r="AV69" s="511"/>
      <c r="AW69" s="396"/>
      <c r="AX69" s="396"/>
      <c r="AY69" s="493"/>
      <c r="AZ69" s="488"/>
      <c r="BA69" s="511"/>
      <c r="BB69" s="511"/>
      <c r="BC69" s="396"/>
      <c r="BD69" s="396"/>
      <c r="BE69" s="493"/>
      <c r="BF69" s="488"/>
      <c r="BG69" s="511"/>
      <c r="BH69" s="511"/>
      <c r="BI69" s="396"/>
      <c r="BJ69" s="396"/>
      <c r="BK69" s="493"/>
      <c r="BL69" s="488"/>
      <c r="BM69" s="511"/>
      <c r="BN69" s="511"/>
      <c r="BO69" s="396"/>
      <c r="BP69" s="396"/>
      <c r="BQ69" s="493"/>
      <c r="BR69" s="488"/>
      <c r="BS69" s="511"/>
      <c r="BT69" s="511"/>
      <c r="BU69" s="396"/>
      <c r="BV69" s="396"/>
      <c r="BW69" s="493"/>
      <c r="BX69" s="488"/>
      <c r="BY69" s="511"/>
      <c r="BZ69" s="511"/>
      <c r="CA69" s="396"/>
      <c r="CB69" s="396"/>
      <c r="CC69" s="396"/>
      <c r="CD69" s="396"/>
      <c r="CE69" s="396"/>
      <c r="CF69" s="396"/>
      <c r="CG69" s="396"/>
      <c r="CH69" s="493"/>
      <c r="CI69" s="493"/>
    </row>
    <row r="70">
      <c r="A70" s="503"/>
      <c r="B70" s="503"/>
      <c r="C70" s="503"/>
      <c r="D70" s="503"/>
      <c r="E70" s="509"/>
      <c r="F70" s="509"/>
      <c r="G70" s="509"/>
      <c r="H70" s="396"/>
      <c r="I70" s="402"/>
      <c r="J70" s="468"/>
      <c r="K70" s="483"/>
      <c r="L70" s="448"/>
      <c r="M70" s="386"/>
      <c r="N70" s="512"/>
      <c r="O70" s="396"/>
      <c r="P70" s="396"/>
      <c r="Q70" s="501"/>
      <c r="R70" s="493"/>
      <c r="S70" s="316"/>
      <c r="T70" s="317"/>
      <c r="U70" s="317"/>
      <c r="V70" s="317"/>
      <c r="W70" s="317"/>
      <c r="X70" s="493"/>
      <c r="Y70" s="468"/>
      <c r="Z70" s="448"/>
      <c r="AA70" s="386"/>
      <c r="AB70" s="386"/>
      <c r="AC70" s="396"/>
      <c r="AD70" s="396"/>
      <c r="AE70" s="501"/>
      <c r="AF70" s="497"/>
      <c r="AG70" s="510"/>
      <c r="AH70" s="386"/>
      <c r="AI70" s="386"/>
      <c r="AJ70" s="396"/>
      <c r="AK70" s="396"/>
      <c r="AL70" s="493"/>
      <c r="AM70" s="487"/>
      <c r="AN70" s="488"/>
      <c r="AO70" s="511"/>
      <c r="AP70" s="511"/>
      <c r="AQ70" s="396"/>
      <c r="AR70" s="396"/>
      <c r="AS70" s="493"/>
      <c r="AT70" s="488"/>
      <c r="AU70" s="511"/>
      <c r="AV70" s="511"/>
      <c r="AW70" s="396"/>
      <c r="AX70" s="396"/>
      <c r="AY70" s="493"/>
      <c r="AZ70" s="488"/>
      <c r="BA70" s="511"/>
      <c r="BB70" s="511"/>
      <c r="BC70" s="396"/>
      <c r="BD70" s="396"/>
      <c r="BE70" s="493"/>
      <c r="BF70" s="488"/>
      <c r="BG70" s="511"/>
      <c r="BH70" s="511"/>
      <c r="BI70" s="396"/>
      <c r="BJ70" s="396"/>
      <c r="BK70" s="493"/>
      <c r="BL70" s="488"/>
      <c r="BM70" s="511"/>
      <c r="BN70" s="511"/>
      <c r="BO70" s="396"/>
      <c r="BP70" s="396"/>
      <c r="BQ70" s="493"/>
      <c r="BR70" s="488"/>
      <c r="BS70" s="511"/>
      <c r="BT70" s="511"/>
      <c r="BU70" s="396"/>
      <c r="BV70" s="396"/>
      <c r="BW70" s="493"/>
      <c r="BX70" s="488"/>
      <c r="BY70" s="511"/>
      <c r="BZ70" s="511"/>
      <c r="CA70" s="396"/>
      <c r="CB70" s="396"/>
      <c r="CC70" s="396"/>
      <c r="CD70" s="396"/>
      <c r="CE70" s="396"/>
      <c r="CF70" s="396"/>
      <c r="CG70" s="396"/>
      <c r="CH70" s="493"/>
      <c r="CI70" s="493"/>
    </row>
  </sheetData>
  <mergeCells count="2">
    <mergeCell ref="H2:I2"/>
    <mergeCell ref="H3:I3"/>
  </mergeCells>
  <dataValidations>
    <dataValidation type="list" allowBlank="1" sqref="D3 F3">
      <formula1>"店舗預かり,ご自宅配送"</formula1>
    </dataValidation>
  </dataValidations>
  <hyperlinks>
    <hyperlink r:id="rId1" ref="R1"/>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22.5"/>
    <col customWidth="1" min="3" max="3" width="15.38"/>
    <col customWidth="1" min="4" max="4" width="17.88"/>
    <col customWidth="1" min="5" max="5" width="16.25"/>
    <col customWidth="1" min="6" max="6" width="10.88"/>
    <col customWidth="1" min="7" max="7" width="11.38"/>
    <col customWidth="1" min="9" max="9" width="14.13"/>
    <col customWidth="1" min="11" max="11" width="15.63"/>
    <col customWidth="1" min="12" max="13" width="11.38"/>
    <col customWidth="1" min="15" max="18" width="12.63"/>
    <col customWidth="1" min="19" max="19" width="28.38"/>
    <col customWidth="1" min="20" max="27" width="12.63"/>
    <col customWidth="1" min="28" max="28" width="64.25"/>
    <col customWidth="1" min="29" max="29" width="17.13"/>
    <col customWidth="1" min="30" max="30" width="40.13"/>
    <col customWidth="1" min="31" max="39" width="12.63"/>
  </cols>
  <sheetData>
    <row r="1">
      <c r="A1" s="518" t="str">
        <f>IFERROR(__xludf.DUMMYFUNCTION("importrange(""https://docs.google.com/spreadsheets/d/1rvkHoPE2oZB-0k4vlmjA8cgHMdBuXe9EcqpHysy6UW8/edit?gid=1090352483#gid=1090352483"", ""アイテム別限界値DB!1:800"")"),"分類")</f>
        <v>分類</v>
      </c>
      <c r="B1" s="518" t="str">
        <f>IFERROR(__xludf.DUMMYFUNCTION("""COMPUTED_VALUE"""),"アイテム")</f>
        <v>アイテム</v>
      </c>
      <c r="C1" s="518" t="str">
        <f>IFERROR(__xludf.DUMMYFUNCTION("""COMPUTED_VALUE"""),"部位")</f>
        <v>部位</v>
      </c>
      <c r="D1" s="519" t="str">
        <f>IFERROR(__xludf.DUMMYFUNCTION("""COMPUTED_VALUE"""),"カスタマイズ")</f>
        <v>カスタマイズ</v>
      </c>
      <c r="E1" s="520" t="str">
        <f>IFERROR(__xludf.DUMMYFUNCTION("""COMPUTED_VALUE"""),"注意事項")</f>
        <v>注意事項</v>
      </c>
      <c r="F1" s="521" t="str">
        <f>IFERROR(__xludf.DUMMYFUNCTION("""COMPUTED_VALUE"""),"部位 + カスタマイズ")</f>
        <v>部位 + カスタマイズ</v>
      </c>
      <c r="G1" s="520" t="str">
        <f>IFERROR(__xludf.DUMMYFUNCTION("""COMPUTED_VALUE"""),"部位 + カスタマイズ + 注意事項")</f>
        <v>部位 + カスタマイズ + 注意事項</v>
      </c>
      <c r="H1" s="522" t="str">
        <f>IFERROR(__xludf.DUMMYFUNCTION("""COMPUTED_VALUE"""),"数値")</f>
        <v>数値</v>
      </c>
      <c r="I1" s="523" t="str">
        <f>IFERROR(__xludf.DUMMYFUNCTION("""COMPUTED_VALUE"""),"判断可能
部署")</f>
        <v>判断可能
部署</v>
      </c>
      <c r="J1" s="524" t="str">
        <f>IFERROR(__xludf.DUMMYFUNCTION("""COMPUTED_VALUE"""),"納期
(営業日)")</f>
        <v>納期
(営業日)</v>
      </c>
      <c r="K1" s="524" t="str">
        <f>IFERROR(__xludf.DUMMYFUNCTION("""COMPUTED_VALUE"""),"納期
(1箇所)")</f>
        <v>納期
(1箇所)</v>
      </c>
      <c r="L1" s="525" t="str">
        <f>IFERROR(__xludf.DUMMYFUNCTION("""COMPUTED_VALUE"""),"納期
(2箇所)")</f>
        <v>納期
(2箇所)</v>
      </c>
      <c r="M1" s="525" t="str">
        <f>IFERROR(__xludf.DUMMYFUNCTION("""COMPUTED_VALUE"""),"納期
(3箇所以上)")</f>
        <v>納期
(3箇所以上)</v>
      </c>
      <c r="N1" s="522" t="str">
        <f>IFERROR(__xludf.DUMMYFUNCTION("""COMPUTED_VALUE"""),"料金
(税込)")</f>
        <v>料金
(税込)</v>
      </c>
      <c r="O1" s="526" t="str">
        <f>IFERROR(__xludf.DUMMYFUNCTION("""COMPUTED_VALUE"""),"料金
(税抜)")</f>
        <v>料金
(税抜)</v>
      </c>
      <c r="P1" s="527" t="str">
        <f>IFERROR(__xludf.DUMMYFUNCTION("""COMPUTED_VALUE"""),"原価
(税抜)")</f>
        <v>原価
(税抜)</v>
      </c>
      <c r="Q1" s="528"/>
      <c r="R1" s="529" t="str">
        <f>IFERROR(__xludf.DUMMYFUNCTION("""COMPUTED_VALUE"""),"=today()→")</f>
        <v>=today()→</v>
      </c>
      <c r="S1" s="530">
        <f>IFERROR(__xludf.DUMMYFUNCTION("""COMPUTED_VALUE"""),45991.0)</f>
        <v>45991</v>
      </c>
      <c r="T1" s="529"/>
      <c r="U1" s="529"/>
      <c r="V1" s="529"/>
      <c r="W1" s="529" t="str">
        <f>IFERROR(__xludf.DUMMYFUNCTION("""COMPUTED_VALUE"""),"長期休暇の際は、TB休業の前後2日も入力する
理由：出荷と荷受けのタイミングにより、納期遅延が発生する可能性があるため")</f>
        <v>長期休暇の際は、TB休業の前後2日も入力する
理由：出荷と荷受けのタイミングにより、納期遅延が発生する可能性があるため</v>
      </c>
      <c r="X1" s="529"/>
      <c r="Y1" s="529"/>
      <c r="Z1" s="529"/>
      <c r="AA1" s="529"/>
      <c r="AB1" s="529" t="str">
        <f>IFERROR(__xludf.DUMMYFUNCTION("""COMPUTED_VALUE"""),"特殊生地一覧")</f>
        <v>特殊生地一覧</v>
      </c>
      <c r="AC1" s="529"/>
      <c r="AD1" s="529"/>
      <c r="AE1" s="273"/>
    </row>
    <row r="2" ht="37.5" hidden="1" customHeight="1">
      <c r="A2" s="531" t="str">
        <f>IFERROR(__xludf.DUMMYFUNCTION("""COMPUTED_VALUE"""),"サイズ")</f>
        <v>サイズ</v>
      </c>
      <c r="B2" s="531" t="str">
        <f>IFERROR(__xludf.DUMMYFUNCTION("""COMPUTED_VALUE"""),"アルスターコート")</f>
        <v>アルスターコート</v>
      </c>
      <c r="C2" s="532" t="str">
        <f>IFERROR(__xludf.DUMMYFUNCTION("""COMPUTED_VALUE"""),"仕上げプレス")</f>
        <v>仕上げプレス</v>
      </c>
      <c r="D2" s="533"/>
      <c r="E2" s="533"/>
      <c r="F2" s="534" t="str">
        <f>IFERROR(__xludf.DUMMYFUNCTION("""COMPUTED_VALUE"""),"仕上げプレス")</f>
        <v>仕上げプレス</v>
      </c>
      <c r="G2" s="535" t="str">
        <f>IFERROR(__xludf.DUMMYFUNCTION("""COMPUTED_VALUE"""),"仕上げプレス")</f>
        <v>仕上げプレス</v>
      </c>
      <c r="H2" s="536"/>
      <c r="I2" s="537" t="str">
        <f>IFERROR(__xludf.DUMMYFUNCTION("""COMPUTED_VALUE"""),"店舗/CS")</f>
        <v>店舗/CS</v>
      </c>
      <c r="J2" s="538"/>
      <c r="K2" s="538"/>
      <c r="L2" s="539"/>
      <c r="M2" s="540"/>
      <c r="N2" s="539">
        <f>IFERROR(__xludf.DUMMYFUNCTION("""COMPUTED_VALUE"""),770.0)</f>
        <v>770</v>
      </c>
      <c r="O2" s="541">
        <f>IFERROR(__xludf.DUMMYFUNCTION("""COMPUTED_VALUE"""),700.0)</f>
        <v>700</v>
      </c>
      <c r="P2" s="542">
        <f>IFERROR(__xludf.DUMMYFUNCTION("""COMPUTED_VALUE"""),350.0)</f>
        <v>350</v>
      </c>
      <c r="Q2" s="543"/>
      <c r="R2" s="544" t="str">
        <f>IFERROR(__xludf.DUMMYFUNCTION("""COMPUTED_VALUE"""),"再製作")</f>
        <v>再製作</v>
      </c>
      <c r="S2" s="545" t="str">
        <f>IFERROR(__xludf.DUMMYFUNCTION("""COMPUTED_VALUE"""),"基本WEB表示納期
（ダブルセッティング生地
：業務チームに納期確認）")</f>
        <v>基本WEB表示納期
（ダブルセッティング生地
：業務チームに納期確認）</v>
      </c>
      <c r="T2" s="544"/>
      <c r="U2" s="544" t="str">
        <f>IFERROR(__xludf.DUMMYFUNCTION("""COMPUTED_VALUE"""),"▼TB休業日")</f>
        <v>▼TB休業日</v>
      </c>
      <c r="V2" s="544"/>
      <c r="W2" s="544" t="str">
        <f>IFERROR(__xludf.DUMMYFUNCTION("""COMPUTED_VALUE"""),"預かり方法")</f>
        <v>預かり方法</v>
      </c>
      <c r="X2" s="544" t="str">
        <f>IFERROR(__xludf.DUMMYFUNCTION("""COMPUTED_VALUE"""),"お渡し方法")</f>
        <v>お渡し方法</v>
      </c>
      <c r="Y2" s="546" t="str">
        <f>IFERROR(__xludf.DUMMYFUNCTION("""COMPUTED_VALUE"""),"料金（税込）")</f>
        <v>料金（税込）</v>
      </c>
      <c r="Z2" s="547" t="str">
        <f>IFERROR(__xludf.DUMMYFUNCTION("""COMPUTED_VALUE"""),"料金（税抜）")</f>
        <v>料金（税抜）</v>
      </c>
      <c r="AC2" s="548" t="str">
        <f>IFERROR(__xludf.DUMMYFUNCTION("""COMPUTED_VALUE"""),"生地コード")</f>
        <v>生地コード</v>
      </c>
      <c r="AD2" s="548" t="str">
        <f>IFERROR(__xludf.DUMMYFUNCTION("""COMPUTED_VALUE"""),"特殊対応内容")</f>
        <v>特殊対応内容</v>
      </c>
      <c r="AE2" s="549"/>
      <c r="AF2" s="549"/>
      <c r="AG2" s="549"/>
      <c r="AH2" s="549"/>
      <c r="AI2" s="549"/>
      <c r="AJ2" s="549"/>
      <c r="AK2" s="549"/>
      <c r="AL2" s="549"/>
      <c r="AM2" s="549"/>
    </row>
    <row r="3" hidden="1">
      <c r="A3" s="531" t="str">
        <f>IFERROR(__xludf.DUMMYFUNCTION("""COMPUTED_VALUE"""),"サイズ")</f>
        <v>サイズ</v>
      </c>
      <c r="B3" s="531" t="str">
        <f>IFERROR(__xludf.DUMMYFUNCTION("""COMPUTED_VALUE"""),"アルスターコート")</f>
        <v>アルスターコート</v>
      </c>
      <c r="C3" s="531" t="str">
        <f>IFERROR(__xludf.DUMMYFUNCTION("""COMPUTED_VALUE"""),"肩巾")</f>
        <v>肩巾</v>
      </c>
      <c r="D3" s="550"/>
      <c r="E3" s="533"/>
      <c r="F3" s="534" t="str">
        <f>IFERROR(__xludf.DUMMYFUNCTION("""COMPUTED_VALUE"""),"肩巾")</f>
        <v>肩巾</v>
      </c>
      <c r="G3" s="550" t="str">
        <f>IFERROR(__xludf.DUMMYFUNCTION("""COMPUTED_VALUE"""),"肩巾")</f>
        <v>肩巾</v>
      </c>
      <c r="H3" s="551" t="str">
        <f>IFERROR(__xludf.DUMMYFUNCTION("""COMPUTED_VALUE"""),"-1")</f>
        <v>-1</v>
      </c>
      <c r="I3" s="551"/>
      <c r="J3" s="551">
        <f>IFERROR(__xludf.DUMMYFUNCTION("""COMPUTED_VALUE"""),7.0)</f>
        <v>7</v>
      </c>
      <c r="K3" s="551">
        <f>IFERROR(__xludf.DUMMYFUNCTION("""COMPUTED_VALUE"""),46000.0)</f>
        <v>46000</v>
      </c>
      <c r="L3" s="551">
        <f>IFERROR(__xludf.DUMMYFUNCTION("""COMPUTED_VALUE"""),46003.0)</f>
        <v>46003</v>
      </c>
      <c r="M3" s="551">
        <f>IFERROR(__xludf.DUMMYFUNCTION("""COMPUTED_VALUE"""),46008.0)</f>
        <v>46008</v>
      </c>
      <c r="N3" s="539">
        <f>IFERROR(__xludf.DUMMYFUNCTION("""COMPUTED_VALUE"""),6880.0)</f>
        <v>6880</v>
      </c>
      <c r="O3" s="541">
        <f>IFERROR(__xludf.DUMMYFUNCTION("""COMPUTED_VALUE"""),6250.0)</f>
        <v>6250</v>
      </c>
      <c r="P3" s="542">
        <f>IFERROR(__xludf.DUMMYFUNCTION("""COMPUTED_VALUE"""),3500.0)</f>
        <v>3500</v>
      </c>
      <c r="Q3" s="552"/>
      <c r="R3" s="553" t="str">
        <f>IFERROR(__xludf.DUMMYFUNCTION("""COMPUTED_VALUE"""),"上物基準納期 (営業日)")</f>
        <v>上物基準納期 (営業日)</v>
      </c>
      <c r="S3" s="554" t="str">
        <f>IFERROR(__xludf.DUMMYFUNCTION("""COMPUTED_VALUE"""),"本日時点の上物納期 (2箇所以内)")</f>
        <v>本日時点の上物納期 (2箇所以内)</v>
      </c>
      <c r="T3" s="555"/>
      <c r="U3" s="556">
        <f>IFERROR(__xludf.DUMMYFUNCTION("""COMPUTED_VALUE"""),45283.0)</f>
        <v>45283</v>
      </c>
      <c r="V3" s="557"/>
      <c r="W3" s="558" t="str">
        <f>IFERROR(__xludf.DUMMYFUNCTION("""COMPUTED_VALUE"""),"ご自宅配送")</f>
        <v>ご自宅配送</v>
      </c>
      <c r="X3" s="558" t="str">
        <f>IFERROR(__xludf.DUMMYFUNCTION("""COMPUTED_VALUE"""),"ご自宅配送")</f>
        <v>ご自宅配送</v>
      </c>
      <c r="Y3" s="559">
        <f>IFERROR(__xludf.DUMMYFUNCTION("""COMPUTED_VALUE"""),3100.02)</f>
        <v>3100.02</v>
      </c>
      <c r="Z3" s="560">
        <f>IFERROR(__xludf.DUMMYFUNCTION("""COMPUTED_VALUE"""),2818.2)</f>
        <v>2818.2</v>
      </c>
      <c r="AA3" s="548"/>
      <c r="AB3" s="548" t="str">
        <f>IFERROR(__xludf.DUMMYFUNCTION("""COMPUTED_VALUE"""),"EASY CARE COTTON JAPAN FABRIC from BANSHU")</f>
        <v>EASY CARE COTTON JAPAN FABRIC from BANSHU</v>
      </c>
      <c r="AC3" s="548" t="str">
        <f>IFERROR(__xludf.DUMMYFUNCTION("""COMPUTED_VALUE"""),"C220355〜C220359")</f>
        <v>C220355〜C220359</v>
      </c>
      <c r="AD3" s="548" t="str">
        <f>IFERROR(__xludf.DUMMYFUNCTION("""COMPUTED_VALUE"""),"出しNG（再製作）ジャケット・スラックス・")</f>
        <v>出しNG（再製作）ジャケット・スラックス・</v>
      </c>
      <c r="AE3" s="549"/>
      <c r="AF3" s="549"/>
      <c r="AG3" s="549"/>
      <c r="AH3" s="549"/>
      <c r="AI3" s="549"/>
      <c r="AJ3" s="549"/>
      <c r="AK3" s="549"/>
      <c r="AL3" s="549"/>
      <c r="AM3" s="549"/>
    </row>
    <row r="4" hidden="1">
      <c r="A4" s="531" t="str">
        <f>IFERROR(__xludf.DUMMYFUNCTION("""COMPUTED_VALUE"""),"サイズ")</f>
        <v>サイズ</v>
      </c>
      <c r="B4" s="531" t="str">
        <f>IFERROR(__xludf.DUMMYFUNCTION("""COMPUTED_VALUE"""),"アルスターコート")</f>
        <v>アルスターコート</v>
      </c>
      <c r="C4" s="531" t="str">
        <f>IFERROR(__xludf.DUMMYFUNCTION("""COMPUTED_VALUE"""),"バスト")</f>
        <v>バスト</v>
      </c>
      <c r="D4" s="533"/>
      <c r="E4" s="533"/>
      <c r="F4" s="534" t="str">
        <f>IFERROR(__xludf.DUMMYFUNCTION("""COMPUTED_VALUE"""),"バスト")</f>
        <v>バスト</v>
      </c>
      <c r="G4" s="533" t="str">
        <f>IFERROR(__xludf.DUMMYFUNCTION("""COMPUTED_VALUE"""),"バスト")</f>
        <v>バスト</v>
      </c>
      <c r="H4" s="536"/>
      <c r="I4" s="537"/>
      <c r="J4" s="561" t="str">
        <f>IFERROR(__xludf.DUMMYFUNCTION("""COMPUTED_VALUE"""),"再製作")</f>
        <v>再製作</v>
      </c>
      <c r="K4" s="561" t="str">
        <f>IFERROR(__xludf.DUMMYFUNCTION("""COMPUTED_VALUE"""),"再製作")</f>
        <v>再製作</v>
      </c>
      <c r="L4" s="539" t="str">
        <f>IFERROR(__xludf.DUMMYFUNCTION("""COMPUTED_VALUE"""),"再製作")</f>
        <v>再製作</v>
      </c>
      <c r="M4" s="540" t="str">
        <f>IFERROR(__xludf.DUMMYFUNCTION("""COMPUTED_VALUE"""),"再製作")</f>
        <v>再製作</v>
      </c>
      <c r="N4" s="561" t="str">
        <f>IFERROR(__xludf.DUMMYFUNCTION("""COMPUTED_VALUE"""),"再製作")</f>
        <v>再製作</v>
      </c>
      <c r="O4" s="562" t="str">
        <f>IFERROR(__xludf.DUMMYFUNCTION("""COMPUTED_VALUE"""),"再製作")</f>
        <v>再製作</v>
      </c>
      <c r="P4" s="563">
        <f>IFERROR(__xludf.DUMMYFUNCTION("""COMPUTED_VALUE"""),4500.0)</f>
        <v>4500</v>
      </c>
      <c r="Q4" s="564"/>
      <c r="R4" s="553">
        <f>IFERROR(__xludf.DUMMYFUNCTION("""COMPUTED_VALUE"""),10.0)</f>
        <v>10</v>
      </c>
      <c r="S4" s="554">
        <f>IFERROR(__xludf.DUMMYFUNCTION("""COMPUTED_VALUE"""),46003.0)</f>
        <v>46003</v>
      </c>
      <c r="T4" s="555"/>
      <c r="U4" s="565">
        <f>IFERROR(__xludf.DUMMYFUNCTION("""COMPUTED_VALUE"""),45284.0)</f>
        <v>45284</v>
      </c>
      <c r="V4" s="566"/>
      <c r="W4" s="567" t="str">
        <f>IFERROR(__xludf.DUMMYFUNCTION("""COMPUTED_VALUE"""),"ご自宅配送")</f>
        <v>ご自宅配送</v>
      </c>
      <c r="X4" s="567" t="str">
        <f>IFERROR(__xludf.DUMMYFUNCTION("""COMPUTED_VALUE"""),"店舗預かり")</f>
        <v>店舗預かり</v>
      </c>
      <c r="Y4" s="559">
        <f>IFERROR(__xludf.DUMMYFUNCTION("""COMPUTED_VALUE"""),3100.02)</f>
        <v>3100.02</v>
      </c>
      <c r="Z4" s="568">
        <f>IFERROR(__xludf.DUMMYFUNCTION("""COMPUTED_VALUE"""),2818.2)</f>
        <v>2818.2</v>
      </c>
      <c r="AA4" s="569"/>
      <c r="AB4" s="570" t="str">
        <f>IFERROR(__xludf.DUMMYFUNCTION("""COMPUTED_VALUE"""),"BUCOL FRENCH GABARDINE")</f>
        <v>BUCOL FRENCH GABARDINE</v>
      </c>
      <c r="AC4" s="570" t="str">
        <f>IFERROR(__xludf.DUMMYFUNCTION("""COMPUTED_VALUE"""),"A230233〜A230234")</f>
        <v>A230233〜A230234</v>
      </c>
      <c r="AD4" s="570" t="str">
        <f>IFERROR(__xludf.DUMMYFUNCTION("""COMPUTED_VALUE"""),"出しNG（再製作）ジャケット・スラックス")</f>
        <v>出しNG（再製作）ジャケット・スラックス</v>
      </c>
      <c r="AE4" s="571"/>
      <c r="AF4" s="571"/>
      <c r="AG4" s="571"/>
      <c r="AH4" s="571"/>
      <c r="AI4" s="571"/>
      <c r="AJ4" s="571"/>
      <c r="AK4" s="571"/>
      <c r="AL4" s="571"/>
      <c r="AM4" s="571"/>
    </row>
    <row r="5" hidden="1">
      <c r="A5" s="531" t="str">
        <f>IFERROR(__xludf.DUMMYFUNCTION("""COMPUTED_VALUE"""),"サイズ")</f>
        <v>サイズ</v>
      </c>
      <c r="B5" s="531" t="str">
        <f>IFERROR(__xludf.DUMMYFUNCTION("""COMPUTED_VALUE"""),"アルスターコート")</f>
        <v>アルスターコート</v>
      </c>
      <c r="C5" s="531" t="str">
        <f>IFERROR(__xludf.DUMMYFUNCTION("""COMPUTED_VALUE"""),"ウエスト")</f>
        <v>ウエスト</v>
      </c>
      <c r="D5" s="533"/>
      <c r="E5" s="533" t="str">
        <f>IFERROR(__xludf.DUMMYFUNCTION("""COMPUTED_VALUE"""),"パターン限界値から ±4cmの範囲内で調整すること")</f>
        <v>パターン限界値から ±4cmの範囲内で調整すること</v>
      </c>
      <c r="F5" s="534" t="str">
        <f>IFERROR(__xludf.DUMMYFUNCTION("""COMPUTED_VALUE"""),"ウエスト")</f>
        <v>ウエスト</v>
      </c>
      <c r="G5" s="533" t="str">
        <f>IFERROR(__xludf.DUMMYFUNCTION("""COMPUTED_VALUE"""),"ウエスト（パターン限界値から ±4cmの範囲内で調整すること）")</f>
        <v>ウエスト（パターン限界値から ±4cmの範囲内で調整すること）</v>
      </c>
      <c r="H5" s="572" t="str">
        <f>IFERROR(__xludf.DUMMYFUNCTION("""COMPUTED_VALUE"""),"-6")</f>
        <v>-6</v>
      </c>
      <c r="I5" s="537"/>
      <c r="J5" s="538">
        <f>IFERROR(__xludf.DUMMYFUNCTION("""COMPUTED_VALUE"""),7.0)</f>
        <v>7</v>
      </c>
      <c r="K5" s="537">
        <f>IFERROR(__xludf.DUMMYFUNCTION("""COMPUTED_VALUE"""),46000.0)</f>
        <v>46000</v>
      </c>
      <c r="L5" s="539">
        <f>IFERROR(__xludf.DUMMYFUNCTION("""COMPUTED_VALUE"""),46003.0)</f>
        <v>46003</v>
      </c>
      <c r="M5" s="540">
        <f>IFERROR(__xludf.DUMMYFUNCTION("""COMPUTED_VALUE"""),46008.0)</f>
        <v>46008</v>
      </c>
      <c r="N5" s="539">
        <f>IFERROR(__xludf.DUMMYFUNCTION("""COMPUTED_VALUE"""),13200.0)</f>
        <v>13200</v>
      </c>
      <c r="O5" s="303">
        <f>IFERROR(__xludf.DUMMYFUNCTION("""COMPUTED_VALUE"""),12000.0)</f>
        <v>12000</v>
      </c>
      <c r="P5" s="303">
        <f>IFERROR(__xludf.DUMMYFUNCTION("""COMPUTED_VALUE"""),8000.0)</f>
        <v>8000</v>
      </c>
      <c r="Q5" s="573"/>
      <c r="R5" s="574"/>
      <c r="S5" s="575" t="str">
        <f>IFERROR(__xludf.DUMMYFUNCTION("""COMPUTED_VALUE"""),"本日時点の上物納期 (3箇所以上)")</f>
        <v>本日時点の上物納期 (3箇所以上)</v>
      </c>
      <c r="T5" s="555"/>
      <c r="U5" s="576">
        <f>IFERROR(__xludf.DUMMYFUNCTION("""COMPUTED_VALUE"""),45285.0)</f>
        <v>45285</v>
      </c>
      <c r="V5" s="566"/>
      <c r="W5" s="567" t="str">
        <f>IFERROR(__xludf.DUMMYFUNCTION("""COMPUTED_VALUE"""),"店舗預かり")</f>
        <v>店舗預かり</v>
      </c>
      <c r="X5" s="577" t="str">
        <f>IFERROR(__xludf.DUMMYFUNCTION("""COMPUTED_VALUE"""),"ご自宅配送")</f>
        <v>ご自宅配送</v>
      </c>
      <c r="Y5" s="559">
        <f>IFERROR(__xludf.DUMMYFUNCTION("""COMPUTED_VALUE"""),3100.02)</f>
        <v>3100.02</v>
      </c>
      <c r="Z5" s="568">
        <f>IFERROR(__xludf.DUMMYFUNCTION("""COMPUTED_VALUE"""),2818.2)</f>
        <v>2818.2</v>
      </c>
      <c r="AA5" s="569"/>
      <c r="AB5" s="570" t="str">
        <f>IFERROR(__xludf.DUMMYFUNCTION("""COMPUTED_VALUE"""),"SPENCE BRYSON PREMIUM LINEN")</f>
        <v>SPENCE BRYSON PREMIUM LINEN</v>
      </c>
      <c r="AC5" s="570" t="str">
        <f>IFERROR(__xludf.DUMMYFUNCTION("""COMPUTED_VALUE"""),"A230188〜A230194")</f>
        <v>A230188〜A230194</v>
      </c>
      <c r="AD5" s="570" t="str">
        <f>IFERROR(__xludf.DUMMYFUNCTION("""COMPUTED_VALUE"""),"出しNG（再製作）ジャケット・スラックス")</f>
        <v>出しNG（再製作）ジャケット・スラックス</v>
      </c>
      <c r="AE5" s="571"/>
      <c r="AF5" s="571"/>
      <c r="AG5" s="571"/>
      <c r="AH5" s="571"/>
      <c r="AI5" s="571"/>
      <c r="AJ5" s="571"/>
      <c r="AK5" s="571"/>
      <c r="AL5" s="571"/>
      <c r="AM5" s="571"/>
    </row>
    <row r="6" hidden="1">
      <c r="A6" s="531" t="str">
        <f>IFERROR(__xludf.DUMMYFUNCTION("""COMPUTED_VALUE"""),"サイズ")</f>
        <v>サイズ</v>
      </c>
      <c r="B6" s="531" t="str">
        <f>IFERROR(__xludf.DUMMYFUNCTION("""COMPUTED_VALUE"""),"アルスターコート")</f>
        <v>アルスターコート</v>
      </c>
      <c r="C6" s="531" t="str">
        <f>IFERROR(__xludf.DUMMYFUNCTION("""COMPUTED_VALUE"""),"ウエスト")</f>
        <v>ウエスト</v>
      </c>
      <c r="D6" s="533"/>
      <c r="E6" s="533" t="str">
        <f>IFERROR(__xludf.DUMMYFUNCTION("""COMPUTED_VALUE"""),"パターン限界値から ±4cmの範囲内で調整すること")</f>
        <v>パターン限界値から ±4cmの範囲内で調整すること</v>
      </c>
      <c r="F6" s="534" t="str">
        <f>IFERROR(__xludf.DUMMYFUNCTION("""COMPUTED_VALUE"""),"ウエスト")</f>
        <v>ウエスト</v>
      </c>
      <c r="G6" s="533" t="str">
        <f>IFERROR(__xludf.DUMMYFUNCTION("""COMPUTED_VALUE"""),"ウエスト（パターン限界値から ±4cmの範囲内で調整すること）")</f>
        <v>ウエスト（パターン限界値から ±4cmの範囲内で調整すること）</v>
      </c>
      <c r="H6" s="572" t="str">
        <f>IFERROR(__xludf.DUMMYFUNCTION("""COMPUTED_VALUE"""),"-5")</f>
        <v>-5</v>
      </c>
      <c r="I6" s="537"/>
      <c r="J6" s="538">
        <f>IFERROR(__xludf.DUMMYFUNCTION("""COMPUTED_VALUE"""),7.0)</f>
        <v>7</v>
      </c>
      <c r="K6" s="537">
        <f>IFERROR(__xludf.DUMMYFUNCTION("""COMPUTED_VALUE"""),46000.0)</f>
        <v>46000</v>
      </c>
      <c r="L6" s="539">
        <f>IFERROR(__xludf.DUMMYFUNCTION("""COMPUTED_VALUE"""),46003.0)</f>
        <v>46003</v>
      </c>
      <c r="M6" s="540">
        <f>IFERROR(__xludf.DUMMYFUNCTION("""COMPUTED_VALUE"""),46008.0)</f>
        <v>46008</v>
      </c>
      <c r="N6" s="539">
        <f>IFERROR(__xludf.DUMMYFUNCTION("""COMPUTED_VALUE"""),13200.0)</f>
        <v>13200</v>
      </c>
      <c r="O6" s="578">
        <f>IFERROR(__xludf.DUMMYFUNCTION("""COMPUTED_VALUE"""),12000.0)</f>
        <v>12000</v>
      </c>
      <c r="P6" s="578">
        <f>IFERROR(__xludf.DUMMYFUNCTION("""COMPUTED_VALUE"""),8000.0)</f>
        <v>8000</v>
      </c>
      <c r="Q6" s="564"/>
      <c r="R6" s="574"/>
      <c r="S6" s="575">
        <f>IFERROR(__xludf.DUMMYFUNCTION("""COMPUTED_VALUE"""),46008.0)</f>
        <v>46008</v>
      </c>
      <c r="T6" s="555"/>
      <c r="U6" s="579">
        <f>IFERROR(__xludf.DUMMYFUNCTION("""COMPUTED_VALUE"""),45286.0)</f>
        <v>45286</v>
      </c>
      <c r="V6" s="544"/>
      <c r="W6" s="544" t="str">
        <f>IFERROR(__xludf.DUMMYFUNCTION("""COMPUTED_VALUE"""),"店舗預かり")</f>
        <v>店舗預かり</v>
      </c>
      <c r="X6" s="544" t="str">
        <f>IFERROR(__xludf.DUMMYFUNCTION("""COMPUTED_VALUE"""),"店舗預かり")</f>
        <v>店舗預かり</v>
      </c>
      <c r="Y6" s="559">
        <f>IFERROR(__xludf.DUMMYFUNCTION("""COMPUTED_VALUE"""),2099.9)</f>
        <v>2099.9</v>
      </c>
      <c r="Z6" s="580">
        <f>IFERROR(__xludf.DUMMYFUNCTION("""COMPUTED_VALUE"""),1909.0)</f>
        <v>1909</v>
      </c>
      <c r="AA6" s="569"/>
      <c r="AB6" s="570" t="str">
        <f>IFERROR(__xludf.DUMMYFUNCTION("""COMPUTED_VALUE"""),"COLOR WOOL")</f>
        <v>COLOR WOOL</v>
      </c>
      <c r="AC6" s="570" t="str">
        <f>IFERROR(__xludf.DUMMYFUNCTION("""COMPUTED_VALUE"""),"A210144〜A210153")</f>
        <v>A210144〜A210153</v>
      </c>
      <c r="AD6" s="570" t="str">
        <f>IFERROR(__xludf.DUMMYFUNCTION("""COMPUTED_VALUE"""),"チノパンカテゴリーだが、スラックスと同様出しOK")</f>
        <v>チノパンカテゴリーだが、スラックスと同様出しOK</v>
      </c>
      <c r="AE6" s="571"/>
      <c r="AF6" s="571"/>
      <c r="AG6" s="571"/>
      <c r="AH6" s="571"/>
      <c r="AI6" s="571"/>
      <c r="AJ6" s="571"/>
      <c r="AK6" s="571"/>
      <c r="AL6" s="571"/>
      <c r="AM6" s="571"/>
    </row>
    <row r="7" hidden="1">
      <c r="A7" s="531" t="str">
        <f>IFERROR(__xludf.DUMMYFUNCTION("""COMPUTED_VALUE"""),"サイズ")</f>
        <v>サイズ</v>
      </c>
      <c r="B7" s="531" t="str">
        <f>IFERROR(__xludf.DUMMYFUNCTION("""COMPUTED_VALUE"""),"アルスターコート")</f>
        <v>アルスターコート</v>
      </c>
      <c r="C7" s="531" t="str">
        <f>IFERROR(__xludf.DUMMYFUNCTION("""COMPUTED_VALUE"""),"ウエスト")</f>
        <v>ウエスト</v>
      </c>
      <c r="D7" s="533"/>
      <c r="E7" s="533" t="str">
        <f>IFERROR(__xludf.DUMMYFUNCTION("""COMPUTED_VALUE"""),"パターン限界値から ±4cmの範囲内で調整すること")</f>
        <v>パターン限界値から ±4cmの範囲内で調整すること</v>
      </c>
      <c r="F7" s="534" t="str">
        <f>IFERROR(__xludf.DUMMYFUNCTION("""COMPUTED_VALUE"""),"ウエスト")</f>
        <v>ウエスト</v>
      </c>
      <c r="G7" s="533" t="str">
        <f>IFERROR(__xludf.DUMMYFUNCTION("""COMPUTED_VALUE"""),"ウエスト（パターン限界値から ±4cmの範囲内で調整すること）")</f>
        <v>ウエスト（パターン限界値から ±4cmの範囲内で調整すること）</v>
      </c>
      <c r="H7" s="572" t="str">
        <f>IFERROR(__xludf.DUMMYFUNCTION("""COMPUTED_VALUE"""),"-4")</f>
        <v>-4</v>
      </c>
      <c r="I7" s="537"/>
      <c r="J7" s="538">
        <f>IFERROR(__xludf.DUMMYFUNCTION("""COMPUTED_VALUE"""),7.0)</f>
        <v>7</v>
      </c>
      <c r="K7" s="537">
        <f>IFERROR(__xludf.DUMMYFUNCTION("""COMPUTED_VALUE"""),46000.0)</f>
        <v>46000</v>
      </c>
      <c r="L7" s="539">
        <f>IFERROR(__xludf.DUMMYFUNCTION("""COMPUTED_VALUE"""),46003.0)</f>
        <v>46003</v>
      </c>
      <c r="M7" s="540">
        <f>IFERROR(__xludf.DUMMYFUNCTION("""COMPUTED_VALUE"""),46008.0)</f>
        <v>46008</v>
      </c>
      <c r="N7" s="539">
        <f>IFERROR(__xludf.DUMMYFUNCTION("""COMPUTED_VALUE"""),13200.0)</f>
        <v>13200</v>
      </c>
      <c r="O7" s="541">
        <f>IFERROR(__xludf.DUMMYFUNCTION("""COMPUTED_VALUE"""),12000.0)</f>
        <v>12000</v>
      </c>
      <c r="P7" s="542">
        <f>IFERROR(__xludf.DUMMYFUNCTION("""COMPUTED_VALUE"""),8000.0)</f>
        <v>8000</v>
      </c>
      <c r="Q7" s="552"/>
      <c r="R7" s="581" t="str">
        <f>IFERROR(__xludf.DUMMYFUNCTION("""COMPUTED_VALUE"""),"下物基準納期 (営業日)")</f>
        <v>下物基準納期 (営業日)</v>
      </c>
      <c r="S7" s="582" t="str">
        <f>IFERROR(__xludf.DUMMYFUNCTION("""COMPUTED_VALUE"""),"本日時点の下物納期 (2箇所以内)")</f>
        <v>本日時点の下物納期 (2箇所以内)</v>
      </c>
      <c r="T7" s="555"/>
      <c r="U7" s="583">
        <f>IFERROR(__xludf.DUMMYFUNCTION("""COMPUTED_VALUE"""),45287.0)</f>
        <v>45287</v>
      </c>
      <c r="V7" s="555"/>
      <c r="W7" s="555"/>
      <c r="X7" s="555"/>
      <c r="Y7" s="544"/>
      <c r="Z7" s="569"/>
      <c r="AA7" s="569"/>
      <c r="AB7" s="570" t="str">
        <f>IFERROR(__xludf.DUMMYFUNCTION("""COMPUTED_VALUE"""),"THE TECH WORK OUT")</f>
        <v>THE TECH WORK OUT</v>
      </c>
      <c r="AC7" s="570" t="str">
        <f>IFERROR(__xludf.DUMMYFUNCTION("""COMPUTED_VALUE"""),"C170278〜C170279")</f>
        <v>C170278〜C170279</v>
      </c>
      <c r="AD7" s="570" t="str">
        <f>IFERROR(__xludf.DUMMYFUNCTION("""COMPUTED_VALUE"""),"出しNG（再製作）ジャケット・スラックス")</f>
        <v>出しNG（再製作）ジャケット・スラックス</v>
      </c>
      <c r="AE7" s="571"/>
      <c r="AF7" s="571"/>
      <c r="AG7" s="571"/>
      <c r="AH7" s="571"/>
      <c r="AI7" s="571"/>
      <c r="AJ7" s="571"/>
      <c r="AK7" s="571"/>
      <c r="AL7" s="571"/>
      <c r="AM7" s="571"/>
    </row>
    <row r="8" hidden="1">
      <c r="A8" s="531" t="str">
        <f>IFERROR(__xludf.DUMMYFUNCTION("""COMPUTED_VALUE"""),"サイズ")</f>
        <v>サイズ</v>
      </c>
      <c r="B8" s="531" t="str">
        <f>IFERROR(__xludf.DUMMYFUNCTION("""COMPUTED_VALUE"""),"アルスターコート")</f>
        <v>アルスターコート</v>
      </c>
      <c r="C8" s="531" t="str">
        <f>IFERROR(__xludf.DUMMYFUNCTION("""COMPUTED_VALUE"""),"ウエスト")</f>
        <v>ウエスト</v>
      </c>
      <c r="D8" s="533"/>
      <c r="E8" s="533" t="str">
        <f>IFERROR(__xludf.DUMMYFUNCTION("""COMPUTED_VALUE"""),"パターン限界値から ±4cmの範囲内で調整すること")</f>
        <v>パターン限界値から ±4cmの範囲内で調整すること</v>
      </c>
      <c r="F8" s="534" t="str">
        <f>IFERROR(__xludf.DUMMYFUNCTION("""COMPUTED_VALUE"""),"ウエスト")</f>
        <v>ウエスト</v>
      </c>
      <c r="G8" s="533" t="str">
        <f>IFERROR(__xludf.DUMMYFUNCTION("""COMPUTED_VALUE"""),"ウエスト（パターン限界値から ±4cmの範囲内で調整すること）")</f>
        <v>ウエスト（パターン限界値から ±4cmの範囲内で調整すること）</v>
      </c>
      <c r="H8" s="572" t="str">
        <f>IFERROR(__xludf.DUMMYFUNCTION("""COMPUTED_VALUE"""),"-3")</f>
        <v>-3</v>
      </c>
      <c r="I8" s="537"/>
      <c r="J8" s="538">
        <f>IFERROR(__xludf.DUMMYFUNCTION("""COMPUTED_VALUE"""),7.0)</f>
        <v>7</v>
      </c>
      <c r="K8" s="537">
        <f>IFERROR(__xludf.DUMMYFUNCTION("""COMPUTED_VALUE"""),46000.0)</f>
        <v>46000</v>
      </c>
      <c r="L8" s="539">
        <f>IFERROR(__xludf.DUMMYFUNCTION("""COMPUTED_VALUE"""),46003.0)</f>
        <v>46003</v>
      </c>
      <c r="M8" s="540">
        <f>IFERROR(__xludf.DUMMYFUNCTION("""COMPUTED_VALUE"""),46008.0)</f>
        <v>46008</v>
      </c>
      <c r="N8" s="539">
        <f>IFERROR(__xludf.DUMMYFUNCTION("""COMPUTED_VALUE"""),13200.0)</f>
        <v>13200</v>
      </c>
      <c r="O8" s="541">
        <f>IFERROR(__xludf.DUMMYFUNCTION("""COMPUTED_VALUE"""),12000.0)</f>
        <v>12000</v>
      </c>
      <c r="P8" s="542">
        <f>IFERROR(__xludf.DUMMYFUNCTION("""COMPUTED_VALUE"""),8000.0)</f>
        <v>8000</v>
      </c>
      <c r="Q8" s="564"/>
      <c r="R8" s="581">
        <f>IFERROR(__xludf.DUMMYFUNCTION("""COMPUTED_VALUE"""),9.0)</f>
        <v>9</v>
      </c>
      <c r="S8" s="582">
        <f>IFERROR(__xludf.DUMMYFUNCTION("""COMPUTED_VALUE"""),46002.0)</f>
        <v>46002</v>
      </c>
      <c r="T8" s="555"/>
      <c r="U8" s="584">
        <f>IFERROR(__xludf.DUMMYFUNCTION("""COMPUTED_VALUE"""),45288.0)</f>
        <v>45288</v>
      </c>
      <c r="V8" s="555"/>
      <c r="W8" s="555"/>
      <c r="X8" s="555"/>
      <c r="Y8" s="544"/>
      <c r="Z8" s="569"/>
      <c r="AA8" s="569"/>
      <c r="AB8" s="570" t="str">
        <f>IFERROR(__xludf.DUMMYFUNCTION("""COMPUTED_VALUE"""),"KUMOI BEAUTY ORGANIC COTTON CORDUROY")</f>
        <v>KUMOI BEAUTY ORGANIC COTTON CORDUROY</v>
      </c>
      <c r="AC8" s="570" t="str">
        <f>IFERROR(__xludf.DUMMYFUNCTION("""COMPUTED_VALUE"""),"C230135〜C230139")</f>
        <v>C230135〜C230139</v>
      </c>
      <c r="AD8" s="570" t="str">
        <f>IFERROR(__xludf.DUMMYFUNCTION("""COMPUTED_VALUE"""),"出しNG（再製作）ジャケット・スラックス")</f>
        <v>出しNG（再製作）ジャケット・スラックス</v>
      </c>
      <c r="AE8" s="571"/>
      <c r="AF8" s="571"/>
      <c r="AG8" s="571"/>
      <c r="AH8" s="571"/>
      <c r="AI8" s="571"/>
      <c r="AJ8" s="571"/>
      <c r="AK8" s="571"/>
      <c r="AL8" s="571"/>
      <c r="AM8" s="571"/>
    </row>
    <row r="9" hidden="1">
      <c r="A9" s="531" t="str">
        <f>IFERROR(__xludf.DUMMYFUNCTION("""COMPUTED_VALUE"""),"サイズ")</f>
        <v>サイズ</v>
      </c>
      <c r="B9" s="531" t="str">
        <f>IFERROR(__xludf.DUMMYFUNCTION("""COMPUTED_VALUE"""),"アルスターコート")</f>
        <v>アルスターコート</v>
      </c>
      <c r="C9" s="531" t="str">
        <f>IFERROR(__xludf.DUMMYFUNCTION("""COMPUTED_VALUE"""),"ウエスト")</f>
        <v>ウエスト</v>
      </c>
      <c r="D9" s="533"/>
      <c r="E9" s="533" t="str">
        <f>IFERROR(__xludf.DUMMYFUNCTION("""COMPUTED_VALUE"""),"パターン限界値から ±4cmの範囲内で調整すること")</f>
        <v>パターン限界値から ±4cmの範囲内で調整すること</v>
      </c>
      <c r="F9" s="534" t="str">
        <f>IFERROR(__xludf.DUMMYFUNCTION("""COMPUTED_VALUE"""),"ウエスト")</f>
        <v>ウエスト</v>
      </c>
      <c r="G9" s="533" t="str">
        <f>IFERROR(__xludf.DUMMYFUNCTION("""COMPUTED_VALUE"""),"ウエスト（パターン限界値から ±4cmの範囲内で調整すること）")</f>
        <v>ウエスト（パターン限界値から ±4cmの範囲内で調整すること）</v>
      </c>
      <c r="H9" s="572" t="str">
        <f>IFERROR(__xludf.DUMMYFUNCTION("""COMPUTED_VALUE"""),"-2")</f>
        <v>-2</v>
      </c>
      <c r="I9" s="537"/>
      <c r="J9" s="538">
        <f>IFERROR(__xludf.DUMMYFUNCTION("""COMPUTED_VALUE"""),7.0)</f>
        <v>7</v>
      </c>
      <c r="K9" s="537">
        <f>IFERROR(__xludf.DUMMYFUNCTION("""COMPUTED_VALUE"""),46000.0)</f>
        <v>46000</v>
      </c>
      <c r="L9" s="539">
        <f>IFERROR(__xludf.DUMMYFUNCTION("""COMPUTED_VALUE"""),46003.0)</f>
        <v>46003</v>
      </c>
      <c r="M9" s="540">
        <f>IFERROR(__xludf.DUMMYFUNCTION("""COMPUTED_VALUE"""),46008.0)</f>
        <v>46008</v>
      </c>
      <c r="N9" s="539">
        <f>IFERROR(__xludf.DUMMYFUNCTION("""COMPUTED_VALUE"""),13200.0)</f>
        <v>13200</v>
      </c>
      <c r="O9" s="303">
        <f>IFERROR(__xludf.DUMMYFUNCTION("""COMPUTED_VALUE"""),12000.0)</f>
        <v>12000</v>
      </c>
      <c r="P9" s="303">
        <f>IFERROR(__xludf.DUMMYFUNCTION("""COMPUTED_VALUE"""),8000.0)</f>
        <v>8000</v>
      </c>
      <c r="Q9" s="552"/>
      <c r="R9" s="585"/>
      <c r="S9" s="586" t="str">
        <f>IFERROR(__xludf.DUMMYFUNCTION("""COMPUTED_VALUE"""),"本日時点の下物納期 (3箇所以上)")</f>
        <v>本日時点の下物納期 (3箇所以上)</v>
      </c>
      <c r="T9" s="555"/>
      <c r="U9" s="579">
        <f>IFERROR(__xludf.DUMMYFUNCTION("""COMPUTED_VALUE"""),45289.0)</f>
        <v>45289</v>
      </c>
      <c r="V9" s="544"/>
      <c r="W9" s="544"/>
      <c r="X9" s="544"/>
      <c r="Y9" s="544"/>
      <c r="Z9" s="569"/>
      <c r="AA9" s="569"/>
      <c r="AB9" s="570" t="str">
        <f>IFERROR(__xludf.DUMMYFUNCTION("""COMPUTED_VALUE"""),"STRETCH MOLESKIN")</f>
        <v>STRETCH MOLESKIN</v>
      </c>
      <c r="AC9" s="570" t="str">
        <f>IFERROR(__xludf.DUMMYFUNCTION("""COMPUTED_VALUE"""),"C240008~C240015")</f>
        <v>C240008~C240015</v>
      </c>
      <c r="AD9" s="570" t="str">
        <f>IFERROR(__xludf.DUMMYFUNCTION("""COMPUTED_VALUE"""),"出しNG（再製作）ジャケット・スラックス")</f>
        <v>出しNG（再製作）ジャケット・スラックス</v>
      </c>
      <c r="AE9" s="571"/>
      <c r="AF9" s="571"/>
      <c r="AG9" s="571"/>
      <c r="AH9" s="571"/>
      <c r="AI9" s="571"/>
      <c r="AJ9" s="571"/>
      <c r="AK9" s="571"/>
      <c r="AL9" s="571"/>
      <c r="AM9" s="571"/>
    </row>
    <row r="10" hidden="1">
      <c r="A10" s="531" t="str">
        <f>IFERROR(__xludf.DUMMYFUNCTION("""COMPUTED_VALUE"""),"サイズ")</f>
        <v>サイズ</v>
      </c>
      <c r="B10" s="531" t="str">
        <f>IFERROR(__xludf.DUMMYFUNCTION("""COMPUTED_VALUE"""),"アルスターコート")</f>
        <v>アルスターコート</v>
      </c>
      <c r="C10" s="531" t="str">
        <f>IFERROR(__xludf.DUMMYFUNCTION("""COMPUTED_VALUE"""),"ウエスト")</f>
        <v>ウエスト</v>
      </c>
      <c r="D10" s="550"/>
      <c r="E10" s="533" t="str">
        <f>IFERROR(__xludf.DUMMYFUNCTION("""COMPUTED_VALUE"""),"パターン限界値から ±4cmの範囲内で調整すること")</f>
        <v>パターン限界値から ±4cmの範囲内で調整すること</v>
      </c>
      <c r="F10" s="534" t="str">
        <f>IFERROR(__xludf.DUMMYFUNCTION("""COMPUTED_VALUE"""),"ウエスト")</f>
        <v>ウエスト</v>
      </c>
      <c r="G10" s="550" t="str">
        <f>IFERROR(__xludf.DUMMYFUNCTION("""COMPUTED_VALUE"""),"ウエスト（パターン限界値から ±4cmの範囲内で調整すること）")</f>
        <v>ウエスト（パターン限界値から ±4cmの範囲内で調整すること）</v>
      </c>
      <c r="H10" s="572" t="str">
        <f>IFERROR(__xludf.DUMMYFUNCTION("""COMPUTED_VALUE"""),"-1")</f>
        <v>-1</v>
      </c>
      <c r="I10" s="537"/>
      <c r="J10" s="538">
        <f>IFERROR(__xludf.DUMMYFUNCTION("""COMPUTED_VALUE"""),7.0)</f>
        <v>7</v>
      </c>
      <c r="K10" s="537">
        <f>IFERROR(__xludf.DUMMYFUNCTION("""COMPUTED_VALUE"""),46000.0)</f>
        <v>46000</v>
      </c>
      <c r="L10" s="539">
        <f>IFERROR(__xludf.DUMMYFUNCTION("""COMPUTED_VALUE"""),46003.0)</f>
        <v>46003</v>
      </c>
      <c r="M10" s="540">
        <f>IFERROR(__xludf.DUMMYFUNCTION("""COMPUTED_VALUE"""),46008.0)</f>
        <v>46008</v>
      </c>
      <c r="N10" s="539">
        <f>IFERROR(__xludf.DUMMYFUNCTION("""COMPUTED_VALUE"""),13200.0)</f>
        <v>13200</v>
      </c>
      <c r="O10" s="587">
        <f>IFERROR(__xludf.DUMMYFUNCTION("""COMPUTED_VALUE"""),12000.0)</f>
        <v>12000</v>
      </c>
      <c r="P10" s="588">
        <f>IFERROR(__xludf.DUMMYFUNCTION("""COMPUTED_VALUE"""),8000.0)</f>
        <v>8000</v>
      </c>
      <c r="Q10" s="564"/>
      <c r="R10" s="585"/>
      <c r="S10" s="586">
        <f>IFERROR(__xludf.DUMMYFUNCTION("""COMPUTED_VALUE"""),46007.0)</f>
        <v>46007</v>
      </c>
      <c r="T10" s="555"/>
      <c r="U10" s="579">
        <f>IFERROR(__xludf.DUMMYFUNCTION("""COMPUTED_VALUE"""),45290.0)</f>
        <v>45290</v>
      </c>
      <c r="V10" s="544"/>
      <c r="W10" s="544"/>
      <c r="X10" s="544"/>
      <c r="Y10" s="544"/>
      <c r="Z10" s="569"/>
      <c r="AA10" s="569"/>
      <c r="AB10" s="570" t="str">
        <f>IFERROR(__xludf.DUMMYFUNCTION("""COMPUTED_VALUE"""),"EASY CARE COTTON JAPAN FABRIC from BANSHU")</f>
        <v>EASY CARE COTTON JAPAN FABRIC from BANSHU</v>
      </c>
      <c r="AC10" s="570" t="str">
        <f>IFERROR(__xludf.DUMMYFUNCTION("""COMPUTED_VALUE"""),"C240016~C240022")</f>
        <v>C240016~C240022</v>
      </c>
      <c r="AD10" s="570" t="str">
        <f>IFERROR(__xludf.DUMMYFUNCTION("""COMPUTED_VALUE"""),"出しNG（再製作）ジャケット・スラックス")</f>
        <v>出しNG（再製作）ジャケット・スラックス</v>
      </c>
      <c r="AE10" s="571"/>
      <c r="AF10" s="571"/>
      <c r="AG10" s="571"/>
      <c r="AH10" s="571"/>
      <c r="AI10" s="571"/>
      <c r="AJ10" s="571"/>
      <c r="AK10" s="571"/>
      <c r="AL10" s="571"/>
      <c r="AM10" s="571"/>
    </row>
    <row r="11" hidden="1">
      <c r="A11" s="531" t="str">
        <f>IFERROR(__xludf.DUMMYFUNCTION("""COMPUTED_VALUE"""),"サイズ")</f>
        <v>サイズ</v>
      </c>
      <c r="B11" s="531" t="str">
        <f>IFERROR(__xludf.DUMMYFUNCTION("""COMPUTED_VALUE"""),"アルスターコート")</f>
        <v>アルスターコート</v>
      </c>
      <c r="C11" s="531" t="str">
        <f>IFERROR(__xludf.DUMMYFUNCTION("""COMPUTED_VALUE"""),"裾まわり")</f>
        <v>裾まわり</v>
      </c>
      <c r="D11" s="550"/>
      <c r="E11" s="533" t="str">
        <f>IFERROR(__xludf.DUMMYFUNCTION("""COMPUTED_VALUE"""),"パターン限界値から ±8cmの範囲内で調整すること")</f>
        <v>パターン限界値から ±8cmの範囲内で調整すること</v>
      </c>
      <c r="F11" s="534" t="str">
        <f>IFERROR(__xludf.DUMMYFUNCTION("""COMPUTED_VALUE"""),"裾まわり")</f>
        <v>裾まわり</v>
      </c>
      <c r="G11" s="550" t="str">
        <f>IFERROR(__xludf.DUMMYFUNCTION("""COMPUTED_VALUE"""),"裾まわり（パターン限界値から ±8cmの範囲内で調整すること）")</f>
        <v>裾まわり（パターン限界値から ±8cmの範囲内で調整すること）</v>
      </c>
      <c r="H11" s="572" t="str">
        <f>IFERROR(__xludf.DUMMYFUNCTION("""COMPUTED_VALUE"""),"-4")</f>
        <v>-4</v>
      </c>
      <c r="I11" s="537"/>
      <c r="J11" s="538">
        <f>IFERROR(__xludf.DUMMYFUNCTION("""COMPUTED_VALUE"""),10.0)</f>
        <v>10</v>
      </c>
      <c r="K11" s="537">
        <f>IFERROR(__xludf.DUMMYFUNCTION("""COMPUTED_VALUE"""),46003.0)</f>
        <v>46003</v>
      </c>
      <c r="L11" s="539">
        <f>IFERROR(__xludf.DUMMYFUNCTION("""COMPUTED_VALUE"""),46003.0)</f>
        <v>46003</v>
      </c>
      <c r="M11" s="540">
        <f>IFERROR(__xludf.DUMMYFUNCTION("""COMPUTED_VALUE"""),46008.0)</f>
        <v>46008</v>
      </c>
      <c r="N11" s="539">
        <f>IFERROR(__xludf.DUMMYFUNCTION("""COMPUTED_VALUE"""),13200.0)</f>
        <v>13200</v>
      </c>
      <c r="O11" s="589">
        <f>IFERROR(__xludf.DUMMYFUNCTION("""COMPUTED_VALUE"""),12000.0)</f>
        <v>12000</v>
      </c>
      <c r="P11" s="590">
        <f>IFERROR(__xludf.DUMMYFUNCTION("""COMPUTED_VALUE"""),8000.0)</f>
        <v>8000</v>
      </c>
      <c r="Q11" s="240"/>
      <c r="R11" s="591" t="str">
        <f>IFERROR(__xludf.DUMMYFUNCTION("""COMPUTED_VALUE"""),"袖丈・裄丈・股下は左右であっても1箇所換算でOK
シャツバスト・AHは二つで1箇所換算")</f>
        <v>袖丈・裄丈・股下は左右であっても1箇所換算でOK
シャツバスト・AHは二つで1箇所換算</v>
      </c>
      <c r="S11" s="592"/>
      <c r="T11" s="555"/>
      <c r="U11" s="579">
        <f>IFERROR(__xludf.DUMMYFUNCTION("""COMPUTED_VALUE"""),45291.0)</f>
        <v>45291</v>
      </c>
      <c r="V11" s="544"/>
      <c r="W11" s="544"/>
      <c r="X11" s="544"/>
      <c r="Y11" s="544"/>
      <c r="Z11" s="569"/>
      <c r="AA11" s="569"/>
      <c r="AB11" s="570" t="str">
        <f>IFERROR(__xludf.DUMMYFUNCTION("""COMPUTED_VALUE"""),"STRETCH CORDUROY")</f>
        <v>STRETCH CORDUROY</v>
      </c>
      <c r="AC11" s="570" t="str">
        <f>IFERROR(__xludf.DUMMYFUNCTION("""COMPUTED_VALUE"""),"C240131~C240137")</f>
        <v>C240131~C240137</v>
      </c>
      <c r="AD11" s="570" t="str">
        <f>IFERROR(__xludf.DUMMYFUNCTION("""COMPUTED_VALUE"""),"出しNG（再製作）ジャケット・スラックス")</f>
        <v>出しNG（再製作）ジャケット・スラックス</v>
      </c>
      <c r="AE11" s="571"/>
      <c r="AF11" s="571"/>
      <c r="AG11" s="571"/>
      <c r="AH11" s="571"/>
      <c r="AI11" s="571"/>
      <c r="AJ11" s="571"/>
      <c r="AK11" s="571"/>
      <c r="AL11" s="571"/>
      <c r="AM11" s="571"/>
    </row>
    <row r="12" hidden="1">
      <c r="A12" s="531" t="str">
        <f>IFERROR(__xludf.DUMMYFUNCTION("""COMPUTED_VALUE"""),"サイズ")</f>
        <v>サイズ</v>
      </c>
      <c r="B12" s="531" t="str">
        <f>IFERROR(__xludf.DUMMYFUNCTION("""COMPUTED_VALUE"""),"アルスターコート")</f>
        <v>アルスターコート</v>
      </c>
      <c r="C12" s="531" t="str">
        <f>IFERROR(__xludf.DUMMYFUNCTION("""COMPUTED_VALUE"""),"裾まわり")</f>
        <v>裾まわり</v>
      </c>
      <c r="D12" s="533"/>
      <c r="E12" s="533" t="str">
        <f>IFERROR(__xludf.DUMMYFUNCTION("""COMPUTED_VALUE"""),"パターン限界値から ±8cmの範囲内で調整すること")</f>
        <v>パターン限界値から ±8cmの範囲内で調整すること</v>
      </c>
      <c r="F12" s="534" t="str">
        <f>IFERROR(__xludf.DUMMYFUNCTION("""COMPUTED_VALUE"""),"裾まわり")</f>
        <v>裾まわり</v>
      </c>
      <c r="G12" s="533" t="str">
        <f>IFERROR(__xludf.DUMMYFUNCTION("""COMPUTED_VALUE"""),"裾まわり（パターン限界値から ±8cmの範囲内で調整すること）")</f>
        <v>裾まわり（パターン限界値から ±8cmの範囲内で調整すること）</v>
      </c>
      <c r="H12" s="572" t="str">
        <f>IFERROR(__xludf.DUMMYFUNCTION("""COMPUTED_VALUE"""),"-3")</f>
        <v>-3</v>
      </c>
      <c r="I12" s="537"/>
      <c r="J12" s="538">
        <f>IFERROR(__xludf.DUMMYFUNCTION("""COMPUTED_VALUE"""),10.0)</f>
        <v>10</v>
      </c>
      <c r="K12" s="537">
        <f>IFERROR(__xludf.DUMMYFUNCTION("""COMPUTED_VALUE"""),46003.0)</f>
        <v>46003</v>
      </c>
      <c r="L12" s="539">
        <f>IFERROR(__xludf.DUMMYFUNCTION("""COMPUTED_VALUE"""),46003.0)</f>
        <v>46003</v>
      </c>
      <c r="M12" s="539">
        <f>IFERROR(__xludf.DUMMYFUNCTION("""COMPUTED_VALUE"""),46008.0)</f>
        <v>46008</v>
      </c>
      <c r="N12" s="539">
        <f>IFERROR(__xludf.DUMMYFUNCTION("""COMPUTED_VALUE"""),13200.0)</f>
        <v>13200</v>
      </c>
      <c r="O12" s="593">
        <f>IFERROR(__xludf.DUMMYFUNCTION("""COMPUTED_VALUE"""),12000.0)</f>
        <v>12000</v>
      </c>
      <c r="P12" s="594">
        <f>IFERROR(__xludf.DUMMYFUNCTION("""COMPUTED_VALUE"""),8000.0)</f>
        <v>8000</v>
      </c>
      <c r="Q12" s="240"/>
      <c r="R12" s="544"/>
      <c r="S12" s="592"/>
      <c r="T12" s="555"/>
      <c r="U12" s="595">
        <f>IFERROR(__xludf.DUMMYFUNCTION("""COMPUTED_VALUE"""),45292.0)</f>
        <v>45292</v>
      </c>
      <c r="V12" s="544"/>
      <c r="W12" s="544"/>
      <c r="X12" s="544"/>
      <c r="Y12" s="544"/>
      <c r="Z12" s="569"/>
      <c r="AA12" s="569"/>
      <c r="AB12" s="570" t="str">
        <f>IFERROR(__xludf.DUMMYFUNCTION("""COMPUTED_VALUE"""),"なめらかで極細の糸から創り上げた、着心地抜群のストレッチ新素材")</f>
        <v>なめらかで極細の糸から創り上げた、着心地抜群のストレッチ新素材</v>
      </c>
      <c r="AC12" s="570" t="str">
        <f>IFERROR(__xludf.DUMMYFUNCTION("""COMPUTED_VALUE"""),"W240001~W240003")</f>
        <v>W240001~W240003</v>
      </c>
      <c r="AD12" s="570" t="str">
        <f>IFERROR(__xludf.DUMMYFUNCTION("""COMPUTED_VALUE"""),"出しNG（再製作）ジャケット・スラックス")</f>
        <v>出しNG（再製作）ジャケット・スラックス</v>
      </c>
      <c r="AE12" s="571"/>
      <c r="AF12" s="571"/>
      <c r="AG12" s="571"/>
      <c r="AH12" s="571"/>
      <c r="AI12" s="571"/>
      <c r="AJ12" s="571"/>
      <c r="AK12" s="571"/>
      <c r="AL12" s="571"/>
      <c r="AM12" s="571"/>
    </row>
    <row r="13" hidden="1">
      <c r="A13" s="531" t="str">
        <f>IFERROR(__xludf.DUMMYFUNCTION("""COMPUTED_VALUE"""),"サイズ")</f>
        <v>サイズ</v>
      </c>
      <c r="B13" s="531" t="str">
        <f>IFERROR(__xludf.DUMMYFUNCTION("""COMPUTED_VALUE"""),"アルスターコート")</f>
        <v>アルスターコート</v>
      </c>
      <c r="C13" s="531" t="str">
        <f>IFERROR(__xludf.DUMMYFUNCTION("""COMPUTED_VALUE"""),"裾まわり")</f>
        <v>裾まわり</v>
      </c>
      <c r="D13" s="533"/>
      <c r="E13" s="533" t="str">
        <f>IFERROR(__xludf.DUMMYFUNCTION("""COMPUTED_VALUE"""),"パターン限界値から ±8cmの範囲内で調整すること")</f>
        <v>パターン限界値から ±8cmの範囲内で調整すること</v>
      </c>
      <c r="F13" s="534" t="str">
        <f>IFERROR(__xludf.DUMMYFUNCTION("""COMPUTED_VALUE"""),"裾まわり")</f>
        <v>裾まわり</v>
      </c>
      <c r="G13" s="533" t="str">
        <f>IFERROR(__xludf.DUMMYFUNCTION("""COMPUTED_VALUE"""),"裾まわり（パターン限界値から ±8cmの範囲内で調整すること）")</f>
        <v>裾まわり（パターン限界値から ±8cmの範囲内で調整すること）</v>
      </c>
      <c r="H13" s="572" t="str">
        <f>IFERROR(__xludf.DUMMYFUNCTION("""COMPUTED_VALUE"""),"-2")</f>
        <v>-2</v>
      </c>
      <c r="I13" s="537"/>
      <c r="J13" s="538">
        <f>IFERROR(__xludf.DUMMYFUNCTION("""COMPUTED_VALUE"""),10.0)</f>
        <v>10</v>
      </c>
      <c r="K13" s="537">
        <f>IFERROR(__xludf.DUMMYFUNCTION("""COMPUTED_VALUE"""),46003.0)</f>
        <v>46003</v>
      </c>
      <c r="L13" s="539">
        <f>IFERROR(__xludf.DUMMYFUNCTION("""COMPUTED_VALUE"""),46003.0)</f>
        <v>46003</v>
      </c>
      <c r="M13" s="539">
        <f>IFERROR(__xludf.DUMMYFUNCTION("""COMPUTED_VALUE"""),46008.0)</f>
        <v>46008</v>
      </c>
      <c r="N13" s="539">
        <f>IFERROR(__xludf.DUMMYFUNCTION("""COMPUTED_VALUE"""),13200.0)</f>
        <v>13200</v>
      </c>
      <c r="O13" s="593">
        <f>IFERROR(__xludf.DUMMYFUNCTION("""COMPUTED_VALUE"""),12000.0)</f>
        <v>12000</v>
      </c>
      <c r="P13" s="594">
        <f>IFERROR(__xludf.DUMMYFUNCTION("""COMPUTED_VALUE"""),8000.0)</f>
        <v>8000</v>
      </c>
      <c r="Q13" s="240"/>
      <c r="R13" s="544"/>
      <c r="S13" s="592"/>
      <c r="T13" s="555"/>
      <c r="U13" s="595">
        <f>IFERROR(__xludf.DUMMYFUNCTION("""COMPUTED_VALUE"""),45293.0)</f>
        <v>45293</v>
      </c>
      <c r="V13" s="544"/>
      <c r="W13" s="544"/>
      <c r="X13" s="544"/>
      <c r="Y13" s="544"/>
      <c r="Z13" s="569"/>
      <c r="AA13" s="569"/>
      <c r="AB13" s="570" t="str">
        <f>IFERROR(__xludf.DUMMYFUNCTION("""COMPUTED_VALUE"""),"世界に挑む技術、テック×テーラードで魅せる新感覚シボレザー")</f>
        <v>世界に挑む技術、テック×テーラードで魅せる新感覚シボレザー</v>
      </c>
      <c r="AC13" s="570" t="str">
        <f>IFERROR(__xludf.DUMMYFUNCTION("""COMPUTED_VALUE"""),"W240009~W2400010")</f>
        <v>W240009~W2400010</v>
      </c>
      <c r="AD13" s="570" t="str">
        <f>IFERROR(__xludf.DUMMYFUNCTION("""COMPUTED_VALUE"""),"出しNG（再製作）ジャケット・スラックス")</f>
        <v>出しNG（再製作）ジャケット・スラックス</v>
      </c>
      <c r="AE13" s="571"/>
      <c r="AF13" s="571"/>
      <c r="AG13" s="571"/>
      <c r="AH13" s="571"/>
      <c r="AI13" s="571"/>
      <c r="AJ13" s="571"/>
      <c r="AK13" s="571"/>
      <c r="AL13" s="571"/>
      <c r="AM13" s="571"/>
    </row>
    <row r="14" hidden="1">
      <c r="A14" s="531" t="str">
        <f>IFERROR(__xludf.DUMMYFUNCTION("""COMPUTED_VALUE"""),"サイズ")</f>
        <v>サイズ</v>
      </c>
      <c r="B14" s="531" t="str">
        <f>IFERROR(__xludf.DUMMYFUNCTION("""COMPUTED_VALUE"""),"アルスターコート")</f>
        <v>アルスターコート</v>
      </c>
      <c r="C14" s="531" t="str">
        <f>IFERROR(__xludf.DUMMYFUNCTION("""COMPUTED_VALUE"""),"裾まわり")</f>
        <v>裾まわり</v>
      </c>
      <c r="D14" s="533"/>
      <c r="E14" s="533" t="str">
        <f>IFERROR(__xludf.DUMMYFUNCTION("""COMPUTED_VALUE"""),"パターン限界値から ±8cmの範囲内で調整すること")</f>
        <v>パターン限界値から ±8cmの範囲内で調整すること</v>
      </c>
      <c r="F14" s="534" t="str">
        <f>IFERROR(__xludf.DUMMYFUNCTION("""COMPUTED_VALUE"""),"裾まわり")</f>
        <v>裾まわり</v>
      </c>
      <c r="G14" s="533" t="str">
        <f>IFERROR(__xludf.DUMMYFUNCTION("""COMPUTED_VALUE"""),"裾まわり（パターン限界値から ±8cmの範囲内で調整すること）")</f>
        <v>裾まわり（パターン限界値から ±8cmの範囲内で調整すること）</v>
      </c>
      <c r="H14" s="572" t="str">
        <f>IFERROR(__xludf.DUMMYFUNCTION("""COMPUTED_VALUE"""),"-1")</f>
        <v>-1</v>
      </c>
      <c r="I14" s="537"/>
      <c r="J14" s="538">
        <f>IFERROR(__xludf.DUMMYFUNCTION("""COMPUTED_VALUE"""),10.0)</f>
        <v>10</v>
      </c>
      <c r="K14" s="537">
        <f>IFERROR(__xludf.DUMMYFUNCTION("""COMPUTED_VALUE"""),46003.0)</f>
        <v>46003</v>
      </c>
      <c r="L14" s="539">
        <f>IFERROR(__xludf.DUMMYFUNCTION("""COMPUTED_VALUE"""),46003.0)</f>
        <v>46003</v>
      </c>
      <c r="M14" s="539">
        <f>IFERROR(__xludf.DUMMYFUNCTION("""COMPUTED_VALUE"""),46008.0)</f>
        <v>46008</v>
      </c>
      <c r="N14" s="539">
        <f>IFERROR(__xludf.DUMMYFUNCTION("""COMPUTED_VALUE"""),13200.0)</f>
        <v>13200</v>
      </c>
      <c r="O14" s="593">
        <f>IFERROR(__xludf.DUMMYFUNCTION("""COMPUTED_VALUE"""),12000.0)</f>
        <v>12000</v>
      </c>
      <c r="P14" s="594">
        <f>IFERROR(__xludf.DUMMYFUNCTION("""COMPUTED_VALUE"""),8000.0)</f>
        <v>8000</v>
      </c>
      <c r="Q14" s="240"/>
      <c r="R14" s="544"/>
      <c r="S14" s="592"/>
      <c r="T14" s="555"/>
      <c r="U14" s="595">
        <f>IFERROR(__xludf.DUMMYFUNCTION("""COMPUTED_VALUE"""),45294.0)</f>
        <v>45294</v>
      </c>
      <c r="V14" s="544"/>
      <c r="W14" s="544"/>
      <c r="X14" s="544"/>
      <c r="Y14" s="544"/>
      <c r="Z14" s="569"/>
      <c r="AA14" s="569"/>
      <c r="AB14" s="570" t="str">
        <f>IFERROR(__xludf.DUMMYFUNCTION("""COMPUTED_VALUE"""),"世界に挑む技術、レザーを超える艶レザー調テックサテン")</f>
        <v>世界に挑む技術、レザーを超える艶レザー調テックサテン</v>
      </c>
      <c r="AC14" s="570" t="str">
        <f>IFERROR(__xludf.DUMMYFUNCTION("""COMPUTED_VALUE"""),"W240011")</f>
        <v>W240011</v>
      </c>
      <c r="AD14" s="570" t="str">
        <f>IFERROR(__xludf.DUMMYFUNCTION("""COMPUTED_VALUE"""),"出しNG（再製作）ジャケット・スラックス")</f>
        <v>出しNG（再製作）ジャケット・スラックス</v>
      </c>
      <c r="AE14" s="571"/>
      <c r="AF14" s="571"/>
      <c r="AG14" s="571"/>
      <c r="AH14" s="571"/>
      <c r="AI14" s="571"/>
      <c r="AJ14" s="571"/>
      <c r="AK14" s="571"/>
      <c r="AL14" s="571"/>
      <c r="AM14" s="571"/>
    </row>
    <row r="15" hidden="1">
      <c r="A15" s="531" t="str">
        <f>IFERROR(__xludf.DUMMYFUNCTION("""COMPUTED_VALUE"""),"サイズ")</f>
        <v>サイズ</v>
      </c>
      <c r="B15" s="531" t="str">
        <f>IFERROR(__xludf.DUMMYFUNCTION("""COMPUTED_VALUE"""),"アルスターコート")</f>
        <v>アルスターコート</v>
      </c>
      <c r="C15" s="531" t="str">
        <f>IFERROR(__xludf.DUMMYFUNCTION("""COMPUTED_VALUE"""),"袖丈")</f>
        <v>袖丈</v>
      </c>
      <c r="D15" s="533"/>
      <c r="E15" s="533"/>
      <c r="F15" s="534" t="str">
        <f>IFERROR(__xludf.DUMMYFUNCTION("""COMPUTED_VALUE"""),"袖丈")</f>
        <v>袖丈</v>
      </c>
      <c r="G15" s="533" t="str">
        <f>IFERROR(__xludf.DUMMYFUNCTION("""COMPUTED_VALUE"""),"袖丈")</f>
        <v>袖丈</v>
      </c>
      <c r="H15" s="572" t="str">
        <f>IFERROR(__xludf.DUMMYFUNCTION("""COMPUTED_VALUE"""),"-1")</f>
        <v>-1</v>
      </c>
      <c r="I15" s="537"/>
      <c r="J15" s="538">
        <f>IFERROR(__xludf.DUMMYFUNCTION("""COMPUTED_VALUE"""),7.0)</f>
        <v>7</v>
      </c>
      <c r="K15" s="537">
        <f>IFERROR(__xludf.DUMMYFUNCTION("""COMPUTED_VALUE"""),46000.0)</f>
        <v>46000</v>
      </c>
      <c r="L15" s="539">
        <f>IFERROR(__xludf.DUMMYFUNCTION("""COMPUTED_VALUE"""),46003.0)</f>
        <v>46003</v>
      </c>
      <c r="M15" s="539">
        <f>IFERROR(__xludf.DUMMYFUNCTION("""COMPUTED_VALUE"""),46008.0)</f>
        <v>46008</v>
      </c>
      <c r="N15" s="539">
        <f>IFERROR(__xludf.DUMMYFUNCTION("""COMPUTED_VALUE"""),3300.0)</f>
        <v>3300</v>
      </c>
      <c r="O15" s="593">
        <f>IFERROR(__xludf.DUMMYFUNCTION("""COMPUTED_VALUE"""),3000.0)</f>
        <v>3000</v>
      </c>
      <c r="P15" s="594">
        <f>IFERROR(__xludf.DUMMYFUNCTION("""COMPUTED_VALUE"""),2000.0)</f>
        <v>2000</v>
      </c>
      <c r="Q15" s="240"/>
      <c r="R15" s="544"/>
      <c r="S15" s="592"/>
      <c r="T15" s="555"/>
      <c r="U15" s="595">
        <f>IFERROR(__xludf.DUMMYFUNCTION("""COMPUTED_VALUE"""),45295.0)</f>
        <v>45295</v>
      </c>
      <c r="V15" s="544"/>
      <c r="W15" s="544"/>
      <c r="X15" s="544"/>
      <c r="Y15" s="544"/>
      <c r="Z15" s="569"/>
      <c r="AA15" s="569"/>
      <c r="AB15" s="570" t="str">
        <f>IFERROR(__xludf.DUMMYFUNCTION("""COMPUTED_VALUE"""),"天然の消臭抗菌、和紙から作った風通しのいいデニム")</f>
        <v>天然の消臭抗菌、和紙から作った風通しのいいデニム</v>
      </c>
      <c r="AC15" s="570" t="str">
        <f>IFERROR(__xludf.DUMMYFUNCTION("""COMPUTED_VALUE"""),"W240012")</f>
        <v>W240012</v>
      </c>
      <c r="AD15" s="570" t="str">
        <f>IFERROR(__xludf.DUMMYFUNCTION("""COMPUTED_VALUE"""),"出しNG（再製作）ジャケット・スラックス")</f>
        <v>出しNG（再製作）ジャケット・スラックス</v>
      </c>
      <c r="AE15" s="571"/>
      <c r="AF15" s="571"/>
      <c r="AG15" s="571"/>
      <c r="AH15" s="571"/>
      <c r="AI15" s="571"/>
      <c r="AJ15" s="571"/>
      <c r="AK15" s="571"/>
      <c r="AL15" s="571"/>
      <c r="AM15" s="571"/>
    </row>
    <row r="16" hidden="1">
      <c r="A16" s="531" t="str">
        <f>IFERROR(__xludf.DUMMYFUNCTION("""COMPUTED_VALUE"""),"サイズ")</f>
        <v>サイズ</v>
      </c>
      <c r="B16" s="531" t="str">
        <f>IFERROR(__xludf.DUMMYFUNCTION("""COMPUTED_VALUE"""),"アルスターコート")</f>
        <v>アルスターコート</v>
      </c>
      <c r="C16" s="531" t="str">
        <f>IFERROR(__xludf.DUMMYFUNCTION("""COMPUTED_VALUE"""),"袖丈")</f>
        <v>袖丈</v>
      </c>
      <c r="D16" s="533"/>
      <c r="E16" s="533"/>
      <c r="F16" s="534" t="str">
        <f>IFERROR(__xludf.DUMMYFUNCTION("""COMPUTED_VALUE"""),"袖丈")</f>
        <v>袖丈</v>
      </c>
      <c r="G16" s="533" t="str">
        <f>IFERROR(__xludf.DUMMYFUNCTION("""COMPUTED_VALUE"""),"袖丈")</f>
        <v>袖丈</v>
      </c>
      <c r="H16" s="572" t="str">
        <f>IFERROR(__xludf.DUMMYFUNCTION("""COMPUTED_VALUE"""),"-0.5")</f>
        <v>-0.5</v>
      </c>
      <c r="I16" s="537"/>
      <c r="J16" s="538">
        <f>IFERROR(__xludf.DUMMYFUNCTION("""COMPUTED_VALUE"""),7.0)</f>
        <v>7</v>
      </c>
      <c r="K16" s="537">
        <f>IFERROR(__xludf.DUMMYFUNCTION("""COMPUTED_VALUE"""),46000.0)</f>
        <v>46000</v>
      </c>
      <c r="L16" s="539">
        <f>IFERROR(__xludf.DUMMYFUNCTION("""COMPUTED_VALUE"""),46003.0)</f>
        <v>46003</v>
      </c>
      <c r="M16" s="539">
        <f>IFERROR(__xludf.DUMMYFUNCTION("""COMPUTED_VALUE"""),46008.0)</f>
        <v>46008</v>
      </c>
      <c r="N16" s="539">
        <f>IFERROR(__xludf.DUMMYFUNCTION("""COMPUTED_VALUE"""),3300.0)</f>
        <v>3300</v>
      </c>
      <c r="O16" s="593">
        <f>IFERROR(__xludf.DUMMYFUNCTION("""COMPUTED_VALUE"""),3000.0)</f>
        <v>3000</v>
      </c>
      <c r="P16" s="594">
        <f>IFERROR(__xludf.DUMMYFUNCTION("""COMPUTED_VALUE"""),2000.0)</f>
        <v>2000</v>
      </c>
      <c r="Q16" s="183"/>
      <c r="R16" s="544"/>
      <c r="S16" s="592"/>
      <c r="T16" s="555"/>
      <c r="U16" s="595">
        <f>IFERROR(__xludf.DUMMYFUNCTION("""COMPUTED_VALUE"""),45296.0)</f>
        <v>45296</v>
      </c>
      <c r="V16" s="544"/>
      <c r="W16" s="544"/>
      <c r="X16" s="544"/>
      <c r="Y16" s="544"/>
      <c r="Z16" s="569"/>
      <c r="AA16" s="569"/>
      <c r="AB16" s="570" t="str">
        <f>IFERROR(__xludf.DUMMYFUNCTION("""COMPUTED_VALUE"""),"北陸の柔軟さが実現させた、高密度でなめらかなリッチブラックサテン")</f>
        <v>北陸の柔軟さが実現させた、高密度でなめらかなリッチブラックサテン</v>
      </c>
      <c r="AC16" s="570" t="str">
        <f>IFERROR(__xludf.DUMMYFUNCTION("""COMPUTED_VALUE"""),"W240014")</f>
        <v>W240014</v>
      </c>
      <c r="AD16" s="570" t="str">
        <f>IFERROR(__xludf.DUMMYFUNCTION("""COMPUTED_VALUE"""),"出しNG（再製作）ジャケット・スラックス")</f>
        <v>出しNG（再製作）ジャケット・スラックス</v>
      </c>
      <c r="AE16" s="571"/>
      <c r="AF16" s="571"/>
      <c r="AG16" s="571"/>
      <c r="AH16" s="571"/>
      <c r="AI16" s="571"/>
      <c r="AJ16" s="571"/>
      <c r="AK16" s="571"/>
      <c r="AL16" s="571"/>
      <c r="AM16" s="571"/>
    </row>
    <row r="17" hidden="1">
      <c r="A17" s="531" t="str">
        <f>IFERROR(__xludf.DUMMYFUNCTION("""COMPUTED_VALUE"""),"サイズ")</f>
        <v>サイズ</v>
      </c>
      <c r="B17" s="531" t="str">
        <f>IFERROR(__xludf.DUMMYFUNCTION("""COMPUTED_VALUE"""),"アルスターコート")</f>
        <v>アルスターコート</v>
      </c>
      <c r="C17" s="531" t="str">
        <f>IFERROR(__xludf.DUMMYFUNCTION("""COMPUTED_VALUE"""),"着丈")</f>
        <v>着丈</v>
      </c>
      <c r="D17" s="533"/>
      <c r="E17" s="533" t="str">
        <f>IFERROR(__xludf.DUMMYFUNCTION("""COMPUTED_VALUE"""),"パターン限界値から ±20cmの範囲内で調整すること")</f>
        <v>パターン限界値から ±20cmの範囲内で調整すること</v>
      </c>
      <c r="F17" s="534" t="str">
        <f>IFERROR(__xludf.DUMMYFUNCTION("""COMPUTED_VALUE"""),"着丈")</f>
        <v>着丈</v>
      </c>
      <c r="G17" s="533" t="str">
        <f>IFERROR(__xludf.DUMMYFUNCTION("""COMPUTED_VALUE"""),"着丈（パターン限界値から ±20cmの範囲内で調整すること）")</f>
        <v>着丈（パターン限界値から ±20cmの範囲内で調整すること）</v>
      </c>
      <c r="H17" s="572" t="str">
        <f>IFERROR(__xludf.DUMMYFUNCTION("""COMPUTED_VALUE"""),"-5")</f>
        <v>-5</v>
      </c>
      <c r="I17" s="537"/>
      <c r="J17" s="538">
        <f>IFERROR(__xludf.DUMMYFUNCTION("""COMPUTED_VALUE"""),7.0)</f>
        <v>7</v>
      </c>
      <c r="K17" s="537">
        <f>IFERROR(__xludf.DUMMYFUNCTION("""COMPUTED_VALUE"""),46000.0)</f>
        <v>46000</v>
      </c>
      <c r="L17" s="539">
        <f>IFERROR(__xludf.DUMMYFUNCTION("""COMPUTED_VALUE"""),46003.0)</f>
        <v>46003</v>
      </c>
      <c r="M17" s="540">
        <f>IFERROR(__xludf.DUMMYFUNCTION("""COMPUTED_VALUE"""),46008.0)</f>
        <v>46008</v>
      </c>
      <c r="N17" s="539">
        <f>IFERROR(__xludf.DUMMYFUNCTION("""COMPUTED_VALUE"""),9900.0)</f>
        <v>9900</v>
      </c>
      <c r="O17" s="596">
        <f>IFERROR(__xludf.DUMMYFUNCTION("""COMPUTED_VALUE"""),9000.0)</f>
        <v>9000</v>
      </c>
      <c r="P17" s="597">
        <f>IFERROR(__xludf.DUMMYFUNCTION("""COMPUTED_VALUE"""),6000.0)</f>
        <v>6000</v>
      </c>
      <c r="Q17" s="598"/>
      <c r="R17" s="544"/>
      <c r="S17" s="592"/>
      <c r="T17" s="555"/>
      <c r="U17" s="595">
        <f>IFERROR(__xludf.DUMMYFUNCTION("""COMPUTED_VALUE"""),45297.0)</f>
        <v>45297</v>
      </c>
      <c r="V17" s="544"/>
      <c r="W17" s="544"/>
      <c r="X17" s="544"/>
      <c r="Y17" s="544"/>
      <c r="Z17" s="569"/>
      <c r="AA17" s="569"/>
      <c r="AB17" s="570" t="str">
        <f>IFERROR(__xludf.DUMMYFUNCTION("""COMPUTED_VALUE"""),"織物のような美しい光沢感と発色で、北陸と尾州を旅したラグジュアリージャージー")</f>
        <v>織物のような美しい光沢感と発色で、北陸と尾州を旅したラグジュアリージャージー</v>
      </c>
      <c r="AC17" s="570" t="str">
        <f>IFERROR(__xludf.DUMMYFUNCTION("""COMPUTED_VALUE"""),"W240015~W240016")</f>
        <v>W240015~W240016</v>
      </c>
      <c r="AD17" s="570" t="str">
        <f>IFERROR(__xludf.DUMMYFUNCTION("""COMPUTED_VALUE"""),"出しNG（再製作）ジャケット・スラックス")</f>
        <v>出しNG（再製作）ジャケット・スラックス</v>
      </c>
      <c r="AE17" s="571"/>
      <c r="AF17" s="571"/>
      <c r="AG17" s="571"/>
      <c r="AH17" s="571"/>
      <c r="AI17" s="571"/>
      <c r="AJ17" s="571"/>
      <c r="AK17" s="571"/>
      <c r="AL17" s="571"/>
      <c r="AM17" s="571"/>
    </row>
    <row r="18" hidden="1">
      <c r="A18" s="531" t="str">
        <f>IFERROR(__xludf.DUMMYFUNCTION("""COMPUTED_VALUE"""),"サイズ")</f>
        <v>サイズ</v>
      </c>
      <c r="B18" s="531" t="str">
        <f>IFERROR(__xludf.DUMMYFUNCTION("""COMPUTED_VALUE"""),"アルスターコート")</f>
        <v>アルスターコート</v>
      </c>
      <c r="C18" s="531" t="str">
        <f>IFERROR(__xludf.DUMMYFUNCTION("""COMPUTED_VALUE"""),"着丈")</f>
        <v>着丈</v>
      </c>
      <c r="D18" s="533"/>
      <c r="E18" s="533" t="str">
        <f>IFERROR(__xludf.DUMMYFUNCTION("""COMPUTED_VALUE"""),"パターン限界値から ±20cmの範囲内で調整すること")</f>
        <v>パターン限界値から ±20cmの範囲内で調整すること</v>
      </c>
      <c r="F18" s="534" t="str">
        <f>IFERROR(__xludf.DUMMYFUNCTION("""COMPUTED_VALUE"""),"着丈")</f>
        <v>着丈</v>
      </c>
      <c r="G18" s="533" t="str">
        <f>IFERROR(__xludf.DUMMYFUNCTION("""COMPUTED_VALUE"""),"着丈（パターン限界値から ±20cmの範囲内で調整すること）")</f>
        <v>着丈（パターン限界値から ±20cmの範囲内で調整すること）</v>
      </c>
      <c r="H18" s="572" t="str">
        <f>IFERROR(__xludf.DUMMYFUNCTION("""COMPUTED_VALUE"""),"-4")</f>
        <v>-4</v>
      </c>
      <c r="I18" s="537"/>
      <c r="J18" s="538">
        <f>IFERROR(__xludf.DUMMYFUNCTION("""COMPUTED_VALUE"""),7.0)</f>
        <v>7</v>
      </c>
      <c r="K18" s="537">
        <f>IFERROR(__xludf.DUMMYFUNCTION("""COMPUTED_VALUE"""),46000.0)</f>
        <v>46000</v>
      </c>
      <c r="L18" s="539">
        <f>IFERROR(__xludf.DUMMYFUNCTION("""COMPUTED_VALUE"""),46003.0)</f>
        <v>46003</v>
      </c>
      <c r="M18" s="540">
        <f>IFERROR(__xludf.DUMMYFUNCTION("""COMPUTED_VALUE"""),46008.0)</f>
        <v>46008</v>
      </c>
      <c r="N18" s="539">
        <f>IFERROR(__xludf.DUMMYFUNCTION("""COMPUTED_VALUE"""),9900.0)</f>
        <v>9900</v>
      </c>
      <c r="O18" s="599">
        <f>IFERROR(__xludf.DUMMYFUNCTION("""COMPUTED_VALUE"""),9000.0)</f>
        <v>9000</v>
      </c>
      <c r="P18" s="600">
        <f>IFERROR(__xludf.DUMMYFUNCTION("""COMPUTED_VALUE"""),6000.0)</f>
        <v>6000</v>
      </c>
      <c r="Q18" s="552"/>
      <c r="R18" s="544"/>
      <c r="S18" s="592"/>
      <c r="T18" s="555"/>
      <c r="U18" s="595">
        <f>IFERROR(__xludf.DUMMYFUNCTION("""COMPUTED_VALUE"""),45298.0)</f>
        <v>45298</v>
      </c>
      <c r="V18" s="544"/>
      <c r="W18" s="544"/>
      <c r="X18" s="544"/>
      <c r="Y18" s="544"/>
      <c r="Z18" s="569"/>
      <c r="AA18" s="569"/>
      <c r="AB18" s="570" t="str">
        <f>IFERROR(__xludf.DUMMYFUNCTION("""COMPUTED_VALUE"""),"TECH CORDUROY JERSEY")</f>
        <v>TECH CORDUROY JERSEY</v>
      </c>
      <c r="AC18" s="570" t="str">
        <f>IFERROR(__xludf.DUMMYFUNCTION("""COMPUTED_VALUE"""),"C250070
C250072
C250074")</f>
        <v>C250070
C250072
C250074</v>
      </c>
      <c r="AD18" s="570" t="str">
        <f>IFERROR(__xludf.DUMMYFUNCTION("""COMPUTED_VALUE"""),"出しNG（再製作）ジャケット・スラックス")</f>
        <v>出しNG（再製作）ジャケット・スラックス</v>
      </c>
      <c r="AE18" s="571"/>
      <c r="AF18" s="571"/>
      <c r="AG18" s="571"/>
      <c r="AH18" s="571"/>
      <c r="AI18" s="571"/>
      <c r="AJ18" s="571"/>
      <c r="AK18" s="571"/>
      <c r="AL18" s="571"/>
      <c r="AM18" s="571"/>
    </row>
    <row r="19" hidden="1">
      <c r="A19" s="531" t="str">
        <f>IFERROR(__xludf.DUMMYFUNCTION("""COMPUTED_VALUE"""),"サイズ")</f>
        <v>サイズ</v>
      </c>
      <c r="B19" s="531" t="str">
        <f>IFERROR(__xludf.DUMMYFUNCTION("""COMPUTED_VALUE"""),"アルスターコート")</f>
        <v>アルスターコート</v>
      </c>
      <c r="C19" s="531" t="str">
        <f>IFERROR(__xludf.DUMMYFUNCTION("""COMPUTED_VALUE"""),"着丈")</f>
        <v>着丈</v>
      </c>
      <c r="D19" s="533"/>
      <c r="E19" s="533" t="str">
        <f>IFERROR(__xludf.DUMMYFUNCTION("""COMPUTED_VALUE"""),"パターン限界値から ±20cmの範囲内で調整すること")</f>
        <v>パターン限界値から ±20cmの範囲内で調整すること</v>
      </c>
      <c r="F19" s="534" t="str">
        <f>IFERROR(__xludf.DUMMYFUNCTION("""COMPUTED_VALUE"""),"着丈")</f>
        <v>着丈</v>
      </c>
      <c r="G19" s="533" t="str">
        <f>IFERROR(__xludf.DUMMYFUNCTION("""COMPUTED_VALUE"""),"着丈（パターン限界値から ±20cmの範囲内で調整すること）")</f>
        <v>着丈（パターン限界値から ±20cmの範囲内で調整すること）</v>
      </c>
      <c r="H19" s="572" t="str">
        <f>IFERROR(__xludf.DUMMYFUNCTION("""COMPUTED_VALUE"""),"-3")</f>
        <v>-3</v>
      </c>
      <c r="I19" s="537"/>
      <c r="J19" s="538">
        <f>IFERROR(__xludf.DUMMYFUNCTION("""COMPUTED_VALUE"""),7.0)</f>
        <v>7</v>
      </c>
      <c r="K19" s="537">
        <f>IFERROR(__xludf.DUMMYFUNCTION("""COMPUTED_VALUE"""),46000.0)</f>
        <v>46000</v>
      </c>
      <c r="L19" s="539">
        <f>IFERROR(__xludf.DUMMYFUNCTION("""COMPUTED_VALUE"""),46003.0)</f>
        <v>46003</v>
      </c>
      <c r="M19" s="540">
        <f>IFERROR(__xludf.DUMMYFUNCTION("""COMPUTED_VALUE"""),46008.0)</f>
        <v>46008</v>
      </c>
      <c r="N19" s="539">
        <f>IFERROR(__xludf.DUMMYFUNCTION("""COMPUTED_VALUE"""),9900.0)</f>
        <v>9900</v>
      </c>
      <c r="O19" s="593">
        <f>IFERROR(__xludf.DUMMYFUNCTION("""COMPUTED_VALUE"""),9000.0)</f>
        <v>9000</v>
      </c>
      <c r="P19" s="594">
        <f>IFERROR(__xludf.DUMMYFUNCTION("""COMPUTED_VALUE"""),6000.0)</f>
        <v>6000</v>
      </c>
      <c r="Q19" s="183"/>
      <c r="R19" s="544"/>
      <c r="S19" s="592"/>
      <c r="T19" s="555"/>
      <c r="U19" s="595">
        <f>IFERROR(__xludf.DUMMYFUNCTION("""COMPUTED_VALUE"""),45299.0)</f>
        <v>45299</v>
      </c>
      <c r="V19" s="544"/>
      <c r="W19" s="544"/>
      <c r="X19" s="544"/>
      <c r="Y19" s="544"/>
      <c r="Z19" s="569"/>
      <c r="AA19" s="569"/>
      <c r="AB19" s="569"/>
      <c r="AC19" s="569"/>
      <c r="AD19" s="569"/>
      <c r="AE19" s="601"/>
      <c r="AF19" s="601"/>
      <c r="AG19" s="601"/>
      <c r="AH19" s="601"/>
      <c r="AI19" s="601"/>
      <c r="AJ19" s="601"/>
      <c r="AK19" s="601"/>
      <c r="AL19" s="601"/>
      <c r="AM19" s="601"/>
    </row>
    <row r="20" hidden="1">
      <c r="A20" s="531" t="str">
        <f>IFERROR(__xludf.DUMMYFUNCTION("""COMPUTED_VALUE"""),"サイズ")</f>
        <v>サイズ</v>
      </c>
      <c r="B20" s="531" t="str">
        <f>IFERROR(__xludf.DUMMYFUNCTION("""COMPUTED_VALUE"""),"アルスターコート")</f>
        <v>アルスターコート</v>
      </c>
      <c r="C20" s="531" t="str">
        <f>IFERROR(__xludf.DUMMYFUNCTION("""COMPUTED_VALUE"""),"着丈")</f>
        <v>着丈</v>
      </c>
      <c r="D20" s="533"/>
      <c r="E20" s="533" t="str">
        <f>IFERROR(__xludf.DUMMYFUNCTION("""COMPUTED_VALUE"""),"パターン限界値から ±20cmの範囲内で調整すること")</f>
        <v>パターン限界値から ±20cmの範囲内で調整すること</v>
      </c>
      <c r="F20" s="534" t="str">
        <f>IFERROR(__xludf.DUMMYFUNCTION("""COMPUTED_VALUE"""),"着丈")</f>
        <v>着丈</v>
      </c>
      <c r="G20" s="533" t="str">
        <f>IFERROR(__xludf.DUMMYFUNCTION("""COMPUTED_VALUE"""),"着丈（パターン限界値から ±20cmの範囲内で調整すること）")</f>
        <v>着丈（パターン限界値から ±20cmの範囲内で調整すること）</v>
      </c>
      <c r="H20" s="572" t="str">
        <f>IFERROR(__xludf.DUMMYFUNCTION("""COMPUTED_VALUE"""),"-2")</f>
        <v>-2</v>
      </c>
      <c r="I20" s="537"/>
      <c r="J20" s="538">
        <f>IFERROR(__xludf.DUMMYFUNCTION("""COMPUTED_VALUE"""),7.0)</f>
        <v>7</v>
      </c>
      <c r="K20" s="537">
        <f>IFERROR(__xludf.DUMMYFUNCTION("""COMPUTED_VALUE"""),46000.0)</f>
        <v>46000</v>
      </c>
      <c r="L20" s="539">
        <f>IFERROR(__xludf.DUMMYFUNCTION("""COMPUTED_VALUE"""),46003.0)</f>
        <v>46003</v>
      </c>
      <c r="M20" s="540">
        <f>IFERROR(__xludf.DUMMYFUNCTION("""COMPUTED_VALUE"""),46008.0)</f>
        <v>46008</v>
      </c>
      <c r="N20" s="539">
        <f>IFERROR(__xludf.DUMMYFUNCTION("""COMPUTED_VALUE"""),9900.0)</f>
        <v>9900</v>
      </c>
      <c r="O20" s="602">
        <f>IFERROR(__xludf.DUMMYFUNCTION("""COMPUTED_VALUE"""),9000.0)</f>
        <v>9000</v>
      </c>
      <c r="P20" s="602">
        <f>IFERROR(__xludf.DUMMYFUNCTION("""COMPUTED_VALUE"""),6000.0)</f>
        <v>6000</v>
      </c>
      <c r="Q20" s="552"/>
      <c r="R20" s="544"/>
      <c r="S20" s="592"/>
      <c r="T20" s="555"/>
      <c r="U20" s="595">
        <f>IFERROR(__xludf.DUMMYFUNCTION("""COMPUTED_VALUE"""),45300.0)</f>
        <v>45300</v>
      </c>
      <c r="V20" s="544"/>
      <c r="W20" s="544"/>
      <c r="X20" s="544"/>
      <c r="Y20" s="544"/>
      <c r="Z20" s="569"/>
      <c r="AA20" s="569"/>
      <c r="AB20" s="569"/>
      <c r="AC20" s="569"/>
      <c r="AD20" s="569"/>
      <c r="AE20" s="601"/>
      <c r="AF20" s="601"/>
      <c r="AG20" s="601"/>
      <c r="AH20" s="601"/>
      <c r="AI20" s="601"/>
      <c r="AJ20" s="601"/>
      <c r="AK20" s="601"/>
      <c r="AL20" s="601"/>
      <c r="AM20" s="601"/>
    </row>
    <row r="21" hidden="1">
      <c r="A21" s="531" t="str">
        <f>IFERROR(__xludf.DUMMYFUNCTION("""COMPUTED_VALUE"""),"サイズ")</f>
        <v>サイズ</v>
      </c>
      <c r="B21" s="531" t="str">
        <f>IFERROR(__xludf.DUMMYFUNCTION("""COMPUTED_VALUE"""),"アルスターコート")</f>
        <v>アルスターコート</v>
      </c>
      <c r="C21" s="531" t="str">
        <f>IFERROR(__xludf.DUMMYFUNCTION("""COMPUTED_VALUE"""),"着丈")</f>
        <v>着丈</v>
      </c>
      <c r="D21" s="550"/>
      <c r="E21" s="533" t="str">
        <f>IFERROR(__xludf.DUMMYFUNCTION("""COMPUTED_VALUE"""),"パターン限界値から ±20cmの範囲内で調整すること")</f>
        <v>パターン限界値から ±20cmの範囲内で調整すること</v>
      </c>
      <c r="F21" s="534" t="str">
        <f>IFERROR(__xludf.DUMMYFUNCTION("""COMPUTED_VALUE"""),"着丈")</f>
        <v>着丈</v>
      </c>
      <c r="G21" s="550" t="str">
        <f>IFERROR(__xludf.DUMMYFUNCTION("""COMPUTED_VALUE"""),"着丈（パターン限界値から ±20cmの範囲内で調整すること）")</f>
        <v>着丈（パターン限界値から ±20cmの範囲内で調整すること）</v>
      </c>
      <c r="H21" s="551" t="str">
        <f>IFERROR(__xludf.DUMMYFUNCTION("""COMPUTED_VALUE"""),"-1")</f>
        <v>-1</v>
      </c>
      <c r="I21" s="551"/>
      <c r="J21" s="551">
        <f>IFERROR(__xludf.DUMMYFUNCTION("""COMPUTED_VALUE"""),7.0)</f>
        <v>7</v>
      </c>
      <c r="K21" s="551">
        <f>IFERROR(__xludf.DUMMYFUNCTION("""COMPUTED_VALUE"""),46000.0)</f>
        <v>46000</v>
      </c>
      <c r="L21" s="551">
        <f>IFERROR(__xludf.DUMMYFUNCTION("""COMPUTED_VALUE"""),46003.0)</f>
        <v>46003</v>
      </c>
      <c r="M21" s="551">
        <f>IFERROR(__xludf.DUMMYFUNCTION("""COMPUTED_VALUE"""),46008.0)</f>
        <v>46008</v>
      </c>
      <c r="N21" s="539">
        <f>IFERROR(__xludf.DUMMYFUNCTION("""COMPUTED_VALUE"""),9900.0)</f>
        <v>9900</v>
      </c>
      <c r="O21" s="599">
        <f>IFERROR(__xludf.DUMMYFUNCTION("""COMPUTED_VALUE"""),9000.0)</f>
        <v>9000</v>
      </c>
      <c r="P21" s="600">
        <f>IFERROR(__xludf.DUMMYFUNCTION("""COMPUTED_VALUE"""),6000.0)</f>
        <v>6000</v>
      </c>
      <c r="Q21" s="183"/>
      <c r="R21" s="544"/>
      <c r="S21" s="592"/>
      <c r="T21" s="555"/>
      <c r="U21" s="595">
        <f>IFERROR(__xludf.DUMMYFUNCTION("""COMPUTED_VALUE"""),45301.0)</f>
        <v>45301</v>
      </c>
      <c r="V21" s="544"/>
      <c r="W21" s="544"/>
      <c r="X21" s="544"/>
      <c r="Y21" s="544"/>
      <c r="Z21" s="569"/>
      <c r="AA21" s="569"/>
      <c r="AB21" s="569"/>
      <c r="AC21" s="569"/>
      <c r="AD21" s="569"/>
      <c r="AE21" s="601"/>
      <c r="AF21" s="601"/>
      <c r="AG21" s="601"/>
      <c r="AH21" s="601"/>
      <c r="AI21" s="601"/>
      <c r="AJ21" s="601"/>
      <c r="AK21" s="601"/>
      <c r="AL21" s="601"/>
      <c r="AM21" s="601"/>
    </row>
    <row r="22" hidden="1">
      <c r="A22" s="531" t="str">
        <f>IFERROR(__xludf.DUMMYFUNCTION("""COMPUTED_VALUE"""),"サイズ - ウィメンズ")</f>
        <v>サイズ - ウィメンズ</v>
      </c>
      <c r="B22" s="531" t="str">
        <f>IFERROR(__xludf.DUMMYFUNCTION("""COMPUTED_VALUE"""),"ジャケット / ジャコット")</f>
        <v>ジャケット / ジャコット</v>
      </c>
      <c r="C22" s="531" t="str">
        <f>IFERROR(__xludf.DUMMYFUNCTION("""COMPUTED_VALUE"""),"仕上げプレス")</f>
        <v>仕上げプレス</v>
      </c>
      <c r="D22" s="550"/>
      <c r="E22" s="533"/>
      <c r="F22" s="534" t="str">
        <f>IFERROR(__xludf.DUMMYFUNCTION("""COMPUTED_VALUE"""),"仕上げプレス")</f>
        <v>仕上げプレス</v>
      </c>
      <c r="G22" s="550" t="str">
        <f>IFERROR(__xludf.DUMMYFUNCTION("""COMPUTED_VALUE"""),"仕上げプレス")</f>
        <v>仕上げプレス</v>
      </c>
      <c r="H22" s="551"/>
      <c r="I22" s="551" t="str">
        <f>IFERROR(__xludf.DUMMYFUNCTION("""COMPUTED_VALUE"""),"店舗/CS")</f>
        <v>店舗/CS</v>
      </c>
      <c r="J22" s="551"/>
      <c r="K22" s="551"/>
      <c r="L22" s="551"/>
      <c r="M22" s="551"/>
      <c r="N22" s="539">
        <f>IFERROR(__xludf.DUMMYFUNCTION("""COMPUTED_VALUE"""),580.0)</f>
        <v>580</v>
      </c>
      <c r="O22" s="599">
        <f>IFERROR(__xludf.DUMMYFUNCTION("""COMPUTED_VALUE"""),527.0)</f>
        <v>527</v>
      </c>
      <c r="P22" s="600">
        <f>IFERROR(__xludf.DUMMYFUNCTION("""COMPUTED_VALUE"""),350.0)</f>
        <v>350</v>
      </c>
      <c r="Q22" s="183"/>
      <c r="R22" s="544"/>
      <c r="S22" s="592"/>
      <c r="T22" s="555"/>
      <c r="U22" s="595">
        <f>IFERROR(__xludf.DUMMYFUNCTION("""COMPUTED_VALUE"""),45488.0)</f>
        <v>45488</v>
      </c>
      <c r="V22" s="544"/>
      <c r="W22" s="544"/>
      <c r="X22" s="544"/>
      <c r="Y22" s="544"/>
      <c r="Z22" s="569"/>
      <c r="AA22" s="569"/>
      <c r="AB22" s="569" t="str">
        <f>IFERROR(__xludf.DUMMYFUNCTION("""COMPUTED_VALUE"""),"White Friday　一覧")</f>
        <v>White Friday　一覧</v>
      </c>
      <c r="AC22" s="569"/>
      <c r="AD22" s="569"/>
      <c r="AE22" s="601"/>
      <c r="AF22" s="601"/>
      <c r="AG22" s="601"/>
      <c r="AH22" s="601"/>
      <c r="AI22" s="601"/>
      <c r="AJ22" s="601"/>
      <c r="AK22" s="601"/>
      <c r="AL22" s="601"/>
      <c r="AM22" s="601"/>
    </row>
    <row r="23" hidden="1">
      <c r="A23" s="531" t="str">
        <f>IFERROR(__xludf.DUMMYFUNCTION("""COMPUTED_VALUE"""),"サイズ")</f>
        <v>サイズ</v>
      </c>
      <c r="B23" s="531" t="str">
        <f>IFERROR(__xludf.DUMMYFUNCTION("""COMPUTED_VALUE"""),"ジャケット / ジャコット")</f>
        <v>ジャケット / ジャコット</v>
      </c>
      <c r="C23" s="531" t="str">
        <f>IFERROR(__xludf.DUMMYFUNCTION("""COMPUTED_VALUE"""),"仕上げプレス")</f>
        <v>仕上げプレス</v>
      </c>
      <c r="D23" s="550"/>
      <c r="E23" s="533"/>
      <c r="F23" s="534" t="str">
        <f>IFERROR(__xludf.DUMMYFUNCTION("""COMPUTED_VALUE"""),"仕上げプレス")</f>
        <v>仕上げプレス</v>
      </c>
      <c r="G23" s="550" t="str">
        <f>IFERROR(__xludf.DUMMYFUNCTION("""COMPUTED_VALUE"""),"仕上げプレス")</f>
        <v>仕上げプレス</v>
      </c>
      <c r="H23" s="536"/>
      <c r="I23" s="537" t="str">
        <f>IFERROR(__xludf.DUMMYFUNCTION("""COMPUTED_VALUE"""),"店舗/CS")</f>
        <v>店舗/CS</v>
      </c>
      <c r="J23" s="538"/>
      <c r="K23" s="538"/>
      <c r="L23" s="539"/>
      <c r="M23" s="540"/>
      <c r="N23" s="539">
        <f>IFERROR(__xludf.DUMMYFUNCTION("""COMPUTED_VALUE"""),580.0)</f>
        <v>580</v>
      </c>
      <c r="O23" s="599">
        <f>IFERROR(__xludf.DUMMYFUNCTION("""COMPUTED_VALUE"""),527.0)</f>
        <v>527</v>
      </c>
      <c r="P23" s="600">
        <f>IFERROR(__xludf.DUMMYFUNCTION("""COMPUTED_VALUE"""),350.0)</f>
        <v>350</v>
      </c>
      <c r="Q23" s="183"/>
      <c r="R23" s="544"/>
      <c r="S23" s="592"/>
      <c r="T23" s="544"/>
      <c r="U23" s="583">
        <f>IFERROR(__xludf.DUMMYFUNCTION("""COMPUTED_VALUE"""),45512.0)</f>
        <v>45512</v>
      </c>
      <c r="V23" s="555"/>
      <c r="W23" s="555"/>
      <c r="X23" s="555"/>
      <c r="Y23" s="544"/>
      <c r="Z23" s="603"/>
      <c r="AA23" s="569"/>
      <c r="AB23" s="569" t="str">
        <f>IFERROR(__xludf.DUMMYFUNCTION("""COMPUTED_VALUE"""),"White Friday　一覧")</f>
        <v>White Friday　一覧</v>
      </c>
      <c r="AC23" s="569"/>
      <c r="AD23" s="569"/>
      <c r="AE23" s="601"/>
      <c r="AF23" s="601"/>
      <c r="AG23" s="601"/>
      <c r="AH23" s="601"/>
      <c r="AI23" s="601"/>
      <c r="AJ23" s="601"/>
      <c r="AK23" s="601"/>
      <c r="AL23" s="601"/>
      <c r="AM23" s="601"/>
    </row>
    <row r="24" hidden="1">
      <c r="A24" s="531" t="str">
        <f>IFERROR(__xludf.DUMMYFUNCTION("""COMPUTED_VALUE"""),"縫製")</f>
        <v>縫製</v>
      </c>
      <c r="B24" s="531" t="str">
        <f>IFERROR(__xludf.DUMMYFUNCTION("""COMPUTED_VALUE"""),"ジャケット / ジャコット")</f>
        <v>ジャケット / ジャコット</v>
      </c>
      <c r="C24" s="531" t="str">
        <f>IFERROR(__xludf.DUMMYFUNCTION("""COMPUTED_VALUE"""),"仕上げプレス")</f>
        <v>仕上げプレス</v>
      </c>
      <c r="D24" s="550"/>
      <c r="E24" s="533"/>
      <c r="F24" s="534" t="str">
        <f>IFERROR(__xludf.DUMMYFUNCTION("""COMPUTED_VALUE"""),"仕上げプレス")</f>
        <v>仕上げプレス</v>
      </c>
      <c r="G24" s="550" t="str">
        <f>IFERROR(__xludf.DUMMYFUNCTION("""COMPUTED_VALUE"""),"仕上げプレス")</f>
        <v>仕上げプレス</v>
      </c>
      <c r="H24" s="536"/>
      <c r="I24" s="537" t="str">
        <f>IFERROR(__xludf.DUMMYFUNCTION("""COMPUTED_VALUE"""),"店舗/CS")</f>
        <v>店舗/CS</v>
      </c>
      <c r="J24" s="538"/>
      <c r="K24" s="538"/>
      <c r="L24" s="539"/>
      <c r="M24" s="540"/>
      <c r="N24" s="539">
        <f>IFERROR(__xludf.DUMMYFUNCTION("""COMPUTED_VALUE"""),770.0)</f>
        <v>770</v>
      </c>
      <c r="O24" s="599">
        <f>IFERROR(__xludf.DUMMYFUNCTION("""COMPUTED_VALUE"""),700.0)</f>
        <v>700</v>
      </c>
      <c r="P24" s="600">
        <f>IFERROR(__xludf.DUMMYFUNCTION("""COMPUTED_VALUE"""),350.0)</f>
        <v>350</v>
      </c>
      <c r="Q24" s="183"/>
      <c r="R24" s="544"/>
      <c r="S24" s="604"/>
      <c r="T24" s="544"/>
      <c r="U24" s="583">
        <f>IFERROR(__xludf.DUMMYFUNCTION("""COMPUTED_VALUE"""),45513.0)</f>
        <v>45513</v>
      </c>
      <c r="V24" s="555"/>
      <c r="W24" s="555"/>
      <c r="X24" s="555"/>
      <c r="Y24" s="544"/>
      <c r="Z24" s="605"/>
      <c r="AA24" s="569"/>
      <c r="AB24" s="570" t="str">
        <f>IFERROR(__xludf.DUMMYFUNCTION("""COMPUTED_VALUE"""),"なめらかで極細の糸から創り上げた、着心地抜群のストレッチ新素材")</f>
        <v>なめらかで極細の糸から創り上げた、着心地抜群のストレッチ新素材</v>
      </c>
      <c r="AC24" s="570" t="str">
        <f>IFERROR(__xludf.DUMMYFUNCTION("""COMPUTED_VALUE"""),"W240001")</f>
        <v>W240001</v>
      </c>
      <c r="AD24" s="570" t="str">
        <f>IFERROR(__xludf.DUMMYFUNCTION("""COMPUTED_VALUE"""),"出しNG（再製作）ジャケット・スラックス")</f>
        <v>出しNG（再製作）ジャケット・スラックス</v>
      </c>
      <c r="AE24" s="571"/>
      <c r="AF24" s="571"/>
      <c r="AG24" s="571"/>
      <c r="AH24" s="571"/>
      <c r="AI24" s="571"/>
      <c r="AJ24" s="571"/>
      <c r="AK24" s="571"/>
      <c r="AL24" s="571"/>
      <c r="AM24" s="571"/>
    </row>
    <row r="25" hidden="1">
      <c r="A25" s="531" t="str">
        <f>IFERROR(__xludf.DUMMYFUNCTION("""COMPUTED_VALUE"""),"サイズ")</f>
        <v>サイズ</v>
      </c>
      <c r="B25" s="531" t="str">
        <f>IFERROR(__xludf.DUMMYFUNCTION("""COMPUTED_VALUE"""),"ジャケット / ジャコット")</f>
        <v>ジャケット / ジャコット</v>
      </c>
      <c r="C25" s="531" t="str">
        <f>IFERROR(__xludf.DUMMYFUNCTION("""COMPUTED_VALUE"""),"肩巾")</f>
        <v>肩巾</v>
      </c>
      <c r="D25" s="550"/>
      <c r="E25" s="533"/>
      <c r="F25" s="534" t="str">
        <f>IFERROR(__xludf.DUMMYFUNCTION("""COMPUTED_VALUE"""),"肩巾")</f>
        <v>肩巾</v>
      </c>
      <c r="G25" s="550" t="str">
        <f>IFERROR(__xludf.DUMMYFUNCTION("""COMPUTED_VALUE"""),"肩巾")</f>
        <v>肩巾</v>
      </c>
      <c r="H25" s="572" t="str">
        <f>IFERROR(__xludf.DUMMYFUNCTION("""COMPUTED_VALUE"""),"-3")</f>
        <v>-3</v>
      </c>
      <c r="I25" s="537"/>
      <c r="J25" s="538">
        <f>IFERROR(__xludf.DUMMYFUNCTION("""COMPUTED_VALUE"""),7.0)</f>
        <v>7</v>
      </c>
      <c r="K25" s="537">
        <f>IFERROR(__xludf.DUMMYFUNCTION("""COMPUTED_VALUE"""),46000.0)</f>
        <v>46000</v>
      </c>
      <c r="L25" s="539">
        <f>IFERROR(__xludf.DUMMYFUNCTION("""COMPUTED_VALUE"""),46003.0)</f>
        <v>46003</v>
      </c>
      <c r="M25" s="540">
        <f>IFERROR(__xludf.DUMMYFUNCTION("""COMPUTED_VALUE"""),46008.0)</f>
        <v>46008</v>
      </c>
      <c r="N25" s="539">
        <f>IFERROR(__xludf.DUMMYFUNCTION("""COMPUTED_VALUE"""),5780.0)</f>
        <v>5780</v>
      </c>
      <c r="O25" s="599">
        <f>IFERROR(__xludf.DUMMYFUNCTION("""COMPUTED_VALUE"""),5250.0)</f>
        <v>5250</v>
      </c>
      <c r="P25" s="600">
        <f>IFERROR(__xludf.DUMMYFUNCTION("""COMPUTED_VALUE"""),3500.0)</f>
        <v>3500</v>
      </c>
      <c r="Q25" s="183"/>
      <c r="R25" s="544"/>
      <c r="S25" s="604"/>
      <c r="T25" s="544"/>
      <c r="U25" s="583">
        <f>IFERROR(__xludf.DUMMYFUNCTION("""COMPUTED_VALUE"""),45516.0)</f>
        <v>45516</v>
      </c>
      <c r="V25" s="555"/>
      <c r="W25" s="555"/>
      <c r="X25" s="555"/>
      <c r="Y25" s="544"/>
      <c r="Z25" s="605"/>
      <c r="AA25" s="569"/>
      <c r="AB25" s="570" t="str">
        <f>IFERROR(__xludf.DUMMYFUNCTION("""COMPUTED_VALUE"""),"なめらかで極細の糸から創り上げた、着心地抜群のストレッチ新素材")</f>
        <v>なめらかで極細の糸から創り上げた、着心地抜群のストレッチ新素材</v>
      </c>
      <c r="AC25" s="570" t="str">
        <f>IFERROR(__xludf.DUMMYFUNCTION("""COMPUTED_VALUE"""),"W240002")</f>
        <v>W240002</v>
      </c>
      <c r="AD25" s="570" t="str">
        <f>IFERROR(__xludf.DUMMYFUNCTION("""COMPUTED_VALUE"""),"出しNG（再製作）ジャケット・スラックス")</f>
        <v>出しNG（再製作）ジャケット・スラックス</v>
      </c>
      <c r="AE25" s="571"/>
      <c r="AF25" s="571"/>
      <c r="AG25" s="571"/>
      <c r="AH25" s="571"/>
      <c r="AI25" s="571"/>
      <c r="AJ25" s="571"/>
      <c r="AK25" s="571"/>
      <c r="AL25" s="571"/>
      <c r="AM25" s="571"/>
    </row>
    <row r="26" hidden="1">
      <c r="A26" s="531" t="str">
        <f>IFERROR(__xludf.DUMMYFUNCTION("""COMPUTED_VALUE"""),"サイズ")</f>
        <v>サイズ</v>
      </c>
      <c r="B26" s="531" t="str">
        <f>IFERROR(__xludf.DUMMYFUNCTION("""COMPUTED_VALUE"""),"ジャケット / ジャコット")</f>
        <v>ジャケット / ジャコット</v>
      </c>
      <c r="C26" s="531" t="str">
        <f>IFERROR(__xludf.DUMMYFUNCTION("""COMPUTED_VALUE"""),"肩巾")</f>
        <v>肩巾</v>
      </c>
      <c r="D26" s="550"/>
      <c r="E26" s="533"/>
      <c r="F26" s="534" t="str">
        <f>IFERROR(__xludf.DUMMYFUNCTION("""COMPUTED_VALUE"""),"肩巾")</f>
        <v>肩巾</v>
      </c>
      <c r="G26" s="550" t="str">
        <f>IFERROR(__xludf.DUMMYFUNCTION("""COMPUTED_VALUE"""),"肩巾")</f>
        <v>肩巾</v>
      </c>
      <c r="H26" s="572" t="str">
        <f>IFERROR(__xludf.DUMMYFUNCTION("""COMPUTED_VALUE"""),"-2.5")</f>
        <v>-2.5</v>
      </c>
      <c r="I26" s="537"/>
      <c r="J26" s="538">
        <f>IFERROR(__xludf.DUMMYFUNCTION("""COMPUTED_VALUE"""),7.0)</f>
        <v>7</v>
      </c>
      <c r="K26" s="537">
        <f>IFERROR(__xludf.DUMMYFUNCTION("""COMPUTED_VALUE"""),46000.0)</f>
        <v>46000</v>
      </c>
      <c r="L26" s="539">
        <f>IFERROR(__xludf.DUMMYFUNCTION("""COMPUTED_VALUE"""),46003.0)</f>
        <v>46003</v>
      </c>
      <c r="M26" s="540">
        <f>IFERROR(__xludf.DUMMYFUNCTION("""COMPUTED_VALUE"""),46008.0)</f>
        <v>46008</v>
      </c>
      <c r="N26" s="539">
        <f>IFERROR(__xludf.DUMMYFUNCTION("""COMPUTED_VALUE"""),5780.0)</f>
        <v>5780</v>
      </c>
      <c r="O26" s="599">
        <f>IFERROR(__xludf.DUMMYFUNCTION("""COMPUTED_VALUE"""),5250.0)</f>
        <v>5250</v>
      </c>
      <c r="P26" s="600">
        <f>IFERROR(__xludf.DUMMYFUNCTION("""COMPUTED_VALUE"""),3500.0)</f>
        <v>3500</v>
      </c>
      <c r="Q26" s="183"/>
      <c r="R26" s="544"/>
      <c r="S26" s="604"/>
      <c r="T26" s="544"/>
      <c r="U26" s="583">
        <f>IFERROR(__xludf.DUMMYFUNCTION("""COMPUTED_VALUE"""),45517.0)</f>
        <v>45517</v>
      </c>
      <c r="V26" s="555"/>
      <c r="W26" s="555"/>
      <c r="X26" s="555"/>
      <c r="Y26" s="544"/>
      <c r="Z26" s="605"/>
      <c r="AA26" s="569"/>
      <c r="AB26" s="570" t="str">
        <f>IFERROR(__xludf.DUMMYFUNCTION("""COMPUTED_VALUE"""),"なめらかで極細の糸から創り上げた、着心地抜群のストレッチ新素材")</f>
        <v>なめらかで極細の糸から創り上げた、着心地抜群のストレッチ新素材</v>
      </c>
      <c r="AC26" s="570" t="str">
        <f>IFERROR(__xludf.DUMMYFUNCTION("""COMPUTED_VALUE"""),"W240003")</f>
        <v>W240003</v>
      </c>
      <c r="AD26" s="570" t="str">
        <f>IFERROR(__xludf.DUMMYFUNCTION("""COMPUTED_VALUE"""),"出しNG（再製作）ジャケット・スラックス")</f>
        <v>出しNG（再製作）ジャケット・スラックス</v>
      </c>
      <c r="AE26" s="571"/>
      <c r="AF26" s="571"/>
      <c r="AG26" s="571"/>
      <c r="AH26" s="571"/>
      <c r="AI26" s="571"/>
      <c r="AJ26" s="571"/>
      <c r="AK26" s="571"/>
      <c r="AL26" s="571"/>
      <c r="AM26" s="571"/>
    </row>
    <row r="27" hidden="1">
      <c r="A27" s="531" t="str">
        <f>IFERROR(__xludf.DUMMYFUNCTION("""COMPUTED_VALUE"""),"サイズ")</f>
        <v>サイズ</v>
      </c>
      <c r="B27" s="531" t="str">
        <f>IFERROR(__xludf.DUMMYFUNCTION("""COMPUTED_VALUE"""),"ジャケット / ジャコット")</f>
        <v>ジャケット / ジャコット</v>
      </c>
      <c r="C27" s="531" t="str">
        <f>IFERROR(__xludf.DUMMYFUNCTION("""COMPUTED_VALUE"""),"肩巾")</f>
        <v>肩巾</v>
      </c>
      <c r="D27" s="550"/>
      <c r="E27" s="533"/>
      <c r="F27" s="534" t="str">
        <f>IFERROR(__xludf.DUMMYFUNCTION("""COMPUTED_VALUE"""),"肩巾")</f>
        <v>肩巾</v>
      </c>
      <c r="G27" s="550" t="str">
        <f>IFERROR(__xludf.DUMMYFUNCTION("""COMPUTED_VALUE"""),"肩巾")</f>
        <v>肩巾</v>
      </c>
      <c r="H27" s="572" t="str">
        <f>IFERROR(__xludf.DUMMYFUNCTION("""COMPUTED_VALUE"""),"-2")</f>
        <v>-2</v>
      </c>
      <c r="I27" s="537"/>
      <c r="J27" s="538">
        <f>IFERROR(__xludf.DUMMYFUNCTION("""COMPUTED_VALUE"""),7.0)</f>
        <v>7</v>
      </c>
      <c r="K27" s="537">
        <f>IFERROR(__xludf.DUMMYFUNCTION("""COMPUTED_VALUE"""),46000.0)</f>
        <v>46000</v>
      </c>
      <c r="L27" s="539">
        <f>IFERROR(__xludf.DUMMYFUNCTION("""COMPUTED_VALUE"""),46003.0)</f>
        <v>46003</v>
      </c>
      <c r="M27" s="540">
        <f>IFERROR(__xludf.DUMMYFUNCTION("""COMPUTED_VALUE"""),46008.0)</f>
        <v>46008</v>
      </c>
      <c r="N27" s="539">
        <f>IFERROR(__xludf.DUMMYFUNCTION("""COMPUTED_VALUE"""),5780.0)</f>
        <v>5780</v>
      </c>
      <c r="O27" s="599">
        <f>IFERROR(__xludf.DUMMYFUNCTION("""COMPUTED_VALUE"""),5250.0)</f>
        <v>5250</v>
      </c>
      <c r="P27" s="600">
        <f>IFERROR(__xludf.DUMMYFUNCTION("""COMPUTED_VALUE"""),3500.0)</f>
        <v>3500</v>
      </c>
      <c r="Q27" s="183"/>
      <c r="R27" s="544"/>
      <c r="S27" s="604"/>
      <c r="T27" s="544"/>
      <c r="U27" s="583">
        <f>IFERROR(__xludf.DUMMYFUNCTION("""COMPUTED_VALUE"""),45518.0)</f>
        <v>45518</v>
      </c>
      <c r="V27" s="555"/>
      <c r="W27" s="555"/>
      <c r="X27" s="555"/>
      <c r="Y27" s="544"/>
      <c r="Z27" s="605"/>
      <c r="AA27" s="569"/>
      <c r="AB27" s="569" t="str">
        <f>IFERROR(__xludf.DUMMYFUNCTION("""COMPUTED_VALUE"""),"史上最軽量、KAJIFの技術が詰まったリサイクルファブリック")</f>
        <v>史上最軽量、KAJIFの技術が詰まったリサイクルファブリック</v>
      </c>
      <c r="AC27" s="569" t="str">
        <f>IFERROR(__xludf.DUMMYFUNCTION("""COMPUTED_VALUE"""),"W240004")</f>
        <v>W240004</v>
      </c>
      <c r="AD27" s="569" t="str">
        <f>IFERROR(__xludf.DUMMYFUNCTION("""COMPUTED_VALUE"""),"問題なし")</f>
        <v>問題なし</v>
      </c>
      <c r="AE27" s="601"/>
      <c r="AF27" s="601"/>
      <c r="AG27" s="601"/>
      <c r="AH27" s="601"/>
      <c r="AI27" s="601"/>
      <c r="AJ27" s="601"/>
      <c r="AK27" s="601"/>
      <c r="AL27" s="601"/>
      <c r="AM27" s="601"/>
    </row>
    <row r="28" hidden="1">
      <c r="A28" s="531" t="str">
        <f>IFERROR(__xludf.DUMMYFUNCTION("""COMPUTED_VALUE"""),"サイズ")</f>
        <v>サイズ</v>
      </c>
      <c r="B28" s="531" t="str">
        <f>IFERROR(__xludf.DUMMYFUNCTION("""COMPUTED_VALUE"""),"ジャケット / ジャコット")</f>
        <v>ジャケット / ジャコット</v>
      </c>
      <c r="C28" s="531" t="str">
        <f>IFERROR(__xludf.DUMMYFUNCTION("""COMPUTED_VALUE"""),"肩巾")</f>
        <v>肩巾</v>
      </c>
      <c r="D28" s="550"/>
      <c r="E28" s="533"/>
      <c r="F28" s="534" t="str">
        <f>IFERROR(__xludf.DUMMYFUNCTION("""COMPUTED_VALUE"""),"肩巾")</f>
        <v>肩巾</v>
      </c>
      <c r="G28" s="550" t="str">
        <f>IFERROR(__xludf.DUMMYFUNCTION("""COMPUTED_VALUE"""),"肩巾")</f>
        <v>肩巾</v>
      </c>
      <c r="H28" s="572" t="str">
        <f>IFERROR(__xludf.DUMMYFUNCTION("""COMPUTED_VALUE"""),"-1.5")</f>
        <v>-1.5</v>
      </c>
      <c r="I28" s="537"/>
      <c r="J28" s="538">
        <f>IFERROR(__xludf.DUMMYFUNCTION("""COMPUTED_VALUE"""),7.0)</f>
        <v>7</v>
      </c>
      <c r="K28" s="537">
        <f>IFERROR(__xludf.DUMMYFUNCTION("""COMPUTED_VALUE"""),46000.0)</f>
        <v>46000</v>
      </c>
      <c r="L28" s="539">
        <f>IFERROR(__xludf.DUMMYFUNCTION("""COMPUTED_VALUE"""),46003.0)</f>
        <v>46003</v>
      </c>
      <c r="M28" s="540">
        <f>IFERROR(__xludf.DUMMYFUNCTION("""COMPUTED_VALUE"""),46008.0)</f>
        <v>46008</v>
      </c>
      <c r="N28" s="539">
        <f>IFERROR(__xludf.DUMMYFUNCTION("""COMPUTED_VALUE"""),5780.0)</f>
        <v>5780</v>
      </c>
      <c r="O28" s="599">
        <f>IFERROR(__xludf.DUMMYFUNCTION("""COMPUTED_VALUE"""),5250.0)</f>
        <v>5250</v>
      </c>
      <c r="P28" s="600">
        <f>IFERROR(__xludf.DUMMYFUNCTION("""COMPUTED_VALUE"""),3500.0)</f>
        <v>3500</v>
      </c>
      <c r="Q28" s="183"/>
      <c r="R28" s="544"/>
      <c r="S28" s="604"/>
      <c r="T28" s="544"/>
      <c r="U28" s="595">
        <f>IFERROR(__xludf.DUMMYFUNCTION("""COMPUTED_VALUE"""),45519.0)</f>
        <v>45519</v>
      </c>
      <c r="V28" s="544"/>
      <c r="W28" s="544"/>
      <c r="X28" s="544"/>
      <c r="Y28" s="544"/>
      <c r="Z28" s="605"/>
      <c r="AA28" s="569"/>
      <c r="AB28" s="569" t="str">
        <f>IFERROR(__xludf.DUMMYFUNCTION("""COMPUTED_VALUE"""),"史上最軽量、KAJIFの技術が詰まったリサイクルファブリック")</f>
        <v>史上最軽量、KAJIFの技術が詰まったリサイクルファブリック</v>
      </c>
      <c r="AC28" s="569" t="str">
        <f>IFERROR(__xludf.DUMMYFUNCTION("""COMPUTED_VALUE"""),"W240005")</f>
        <v>W240005</v>
      </c>
      <c r="AD28" s="569" t="str">
        <f>IFERROR(__xludf.DUMMYFUNCTION("""COMPUTED_VALUE"""),"問題なし")</f>
        <v>問題なし</v>
      </c>
      <c r="AE28" s="601"/>
      <c r="AF28" s="601"/>
      <c r="AG28" s="601"/>
      <c r="AH28" s="601"/>
      <c r="AI28" s="601"/>
      <c r="AJ28" s="601"/>
      <c r="AK28" s="601"/>
      <c r="AL28" s="601"/>
      <c r="AM28" s="601"/>
    </row>
    <row r="29" hidden="1">
      <c r="A29" s="531" t="str">
        <f>IFERROR(__xludf.DUMMYFUNCTION("""COMPUTED_VALUE"""),"サイズ")</f>
        <v>サイズ</v>
      </c>
      <c r="B29" s="531" t="str">
        <f>IFERROR(__xludf.DUMMYFUNCTION("""COMPUTED_VALUE"""),"ジャケット / ジャコット")</f>
        <v>ジャケット / ジャコット</v>
      </c>
      <c r="C29" s="531" t="str">
        <f>IFERROR(__xludf.DUMMYFUNCTION("""COMPUTED_VALUE"""),"肩巾")</f>
        <v>肩巾</v>
      </c>
      <c r="D29" s="550"/>
      <c r="E29" s="533"/>
      <c r="F29" s="534" t="str">
        <f>IFERROR(__xludf.DUMMYFUNCTION("""COMPUTED_VALUE"""),"肩巾")</f>
        <v>肩巾</v>
      </c>
      <c r="G29" s="550" t="str">
        <f>IFERROR(__xludf.DUMMYFUNCTION("""COMPUTED_VALUE"""),"肩巾")</f>
        <v>肩巾</v>
      </c>
      <c r="H29" s="572" t="str">
        <f>IFERROR(__xludf.DUMMYFUNCTION("""COMPUTED_VALUE"""),"-1")</f>
        <v>-1</v>
      </c>
      <c r="I29" s="537"/>
      <c r="J29" s="538">
        <f>IFERROR(__xludf.DUMMYFUNCTION("""COMPUTED_VALUE"""),7.0)</f>
        <v>7</v>
      </c>
      <c r="K29" s="537">
        <f>IFERROR(__xludf.DUMMYFUNCTION("""COMPUTED_VALUE"""),46000.0)</f>
        <v>46000</v>
      </c>
      <c r="L29" s="539">
        <f>IFERROR(__xludf.DUMMYFUNCTION("""COMPUTED_VALUE"""),46003.0)</f>
        <v>46003</v>
      </c>
      <c r="M29" s="540">
        <f>IFERROR(__xludf.DUMMYFUNCTION("""COMPUTED_VALUE"""),46008.0)</f>
        <v>46008</v>
      </c>
      <c r="N29" s="539">
        <f>IFERROR(__xludf.DUMMYFUNCTION("""COMPUTED_VALUE"""),5780.0)</f>
        <v>5780</v>
      </c>
      <c r="O29" s="599">
        <f>IFERROR(__xludf.DUMMYFUNCTION("""COMPUTED_VALUE"""),5250.0)</f>
        <v>5250</v>
      </c>
      <c r="P29" s="600">
        <f>IFERROR(__xludf.DUMMYFUNCTION("""COMPUTED_VALUE"""),3500.0)</f>
        <v>3500</v>
      </c>
      <c r="Q29" s="183"/>
      <c r="R29" s="544"/>
      <c r="S29" s="604"/>
      <c r="T29" s="544"/>
      <c r="U29" s="595">
        <f>IFERROR(__xludf.DUMMYFUNCTION("""COMPUTED_VALUE"""),45520.0)</f>
        <v>45520</v>
      </c>
      <c r="V29" s="544"/>
      <c r="W29" s="544"/>
      <c r="X29" s="544"/>
      <c r="Y29" s="544"/>
      <c r="Z29" s="605"/>
      <c r="AA29" s="569"/>
      <c r="AB29" s="569" t="str">
        <f>IFERROR(__xludf.DUMMYFUNCTION("""COMPUTED_VALUE"""),"史上最軽量、KAJIFの技術が詰まったリサイクルファブリック")</f>
        <v>史上最軽量、KAJIFの技術が詰まったリサイクルファブリック</v>
      </c>
      <c r="AC29" s="569" t="str">
        <f>IFERROR(__xludf.DUMMYFUNCTION("""COMPUTED_VALUE"""),"W240006")</f>
        <v>W240006</v>
      </c>
      <c r="AD29" s="569" t="str">
        <f>IFERROR(__xludf.DUMMYFUNCTION("""COMPUTED_VALUE"""),"問題なし")</f>
        <v>問題なし</v>
      </c>
      <c r="AE29" s="601"/>
      <c r="AF29" s="601"/>
      <c r="AG29" s="601"/>
      <c r="AH29" s="601"/>
      <c r="AI29" s="601"/>
      <c r="AJ29" s="601"/>
      <c r="AK29" s="601"/>
      <c r="AL29" s="601"/>
      <c r="AM29" s="601"/>
    </row>
    <row r="30" hidden="1">
      <c r="A30" s="531" t="str">
        <f>IFERROR(__xludf.DUMMYFUNCTION("""COMPUTED_VALUE"""),"サイズ")</f>
        <v>サイズ</v>
      </c>
      <c r="B30" s="531" t="str">
        <f>IFERROR(__xludf.DUMMYFUNCTION("""COMPUTED_VALUE"""),"ジャケット / ジャコット")</f>
        <v>ジャケット / ジャコット</v>
      </c>
      <c r="C30" s="531" t="str">
        <f>IFERROR(__xludf.DUMMYFUNCTION("""COMPUTED_VALUE"""),"肩巾")</f>
        <v>肩巾</v>
      </c>
      <c r="D30" s="550"/>
      <c r="E30" s="533"/>
      <c r="F30" s="534" t="str">
        <f>IFERROR(__xludf.DUMMYFUNCTION("""COMPUTED_VALUE"""),"肩巾")</f>
        <v>肩巾</v>
      </c>
      <c r="G30" s="550" t="str">
        <f>IFERROR(__xludf.DUMMYFUNCTION("""COMPUTED_VALUE"""),"肩巾")</f>
        <v>肩巾</v>
      </c>
      <c r="H30" s="572" t="str">
        <f>IFERROR(__xludf.DUMMYFUNCTION("""COMPUTED_VALUE"""),"-0.5")</f>
        <v>-0.5</v>
      </c>
      <c r="I30" s="537"/>
      <c r="J30" s="538">
        <f>IFERROR(__xludf.DUMMYFUNCTION("""COMPUTED_VALUE"""),7.0)</f>
        <v>7</v>
      </c>
      <c r="K30" s="537">
        <f>IFERROR(__xludf.DUMMYFUNCTION("""COMPUTED_VALUE"""),46000.0)</f>
        <v>46000</v>
      </c>
      <c r="L30" s="539">
        <f>IFERROR(__xludf.DUMMYFUNCTION("""COMPUTED_VALUE"""),46003.0)</f>
        <v>46003</v>
      </c>
      <c r="M30" s="540">
        <f>IFERROR(__xludf.DUMMYFUNCTION("""COMPUTED_VALUE"""),46008.0)</f>
        <v>46008</v>
      </c>
      <c r="N30" s="539">
        <f>IFERROR(__xludf.DUMMYFUNCTION("""COMPUTED_VALUE"""),5780.0)</f>
        <v>5780</v>
      </c>
      <c r="O30" s="593">
        <f>IFERROR(__xludf.DUMMYFUNCTION("""COMPUTED_VALUE"""),5250.0)</f>
        <v>5250</v>
      </c>
      <c r="P30" s="594">
        <f>IFERROR(__xludf.DUMMYFUNCTION("""COMPUTED_VALUE"""),3500.0)</f>
        <v>3500</v>
      </c>
      <c r="Q30" s="183"/>
      <c r="R30" s="544"/>
      <c r="S30" s="604"/>
      <c r="T30" s="544"/>
      <c r="U30" s="595">
        <f>IFERROR(__xludf.DUMMYFUNCTION("""COMPUTED_VALUE"""),45523.0)</f>
        <v>45523</v>
      </c>
      <c r="V30" s="544"/>
      <c r="W30" s="544"/>
      <c r="X30" s="544"/>
      <c r="Y30" s="544"/>
      <c r="Z30" s="605"/>
      <c r="AA30" s="569"/>
      <c r="AB30" s="569" t="str">
        <f>IFERROR(__xludf.DUMMYFUNCTION("""COMPUTED_VALUE"""),"史上最軽量、KAJIFの技術が詰まったリサイクルファブリック")</f>
        <v>史上最軽量、KAJIFの技術が詰まったリサイクルファブリック</v>
      </c>
      <c r="AC30" s="569" t="str">
        <f>IFERROR(__xludf.DUMMYFUNCTION("""COMPUTED_VALUE"""),"W240007")</f>
        <v>W240007</v>
      </c>
      <c r="AD30" s="569" t="str">
        <f>IFERROR(__xludf.DUMMYFUNCTION("""COMPUTED_VALUE"""),"問題なし")</f>
        <v>問題なし</v>
      </c>
      <c r="AE30" s="601"/>
      <c r="AF30" s="601"/>
      <c r="AG30" s="601"/>
      <c r="AH30" s="601"/>
      <c r="AI30" s="601"/>
      <c r="AJ30" s="601"/>
      <c r="AK30" s="601"/>
      <c r="AL30" s="601"/>
      <c r="AM30" s="601"/>
    </row>
    <row r="31">
      <c r="A31" s="531" t="str">
        <f>IFERROR(__xludf.DUMMYFUNCTION("""COMPUTED_VALUE"""),"サイズ")</f>
        <v>サイズ</v>
      </c>
      <c r="B31" s="531" t="str">
        <f>IFERROR(__xludf.DUMMYFUNCTION("""COMPUTED_VALUE"""),"ジャケット / ジャコット")</f>
        <v>ジャケット / ジャコット</v>
      </c>
      <c r="C31" s="531" t="str">
        <f>IFERROR(__xludf.DUMMYFUNCTION("""COMPUTED_VALUE"""),"肩巾")</f>
        <v>肩巾</v>
      </c>
      <c r="D31" s="550"/>
      <c r="E31" s="533"/>
      <c r="F31" s="534" t="str">
        <f>IFERROR(__xludf.DUMMYFUNCTION("""COMPUTED_VALUE"""),"肩巾")</f>
        <v>肩巾</v>
      </c>
      <c r="G31" s="550" t="str">
        <f>IFERROR(__xludf.DUMMYFUNCTION("""COMPUTED_VALUE"""),"肩巾")</f>
        <v>肩巾</v>
      </c>
      <c r="H31" s="572" t="str">
        <f>IFERROR(__xludf.DUMMYFUNCTION("""COMPUTED_VALUE"""),"0.5")</f>
        <v>0.5</v>
      </c>
      <c r="I31" s="537"/>
      <c r="J31" s="538">
        <f>IFERROR(__xludf.DUMMYFUNCTION("""COMPUTED_VALUE"""),7.0)</f>
        <v>7</v>
      </c>
      <c r="K31" s="537">
        <f>IFERROR(__xludf.DUMMYFUNCTION("""COMPUTED_VALUE"""),46000.0)</f>
        <v>46000</v>
      </c>
      <c r="L31" s="539">
        <f>IFERROR(__xludf.DUMMYFUNCTION("""COMPUTED_VALUE"""),46003.0)</f>
        <v>46003</v>
      </c>
      <c r="M31" s="540">
        <f>IFERROR(__xludf.DUMMYFUNCTION("""COMPUTED_VALUE"""),46008.0)</f>
        <v>46008</v>
      </c>
      <c r="N31" s="539">
        <f>IFERROR(__xludf.DUMMYFUNCTION("""COMPUTED_VALUE"""),5780.0)</f>
        <v>5780</v>
      </c>
      <c r="O31" s="593">
        <f>IFERROR(__xludf.DUMMYFUNCTION("""COMPUTED_VALUE"""),5250.0)</f>
        <v>5250</v>
      </c>
      <c r="P31" s="594">
        <f>IFERROR(__xludf.DUMMYFUNCTION("""COMPUTED_VALUE"""),3500.0)</f>
        <v>3500</v>
      </c>
      <c r="Q31" s="183"/>
      <c r="R31" s="544"/>
      <c r="S31" s="604"/>
      <c r="T31" s="544"/>
      <c r="U31" s="595">
        <f>IFERROR(__xludf.DUMMYFUNCTION("""COMPUTED_VALUE"""),45524.0)</f>
        <v>45524</v>
      </c>
      <c r="V31" s="544"/>
      <c r="W31" s="544"/>
      <c r="X31" s="544"/>
      <c r="Y31" s="544"/>
      <c r="Z31" s="605"/>
      <c r="AA31" s="569"/>
      <c r="AB31" s="570" t="str">
        <f>IFERROR(__xludf.DUMMYFUNCTION("""COMPUTED_VALUE"""),"世界に挑む技術、テック×テーラードで魅せる新感覚シボレザー")</f>
        <v>世界に挑む技術、テック×テーラードで魅せる新感覚シボレザー</v>
      </c>
      <c r="AC31" s="570" t="str">
        <f>IFERROR(__xludf.DUMMYFUNCTION("""COMPUTED_VALUE"""),"W240009")</f>
        <v>W240009</v>
      </c>
      <c r="AD31" s="570" t="str">
        <f>IFERROR(__xludf.DUMMYFUNCTION("""COMPUTED_VALUE"""),"出しNG（再製作）ジャケット・スラックス")</f>
        <v>出しNG（再製作）ジャケット・スラックス</v>
      </c>
      <c r="AE31" s="571"/>
      <c r="AF31" s="571"/>
      <c r="AG31" s="571"/>
      <c r="AH31" s="571"/>
      <c r="AI31" s="571"/>
      <c r="AJ31" s="571"/>
      <c r="AK31" s="571"/>
      <c r="AL31" s="571"/>
      <c r="AM31" s="571"/>
    </row>
    <row r="32">
      <c r="A32" s="531" t="str">
        <f>IFERROR(__xludf.DUMMYFUNCTION("""COMPUTED_VALUE"""),"サイズ - ウィメンズ")</f>
        <v>サイズ - ウィメンズ</v>
      </c>
      <c r="B32" s="531" t="str">
        <f>IFERROR(__xludf.DUMMYFUNCTION("""COMPUTED_VALUE"""),"ジャケット / ジャコット")</f>
        <v>ジャケット / ジャコット</v>
      </c>
      <c r="C32" s="531" t="str">
        <f>IFERROR(__xludf.DUMMYFUNCTION("""COMPUTED_VALUE"""),"肩巾")</f>
        <v>肩巾</v>
      </c>
      <c r="D32" s="550"/>
      <c r="E32" s="550" t="str">
        <f>IFERROR(__xludf.DUMMYFUNCTION("""COMPUTED_VALUE"""),"出しお直しは背巾出し対応")</f>
        <v>出しお直しは背巾出し対応</v>
      </c>
      <c r="F32" s="534" t="str">
        <f>IFERROR(__xludf.DUMMYFUNCTION("""COMPUTED_VALUE"""),"肩巾")</f>
        <v>肩巾</v>
      </c>
      <c r="G32" s="550" t="str">
        <f>IFERROR(__xludf.DUMMYFUNCTION("""COMPUTED_VALUE"""),"肩巾（出しお直しは背巾出し対応）")</f>
        <v>肩巾（出しお直しは背巾出し対応）</v>
      </c>
      <c r="H32" s="572" t="str">
        <f>IFERROR(__xludf.DUMMYFUNCTION("""COMPUTED_VALUE"""),"-3")</f>
        <v>-3</v>
      </c>
      <c r="I32" s="537"/>
      <c r="J32" s="538">
        <f>IFERROR(__xludf.DUMMYFUNCTION("""COMPUTED_VALUE"""),7.0)</f>
        <v>7</v>
      </c>
      <c r="K32" s="537">
        <f>IFERROR(__xludf.DUMMYFUNCTION("""COMPUTED_VALUE"""),46000.0)</f>
        <v>46000</v>
      </c>
      <c r="L32" s="539">
        <f>IFERROR(__xludf.DUMMYFUNCTION("""COMPUTED_VALUE"""),46003.0)</f>
        <v>46003</v>
      </c>
      <c r="M32" s="540">
        <f>IFERROR(__xludf.DUMMYFUNCTION("""COMPUTED_VALUE"""),46008.0)</f>
        <v>46008</v>
      </c>
      <c r="N32" s="539">
        <f>IFERROR(__xludf.DUMMYFUNCTION("""COMPUTED_VALUE"""),5780.0)</f>
        <v>5780</v>
      </c>
      <c r="O32" s="593">
        <f>IFERROR(__xludf.DUMMYFUNCTION("""COMPUTED_VALUE"""),5250.0)</f>
        <v>5250</v>
      </c>
      <c r="P32" s="594">
        <f>IFERROR(__xludf.DUMMYFUNCTION("""COMPUTED_VALUE"""),3500.0)</f>
        <v>3500</v>
      </c>
      <c r="Q32" s="183"/>
      <c r="R32" s="544"/>
      <c r="S32" s="604"/>
      <c r="T32" s="544"/>
      <c r="U32" s="595">
        <f>IFERROR(__xludf.DUMMYFUNCTION("""COMPUTED_VALUE"""),45551.0)</f>
        <v>45551</v>
      </c>
      <c r="V32" s="544"/>
      <c r="W32" s="544"/>
      <c r="X32" s="544"/>
      <c r="Y32" s="544"/>
      <c r="Z32" s="605"/>
      <c r="AA32" s="569"/>
      <c r="AB32" s="570" t="str">
        <f>IFERROR(__xludf.DUMMYFUNCTION("""COMPUTED_VALUE"""),"世界に挑む技術、テック×テーラードで魅せる新感覚シボレザー")</f>
        <v>世界に挑む技術、テック×テーラードで魅せる新感覚シボレザー</v>
      </c>
      <c r="AC32" s="570" t="str">
        <f>IFERROR(__xludf.DUMMYFUNCTION("""COMPUTED_VALUE"""),"W240010")</f>
        <v>W240010</v>
      </c>
      <c r="AD32" s="570" t="str">
        <f>IFERROR(__xludf.DUMMYFUNCTION("""COMPUTED_VALUE"""),"出しNG（再製作）ジャケット・スラックス")</f>
        <v>出しNG（再製作）ジャケット・スラックス</v>
      </c>
      <c r="AE32" s="571"/>
      <c r="AF32" s="571"/>
      <c r="AG32" s="571"/>
      <c r="AH32" s="571"/>
      <c r="AI32" s="571"/>
      <c r="AJ32" s="571"/>
      <c r="AK32" s="571"/>
      <c r="AL32" s="571"/>
      <c r="AM32" s="571"/>
    </row>
    <row r="33">
      <c r="A33" s="531" t="str">
        <f>IFERROR(__xludf.DUMMYFUNCTION("""COMPUTED_VALUE"""),"サイズ - ウィメンズ")</f>
        <v>サイズ - ウィメンズ</v>
      </c>
      <c r="B33" s="531" t="str">
        <f>IFERROR(__xludf.DUMMYFUNCTION("""COMPUTED_VALUE"""),"ジャケット / ジャコット")</f>
        <v>ジャケット / ジャコット</v>
      </c>
      <c r="C33" s="531" t="str">
        <f>IFERROR(__xludf.DUMMYFUNCTION("""COMPUTED_VALUE"""),"肩巾")</f>
        <v>肩巾</v>
      </c>
      <c r="D33" s="550"/>
      <c r="E33" s="550" t="str">
        <f>IFERROR(__xludf.DUMMYFUNCTION("""COMPUTED_VALUE"""),"出しお直しは背巾出し対応")</f>
        <v>出しお直しは背巾出し対応</v>
      </c>
      <c r="F33" s="534" t="str">
        <f>IFERROR(__xludf.DUMMYFUNCTION("""COMPUTED_VALUE"""),"肩巾")</f>
        <v>肩巾</v>
      </c>
      <c r="G33" s="550" t="str">
        <f>IFERROR(__xludf.DUMMYFUNCTION("""COMPUTED_VALUE"""),"肩巾（出しお直しは背巾出し対応）")</f>
        <v>肩巾（出しお直しは背巾出し対応）</v>
      </c>
      <c r="H33" s="572" t="str">
        <f>IFERROR(__xludf.DUMMYFUNCTION("""COMPUTED_VALUE"""),"-2.5")</f>
        <v>-2.5</v>
      </c>
      <c r="I33" s="537"/>
      <c r="J33" s="538">
        <f>IFERROR(__xludf.DUMMYFUNCTION("""COMPUTED_VALUE"""),7.0)</f>
        <v>7</v>
      </c>
      <c r="K33" s="537">
        <f>IFERROR(__xludf.DUMMYFUNCTION("""COMPUTED_VALUE"""),46000.0)</f>
        <v>46000</v>
      </c>
      <c r="L33" s="539">
        <f>IFERROR(__xludf.DUMMYFUNCTION("""COMPUTED_VALUE"""),46003.0)</f>
        <v>46003</v>
      </c>
      <c r="M33" s="540">
        <f>IFERROR(__xludf.DUMMYFUNCTION("""COMPUTED_VALUE"""),46008.0)</f>
        <v>46008</v>
      </c>
      <c r="N33" s="539">
        <f>IFERROR(__xludf.DUMMYFUNCTION("""COMPUTED_VALUE"""),5780.0)</f>
        <v>5780</v>
      </c>
      <c r="O33" s="593">
        <f>IFERROR(__xludf.DUMMYFUNCTION("""COMPUTED_VALUE"""),5250.0)</f>
        <v>5250</v>
      </c>
      <c r="P33" s="594">
        <f>IFERROR(__xludf.DUMMYFUNCTION("""COMPUTED_VALUE"""),3500.0)</f>
        <v>3500</v>
      </c>
      <c r="Q33" s="183"/>
      <c r="R33" s="544"/>
      <c r="S33" s="604"/>
      <c r="T33" s="544"/>
      <c r="U33" s="595">
        <f>IFERROR(__xludf.DUMMYFUNCTION("""COMPUTED_VALUE"""),45551.0)</f>
        <v>45551</v>
      </c>
      <c r="V33" s="544"/>
      <c r="W33" s="544"/>
      <c r="X33" s="544"/>
      <c r="Y33" s="544"/>
      <c r="Z33" s="605"/>
      <c r="AA33" s="569"/>
      <c r="AB33" s="570" t="str">
        <f>IFERROR(__xludf.DUMMYFUNCTION("""COMPUTED_VALUE"""),"世界に挑む技術、レザーを超える艶レザー調テックサテン")</f>
        <v>世界に挑む技術、レザーを超える艶レザー調テックサテン</v>
      </c>
      <c r="AC33" s="570" t="str">
        <f>IFERROR(__xludf.DUMMYFUNCTION("""COMPUTED_VALUE"""),"W240011")</f>
        <v>W240011</v>
      </c>
      <c r="AD33" s="570" t="str">
        <f>IFERROR(__xludf.DUMMYFUNCTION("""COMPUTED_VALUE"""),"出しNG（再製作）ジャケット・スラックス")</f>
        <v>出しNG（再製作）ジャケット・スラックス</v>
      </c>
      <c r="AE33" s="571"/>
      <c r="AF33" s="571"/>
      <c r="AG33" s="571"/>
      <c r="AH33" s="571"/>
      <c r="AI33" s="571"/>
      <c r="AJ33" s="571"/>
      <c r="AK33" s="571"/>
      <c r="AL33" s="571"/>
      <c r="AM33" s="571"/>
    </row>
    <row r="34">
      <c r="A34" s="531" t="str">
        <f>IFERROR(__xludf.DUMMYFUNCTION("""COMPUTED_VALUE"""),"サイズ - ウィメンズ")</f>
        <v>サイズ - ウィメンズ</v>
      </c>
      <c r="B34" s="531" t="str">
        <f>IFERROR(__xludf.DUMMYFUNCTION("""COMPUTED_VALUE"""),"ジャケット / ジャコット")</f>
        <v>ジャケット / ジャコット</v>
      </c>
      <c r="C34" s="531" t="str">
        <f>IFERROR(__xludf.DUMMYFUNCTION("""COMPUTED_VALUE"""),"肩巾")</f>
        <v>肩巾</v>
      </c>
      <c r="D34" s="550"/>
      <c r="E34" s="550" t="str">
        <f>IFERROR(__xludf.DUMMYFUNCTION("""COMPUTED_VALUE"""),"出しお直しは背巾出し対応")</f>
        <v>出しお直しは背巾出し対応</v>
      </c>
      <c r="F34" s="534" t="str">
        <f>IFERROR(__xludf.DUMMYFUNCTION("""COMPUTED_VALUE"""),"肩巾")</f>
        <v>肩巾</v>
      </c>
      <c r="G34" s="550" t="str">
        <f>IFERROR(__xludf.DUMMYFUNCTION("""COMPUTED_VALUE"""),"肩巾（出しお直しは背巾出し対応）")</f>
        <v>肩巾（出しお直しは背巾出し対応）</v>
      </c>
      <c r="H34" s="572" t="str">
        <f>IFERROR(__xludf.DUMMYFUNCTION("""COMPUTED_VALUE"""),"-2")</f>
        <v>-2</v>
      </c>
      <c r="I34" s="537"/>
      <c r="J34" s="538">
        <f>IFERROR(__xludf.DUMMYFUNCTION("""COMPUTED_VALUE"""),7.0)</f>
        <v>7</v>
      </c>
      <c r="K34" s="537">
        <f>IFERROR(__xludf.DUMMYFUNCTION("""COMPUTED_VALUE"""),46000.0)</f>
        <v>46000</v>
      </c>
      <c r="L34" s="539">
        <f>IFERROR(__xludf.DUMMYFUNCTION("""COMPUTED_VALUE"""),46003.0)</f>
        <v>46003</v>
      </c>
      <c r="M34" s="540">
        <f>IFERROR(__xludf.DUMMYFUNCTION("""COMPUTED_VALUE"""),46008.0)</f>
        <v>46008</v>
      </c>
      <c r="N34" s="539">
        <f>IFERROR(__xludf.DUMMYFUNCTION("""COMPUTED_VALUE"""),5780.0)</f>
        <v>5780</v>
      </c>
      <c r="O34" s="593">
        <f>IFERROR(__xludf.DUMMYFUNCTION("""COMPUTED_VALUE"""),5250.0)</f>
        <v>5250</v>
      </c>
      <c r="P34" s="594">
        <f>IFERROR(__xludf.DUMMYFUNCTION("""COMPUTED_VALUE"""),3500.0)</f>
        <v>3500</v>
      </c>
      <c r="Q34" s="183"/>
      <c r="R34" s="544"/>
      <c r="S34" s="604"/>
      <c r="T34" s="544"/>
      <c r="U34" s="595">
        <f>IFERROR(__xludf.DUMMYFUNCTION("""COMPUTED_VALUE"""),45558.0)</f>
        <v>45558</v>
      </c>
      <c r="V34" s="544"/>
      <c r="W34" s="544"/>
      <c r="X34" s="544"/>
      <c r="Y34" s="544"/>
      <c r="Z34" s="605"/>
      <c r="AA34" s="569"/>
      <c r="AB34" s="570" t="str">
        <f>IFERROR(__xludf.DUMMYFUNCTION("""COMPUTED_VALUE"""),"世界に挑む技術、テック×テーラードで魅せる新感覚シボレザー")</f>
        <v>世界に挑む技術、テック×テーラードで魅せる新感覚シボレザー</v>
      </c>
      <c r="AC34" s="570" t="str">
        <f>IFERROR(__xludf.DUMMYFUNCTION("""COMPUTED_VALUE"""),"W240012")</f>
        <v>W240012</v>
      </c>
      <c r="AD34" s="570" t="str">
        <f>IFERROR(__xludf.DUMMYFUNCTION("""COMPUTED_VALUE"""),"出しNG（再製作）ジャケット・スラックス")</f>
        <v>出しNG（再製作）ジャケット・スラックス</v>
      </c>
      <c r="AE34" s="571"/>
      <c r="AF34" s="571"/>
      <c r="AG34" s="571"/>
      <c r="AH34" s="571"/>
      <c r="AI34" s="571"/>
      <c r="AJ34" s="571"/>
      <c r="AK34" s="571"/>
      <c r="AL34" s="571"/>
      <c r="AM34" s="571"/>
    </row>
    <row r="35">
      <c r="A35" s="531" t="str">
        <f>IFERROR(__xludf.DUMMYFUNCTION("""COMPUTED_VALUE"""),"サイズ - ウィメンズ")</f>
        <v>サイズ - ウィメンズ</v>
      </c>
      <c r="B35" s="531" t="str">
        <f>IFERROR(__xludf.DUMMYFUNCTION("""COMPUTED_VALUE"""),"ジャケット / ジャコット")</f>
        <v>ジャケット / ジャコット</v>
      </c>
      <c r="C35" s="531" t="str">
        <f>IFERROR(__xludf.DUMMYFUNCTION("""COMPUTED_VALUE"""),"肩巾")</f>
        <v>肩巾</v>
      </c>
      <c r="D35" s="550"/>
      <c r="E35" s="550" t="str">
        <f>IFERROR(__xludf.DUMMYFUNCTION("""COMPUTED_VALUE"""),"出しお直しは背巾出し対応")</f>
        <v>出しお直しは背巾出し対応</v>
      </c>
      <c r="F35" s="534" t="str">
        <f>IFERROR(__xludf.DUMMYFUNCTION("""COMPUTED_VALUE"""),"肩巾")</f>
        <v>肩巾</v>
      </c>
      <c r="G35" s="550" t="str">
        <f>IFERROR(__xludf.DUMMYFUNCTION("""COMPUTED_VALUE"""),"肩巾（出しお直しは背巾出し対応）")</f>
        <v>肩巾（出しお直しは背巾出し対応）</v>
      </c>
      <c r="H35" s="572" t="str">
        <f>IFERROR(__xludf.DUMMYFUNCTION("""COMPUTED_VALUE"""),"-1.5")</f>
        <v>-1.5</v>
      </c>
      <c r="I35" s="537"/>
      <c r="J35" s="538">
        <f>IFERROR(__xludf.DUMMYFUNCTION("""COMPUTED_VALUE"""),7.0)</f>
        <v>7</v>
      </c>
      <c r="K35" s="537">
        <f>IFERROR(__xludf.DUMMYFUNCTION("""COMPUTED_VALUE"""),46000.0)</f>
        <v>46000</v>
      </c>
      <c r="L35" s="539">
        <f>IFERROR(__xludf.DUMMYFUNCTION("""COMPUTED_VALUE"""),46003.0)</f>
        <v>46003</v>
      </c>
      <c r="M35" s="540">
        <f>IFERROR(__xludf.DUMMYFUNCTION("""COMPUTED_VALUE"""),46008.0)</f>
        <v>46008</v>
      </c>
      <c r="N35" s="539">
        <f>IFERROR(__xludf.DUMMYFUNCTION("""COMPUTED_VALUE"""),5780.0)</f>
        <v>5780</v>
      </c>
      <c r="O35" s="593">
        <f>IFERROR(__xludf.DUMMYFUNCTION("""COMPUTED_VALUE"""),5250.0)</f>
        <v>5250</v>
      </c>
      <c r="P35" s="594">
        <f>IFERROR(__xludf.DUMMYFUNCTION("""COMPUTED_VALUE"""),3500.0)</f>
        <v>3500</v>
      </c>
      <c r="Q35" s="183"/>
      <c r="R35" s="544"/>
      <c r="S35" s="604"/>
      <c r="T35" s="544"/>
      <c r="U35" s="595">
        <f>IFERROR(__xludf.DUMMYFUNCTION("""COMPUTED_VALUE"""),45558.0)</f>
        <v>45558</v>
      </c>
      <c r="V35" s="544"/>
      <c r="W35" s="544"/>
      <c r="X35" s="544"/>
      <c r="Y35" s="544"/>
      <c r="Z35" s="605"/>
      <c r="AA35" s="569"/>
      <c r="AB35" s="570" t="str">
        <f>IFERROR(__xludf.DUMMYFUNCTION("""COMPUTED_VALUE"""),"天然の消臭抗菌、和紙から作った風通しのいいデニム")</f>
        <v>天然の消臭抗菌、和紙から作った風通しのいいデニム</v>
      </c>
      <c r="AC35" s="570" t="str">
        <f>IFERROR(__xludf.DUMMYFUNCTION("""COMPUTED_VALUE"""),"W240013")</f>
        <v>W240013</v>
      </c>
      <c r="AD35" s="570" t="str">
        <f>IFERROR(__xludf.DUMMYFUNCTION("""COMPUTED_VALUE"""),"出しNG（再製作）ジャケット・スラックス")</f>
        <v>出しNG（再製作）ジャケット・スラックス</v>
      </c>
      <c r="AE35" s="571"/>
      <c r="AF35" s="571"/>
      <c r="AG35" s="571"/>
      <c r="AH35" s="571"/>
      <c r="AI35" s="571"/>
      <c r="AJ35" s="571"/>
      <c r="AK35" s="571"/>
      <c r="AL35" s="571"/>
      <c r="AM35" s="571"/>
    </row>
    <row r="36">
      <c r="A36" s="531" t="str">
        <f>IFERROR(__xludf.DUMMYFUNCTION("""COMPUTED_VALUE"""),"サイズ - ウィメンズ")</f>
        <v>サイズ - ウィメンズ</v>
      </c>
      <c r="B36" s="531" t="str">
        <f>IFERROR(__xludf.DUMMYFUNCTION("""COMPUTED_VALUE"""),"ジャケット / ジャコット")</f>
        <v>ジャケット / ジャコット</v>
      </c>
      <c r="C36" s="531" t="str">
        <f>IFERROR(__xludf.DUMMYFUNCTION("""COMPUTED_VALUE"""),"肩巾")</f>
        <v>肩巾</v>
      </c>
      <c r="D36" s="550"/>
      <c r="E36" s="550" t="str">
        <f>IFERROR(__xludf.DUMMYFUNCTION("""COMPUTED_VALUE"""),"出しお直しは背巾出し対応")</f>
        <v>出しお直しは背巾出し対応</v>
      </c>
      <c r="F36" s="534" t="str">
        <f>IFERROR(__xludf.DUMMYFUNCTION("""COMPUTED_VALUE"""),"肩巾")</f>
        <v>肩巾</v>
      </c>
      <c r="G36" s="550" t="str">
        <f>IFERROR(__xludf.DUMMYFUNCTION("""COMPUTED_VALUE"""),"肩巾（出しお直しは背巾出し対応）")</f>
        <v>肩巾（出しお直しは背巾出し対応）</v>
      </c>
      <c r="H36" s="572" t="str">
        <f>IFERROR(__xludf.DUMMYFUNCTION("""COMPUTED_VALUE"""),"-1")</f>
        <v>-1</v>
      </c>
      <c r="I36" s="537"/>
      <c r="J36" s="538">
        <f>IFERROR(__xludf.DUMMYFUNCTION("""COMPUTED_VALUE"""),7.0)</f>
        <v>7</v>
      </c>
      <c r="K36" s="537">
        <f>IFERROR(__xludf.DUMMYFUNCTION("""COMPUTED_VALUE"""),46000.0)</f>
        <v>46000</v>
      </c>
      <c r="L36" s="539">
        <f>IFERROR(__xludf.DUMMYFUNCTION("""COMPUTED_VALUE"""),46003.0)</f>
        <v>46003</v>
      </c>
      <c r="M36" s="540">
        <f>IFERROR(__xludf.DUMMYFUNCTION("""COMPUTED_VALUE"""),46008.0)</f>
        <v>46008</v>
      </c>
      <c r="N36" s="539">
        <f>IFERROR(__xludf.DUMMYFUNCTION("""COMPUTED_VALUE"""),5780.0)</f>
        <v>5780</v>
      </c>
      <c r="O36" s="593">
        <f>IFERROR(__xludf.DUMMYFUNCTION("""COMPUTED_VALUE"""),5250.0)</f>
        <v>5250</v>
      </c>
      <c r="P36" s="594">
        <f>IFERROR(__xludf.DUMMYFUNCTION("""COMPUTED_VALUE"""),3500.0)</f>
        <v>3500</v>
      </c>
      <c r="Q36" s="183"/>
      <c r="R36" s="544"/>
      <c r="S36" s="604"/>
      <c r="T36" s="544"/>
      <c r="U36" s="595">
        <f>IFERROR(__xludf.DUMMYFUNCTION("""COMPUTED_VALUE"""),45579.0)</f>
        <v>45579</v>
      </c>
      <c r="V36" s="544"/>
      <c r="W36" s="544"/>
      <c r="X36" s="544"/>
      <c r="Y36" s="544"/>
      <c r="Z36" s="605"/>
      <c r="AA36" s="569"/>
      <c r="AB36" s="570" t="str">
        <f>IFERROR(__xludf.DUMMYFUNCTION("""COMPUTED_VALUE"""),"北陸の柔軟さが実現させた、高密度でなめらかなリッチブラックサテン")</f>
        <v>北陸の柔軟さが実現させた、高密度でなめらかなリッチブラックサテン</v>
      </c>
      <c r="AC36" s="570" t="str">
        <f>IFERROR(__xludf.DUMMYFUNCTION("""COMPUTED_VALUE"""),"W240014")</f>
        <v>W240014</v>
      </c>
      <c r="AD36" s="570" t="str">
        <f>IFERROR(__xludf.DUMMYFUNCTION("""COMPUTED_VALUE"""),"出しNG（再製作）ジャケット・スラックス")</f>
        <v>出しNG（再製作）ジャケット・スラックス</v>
      </c>
      <c r="AE36" s="571"/>
      <c r="AF36" s="571"/>
      <c r="AG36" s="571"/>
      <c r="AH36" s="571"/>
      <c r="AI36" s="571"/>
      <c r="AJ36" s="571"/>
      <c r="AK36" s="571"/>
      <c r="AL36" s="571"/>
      <c r="AM36" s="571"/>
    </row>
    <row r="37">
      <c r="A37" s="531" t="str">
        <f>IFERROR(__xludf.DUMMYFUNCTION("""COMPUTED_VALUE"""),"サイズ - ウィメンズ")</f>
        <v>サイズ - ウィメンズ</v>
      </c>
      <c r="B37" s="531" t="str">
        <f>IFERROR(__xludf.DUMMYFUNCTION("""COMPUTED_VALUE"""),"ジャケット / ジャコット")</f>
        <v>ジャケット / ジャコット</v>
      </c>
      <c r="C37" s="531" t="str">
        <f>IFERROR(__xludf.DUMMYFUNCTION("""COMPUTED_VALUE"""),"肩巾")</f>
        <v>肩巾</v>
      </c>
      <c r="D37" s="550"/>
      <c r="E37" s="550" t="str">
        <f>IFERROR(__xludf.DUMMYFUNCTION("""COMPUTED_VALUE"""),"出しお直しは背巾出し対応")</f>
        <v>出しお直しは背巾出し対応</v>
      </c>
      <c r="F37" s="534" t="str">
        <f>IFERROR(__xludf.DUMMYFUNCTION("""COMPUTED_VALUE"""),"肩巾")</f>
        <v>肩巾</v>
      </c>
      <c r="G37" s="550" t="str">
        <f>IFERROR(__xludf.DUMMYFUNCTION("""COMPUTED_VALUE"""),"肩巾（出しお直しは背巾出し対応）")</f>
        <v>肩巾（出しお直しは背巾出し対応）</v>
      </c>
      <c r="H37" s="572" t="str">
        <f>IFERROR(__xludf.DUMMYFUNCTION("""COMPUTED_VALUE"""),"-0.5")</f>
        <v>-0.5</v>
      </c>
      <c r="I37" s="537"/>
      <c r="J37" s="538">
        <f>IFERROR(__xludf.DUMMYFUNCTION("""COMPUTED_VALUE"""),7.0)</f>
        <v>7</v>
      </c>
      <c r="K37" s="537">
        <f>IFERROR(__xludf.DUMMYFUNCTION("""COMPUTED_VALUE"""),46000.0)</f>
        <v>46000</v>
      </c>
      <c r="L37" s="539">
        <f>IFERROR(__xludf.DUMMYFUNCTION("""COMPUTED_VALUE"""),46003.0)</f>
        <v>46003</v>
      </c>
      <c r="M37" s="540">
        <f>IFERROR(__xludf.DUMMYFUNCTION("""COMPUTED_VALUE"""),46008.0)</f>
        <v>46008</v>
      </c>
      <c r="N37" s="539">
        <f>IFERROR(__xludf.DUMMYFUNCTION("""COMPUTED_VALUE"""),5780.0)</f>
        <v>5780</v>
      </c>
      <c r="O37" s="593">
        <f>IFERROR(__xludf.DUMMYFUNCTION("""COMPUTED_VALUE"""),5250.0)</f>
        <v>5250</v>
      </c>
      <c r="P37" s="594">
        <f>IFERROR(__xludf.DUMMYFUNCTION("""COMPUTED_VALUE"""),3500.0)</f>
        <v>3500</v>
      </c>
      <c r="Q37" s="183"/>
      <c r="R37" s="544"/>
      <c r="S37" s="592"/>
      <c r="T37" s="555"/>
      <c r="U37" s="595">
        <f>IFERROR(__xludf.DUMMYFUNCTION("""COMPUTED_VALUE"""),45600.0)</f>
        <v>45600</v>
      </c>
      <c r="V37" s="544"/>
      <c r="W37" s="544"/>
      <c r="X37" s="544"/>
      <c r="Y37" s="544"/>
      <c r="Z37" s="605"/>
      <c r="AA37" s="569"/>
      <c r="AB37" s="570" t="str">
        <f>IFERROR(__xludf.DUMMYFUNCTION("""COMPUTED_VALUE"""),"織物のような美しい光沢感と発色で、北陸と尾州を旅したラグジュアリージャージー")</f>
        <v>織物のような美しい光沢感と発色で、北陸と尾州を旅したラグジュアリージャージー</v>
      </c>
      <c r="AC37" s="570" t="str">
        <f>IFERROR(__xludf.DUMMYFUNCTION("""COMPUTED_VALUE"""),"W240015")</f>
        <v>W240015</v>
      </c>
      <c r="AD37" s="570" t="str">
        <f>IFERROR(__xludf.DUMMYFUNCTION("""COMPUTED_VALUE"""),"出しNG（再製作）ジャケット・スラックス")</f>
        <v>出しNG（再製作）ジャケット・スラックス</v>
      </c>
      <c r="AE37" s="571"/>
      <c r="AF37" s="571"/>
      <c r="AG37" s="571"/>
      <c r="AH37" s="571"/>
      <c r="AI37" s="571"/>
      <c r="AJ37" s="571"/>
      <c r="AK37" s="571"/>
      <c r="AL37" s="571"/>
      <c r="AM37" s="571"/>
    </row>
    <row r="38" hidden="1">
      <c r="A38" s="531" t="str">
        <f>IFERROR(__xludf.DUMMYFUNCTION("""COMPUTED_VALUE"""),"サイズ - ウィメンズ")</f>
        <v>サイズ - ウィメンズ</v>
      </c>
      <c r="B38" s="531" t="str">
        <f>IFERROR(__xludf.DUMMYFUNCTION("""COMPUTED_VALUE"""),"ジャケット / ジャコット")</f>
        <v>ジャケット / ジャコット</v>
      </c>
      <c r="C38" s="531" t="str">
        <f>IFERROR(__xludf.DUMMYFUNCTION("""COMPUTED_VALUE"""),"肩巾")</f>
        <v>肩巾</v>
      </c>
      <c r="D38" s="550"/>
      <c r="E38" s="550" t="str">
        <f>IFERROR(__xludf.DUMMYFUNCTION("""COMPUTED_VALUE"""),"出しお直しは背巾出し対応")</f>
        <v>出しお直しは背巾出し対応</v>
      </c>
      <c r="F38" s="534" t="str">
        <f>IFERROR(__xludf.DUMMYFUNCTION("""COMPUTED_VALUE"""),"肩巾")</f>
        <v>肩巾</v>
      </c>
      <c r="G38" s="550" t="str">
        <f>IFERROR(__xludf.DUMMYFUNCTION("""COMPUTED_VALUE"""),"肩巾（出しお直しは背巾出し対応）")</f>
        <v>肩巾（出しお直しは背巾出し対応）</v>
      </c>
      <c r="H38" s="572" t="str">
        <f>IFERROR(__xludf.DUMMYFUNCTION("""COMPUTED_VALUE"""),"0.5")</f>
        <v>0.5</v>
      </c>
      <c r="I38" s="537"/>
      <c r="J38" s="538">
        <f>IFERROR(__xludf.DUMMYFUNCTION("""COMPUTED_VALUE"""),7.0)</f>
        <v>7</v>
      </c>
      <c r="K38" s="537">
        <f>IFERROR(__xludf.DUMMYFUNCTION("""COMPUTED_VALUE"""),46000.0)</f>
        <v>46000</v>
      </c>
      <c r="L38" s="539">
        <f>IFERROR(__xludf.DUMMYFUNCTION("""COMPUTED_VALUE"""),46003.0)</f>
        <v>46003</v>
      </c>
      <c r="M38" s="540">
        <f>IFERROR(__xludf.DUMMYFUNCTION("""COMPUTED_VALUE"""),46008.0)</f>
        <v>46008</v>
      </c>
      <c r="N38" s="539">
        <f>IFERROR(__xludf.DUMMYFUNCTION("""COMPUTED_VALUE"""),5780.0)</f>
        <v>5780</v>
      </c>
      <c r="O38" s="593">
        <f>IFERROR(__xludf.DUMMYFUNCTION("""COMPUTED_VALUE"""),5250.0)</f>
        <v>5250</v>
      </c>
      <c r="P38" s="594">
        <f>IFERROR(__xludf.DUMMYFUNCTION("""COMPUTED_VALUE"""),3500.0)</f>
        <v>3500</v>
      </c>
      <c r="Q38" s="183"/>
      <c r="R38" s="544"/>
      <c r="S38" s="606"/>
      <c r="T38" s="555"/>
      <c r="U38" s="595">
        <f>IFERROR(__xludf.DUMMYFUNCTION("""COMPUTED_VALUE"""),45649.0)</f>
        <v>45649</v>
      </c>
      <c r="V38" s="544"/>
      <c r="W38" s="544"/>
      <c r="X38" s="544"/>
      <c r="Y38" s="544"/>
      <c r="Z38" s="605"/>
      <c r="AA38" s="569"/>
      <c r="AB38" s="570" t="str">
        <f>IFERROR(__xludf.DUMMYFUNCTION("""COMPUTED_VALUE"""),"織物のような美しい光沢感と発色で、北陸と尾州を旅したラグジュアリージャージー")</f>
        <v>織物のような美しい光沢感と発色で、北陸と尾州を旅したラグジュアリージャージー</v>
      </c>
      <c r="AC38" s="570" t="str">
        <f>IFERROR(__xludf.DUMMYFUNCTION("""COMPUTED_VALUE"""),"W240016")</f>
        <v>W240016</v>
      </c>
      <c r="AD38" s="570" t="str">
        <f>IFERROR(__xludf.DUMMYFUNCTION("""COMPUTED_VALUE"""),"出しNG（再製作）ジャケット・スラックス")</f>
        <v>出しNG（再製作）ジャケット・スラックス</v>
      </c>
      <c r="AE38" s="571"/>
      <c r="AF38" s="571"/>
      <c r="AG38" s="571"/>
      <c r="AH38" s="571"/>
      <c r="AI38" s="571"/>
      <c r="AJ38" s="571"/>
      <c r="AK38" s="571"/>
      <c r="AL38" s="571"/>
      <c r="AM38" s="571"/>
    </row>
    <row r="39" hidden="1">
      <c r="A39" s="531" t="str">
        <f>IFERROR(__xludf.DUMMYFUNCTION("""COMPUTED_VALUE"""),"サイズ")</f>
        <v>サイズ</v>
      </c>
      <c r="B39" s="531" t="str">
        <f>IFERROR(__xludf.DUMMYFUNCTION("""COMPUTED_VALUE"""),"ジャケット / ジャコット")</f>
        <v>ジャケット / ジャコット</v>
      </c>
      <c r="C39" s="531" t="str">
        <f>IFERROR(__xludf.DUMMYFUNCTION("""COMPUTED_VALUE"""),"バスト")</f>
        <v>バスト</v>
      </c>
      <c r="D39" s="550"/>
      <c r="E39" s="533"/>
      <c r="F39" s="534" t="str">
        <f>IFERROR(__xludf.DUMMYFUNCTION("""COMPUTED_VALUE"""),"バスト")</f>
        <v>バスト</v>
      </c>
      <c r="G39" s="550" t="str">
        <f>IFERROR(__xludf.DUMMYFUNCTION("""COMPUTED_VALUE"""),"バスト")</f>
        <v>バスト</v>
      </c>
      <c r="H39" s="572" t="str">
        <f>IFERROR(__xludf.DUMMYFUNCTION("""COMPUTED_VALUE"""),"-4")</f>
        <v>-4</v>
      </c>
      <c r="I39" s="537"/>
      <c r="J39" s="538">
        <f>IFERROR(__xludf.DUMMYFUNCTION("""COMPUTED_VALUE"""),7.0)</f>
        <v>7</v>
      </c>
      <c r="K39" s="537">
        <f>IFERROR(__xludf.DUMMYFUNCTION("""COMPUTED_VALUE"""),46000.0)</f>
        <v>46000</v>
      </c>
      <c r="L39" s="539">
        <f>IFERROR(__xludf.DUMMYFUNCTION("""COMPUTED_VALUE"""),46003.0)</f>
        <v>46003</v>
      </c>
      <c r="M39" s="540">
        <f>IFERROR(__xludf.DUMMYFUNCTION("""COMPUTED_VALUE"""),46008.0)</f>
        <v>46008</v>
      </c>
      <c r="N39" s="539">
        <f>IFERROR(__xludf.DUMMYFUNCTION("""COMPUTED_VALUE"""),4950.0)</f>
        <v>4950</v>
      </c>
      <c r="O39" s="593">
        <f>IFERROR(__xludf.DUMMYFUNCTION("""COMPUTED_VALUE"""),4500.0)</f>
        <v>4500</v>
      </c>
      <c r="P39" s="594">
        <f>IFERROR(__xludf.DUMMYFUNCTION("""COMPUTED_VALUE"""),3000.0)</f>
        <v>3000</v>
      </c>
      <c r="Q39" s="183"/>
      <c r="R39" s="544"/>
      <c r="S39" s="606"/>
      <c r="T39" s="555"/>
      <c r="U39" s="595">
        <f>IFERROR(__xludf.DUMMYFUNCTION("""COMPUTED_VALUE"""),45651.0)</f>
        <v>45651</v>
      </c>
      <c r="V39" s="544"/>
      <c r="W39" s="544"/>
      <c r="X39" s="544"/>
      <c r="Y39" s="544"/>
      <c r="Z39" s="605"/>
      <c r="AA39" s="569"/>
      <c r="AB39" s="570" t="str">
        <f>IFERROR(__xludf.DUMMYFUNCTION("""COMPUTED_VALUE"""),"やわらかい上品さに包みこまれる、北陸素材で作った世界初の近江晒シャツ")</f>
        <v>やわらかい上品さに包みこまれる、北陸素材で作った世界初の近江晒シャツ</v>
      </c>
      <c r="AC39" s="570" t="str">
        <f>IFERROR(__xludf.DUMMYFUNCTION("""COMPUTED_VALUE"""),"W240017")</f>
        <v>W240017</v>
      </c>
      <c r="AD39" s="570" t="str">
        <f>IFERROR(__xludf.DUMMYFUNCTION("""COMPUTED_VALUE"""),"出しNG（再製作）ジャケット・スラックス")</f>
        <v>出しNG（再製作）ジャケット・スラックス</v>
      </c>
      <c r="AE39" s="571"/>
      <c r="AF39" s="571"/>
      <c r="AG39" s="571"/>
      <c r="AH39" s="571"/>
      <c r="AI39" s="571"/>
      <c r="AJ39" s="571"/>
      <c r="AK39" s="571"/>
      <c r="AL39" s="571"/>
      <c r="AM39" s="571"/>
    </row>
    <row r="40" hidden="1">
      <c r="A40" s="531" t="str">
        <f>IFERROR(__xludf.DUMMYFUNCTION("""COMPUTED_VALUE"""),"サイズ")</f>
        <v>サイズ</v>
      </c>
      <c r="B40" s="531" t="str">
        <f>IFERROR(__xludf.DUMMYFUNCTION("""COMPUTED_VALUE"""),"ジャケット / ジャコット")</f>
        <v>ジャケット / ジャコット</v>
      </c>
      <c r="C40" s="531" t="str">
        <f>IFERROR(__xludf.DUMMYFUNCTION("""COMPUTED_VALUE"""),"バスト")</f>
        <v>バスト</v>
      </c>
      <c r="D40" s="550"/>
      <c r="E40" s="533"/>
      <c r="F40" s="534" t="str">
        <f>IFERROR(__xludf.DUMMYFUNCTION("""COMPUTED_VALUE"""),"バスト")</f>
        <v>バスト</v>
      </c>
      <c r="G40" s="550" t="str">
        <f>IFERROR(__xludf.DUMMYFUNCTION("""COMPUTED_VALUE"""),"バスト")</f>
        <v>バスト</v>
      </c>
      <c r="H40" s="572" t="str">
        <f>IFERROR(__xludf.DUMMYFUNCTION("""COMPUTED_VALUE"""),"-3")</f>
        <v>-3</v>
      </c>
      <c r="I40" s="537"/>
      <c r="J40" s="538">
        <f>IFERROR(__xludf.DUMMYFUNCTION("""COMPUTED_VALUE"""),7.0)</f>
        <v>7</v>
      </c>
      <c r="K40" s="537">
        <f>IFERROR(__xludf.DUMMYFUNCTION("""COMPUTED_VALUE"""),46000.0)</f>
        <v>46000</v>
      </c>
      <c r="L40" s="539">
        <f>IFERROR(__xludf.DUMMYFUNCTION("""COMPUTED_VALUE"""),46003.0)</f>
        <v>46003</v>
      </c>
      <c r="M40" s="540">
        <f>IFERROR(__xludf.DUMMYFUNCTION("""COMPUTED_VALUE"""),46008.0)</f>
        <v>46008</v>
      </c>
      <c r="N40" s="539">
        <f>IFERROR(__xludf.DUMMYFUNCTION("""COMPUTED_VALUE"""),4950.0)</f>
        <v>4950</v>
      </c>
      <c r="O40" s="593">
        <f>IFERROR(__xludf.DUMMYFUNCTION("""COMPUTED_VALUE"""),4500.0)</f>
        <v>4500</v>
      </c>
      <c r="P40" s="594">
        <f>IFERROR(__xludf.DUMMYFUNCTION("""COMPUTED_VALUE"""),3000.0)</f>
        <v>3000</v>
      </c>
      <c r="Q40" s="183"/>
      <c r="R40" s="544"/>
      <c r="S40" s="606"/>
      <c r="T40" s="555"/>
      <c r="U40" s="595">
        <f>IFERROR(__xludf.DUMMYFUNCTION("""COMPUTED_VALUE"""),45652.0)</f>
        <v>45652</v>
      </c>
      <c r="V40" s="544"/>
      <c r="W40" s="544"/>
      <c r="X40" s="544"/>
      <c r="Y40" s="544"/>
      <c r="Z40" s="605"/>
      <c r="AA40" s="569"/>
      <c r="AB40" s="570" t="str">
        <f>IFERROR(__xludf.DUMMYFUNCTION("""COMPUTED_VALUE"""),"保温性・軽さ・イージーケアを実現させた、福井県産のオールラウンダーコート")</f>
        <v>保温性・軽さ・イージーケアを実現させた、福井県産のオールラウンダーコート</v>
      </c>
      <c r="AC40" s="570" t="str">
        <f>IFERROR(__xludf.DUMMYFUNCTION("""COMPUTED_VALUE"""),"W240018")</f>
        <v>W240018</v>
      </c>
      <c r="AD40" s="570" t="str">
        <f>IFERROR(__xludf.DUMMYFUNCTION("""COMPUTED_VALUE"""),"出しNG（再製作）ジャケット・スラックス")</f>
        <v>出しNG（再製作）ジャケット・スラックス</v>
      </c>
      <c r="AE40" s="571"/>
      <c r="AF40" s="571"/>
      <c r="AG40" s="571"/>
      <c r="AH40" s="571"/>
      <c r="AI40" s="571"/>
      <c r="AJ40" s="571"/>
      <c r="AK40" s="571"/>
      <c r="AL40" s="571"/>
      <c r="AM40" s="571"/>
    </row>
    <row r="41" hidden="1">
      <c r="A41" s="531" t="str">
        <f>IFERROR(__xludf.DUMMYFUNCTION("""COMPUTED_VALUE"""),"サイズ")</f>
        <v>サイズ</v>
      </c>
      <c r="B41" s="531" t="str">
        <f>IFERROR(__xludf.DUMMYFUNCTION("""COMPUTED_VALUE"""),"ジャケット / ジャコット")</f>
        <v>ジャケット / ジャコット</v>
      </c>
      <c r="C41" s="531" t="str">
        <f>IFERROR(__xludf.DUMMYFUNCTION("""COMPUTED_VALUE"""),"バスト")</f>
        <v>バスト</v>
      </c>
      <c r="D41" s="550"/>
      <c r="E41" s="533"/>
      <c r="F41" s="607" t="str">
        <f>IFERROR(__xludf.DUMMYFUNCTION("""COMPUTED_VALUE"""),"バスト")</f>
        <v>バスト</v>
      </c>
      <c r="G41" s="550" t="str">
        <f>IFERROR(__xludf.DUMMYFUNCTION("""COMPUTED_VALUE"""),"バスト")</f>
        <v>バスト</v>
      </c>
      <c r="H41" s="551" t="str">
        <f>IFERROR(__xludf.DUMMYFUNCTION("""COMPUTED_VALUE"""),"-2")</f>
        <v>-2</v>
      </c>
      <c r="I41" s="551"/>
      <c r="J41" s="551">
        <f>IFERROR(__xludf.DUMMYFUNCTION("""COMPUTED_VALUE"""),7.0)</f>
        <v>7</v>
      </c>
      <c r="K41" s="551">
        <f>IFERROR(__xludf.DUMMYFUNCTION("""COMPUTED_VALUE"""),46000.0)</f>
        <v>46000</v>
      </c>
      <c r="L41" s="551">
        <f>IFERROR(__xludf.DUMMYFUNCTION("""COMPUTED_VALUE"""),46003.0)</f>
        <v>46003</v>
      </c>
      <c r="M41" s="551">
        <f>IFERROR(__xludf.DUMMYFUNCTION("""COMPUTED_VALUE"""),46008.0)</f>
        <v>46008</v>
      </c>
      <c r="N41" s="539">
        <f>IFERROR(__xludf.DUMMYFUNCTION("""COMPUTED_VALUE"""),4950.0)</f>
        <v>4950</v>
      </c>
      <c r="O41" s="593">
        <f>IFERROR(__xludf.DUMMYFUNCTION("""COMPUTED_VALUE"""),4500.0)</f>
        <v>4500</v>
      </c>
      <c r="P41" s="594">
        <f>IFERROR(__xludf.DUMMYFUNCTION("""COMPUTED_VALUE"""),3000.0)</f>
        <v>3000</v>
      </c>
      <c r="Q41" s="183"/>
      <c r="R41" s="544"/>
      <c r="S41" s="608"/>
      <c r="T41" s="555"/>
      <c r="U41" s="595">
        <f>IFERROR(__xludf.DUMMYFUNCTION("""COMPUTED_VALUE"""),45653.0)</f>
        <v>45653</v>
      </c>
      <c r="V41" s="544"/>
      <c r="W41" s="544"/>
      <c r="X41" s="544"/>
      <c r="Y41" s="544"/>
      <c r="Z41" s="605"/>
      <c r="AA41" s="569"/>
      <c r="AB41" s="570" t="str">
        <f>IFERROR(__xludf.DUMMYFUNCTION("""COMPUTED_VALUE"""),"保温性・軽さ・イージーケアを実現させた、福井県産のオールラウンダーコート")</f>
        <v>保温性・軽さ・イージーケアを実現させた、福井県産のオールラウンダーコート</v>
      </c>
      <c r="AC41" s="570" t="str">
        <f>IFERROR(__xludf.DUMMYFUNCTION("""COMPUTED_VALUE"""),"W240019")</f>
        <v>W240019</v>
      </c>
      <c r="AD41" s="570" t="str">
        <f>IFERROR(__xludf.DUMMYFUNCTION("""COMPUTED_VALUE"""),"出しNG（再製作）ジャケット・スラックス")</f>
        <v>出しNG（再製作）ジャケット・スラックス</v>
      </c>
      <c r="AE41" s="571"/>
      <c r="AF41" s="571"/>
      <c r="AG41" s="571"/>
      <c r="AH41" s="571"/>
      <c r="AI41" s="571"/>
      <c r="AJ41" s="571"/>
      <c r="AK41" s="571"/>
      <c r="AL41" s="571"/>
      <c r="AM41" s="571"/>
    </row>
    <row r="42" hidden="1">
      <c r="A42" s="531" t="str">
        <f>IFERROR(__xludf.DUMMYFUNCTION("""COMPUTED_VALUE"""),"サイズ")</f>
        <v>サイズ</v>
      </c>
      <c r="B42" s="531" t="str">
        <f>IFERROR(__xludf.DUMMYFUNCTION("""COMPUTED_VALUE"""),"ジャケット / ジャコット")</f>
        <v>ジャケット / ジャコット</v>
      </c>
      <c r="C42" s="531" t="str">
        <f>IFERROR(__xludf.DUMMYFUNCTION("""COMPUTED_VALUE"""),"バスト")</f>
        <v>バスト</v>
      </c>
      <c r="D42" s="550"/>
      <c r="E42" s="533"/>
      <c r="F42" s="607" t="str">
        <f>IFERROR(__xludf.DUMMYFUNCTION("""COMPUTED_VALUE"""),"バスト")</f>
        <v>バスト</v>
      </c>
      <c r="G42" s="550" t="str">
        <f>IFERROR(__xludf.DUMMYFUNCTION("""COMPUTED_VALUE"""),"バスト")</f>
        <v>バスト</v>
      </c>
      <c r="H42" s="551" t="str">
        <f>IFERROR(__xludf.DUMMYFUNCTION("""COMPUTED_VALUE"""),"-1")</f>
        <v>-1</v>
      </c>
      <c r="I42" s="551"/>
      <c r="J42" s="551">
        <f>IFERROR(__xludf.DUMMYFUNCTION("""COMPUTED_VALUE"""),7.0)</f>
        <v>7</v>
      </c>
      <c r="K42" s="551">
        <f>IFERROR(__xludf.DUMMYFUNCTION("""COMPUTED_VALUE"""),46000.0)</f>
        <v>46000</v>
      </c>
      <c r="L42" s="551">
        <f>IFERROR(__xludf.DUMMYFUNCTION("""COMPUTED_VALUE"""),46003.0)</f>
        <v>46003</v>
      </c>
      <c r="M42" s="551">
        <f>IFERROR(__xludf.DUMMYFUNCTION("""COMPUTED_VALUE"""),46008.0)</f>
        <v>46008</v>
      </c>
      <c r="N42" s="539">
        <f>IFERROR(__xludf.DUMMYFUNCTION("""COMPUTED_VALUE"""),4950.0)</f>
        <v>4950</v>
      </c>
      <c r="O42" s="593">
        <f>IFERROR(__xludf.DUMMYFUNCTION("""COMPUTED_VALUE"""),4500.0)</f>
        <v>4500</v>
      </c>
      <c r="P42" s="594">
        <f>IFERROR(__xludf.DUMMYFUNCTION("""COMPUTED_VALUE"""),3000.0)</f>
        <v>3000</v>
      </c>
      <c r="Q42" s="183"/>
      <c r="R42" s="544"/>
      <c r="S42" s="544"/>
      <c r="T42" s="544"/>
      <c r="U42" s="595">
        <f>IFERROR(__xludf.DUMMYFUNCTION("""COMPUTED_VALUE"""),45656.0)</f>
        <v>45656</v>
      </c>
      <c r="V42" s="544"/>
      <c r="W42" s="544"/>
      <c r="X42" s="544"/>
      <c r="Y42" s="544"/>
      <c r="Z42" s="605"/>
      <c r="AA42" s="569"/>
      <c r="AB42" s="570" t="str">
        <f>IFERROR(__xludf.DUMMYFUNCTION("""COMPUTED_VALUE"""),"保温性・軽さ・イージーケアを実現させた、福井県産のオールラウンダーコート")</f>
        <v>保温性・軽さ・イージーケアを実現させた、福井県産のオールラウンダーコート</v>
      </c>
      <c r="AC42" s="570" t="str">
        <f>IFERROR(__xludf.DUMMYFUNCTION("""COMPUTED_VALUE"""),"W240020")</f>
        <v>W240020</v>
      </c>
      <c r="AD42" s="570" t="str">
        <f>IFERROR(__xludf.DUMMYFUNCTION("""COMPUTED_VALUE"""),"出しNG（再製作）ジャケット・スラックス")</f>
        <v>出しNG（再製作）ジャケット・スラックス</v>
      </c>
      <c r="AE42" s="571"/>
      <c r="AF42" s="571"/>
      <c r="AG42" s="571"/>
      <c r="AH42" s="571"/>
      <c r="AI42" s="571"/>
      <c r="AJ42" s="571"/>
      <c r="AK42" s="571"/>
      <c r="AL42" s="571"/>
      <c r="AM42" s="571"/>
    </row>
    <row r="43" hidden="1">
      <c r="A43" s="531" t="str">
        <f>IFERROR(__xludf.DUMMYFUNCTION("""COMPUTED_VALUE"""),"サイズ")</f>
        <v>サイズ</v>
      </c>
      <c r="B43" s="531" t="str">
        <f>IFERROR(__xludf.DUMMYFUNCTION("""COMPUTED_VALUE"""),"ジャケット / ジャコット")</f>
        <v>ジャケット / ジャコット</v>
      </c>
      <c r="C43" s="531" t="str">
        <f>IFERROR(__xludf.DUMMYFUNCTION("""COMPUTED_VALUE"""),"バスト")</f>
        <v>バスト</v>
      </c>
      <c r="D43" s="550"/>
      <c r="E43" s="533"/>
      <c r="F43" s="534" t="str">
        <f>IFERROR(__xludf.DUMMYFUNCTION("""COMPUTED_VALUE"""),"バスト")</f>
        <v>バスト</v>
      </c>
      <c r="G43" s="550" t="str">
        <f>IFERROR(__xludf.DUMMYFUNCTION("""COMPUTED_VALUE"""),"バスト")</f>
        <v>バスト</v>
      </c>
      <c r="H43" s="572" t="str">
        <f>IFERROR(__xludf.DUMMYFUNCTION("""COMPUTED_VALUE"""),"1")</f>
        <v>1</v>
      </c>
      <c r="I43" s="537"/>
      <c r="J43" s="538">
        <f>IFERROR(__xludf.DUMMYFUNCTION("""COMPUTED_VALUE"""),7.0)</f>
        <v>7</v>
      </c>
      <c r="K43" s="537">
        <f>IFERROR(__xludf.DUMMYFUNCTION("""COMPUTED_VALUE"""),46000.0)</f>
        <v>46000</v>
      </c>
      <c r="L43" s="539">
        <f>IFERROR(__xludf.DUMMYFUNCTION("""COMPUTED_VALUE"""),46003.0)</f>
        <v>46003</v>
      </c>
      <c r="M43" s="540">
        <f>IFERROR(__xludf.DUMMYFUNCTION("""COMPUTED_VALUE"""),46008.0)</f>
        <v>46008</v>
      </c>
      <c r="N43" s="539">
        <f>IFERROR(__xludf.DUMMYFUNCTION("""COMPUTED_VALUE"""),4950.0)</f>
        <v>4950</v>
      </c>
      <c r="O43" s="593">
        <f>IFERROR(__xludf.DUMMYFUNCTION("""COMPUTED_VALUE"""),4500.0)</f>
        <v>4500</v>
      </c>
      <c r="P43" s="594">
        <f>IFERROR(__xludf.DUMMYFUNCTION("""COMPUTED_VALUE"""),3000.0)</f>
        <v>3000</v>
      </c>
      <c r="Q43" s="183"/>
      <c r="R43" s="544"/>
      <c r="S43" s="544"/>
      <c r="T43" s="544"/>
      <c r="U43" s="595">
        <f>IFERROR(__xludf.DUMMYFUNCTION("""COMPUTED_VALUE"""),45657.0)</f>
        <v>45657</v>
      </c>
      <c r="V43" s="544"/>
      <c r="W43" s="544"/>
      <c r="X43" s="544"/>
      <c r="Y43" s="544"/>
      <c r="Z43" s="605"/>
      <c r="AA43" s="569"/>
      <c r="AB43" s="570" t="str">
        <f>IFERROR(__xludf.DUMMYFUNCTION("""COMPUTED_VALUE"""),"極上の着心地とハリ感が調和する、ウルトラハイゲージジャージーシャツ")</f>
        <v>極上の着心地とハリ感が調和する、ウルトラハイゲージジャージーシャツ</v>
      </c>
      <c r="AC43" s="570" t="str">
        <f>IFERROR(__xludf.DUMMYFUNCTION("""COMPUTED_VALUE"""),"W240021")</f>
        <v>W240021</v>
      </c>
      <c r="AD43" s="570" t="str">
        <f>IFERROR(__xludf.DUMMYFUNCTION("""COMPUTED_VALUE"""),"出しNG（再製作）ジャケット・スラックス")</f>
        <v>出しNG（再製作）ジャケット・スラックス</v>
      </c>
      <c r="AE43" s="571"/>
      <c r="AF43" s="571"/>
      <c r="AG43" s="571"/>
      <c r="AH43" s="571"/>
      <c r="AI43" s="571"/>
      <c r="AJ43" s="571"/>
      <c r="AK43" s="571"/>
      <c r="AL43" s="571"/>
      <c r="AM43" s="571"/>
    </row>
    <row r="44" hidden="1">
      <c r="A44" s="531" t="str">
        <f>IFERROR(__xludf.DUMMYFUNCTION("""COMPUTED_VALUE"""),"サイズ")</f>
        <v>サイズ</v>
      </c>
      <c r="B44" s="531" t="str">
        <f>IFERROR(__xludf.DUMMYFUNCTION("""COMPUTED_VALUE"""),"ジャケット / ジャコット")</f>
        <v>ジャケット / ジャコット</v>
      </c>
      <c r="C44" s="531" t="str">
        <f>IFERROR(__xludf.DUMMYFUNCTION("""COMPUTED_VALUE"""),"バスト")</f>
        <v>バスト</v>
      </c>
      <c r="D44" s="550"/>
      <c r="E44" s="533"/>
      <c r="F44" s="534" t="str">
        <f>IFERROR(__xludf.DUMMYFUNCTION("""COMPUTED_VALUE"""),"バスト")</f>
        <v>バスト</v>
      </c>
      <c r="G44" s="550" t="str">
        <f>IFERROR(__xludf.DUMMYFUNCTION("""COMPUTED_VALUE"""),"バスト")</f>
        <v>バスト</v>
      </c>
      <c r="H44" s="572" t="str">
        <f>IFERROR(__xludf.DUMMYFUNCTION("""COMPUTED_VALUE"""),"2")</f>
        <v>2</v>
      </c>
      <c r="I44" s="537"/>
      <c r="J44" s="538">
        <f>IFERROR(__xludf.DUMMYFUNCTION("""COMPUTED_VALUE"""),7.0)</f>
        <v>7</v>
      </c>
      <c r="K44" s="537">
        <f>IFERROR(__xludf.DUMMYFUNCTION("""COMPUTED_VALUE"""),46000.0)</f>
        <v>46000</v>
      </c>
      <c r="L44" s="539">
        <f>IFERROR(__xludf.DUMMYFUNCTION("""COMPUTED_VALUE"""),46003.0)</f>
        <v>46003</v>
      </c>
      <c r="M44" s="540">
        <f>IFERROR(__xludf.DUMMYFUNCTION("""COMPUTED_VALUE"""),46008.0)</f>
        <v>46008</v>
      </c>
      <c r="N44" s="539">
        <f>IFERROR(__xludf.DUMMYFUNCTION("""COMPUTED_VALUE"""),4950.0)</f>
        <v>4950</v>
      </c>
      <c r="O44" s="593">
        <f>IFERROR(__xludf.DUMMYFUNCTION("""COMPUTED_VALUE"""),4500.0)</f>
        <v>4500</v>
      </c>
      <c r="P44" s="594">
        <f>IFERROR(__xludf.DUMMYFUNCTION("""COMPUTED_VALUE"""),3000.0)</f>
        <v>3000</v>
      </c>
      <c r="Q44" s="183"/>
      <c r="R44" s="544"/>
      <c r="S44" s="544"/>
      <c r="T44" s="544"/>
      <c r="U44" s="595">
        <f>IFERROR(__xludf.DUMMYFUNCTION("""COMPUTED_VALUE"""),45658.0)</f>
        <v>45658</v>
      </c>
      <c r="V44" s="544"/>
      <c r="W44" s="544"/>
      <c r="X44" s="544"/>
      <c r="Y44" s="544"/>
      <c r="Z44" s="605"/>
      <c r="AA44" s="569"/>
      <c r="AB44" s="570" t="str">
        <f>IFERROR(__xludf.DUMMYFUNCTION("""COMPUTED_VALUE"""),"極上の着心地とハリ感が調和する、ウルトラハイゲージジャージーシャツ")</f>
        <v>極上の着心地とハリ感が調和する、ウルトラハイゲージジャージーシャツ</v>
      </c>
      <c r="AC44" s="570" t="str">
        <f>IFERROR(__xludf.DUMMYFUNCTION("""COMPUTED_VALUE"""),"W240022")</f>
        <v>W240022</v>
      </c>
      <c r="AD44" s="570" t="str">
        <f>IFERROR(__xludf.DUMMYFUNCTION("""COMPUTED_VALUE"""),"出しNG（再製作）ジャケット・スラックス")</f>
        <v>出しNG（再製作）ジャケット・スラックス</v>
      </c>
      <c r="AE44" s="571"/>
      <c r="AF44" s="571"/>
      <c r="AG44" s="571"/>
      <c r="AH44" s="571"/>
      <c r="AI44" s="571"/>
      <c r="AJ44" s="571"/>
      <c r="AK44" s="571"/>
      <c r="AL44" s="571"/>
      <c r="AM44" s="571"/>
    </row>
    <row r="45" hidden="1">
      <c r="A45" s="531" t="str">
        <f>IFERROR(__xludf.DUMMYFUNCTION("""COMPUTED_VALUE"""),"サイズ")</f>
        <v>サイズ</v>
      </c>
      <c r="B45" s="531" t="str">
        <f>IFERROR(__xludf.DUMMYFUNCTION("""COMPUTED_VALUE"""),"ジャケット / ジャコット")</f>
        <v>ジャケット / ジャコット</v>
      </c>
      <c r="C45" s="531" t="str">
        <f>IFERROR(__xludf.DUMMYFUNCTION("""COMPUTED_VALUE"""),"バスト")</f>
        <v>バスト</v>
      </c>
      <c r="D45" s="550"/>
      <c r="E45" s="533"/>
      <c r="F45" s="534" t="str">
        <f>IFERROR(__xludf.DUMMYFUNCTION("""COMPUTED_VALUE"""),"バスト")</f>
        <v>バスト</v>
      </c>
      <c r="G45" s="550" t="str">
        <f>IFERROR(__xludf.DUMMYFUNCTION("""COMPUTED_VALUE"""),"バスト")</f>
        <v>バスト</v>
      </c>
      <c r="H45" s="572" t="str">
        <f>IFERROR(__xludf.DUMMYFUNCTION("""COMPUTED_VALUE"""),"3")</f>
        <v>3</v>
      </c>
      <c r="I45" s="537"/>
      <c r="J45" s="538">
        <f>IFERROR(__xludf.DUMMYFUNCTION("""COMPUTED_VALUE"""),7.0)</f>
        <v>7</v>
      </c>
      <c r="K45" s="537">
        <f>IFERROR(__xludf.DUMMYFUNCTION("""COMPUTED_VALUE"""),46000.0)</f>
        <v>46000</v>
      </c>
      <c r="L45" s="539">
        <f>IFERROR(__xludf.DUMMYFUNCTION("""COMPUTED_VALUE"""),46003.0)</f>
        <v>46003</v>
      </c>
      <c r="M45" s="540">
        <f>IFERROR(__xludf.DUMMYFUNCTION("""COMPUTED_VALUE"""),46008.0)</f>
        <v>46008</v>
      </c>
      <c r="N45" s="539">
        <f>IFERROR(__xludf.DUMMYFUNCTION("""COMPUTED_VALUE"""),4950.0)</f>
        <v>4950</v>
      </c>
      <c r="O45" s="593">
        <f>IFERROR(__xludf.DUMMYFUNCTION("""COMPUTED_VALUE"""),4500.0)</f>
        <v>4500</v>
      </c>
      <c r="P45" s="594">
        <f>IFERROR(__xludf.DUMMYFUNCTION("""COMPUTED_VALUE"""),3000.0)</f>
        <v>3000</v>
      </c>
      <c r="Q45" s="183"/>
      <c r="R45" s="544"/>
      <c r="S45" s="544"/>
      <c r="T45" s="544"/>
      <c r="U45" s="595">
        <f>IFERROR(__xludf.DUMMYFUNCTION("""COMPUTED_VALUE"""),45659.0)</f>
        <v>45659</v>
      </c>
      <c r="V45" s="544"/>
      <c r="W45" s="544"/>
      <c r="X45" s="544"/>
      <c r="Y45" s="544"/>
      <c r="Z45" s="605"/>
      <c r="AA45" s="569"/>
      <c r="AB45" s="570" t="str">
        <f>IFERROR(__xludf.DUMMYFUNCTION("""COMPUTED_VALUE"""),"極上の着心地とハリ感が調和する、ウルトラハイゲージジャージーシャツ")</f>
        <v>極上の着心地とハリ感が調和する、ウルトラハイゲージジャージーシャツ</v>
      </c>
      <c r="AC45" s="570" t="str">
        <f>IFERROR(__xludf.DUMMYFUNCTION("""COMPUTED_VALUE"""),"W240023")</f>
        <v>W240023</v>
      </c>
      <c r="AD45" s="570" t="str">
        <f>IFERROR(__xludf.DUMMYFUNCTION("""COMPUTED_VALUE"""),"出しNG（再製作）ジャケット・スラックス")</f>
        <v>出しNG（再製作）ジャケット・スラックス</v>
      </c>
      <c r="AE45" s="571"/>
      <c r="AF45" s="571"/>
      <c r="AG45" s="571"/>
      <c r="AH45" s="571"/>
      <c r="AI45" s="571"/>
      <c r="AJ45" s="571"/>
      <c r="AK45" s="571"/>
      <c r="AL45" s="571"/>
      <c r="AM45" s="571"/>
    </row>
    <row r="46" hidden="1">
      <c r="A46" s="531" t="str">
        <f>IFERROR(__xludf.DUMMYFUNCTION("""COMPUTED_VALUE"""),"サイズ")</f>
        <v>サイズ</v>
      </c>
      <c r="B46" s="531" t="str">
        <f>IFERROR(__xludf.DUMMYFUNCTION("""COMPUTED_VALUE"""),"ジャケット / ジャコット")</f>
        <v>ジャケット / ジャコット</v>
      </c>
      <c r="C46" s="531" t="str">
        <f>IFERROR(__xludf.DUMMYFUNCTION("""COMPUTED_VALUE"""),"ウエスト")</f>
        <v>ウエスト</v>
      </c>
      <c r="D46" s="550" t="str">
        <f>IFERROR(__xludf.DUMMYFUNCTION("""COMPUTED_VALUE"""),"センターベント")</f>
        <v>センターベント</v>
      </c>
      <c r="E46" s="533"/>
      <c r="F46" s="534" t="str">
        <f>IFERROR(__xludf.DUMMYFUNCTION("""COMPUTED_VALUE"""),"ウエスト / センターベント")</f>
        <v>ウエスト / センターベント</v>
      </c>
      <c r="G46" s="550" t="str">
        <f>IFERROR(__xludf.DUMMYFUNCTION("""COMPUTED_VALUE"""),"ウエスト / センターベント")</f>
        <v>ウエスト / センターベント</v>
      </c>
      <c r="H46" s="572" t="str">
        <f>IFERROR(__xludf.DUMMYFUNCTION("""COMPUTED_VALUE"""),"-5")</f>
        <v>-5</v>
      </c>
      <c r="I46" s="537"/>
      <c r="J46" s="538">
        <f>IFERROR(__xludf.DUMMYFUNCTION("""COMPUTED_VALUE"""),7.0)</f>
        <v>7</v>
      </c>
      <c r="K46" s="537">
        <f>IFERROR(__xludf.DUMMYFUNCTION("""COMPUTED_VALUE"""),46000.0)</f>
        <v>46000</v>
      </c>
      <c r="L46" s="539">
        <f>IFERROR(__xludf.DUMMYFUNCTION("""COMPUTED_VALUE"""),46003.0)</f>
        <v>46003</v>
      </c>
      <c r="M46" s="540">
        <f>IFERROR(__xludf.DUMMYFUNCTION("""COMPUTED_VALUE"""),46008.0)</f>
        <v>46008</v>
      </c>
      <c r="N46" s="539">
        <f>IFERROR(__xludf.DUMMYFUNCTION("""COMPUTED_VALUE"""),7430.0)</f>
        <v>7430</v>
      </c>
      <c r="O46" s="593">
        <f>IFERROR(__xludf.DUMMYFUNCTION("""COMPUTED_VALUE"""),6750.0)</f>
        <v>6750</v>
      </c>
      <c r="P46" s="594">
        <f>IFERROR(__xludf.DUMMYFUNCTION("""COMPUTED_VALUE"""),4500.0)</f>
        <v>4500</v>
      </c>
      <c r="Q46" s="183"/>
      <c r="R46" s="544"/>
      <c r="S46" s="544"/>
      <c r="T46" s="544"/>
      <c r="U46" s="595">
        <f>IFERROR(__xludf.DUMMYFUNCTION("""COMPUTED_VALUE"""),45660.0)</f>
        <v>45660</v>
      </c>
      <c r="V46" s="544"/>
      <c r="W46" s="544"/>
      <c r="X46" s="544"/>
      <c r="Y46" s="544"/>
      <c r="Z46" s="605"/>
      <c r="AA46" s="569"/>
      <c r="AB46" s="570" t="str">
        <f>IFERROR(__xludf.DUMMYFUNCTION("""COMPUTED_VALUE"""),"極上の着心地とハリ感が調和する、ウルトラハイゲージジャージーシャツ")</f>
        <v>極上の着心地とハリ感が調和する、ウルトラハイゲージジャージーシャツ</v>
      </c>
      <c r="AC46" s="570" t="str">
        <f>IFERROR(__xludf.DUMMYFUNCTION("""COMPUTED_VALUE"""),"W240026")</f>
        <v>W240026</v>
      </c>
      <c r="AD46" s="570" t="str">
        <f>IFERROR(__xludf.DUMMYFUNCTION("""COMPUTED_VALUE"""),"出しNG（再製作）ジャケット・スラックス")</f>
        <v>出しNG（再製作）ジャケット・スラックス</v>
      </c>
      <c r="AE46" s="571"/>
      <c r="AF46" s="571"/>
      <c r="AG46" s="571"/>
      <c r="AH46" s="571"/>
      <c r="AI46" s="571"/>
      <c r="AJ46" s="571"/>
      <c r="AK46" s="571"/>
      <c r="AL46" s="571"/>
      <c r="AM46" s="571"/>
    </row>
    <row r="47" hidden="1">
      <c r="A47" s="531" t="str">
        <f>IFERROR(__xludf.DUMMYFUNCTION("""COMPUTED_VALUE"""),"サイズ")</f>
        <v>サイズ</v>
      </c>
      <c r="B47" s="531" t="str">
        <f>IFERROR(__xludf.DUMMYFUNCTION("""COMPUTED_VALUE"""),"ジャケット / ジャコット")</f>
        <v>ジャケット / ジャコット</v>
      </c>
      <c r="C47" s="531" t="str">
        <f>IFERROR(__xludf.DUMMYFUNCTION("""COMPUTED_VALUE"""),"ウエスト")</f>
        <v>ウエスト</v>
      </c>
      <c r="D47" s="550" t="str">
        <f>IFERROR(__xludf.DUMMYFUNCTION("""COMPUTED_VALUE"""),"センターベント")</f>
        <v>センターベント</v>
      </c>
      <c r="E47" s="533"/>
      <c r="F47" s="534" t="str">
        <f>IFERROR(__xludf.DUMMYFUNCTION("""COMPUTED_VALUE"""),"ウエスト / センターベント")</f>
        <v>ウエスト / センターベント</v>
      </c>
      <c r="G47" s="550" t="str">
        <f>IFERROR(__xludf.DUMMYFUNCTION("""COMPUTED_VALUE"""),"ウエスト / センターベント")</f>
        <v>ウエスト / センターベント</v>
      </c>
      <c r="H47" s="572" t="str">
        <f>IFERROR(__xludf.DUMMYFUNCTION("""COMPUTED_VALUE"""),"-4")</f>
        <v>-4</v>
      </c>
      <c r="I47" s="537"/>
      <c r="J47" s="538">
        <f>IFERROR(__xludf.DUMMYFUNCTION("""COMPUTED_VALUE"""),7.0)</f>
        <v>7</v>
      </c>
      <c r="K47" s="537">
        <f>IFERROR(__xludf.DUMMYFUNCTION("""COMPUTED_VALUE"""),46000.0)</f>
        <v>46000</v>
      </c>
      <c r="L47" s="539">
        <f>IFERROR(__xludf.DUMMYFUNCTION("""COMPUTED_VALUE"""),46003.0)</f>
        <v>46003</v>
      </c>
      <c r="M47" s="540">
        <f>IFERROR(__xludf.DUMMYFUNCTION("""COMPUTED_VALUE"""),46008.0)</f>
        <v>46008</v>
      </c>
      <c r="N47" s="539">
        <f>IFERROR(__xludf.DUMMYFUNCTION("""COMPUTED_VALUE"""),7430.0)</f>
        <v>7430</v>
      </c>
      <c r="O47" s="593">
        <f>IFERROR(__xludf.DUMMYFUNCTION("""COMPUTED_VALUE"""),6750.0)</f>
        <v>6750</v>
      </c>
      <c r="P47" s="594">
        <f>IFERROR(__xludf.DUMMYFUNCTION("""COMPUTED_VALUE"""),4500.0)</f>
        <v>4500</v>
      </c>
      <c r="Q47" s="183"/>
      <c r="R47" s="544"/>
      <c r="S47" s="544"/>
      <c r="T47" s="544"/>
      <c r="U47" s="595">
        <f>IFERROR(__xludf.DUMMYFUNCTION("""COMPUTED_VALUE"""),45660.0)</f>
        <v>45660</v>
      </c>
      <c r="V47" s="544"/>
      <c r="W47" s="544"/>
      <c r="X47" s="544"/>
      <c r="Y47" s="544"/>
      <c r="Z47" s="605"/>
      <c r="AA47" s="569"/>
      <c r="AB47" s="570" t="str">
        <f>IFERROR(__xludf.DUMMYFUNCTION("""COMPUTED_VALUE"""),"極上の着心地とハリ感が調和する、ウルトラハイゲージジャージーシャツ")</f>
        <v>極上の着心地とハリ感が調和する、ウルトラハイゲージジャージーシャツ</v>
      </c>
      <c r="AC47" s="570" t="str">
        <f>IFERROR(__xludf.DUMMYFUNCTION("""COMPUTED_VALUE"""),"W240026")</f>
        <v>W240026</v>
      </c>
      <c r="AD47" s="570" t="str">
        <f>IFERROR(__xludf.DUMMYFUNCTION("""COMPUTED_VALUE"""),"出しNG（再製作）ジャケット・スラックス")</f>
        <v>出しNG（再製作）ジャケット・スラックス</v>
      </c>
      <c r="AE47" s="571"/>
      <c r="AF47" s="571"/>
      <c r="AG47" s="571"/>
      <c r="AH47" s="571"/>
      <c r="AI47" s="571"/>
      <c r="AJ47" s="571"/>
      <c r="AK47" s="571"/>
      <c r="AL47" s="571"/>
      <c r="AM47" s="571"/>
    </row>
    <row r="48" hidden="1">
      <c r="A48" s="531" t="str">
        <f>IFERROR(__xludf.DUMMYFUNCTION("""COMPUTED_VALUE"""),"サイズ")</f>
        <v>サイズ</v>
      </c>
      <c r="B48" s="531" t="str">
        <f>IFERROR(__xludf.DUMMYFUNCTION("""COMPUTED_VALUE"""),"ジャケット / ジャコット")</f>
        <v>ジャケット / ジャコット</v>
      </c>
      <c r="C48" s="531" t="str">
        <f>IFERROR(__xludf.DUMMYFUNCTION("""COMPUTED_VALUE"""),"ウエスト")</f>
        <v>ウエスト</v>
      </c>
      <c r="D48" s="550" t="str">
        <f>IFERROR(__xludf.DUMMYFUNCTION("""COMPUTED_VALUE"""),"センターベント")</f>
        <v>センターベント</v>
      </c>
      <c r="E48" s="533"/>
      <c r="F48" s="534" t="str">
        <f>IFERROR(__xludf.DUMMYFUNCTION("""COMPUTED_VALUE"""),"ウエスト / センターベント")</f>
        <v>ウエスト / センターベント</v>
      </c>
      <c r="G48" s="550" t="str">
        <f>IFERROR(__xludf.DUMMYFUNCTION("""COMPUTED_VALUE"""),"ウエスト / センターベント")</f>
        <v>ウエスト / センターベント</v>
      </c>
      <c r="H48" s="572" t="str">
        <f>IFERROR(__xludf.DUMMYFUNCTION("""COMPUTED_VALUE"""),"-3")</f>
        <v>-3</v>
      </c>
      <c r="I48" s="537"/>
      <c r="J48" s="538">
        <f>IFERROR(__xludf.DUMMYFUNCTION("""COMPUTED_VALUE"""),7.0)</f>
        <v>7</v>
      </c>
      <c r="K48" s="537">
        <f>IFERROR(__xludf.DUMMYFUNCTION("""COMPUTED_VALUE"""),46000.0)</f>
        <v>46000</v>
      </c>
      <c r="L48" s="539">
        <f>IFERROR(__xludf.DUMMYFUNCTION("""COMPUTED_VALUE"""),46003.0)</f>
        <v>46003</v>
      </c>
      <c r="M48" s="540">
        <f>IFERROR(__xludf.DUMMYFUNCTION("""COMPUTED_VALUE"""),46008.0)</f>
        <v>46008</v>
      </c>
      <c r="N48" s="539">
        <f>IFERROR(__xludf.DUMMYFUNCTION("""COMPUTED_VALUE"""),7430.0)</f>
        <v>7430</v>
      </c>
      <c r="O48" s="593">
        <f>IFERROR(__xludf.DUMMYFUNCTION("""COMPUTED_VALUE"""),6750.0)</f>
        <v>6750</v>
      </c>
      <c r="P48" s="594">
        <f>IFERROR(__xludf.DUMMYFUNCTION("""COMPUTED_VALUE"""),4500.0)</f>
        <v>4500</v>
      </c>
      <c r="Q48" s="183"/>
      <c r="R48" s="544"/>
      <c r="S48" s="544"/>
      <c r="T48" s="544"/>
      <c r="U48" s="595">
        <f>IFERROR(__xludf.DUMMYFUNCTION("""COMPUTED_VALUE"""),45663.0)</f>
        <v>45663</v>
      </c>
      <c r="V48" s="544"/>
      <c r="W48" s="544"/>
      <c r="X48" s="544"/>
      <c r="Y48" s="544"/>
      <c r="Z48" s="529"/>
      <c r="AA48" s="529"/>
      <c r="AB48" s="529" t="str">
        <f>IFERROR(__xludf.DUMMYFUNCTION("""COMPUTED_VALUE"""),"極上の着心地とハリ感が調和する、ウルトラハイゲージジャージーシャツ")</f>
        <v>極上の着心地とハリ感が調和する、ウルトラハイゲージジャージーシャツ</v>
      </c>
      <c r="AC48" s="529" t="str">
        <f>IFERROR(__xludf.DUMMYFUNCTION("""COMPUTED_VALUE"""),"W240027")</f>
        <v>W240027</v>
      </c>
      <c r="AD48" s="529" t="str">
        <f>IFERROR(__xludf.DUMMYFUNCTION("""COMPUTED_VALUE"""),"出しNG（再製作）ジャケット・スラックス")</f>
        <v>出しNG（再製作）ジャケット・スラックス</v>
      </c>
      <c r="AE48" s="273"/>
    </row>
    <row r="49" hidden="1">
      <c r="A49" s="531" t="str">
        <f>IFERROR(__xludf.DUMMYFUNCTION("""COMPUTED_VALUE"""),"サイズ")</f>
        <v>サイズ</v>
      </c>
      <c r="B49" s="531" t="str">
        <f>IFERROR(__xludf.DUMMYFUNCTION("""COMPUTED_VALUE"""),"ジャケット / ジャコット")</f>
        <v>ジャケット / ジャコット</v>
      </c>
      <c r="C49" s="531" t="str">
        <f>IFERROR(__xludf.DUMMYFUNCTION("""COMPUTED_VALUE"""),"ウエスト")</f>
        <v>ウエスト</v>
      </c>
      <c r="D49" s="550" t="str">
        <f>IFERROR(__xludf.DUMMYFUNCTION("""COMPUTED_VALUE"""),"センターベント")</f>
        <v>センターベント</v>
      </c>
      <c r="E49" s="533"/>
      <c r="F49" s="534" t="str">
        <f>IFERROR(__xludf.DUMMYFUNCTION("""COMPUTED_VALUE"""),"ウエスト / センターベント")</f>
        <v>ウエスト / センターベント</v>
      </c>
      <c r="G49" s="550" t="str">
        <f>IFERROR(__xludf.DUMMYFUNCTION("""COMPUTED_VALUE"""),"ウエスト / センターベント")</f>
        <v>ウエスト / センターベント</v>
      </c>
      <c r="H49" s="572" t="str">
        <f>IFERROR(__xludf.DUMMYFUNCTION("""COMPUTED_VALUE"""),"-2")</f>
        <v>-2</v>
      </c>
      <c r="I49" s="537"/>
      <c r="J49" s="538">
        <f>IFERROR(__xludf.DUMMYFUNCTION("""COMPUTED_VALUE"""),7.0)</f>
        <v>7</v>
      </c>
      <c r="K49" s="537">
        <f>IFERROR(__xludf.DUMMYFUNCTION("""COMPUTED_VALUE"""),46000.0)</f>
        <v>46000</v>
      </c>
      <c r="L49" s="539">
        <f>IFERROR(__xludf.DUMMYFUNCTION("""COMPUTED_VALUE"""),46003.0)</f>
        <v>46003</v>
      </c>
      <c r="M49" s="540">
        <f>IFERROR(__xludf.DUMMYFUNCTION("""COMPUTED_VALUE"""),46008.0)</f>
        <v>46008</v>
      </c>
      <c r="N49" s="539">
        <f>IFERROR(__xludf.DUMMYFUNCTION("""COMPUTED_VALUE"""),7430.0)</f>
        <v>7430</v>
      </c>
      <c r="O49" s="593">
        <f>IFERROR(__xludf.DUMMYFUNCTION("""COMPUTED_VALUE"""),6750.0)</f>
        <v>6750</v>
      </c>
      <c r="P49" s="594">
        <f>IFERROR(__xludf.DUMMYFUNCTION("""COMPUTED_VALUE"""),4500.0)</f>
        <v>4500</v>
      </c>
      <c r="Q49" s="183"/>
      <c r="R49" s="544"/>
      <c r="S49" s="544"/>
      <c r="T49" s="544"/>
      <c r="U49" s="609">
        <f>IFERROR(__xludf.DUMMYFUNCTION("""COMPUTED_VALUE"""),45664.0)</f>
        <v>45664</v>
      </c>
      <c r="V49" s="529"/>
      <c r="W49" s="529"/>
      <c r="X49" s="529"/>
      <c r="Y49" s="529"/>
      <c r="Z49" s="529"/>
      <c r="AA49" s="529"/>
      <c r="AB49" s="529"/>
      <c r="AC49" s="529"/>
      <c r="AD49" s="529"/>
      <c r="AE49" s="273"/>
    </row>
    <row r="50" hidden="1">
      <c r="A50" s="531" t="str">
        <f>IFERROR(__xludf.DUMMYFUNCTION("""COMPUTED_VALUE"""),"サイズ")</f>
        <v>サイズ</v>
      </c>
      <c r="B50" s="531" t="str">
        <f>IFERROR(__xludf.DUMMYFUNCTION("""COMPUTED_VALUE"""),"ジャケット / ジャコット")</f>
        <v>ジャケット / ジャコット</v>
      </c>
      <c r="C50" s="531" t="str">
        <f>IFERROR(__xludf.DUMMYFUNCTION("""COMPUTED_VALUE"""),"ウエスト")</f>
        <v>ウエスト</v>
      </c>
      <c r="D50" s="550" t="str">
        <f>IFERROR(__xludf.DUMMYFUNCTION("""COMPUTED_VALUE"""),"センターベント")</f>
        <v>センターベント</v>
      </c>
      <c r="E50" s="533"/>
      <c r="F50" s="534" t="str">
        <f>IFERROR(__xludf.DUMMYFUNCTION("""COMPUTED_VALUE"""),"ウエスト / センターベント")</f>
        <v>ウエスト / センターベント</v>
      </c>
      <c r="G50" s="550" t="str">
        <f>IFERROR(__xludf.DUMMYFUNCTION("""COMPUTED_VALUE"""),"ウエスト / センターベント")</f>
        <v>ウエスト / センターベント</v>
      </c>
      <c r="H50" s="572" t="str">
        <f>IFERROR(__xludf.DUMMYFUNCTION("""COMPUTED_VALUE"""),"-1")</f>
        <v>-1</v>
      </c>
      <c r="I50" s="537"/>
      <c r="J50" s="538">
        <f>IFERROR(__xludf.DUMMYFUNCTION("""COMPUTED_VALUE"""),7.0)</f>
        <v>7</v>
      </c>
      <c r="K50" s="537">
        <f>IFERROR(__xludf.DUMMYFUNCTION("""COMPUTED_VALUE"""),46000.0)</f>
        <v>46000</v>
      </c>
      <c r="L50" s="539">
        <f>IFERROR(__xludf.DUMMYFUNCTION("""COMPUTED_VALUE"""),46003.0)</f>
        <v>46003</v>
      </c>
      <c r="M50" s="540">
        <f>IFERROR(__xludf.DUMMYFUNCTION("""COMPUTED_VALUE"""),46008.0)</f>
        <v>46008</v>
      </c>
      <c r="N50" s="539">
        <f>IFERROR(__xludf.DUMMYFUNCTION("""COMPUTED_VALUE"""),7430.0)</f>
        <v>7430</v>
      </c>
      <c r="O50" s="593">
        <f>IFERROR(__xludf.DUMMYFUNCTION("""COMPUTED_VALUE"""),6750.0)</f>
        <v>6750</v>
      </c>
      <c r="P50" s="594">
        <f>IFERROR(__xludf.DUMMYFUNCTION("""COMPUTED_VALUE"""),4500.0)</f>
        <v>4500</v>
      </c>
      <c r="Q50" s="183"/>
      <c r="R50" s="544"/>
      <c r="S50" s="544"/>
      <c r="T50" s="544"/>
      <c r="U50" s="609">
        <f>IFERROR(__xludf.DUMMYFUNCTION("""COMPUTED_VALUE"""),45670.0)</f>
        <v>45670</v>
      </c>
      <c r="V50" s="529"/>
      <c r="W50" s="529"/>
      <c r="X50" s="529"/>
      <c r="Y50" s="529"/>
      <c r="Z50" s="529"/>
      <c r="AA50" s="529"/>
      <c r="AB50" s="529"/>
      <c r="AC50" s="529"/>
      <c r="AD50" s="529"/>
      <c r="AE50" s="273"/>
    </row>
    <row r="51" hidden="1">
      <c r="A51" s="531" t="str">
        <f>IFERROR(__xludf.DUMMYFUNCTION("""COMPUTED_VALUE"""),"サイズ")</f>
        <v>サイズ</v>
      </c>
      <c r="B51" s="531" t="str">
        <f>IFERROR(__xludf.DUMMYFUNCTION("""COMPUTED_VALUE"""),"ジャケット / ジャコット")</f>
        <v>ジャケット / ジャコット</v>
      </c>
      <c r="C51" s="531" t="str">
        <f>IFERROR(__xludf.DUMMYFUNCTION("""COMPUTED_VALUE"""),"ウエスト")</f>
        <v>ウエスト</v>
      </c>
      <c r="D51" s="550" t="str">
        <f>IFERROR(__xludf.DUMMYFUNCTION("""COMPUTED_VALUE"""),"センターベント")</f>
        <v>センターベント</v>
      </c>
      <c r="E51" s="533"/>
      <c r="F51" s="534" t="str">
        <f>IFERROR(__xludf.DUMMYFUNCTION("""COMPUTED_VALUE"""),"ウエスト / センターベント")</f>
        <v>ウエスト / センターベント</v>
      </c>
      <c r="G51" s="550" t="str">
        <f>IFERROR(__xludf.DUMMYFUNCTION("""COMPUTED_VALUE"""),"ウエスト / センターベント")</f>
        <v>ウエスト / センターベント</v>
      </c>
      <c r="H51" s="572" t="str">
        <f>IFERROR(__xludf.DUMMYFUNCTION("""COMPUTED_VALUE"""),"1")</f>
        <v>1</v>
      </c>
      <c r="I51" s="537"/>
      <c r="J51" s="538">
        <f>IFERROR(__xludf.DUMMYFUNCTION("""COMPUTED_VALUE"""),7.0)</f>
        <v>7</v>
      </c>
      <c r="K51" s="537">
        <f>IFERROR(__xludf.DUMMYFUNCTION("""COMPUTED_VALUE"""),46000.0)</f>
        <v>46000</v>
      </c>
      <c r="L51" s="539">
        <f>IFERROR(__xludf.DUMMYFUNCTION("""COMPUTED_VALUE"""),46003.0)</f>
        <v>46003</v>
      </c>
      <c r="M51" s="540">
        <f>IFERROR(__xludf.DUMMYFUNCTION("""COMPUTED_VALUE"""),46008.0)</f>
        <v>46008</v>
      </c>
      <c r="N51" s="539">
        <f>IFERROR(__xludf.DUMMYFUNCTION("""COMPUTED_VALUE"""),4950.0)</f>
        <v>4950</v>
      </c>
      <c r="O51" s="593">
        <f>IFERROR(__xludf.DUMMYFUNCTION("""COMPUTED_VALUE"""),4500.0)</f>
        <v>4500</v>
      </c>
      <c r="P51" s="594">
        <f>IFERROR(__xludf.DUMMYFUNCTION("""COMPUTED_VALUE"""),3000.0)</f>
        <v>3000</v>
      </c>
      <c r="Q51" s="183"/>
      <c r="R51" s="544"/>
      <c r="S51" s="544"/>
      <c r="T51" s="544"/>
      <c r="U51" s="609">
        <f>IFERROR(__xludf.DUMMYFUNCTION("""COMPUTED_VALUE"""),45699.0)</f>
        <v>45699</v>
      </c>
      <c r="V51" s="529"/>
      <c r="W51" s="529"/>
      <c r="X51" s="529"/>
      <c r="Y51" s="529"/>
      <c r="Z51" s="529"/>
      <c r="AA51" s="529"/>
      <c r="AB51" s="529"/>
      <c r="AC51" s="529"/>
      <c r="AD51" s="529"/>
      <c r="AE51" s="273"/>
    </row>
    <row r="52" hidden="1">
      <c r="A52" s="531" t="str">
        <f>IFERROR(__xludf.DUMMYFUNCTION("""COMPUTED_VALUE"""),"サイズ")</f>
        <v>サイズ</v>
      </c>
      <c r="B52" s="531" t="str">
        <f>IFERROR(__xludf.DUMMYFUNCTION("""COMPUTED_VALUE"""),"ジャケット / ジャコット")</f>
        <v>ジャケット / ジャコット</v>
      </c>
      <c r="C52" s="531" t="str">
        <f>IFERROR(__xludf.DUMMYFUNCTION("""COMPUTED_VALUE"""),"ウエスト")</f>
        <v>ウエスト</v>
      </c>
      <c r="D52" s="550" t="str">
        <f>IFERROR(__xludf.DUMMYFUNCTION("""COMPUTED_VALUE"""),"センターベント")</f>
        <v>センターベント</v>
      </c>
      <c r="E52" s="533"/>
      <c r="F52" s="534" t="str">
        <f>IFERROR(__xludf.DUMMYFUNCTION("""COMPUTED_VALUE"""),"ウエスト / センターベント")</f>
        <v>ウエスト / センターベント</v>
      </c>
      <c r="G52" s="550" t="str">
        <f>IFERROR(__xludf.DUMMYFUNCTION("""COMPUTED_VALUE"""),"ウエスト / センターベント")</f>
        <v>ウエスト / センターベント</v>
      </c>
      <c r="H52" s="572" t="str">
        <f>IFERROR(__xludf.DUMMYFUNCTION("""COMPUTED_VALUE"""),"2")</f>
        <v>2</v>
      </c>
      <c r="I52" s="537"/>
      <c r="J52" s="538">
        <f>IFERROR(__xludf.DUMMYFUNCTION("""COMPUTED_VALUE"""),7.0)</f>
        <v>7</v>
      </c>
      <c r="K52" s="537">
        <f>IFERROR(__xludf.DUMMYFUNCTION("""COMPUTED_VALUE"""),46000.0)</f>
        <v>46000</v>
      </c>
      <c r="L52" s="539">
        <f>IFERROR(__xludf.DUMMYFUNCTION("""COMPUTED_VALUE"""),46003.0)</f>
        <v>46003</v>
      </c>
      <c r="M52" s="540">
        <f>IFERROR(__xludf.DUMMYFUNCTION("""COMPUTED_VALUE"""),46008.0)</f>
        <v>46008</v>
      </c>
      <c r="N52" s="539">
        <f>IFERROR(__xludf.DUMMYFUNCTION("""COMPUTED_VALUE"""),4950.0)</f>
        <v>4950</v>
      </c>
      <c r="O52" s="593">
        <f>IFERROR(__xludf.DUMMYFUNCTION("""COMPUTED_VALUE"""),4500.0)</f>
        <v>4500</v>
      </c>
      <c r="P52" s="594">
        <f>IFERROR(__xludf.DUMMYFUNCTION("""COMPUTED_VALUE"""),3000.0)</f>
        <v>3000</v>
      </c>
      <c r="Q52" s="183"/>
      <c r="R52" s="544"/>
      <c r="S52" s="544"/>
      <c r="T52" s="544"/>
      <c r="U52" s="609">
        <f>IFERROR(__xludf.DUMMYFUNCTION("""COMPUTED_VALUE"""),45712.0)</f>
        <v>45712</v>
      </c>
      <c r="V52" s="529"/>
      <c r="W52" s="529"/>
      <c r="X52" s="529"/>
      <c r="Y52" s="529"/>
      <c r="Z52" s="529"/>
      <c r="AA52" s="529"/>
      <c r="AB52" s="529"/>
      <c r="AC52" s="529"/>
      <c r="AD52" s="529"/>
      <c r="AE52" s="273"/>
    </row>
    <row r="53" hidden="1">
      <c r="A53" s="531" t="str">
        <f>IFERROR(__xludf.DUMMYFUNCTION("""COMPUTED_VALUE"""),"サイズ")</f>
        <v>サイズ</v>
      </c>
      <c r="B53" s="531" t="str">
        <f>IFERROR(__xludf.DUMMYFUNCTION("""COMPUTED_VALUE"""),"ジャケット / ジャコット")</f>
        <v>ジャケット / ジャコット</v>
      </c>
      <c r="C53" s="531" t="str">
        <f>IFERROR(__xludf.DUMMYFUNCTION("""COMPUTED_VALUE"""),"ウエスト")</f>
        <v>ウエスト</v>
      </c>
      <c r="D53" s="550" t="str">
        <f>IFERROR(__xludf.DUMMYFUNCTION("""COMPUTED_VALUE"""),"センターベント")</f>
        <v>センターベント</v>
      </c>
      <c r="E53" s="533"/>
      <c r="F53" s="534" t="str">
        <f>IFERROR(__xludf.DUMMYFUNCTION("""COMPUTED_VALUE"""),"ウエスト / センターベント")</f>
        <v>ウエスト / センターベント</v>
      </c>
      <c r="G53" s="550" t="str">
        <f>IFERROR(__xludf.DUMMYFUNCTION("""COMPUTED_VALUE"""),"ウエスト / センターベント")</f>
        <v>ウエスト / センターベント</v>
      </c>
      <c r="H53" s="572" t="str">
        <f>IFERROR(__xludf.DUMMYFUNCTION("""COMPUTED_VALUE"""),"3")</f>
        <v>3</v>
      </c>
      <c r="I53" s="537"/>
      <c r="J53" s="538">
        <f>IFERROR(__xludf.DUMMYFUNCTION("""COMPUTED_VALUE"""),7.0)</f>
        <v>7</v>
      </c>
      <c r="K53" s="537">
        <f>IFERROR(__xludf.DUMMYFUNCTION("""COMPUTED_VALUE"""),46000.0)</f>
        <v>46000</v>
      </c>
      <c r="L53" s="539">
        <f>IFERROR(__xludf.DUMMYFUNCTION("""COMPUTED_VALUE"""),46003.0)</f>
        <v>46003</v>
      </c>
      <c r="M53" s="540">
        <f>IFERROR(__xludf.DUMMYFUNCTION("""COMPUTED_VALUE"""),46008.0)</f>
        <v>46008</v>
      </c>
      <c r="N53" s="539">
        <f>IFERROR(__xludf.DUMMYFUNCTION("""COMPUTED_VALUE"""),4950.0)</f>
        <v>4950</v>
      </c>
      <c r="O53" s="593">
        <f>IFERROR(__xludf.DUMMYFUNCTION("""COMPUTED_VALUE"""),4500.0)</f>
        <v>4500</v>
      </c>
      <c r="P53" s="594">
        <f>IFERROR(__xludf.DUMMYFUNCTION("""COMPUTED_VALUE"""),3000.0)</f>
        <v>3000</v>
      </c>
      <c r="Q53" s="183"/>
      <c r="R53" s="544"/>
      <c r="S53" s="544"/>
      <c r="T53" s="544"/>
      <c r="U53" s="609">
        <f>IFERROR(__xludf.DUMMYFUNCTION("""COMPUTED_VALUE"""),45719.0)</f>
        <v>45719</v>
      </c>
      <c r="V53" s="529"/>
      <c r="W53" s="529"/>
      <c r="X53" s="529"/>
      <c r="Y53" s="529"/>
      <c r="Z53" s="529"/>
      <c r="AA53" s="529"/>
      <c r="AB53" s="529"/>
      <c r="AC53" s="529"/>
      <c r="AD53" s="529"/>
      <c r="AE53" s="273"/>
    </row>
    <row r="54" hidden="1">
      <c r="A54" s="531" t="str">
        <f>IFERROR(__xludf.DUMMYFUNCTION("""COMPUTED_VALUE"""),"サイズ")</f>
        <v>サイズ</v>
      </c>
      <c r="B54" s="531" t="str">
        <f>IFERROR(__xludf.DUMMYFUNCTION("""COMPUTED_VALUE"""),"ジャケット / ジャコット")</f>
        <v>ジャケット / ジャコット</v>
      </c>
      <c r="C54" s="531" t="str">
        <f>IFERROR(__xludf.DUMMYFUNCTION("""COMPUTED_VALUE"""),"ウエスト")</f>
        <v>ウエスト</v>
      </c>
      <c r="D54" s="550" t="str">
        <f>IFERROR(__xludf.DUMMYFUNCTION("""COMPUTED_VALUE"""),"サイドベンツ")</f>
        <v>サイドベンツ</v>
      </c>
      <c r="E54" s="533"/>
      <c r="F54" s="534" t="str">
        <f>IFERROR(__xludf.DUMMYFUNCTION("""COMPUTED_VALUE"""),"ウエスト / サイドベンツ")</f>
        <v>ウエスト / サイドベンツ</v>
      </c>
      <c r="G54" s="550" t="str">
        <f>IFERROR(__xludf.DUMMYFUNCTION("""COMPUTED_VALUE"""),"ウエスト / サイドベンツ")</f>
        <v>ウエスト / サイドベンツ</v>
      </c>
      <c r="H54" s="572" t="str">
        <f>IFERROR(__xludf.DUMMYFUNCTION("""COMPUTED_VALUE"""),"-5")</f>
        <v>-5</v>
      </c>
      <c r="I54" s="537"/>
      <c r="J54" s="538">
        <f>IFERROR(__xludf.DUMMYFUNCTION("""COMPUTED_VALUE"""),7.0)</f>
        <v>7</v>
      </c>
      <c r="K54" s="537">
        <f>IFERROR(__xludf.DUMMYFUNCTION("""COMPUTED_VALUE"""),46000.0)</f>
        <v>46000</v>
      </c>
      <c r="L54" s="539">
        <f>IFERROR(__xludf.DUMMYFUNCTION("""COMPUTED_VALUE"""),46003.0)</f>
        <v>46003</v>
      </c>
      <c r="M54" s="540">
        <f>IFERROR(__xludf.DUMMYFUNCTION("""COMPUTED_VALUE"""),46008.0)</f>
        <v>46008</v>
      </c>
      <c r="N54" s="539">
        <f>IFERROR(__xludf.DUMMYFUNCTION("""COMPUTED_VALUE"""),7430.0)</f>
        <v>7430</v>
      </c>
      <c r="O54" s="593">
        <f>IFERROR(__xludf.DUMMYFUNCTION("""COMPUTED_VALUE"""),6750.0)</f>
        <v>6750</v>
      </c>
      <c r="P54" s="594">
        <f>IFERROR(__xludf.DUMMYFUNCTION("""COMPUTED_VALUE"""),4500.0)</f>
        <v>4500</v>
      </c>
      <c r="Q54" s="183"/>
      <c r="R54" s="544"/>
      <c r="S54" s="544"/>
      <c r="T54" s="544"/>
      <c r="U54" s="609">
        <f>IFERROR(__xludf.DUMMYFUNCTION("""COMPUTED_VALUE"""),45726.0)</f>
        <v>45726</v>
      </c>
      <c r="V54" s="529"/>
      <c r="W54" s="529"/>
      <c r="X54" s="529"/>
      <c r="Y54" s="529"/>
      <c r="Z54" s="529"/>
      <c r="AA54" s="529"/>
      <c r="AB54" s="529"/>
      <c r="AC54" s="529"/>
      <c r="AD54" s="529"/>
      <c r="AE54" s="273"/>
    </row>
    <row r="55" hidden="1">
      <c r="A55" s="531" t="str">
        <f>IFERROR(__xludf.DUMMYFUNCTION("""COMPUTED_VALUE"""),"サイズ")</f>
        <v>サイズ</v>
      </c>
      <c r="B55" s="531" t="str">
        <f>IFERROR(__xludf.DUMMYFUNCTION("""COMPUTED_VALUE"""),"ジャケット / ジャコット")</f>
        <v>ジャケット / ジャコット</v>
      </c>
      <c r="C55" s="531" t="str">
        <f>IFERROR(__xludf.DUMMYFUNCTION("""COMPUTED_VALUE"""),"ウエスト")</f>
        <v>ウエスト</v>
      </c>
      <c r="D55" s="550" t="str">
        <f>IFERROR(__xludf.DUMMYFUNCTION("""COMPUTED_VALUE"""),"サイドベンツ")</f>
        <v>サイドベンツ</v>
      </c>
      <c r="E55" s="533"/>
      <c r="F55" s="534" t="str">
        <f>IFERROR(__xludf.DUMMYFUNCTION("""COMPUTED_VALUE"""),"ウエスト / サイドベンツ")</f>
        <v>ウエスト / サイドベンツ</v>
      </c>
      <c r="G55" s="550" t="str">
        <f>IFERROR(__xludf.DUMMYFUNCTION("""COMPUTED_VALUE"""),"ウエスト / サイドベンツ")</f>
        <v>ウエスト / サイドベンツ</v>
      </c>
      <c r="H55" s="572" t="str">
        <f>IFERROR(__xludf.DUMMYFUNCTION("""COMPUTED_VALUE"""),"-4")</f>
        <v>-4</v>
      </c>
      <c r="I55" s="537"/>
      <c r="J55" s="538">
        <f>IFERROR(__xludf.DUMMYFUNCTION("""COMPUTED_VALUE"""),7.0)</f>
        <v>7</v>
      </c>
      <c r="K55" s="537">
        <f>IFERROR(__xludf.DUMMYFUNCTION("""COMPUTED_VALUE"""),46000.0)</f>
        <v>46000</v>
      </c>
      <c r="L55" s="539">
        <f>IFERROR(__xludf.DUMMYFUNCTION("""COMPUTED_VALUE"""),46003.0)</f>
        <v>46003</v>
      </c>
      <c r="M55" s="540">
        <f>IFERROR(__xludf.DUMMYFUNCTION("""COMPUTED_VALUE"""),46008.0)</f>
        <v>46008</v>
      </c>
      <c r="N55" s="539">
        <f>IFERROR(__xludf.DUMMYFUNCTION("""COMPUTED_VALUE"""),7430.0)</f>
        <v>7430</v>
      </c>
      <c r="O55" s="593">
        <f>IFERROR(__xludf.DUMMYFUNCTION("""COMPUTED_VALUE"""),6750.0)</f>
        <v>6750</v>
      </c>
      <c r="P55" s="594">
        <f>IFERROR(__xludf.DUMMYFUNCTION("""COMPUTED_VALUE"""),4500.0)</f>
        <v>4500</v>
      </c>
      <c r="Q55" s="183"/>
      <c r="R55" s="544"/>
      <c r="S55" s="544"/>
      <c r="T55" s="544"/>
      <c r="U55" s="609">
        <f>IFERROR(__xludf.DUMMYFUNCTION("""COMPUTED_VALUE"""),45726.0)</f>
        <v>45726</v>
      </c>
      <c r="V55" s="529"/>
      <c r="W55" s="529"/>
      <c r="X55" s="529"/>
      <c r="Y55" s="529"/>
      <c r="Z55" s="529"/>
      <c r="AA55" s="529"/>
      <c r="AB55" s="529"/>
      <c r="AC55" s="529"/>
      <c r="AD55" s="529"/>
      <c r="AE55" s="273"/>
    </row>
    <row r="56" hidden="1">
      <c r="A56" s="531" t="str">
        <f>IFERROR(__xludf.DUMMYFUNCTION("""COMPUTED_VALUE"""),"サイズ")</f>
        <v>サイズ</v>
      </c>
      <c r="B56" s="531" t="str">
        <f>IFERROR(__xludf.DUMMYFUNCTION("""COMPUTED_VALUE"""),"ジャケット / ジャコット")</f>
        <v>ジャケット / ジャコット</v>
      </c>
      <c r="C56" s="531" t="str">
        <f>IFERROR(__xludf.DUMMYFUNCTION("""COMPUTED_VALUE"""),"ウエスト")</f>
        <v>ウエスト</v>
      </c>
      <c r="D56" s="550" t="str">
        <f>IFERROR(__xludf.DUMMYFUNCTION("""COMPUTED_VALUE"""),"サイドベンツ")</f>
        <v>サイドベンツ</v>
      </c>
      <c r="E56" s="533"/>
      <c r="F56" s="534" t="str">
        <f>IFERROR(__xludf.DUMMYFUNCTION("""COMPUTED_VALUE"""),"ウエスト / サイドベンツ")</f>
        <v>ウエスト / サイドベンツ</v>
      </c>
      <c r="G56" s="550" t="str">
        <f>IFERROR(__xludf.DUMMYFUNCTION("""COMPUTED_VALUE"""),"ウエスト / サイドベンツ")</f>
        <v>ウエスト / サイドベンツ</v>
      </c>
      <c r="H56" s="572" t="str">
        <f>IFERROR(__xludf.DUMMYFUNCTION("""COMPUTED_VALUE"""),"-3")</f>
        <v>-3</v>
      </c>
      <c r="I56" s="537"/>
      <c r="J56" s="538">
        <f>IFERROR(__xludf.DUMMYFUNCTION("""COMPUTED_VALUE"""),7.0)</f>
        <v>7</v>
      </c>
      <c r="K56" s="537">
        <f>IFERROR(__xludf.DUMMYFUNCTION("""COMPUTED_VALUE"""),46000.0)</f>
        <v>46000</v>
      </c>
      <c r="L56" s="539">
        <f>IFERROR(__xludf.DUMMYFUNCTION("""COMPUTED_VALUE"""),46003.0)</f>
        <v>46003</v>
      </c>
      <c r="M56" s="540">
        <f>IFERROR(__xludf.DUMMYFUNCTION("""COMPUTED_VALUE"""),46008.0)</f>
        <v>46008</v>
      </c>
      <c r="N56" s="539">
        <f>IFERROR(__xludf.DUMMYFUNCTION("""COMPUTED_VALUE"""),7430.0)</f>
        <v>7430</v>
      </c>
      <c r="O56" s="593">
        <f>IFERROR(__xludf.DUMMYFUNCTION("""COMPUTED_VALUE"""),6750.0)</f>
        <v>6750</v>
      </c>
      <c r="P56" s="594">
        <f>IFERROR(__xludf.DUMMYFUNCTION("""COMPUTED_VALUE"""),4500.0)</f>
        <v>4500</v>
      </c>
      <c r="Q56" s="183"/>
      <c r="R56" s="544"/>
      <c r="S56" s="544"/>
      <c r="T56" s="544"/>
      <c r="U56" s="609">
        <f>IFERROR(__xludf.DUMMYFUNCTION("""COMPUTED_VALUE"""),45733.0)</f>
        <v>45733</v>
      </c>
      <c r="V56" s="529"/>
      <c r="W56" s="529"/>
      <c r="X56" s="529"/>
      <c r="Y56" s="529"/>
      <c r="Z56" s="529"/>
      <c r="AA56" s="529"/>
      <c r="AB56" s="529"/>
      <c r="AC56" s="529"/>
      <c r="AD56" s="529"/>
      <c r="AE56" s="273"/>
    </row>
    <row r="57" hidden="1">
      <c r="A57" s="531" t="str">
        <f>IFERROR(__xludf.DUMMYFUNCTION("""COMPUTED_VALUE"""),"サイズ")</f>
        <v>サイズ</v>
      </c>
      <c r="B57" s="531" t="str">
        <f>IFERROR(__xludf.DUMMYFUNCTION("""COMPUTED_VALUE"""),"ジャケット / ジャコット")</f>
        <v>ジャケット / ジャコット</v>
      </c>
      <c r="C57" s="531" t="str">
        <f>IFERROR(__xludf.DUMMYFUNCTION("""COMPUTED_VALUE"""),"ウエスト")</f>
        <v>ウエスト</v>
      </c>
      <c r="D57" s="550" t="str">
        <f>IFERROR(__xludf.DUMMYFUNCTION("""COMPUTED_VALUE"""),"サイドベンツ")</f>
        <v>サイドベンツ</v>
      </c>
      <c r="E57" s="533"/>
      <c r="F57" s="534" t="str">
        <f>IFERROR(__xludf.DUMMYFUNCTION("""COMPUTED_VALUE"""),"ウエスト / サイドベンツ")</f>
        <v>ウエスト / サイドベンツ</v>
      </c>
      <c r="G57" s="550" t="str">
        <f>IFERROR(__xludf.DUMMYFUNCTION("""COMPUTED_VALUE"""),"ウエスト / サイドベンツ")</f>
        <v>ウエスト / サイドベンツ</v>
      </c>
      <c r="H57" s="572" t="str">
        <f>IFERROR(__xludf.DUMMYFUNCTION("""COMPUTED_VALUE"""),"-2")</f>
        <v>-2</v>
      </c>
      <c r="I57" s="537"/>
      <c r="J57" s="538">
        <f>IFERROR(__xludf.DUMMYFUNCTION("""COMPUTED_VALUE"""),7.0)</f>
        <v>7</v>
      </c>
      <c r="K57" s="537">
        <f>IFERROR(__xludf.DUMMYFUNCTION("""COMPUTED_VALUE"""),46000.0)</f>
        <v>46000</v>
      </c>
      <c r="L57" s="539">
        <f>IFERROR(__xludf.DUMMYFUNCTION("""COMPUTED_VALUE"""),46003.0)</f>
        <v>46003</v>
      </c>
      <c r="M57" s="540">
        <f>IFERROR(__xludf.DUMMYFUNCTION("""COMPUTED_VALUE"""),46008.0)</f>
        <v>46008</v>
      </c>
      <c r="N57" s="539">
        <f>IFERROR(__xludf.DUMMYFUNCTION("""COMPUTED_VALUE"""),7430.0)</f>
        <v>7430</v>
      </c>
      <c r="O57" s="593">
        <f>IFERROR(__xludf.DUMMYFUNCTION("""COMPUTED_VALUE"""),6750.0)</f>
        <v>6750</v>
      </c>
      <c r="P57" s="594">
        <f>IFERROR(__xludf.DUMMYFUNCTION("""COMPUTED_VALUE"""),4500.0)</f>
        <v>4500</v>
      </c>
      <c r="Q57" s="183"/>
      <c r="R57" s="544"/>
      <c r="S57" s="544"/>
      <c r="T57" s="544"/>
      <c r="U57" s="609">
        <f>IFERROR(__xludf.DUMMYFUNCTION("""COMPUTED_VALUE"""),45736.0)</f>
        <v>45736</v>
      </c>
      <c r="V57" s="529"/>
      <c r="W57" s="529"/>
      <c r="X57" s="529"/>
      <c r="Y57" s="529"/>
      <c r="Z57" s="529"/>
      <c r="AA57" s="529"/>
      <c r="AB57" s="529"/>
      <c r="AC57" s="529"/>
      <c r="AD57" s="529"/>
      <c r="AE57" s="273"/>
    </row>
    <row r="58" hidden="1">
      <c r="A58" s="531" t="str">
        <f>IFERROR(__xludf.DUMMYFUNCTION("""COMPUTED_VALUE"""),"サイズ")</f>
        <v>サイズ</v>
      </c>
      <c r="B58" s="531" t="str">
        <f>IFERROR(__xludf.DUMMYFUNCTION("""COMPUTED_VALUE"""),"ジャケット / ジャコット")</f>
        <v>ジャケット / ジャコット</v>
      </c>
      <c r="C58" s="531" t="str">
        <f>IFERROR(__xludf.DUMMYFUNCTION("""COMPUTED_VALUE"""),"ウエスト")</f>
        <v>ウエスト</v>
      </c>
      <c r="D58" s="550" t="str">
        <f>IFERROR(__xludf.DUMMYFUNCTION("""COMPUTED_VALUE"""),"サイドベンツ")</f>
        <v>サイドベンツ</v>
      </c>
      <c r="E58" s="533"/>
      <c r="F58" s="534" t="str">
        <f>IFERROR(__xludf.DUMMYFUNCTION("""COMPUTED_VALUE"""),"ウエスト / サイドベンツ")</f>
        <v>ウエスト / サイドベンツ</v>
      </c>
      <c r="G58" s="550" t="str">
        <f>IFERROR(__xludf.DUMMYFUNCTION("""COMPUTED_VALUE"""),"ウエスト / サイドベンツ")</f>
        <v>ウエスト / サイドベンツ</v>
      </c>
      <c r="H58" s="572" t="str">
        <f>IFERROR(__xludf.DUMMYFUNCTION("""COMPUTED_VALUE"""),"-1")</f>
        <v>-1</v>
      </c>
      <c r="I58" s="537"/>
      <c r="J58" s="538">
        <f>IFERROR(__xludf.DUMMYFUNCTION("""COMPUTED_VALUE"""),7.0)</f>
        <v>7</v>
      </c>
      <c r="K58" s="537">
        <f>IFERROR(__xludf.DUMMYFUNCTION("""COMPUTED_VALUE"""),46000.0)</f>
        <v>46000</v>
      </c>
      <c r="L58" s="539">
        <f>IFERROR(__xludf.DUMMYFUNCTION("""COMPUTED_VALUE"""),46003.0)</f>
        <v>46003</v>
      </c>
      <c r="M58" s="540">
        <f>IFERROR(__xludf.DUMMYFUNCTION("""COMPUTED_VALUE"""),46008.0)</f>
        <v>46008</v>
      </c>
      <c r="N58" s="539">
        <f>IFERROR(__xludf.DUMMYFUNCTION("""COMPUTED_VALUE"""),7430.0)</f>
        <v>7430</v>
      </c>
      <c r="O58" s="593">
        <f>IFERROR(__xludf.DUMMYFUNCTION("""COMPUTED_VALUE"""),6750.0)</f>
        <v>6750</v>
      </c>
      <c r="P58" s="594">
        <f>IFERROR(__xludf.DUMMYFUNCTION("""COMPUTED_VALUE"""),4500.0)</f>
        <v>4500</v>
      </c>
      <c r="Q58" s="183"/>
      <c r="R58" s="544"/>
      <c r="S58" s="544"/>
      <c r="T58" s="544"/>
      <c r="U58" s="609">
        <f>IFERROR(__xludf.DUMMYFUNCTION("""COMPUTED_VALUE"""),45740.0)</f>
        <v>45740</v>
      </c>
      <c r="V58" s="529"/>
      <c r="W58" s="529"/>
      <c r="X58" s="529"/>
      <c r="Y58" s="529"/>
      <c r="Z58" s="529"/>
      <c r="AA58" s="529"/>
      <c r="AB58" s="529"/>
      <c r="AC58" s="529"/>
      <c r="AD58" s="529"/>
      <c r="AE58" s="273"/>
    </row>
    <row r="59" hidden="1">
      <c r="A59" s="531" t="str">
        <f>IFERROR(__xludf.DUMMYFUNCTION("""COMPUTED_VALUE"""),"サイズ")</f>
        <v>サイズ</v>
      </c>
      <c r="B59" s="531" t="str">
        <f>IFERROR(__xludf.DUMMYFUNCTION("""COMPUTED_VALUE"""),"ジャケット / ジャコット")</f>
        <v>ジャケット / ジャコット</v>
      </c>
      <c r="C59" s="531" t="str">
        <f>IFERROR(__xludf.DUMMYFUNCTION("""COMPUTED_VALUE"""),"ウエスト")</f>
        <v>ウエスト</v>
      </c>
      <c r="D59" s="550" t="str">
        <f>IFERROR(__xludf.DUMMYFUNCTION("""COMPUTED_VALUE"""),"サイドベンツ")</f>
        <v>サイドベンツ</v>
      </c>
      <c r="E59" s="533"/>
      <c r="F59" s="534" t="str">
        <f>IFERROR(__xludf.DUMMYFUNCTION("""COMPUTED_VALUE"""),"ウエスト / サイドベンツ")</f>
        <v>ウエスト / サイドベンツ</v>
      </c>
      <c r="G59" s="550" t="str">
        <f>IFERROR(__xludf.DUMMYFUNCTION("""COMPUTED_VALUE"""),"ウエスト / サイドベンツ")</f>
        <v>ウエスト / サイドベンツ</v>
      </c>
      <c r="H59" s="572" t="str">
        <f>IFERROR(__xludf.DUMMYFUNCTION("""COMPUTED_VALUE"""),"1")</f>
        <v>1</v>
      </c>
      <c r="I59" s="537"/>
      <c r="J59" s="538">
        <f>IFERROR(__xludf.DUMMYFUNCTION("""COMPUTED_VALUE"""),7.0)</f>
        <v>7</v>
      </c>
      <c r="K59" s="537">
        <f>IFERROR(__xludf.DUMMYFUNCTION("""COMPUTED_VALUE"""),46000.0)</f>
        <v>46000</v>
      </c>
      <c r="L59" s="539">
        <f>IFERROR(__xludf.DUMMYFUNCTION("""COMPUTED_VALUE"""),46003.0)</f>
        <v>46003</v>
      </c>
      <c r="M59" s="540">
        <f>IFERROR(__xludf.DUMMYFUNCTION("""COMPUTED_VALUE"""),46008.0)</f>
        <v>46008</v>
      </c>
      <c r="N59" s="539">
        <f>IFERROR(__xludf.DUMMYFUNCTION("""COMPUTED_VALUE"""),9900.0)</f>
        <v>9900</v>
      </c>
      <c r="O59" s="593">
        <f>IFERROR(__xludf.DUMMYFUNCTION("""COMPUTED_VALUE"""),9000.0)</f>
        <v>9000</v>
      </c>
      <c r="P59" s="594">
        <f>IFERROR(__xludf.DUMMYFUNCTION("""COMPUTED_VALUE"""),3000.0)</f>
        <v>3000</v>
      </c>
      <c r="Q59" s="183"/>
      <c r="R59" s="544"/>
      <c r="S59" s="544"/>
      <c r="T59" s="544"/>
      <c r="U59" s="609">
        <f>IFERROR(__xludf.DUMMYFUNCTION("""COMPUTED_VALUE"""),45744.0)</f>
        <v>45744</v>
      </c>
      <c r="V59" s="529"/>
      <c r="W59" s="529"/>
      <c r="X59" s="529"/>
      <c r="Y59" s="529"/>
      <c r="Z59" s="529"/>
      <c r="AA59" s="529"/>
      <c r="AB59" s="529"/>
      <c r="AC59" s="529"/>
      <c r="AD59" s="529"/>
      <c r="AE59" s="273"/>
    </row>
    <row r="60" hidden="1">
      <c r="A60" s="531" t="str">
        <f>IFERROR(__xludf.DUMMYFUNCTION("""COMPUTED_VALUE"""),"サイズ")</f>
        <v>サイズ</v>
      </c>
      <c r="B60" s="531" t="str">
        <f>IFERROR(__xludf.DUMMYFUNCTION("""COMPUTED_VALUE"""),"ジャケット / ジャコット")</f>
        <v>ジャケット / ジャコット</v>
      </c>
      <c r="C60" s="531" t="str">
        <f>IFERROR(__xludf.DUMMYFUNCTION("""COMPUTED_VALUE"""),"ウエスト")</f>
        <v>ウエスト</v>
      </c>
      <c r="D60" s="550" t="str">
        <f>IFERROR(__xludf.DUMMYFUNCTION("""COMPUTED_VALUE"""),"サイドベンツ")</f>
        <v>サイドベンツ</v>
      </c>
      <c r="E60" s="533"/>
      <c r="F60" s="534" t="str">
        <f>IFERROR(__xludf.DUMMYFUNCTION("""COMPUTED_VALUE"""),"ウエスト / サイドベンツ")</f>
        <v>ウエスト / サイドベンツ</v>
      </c>
      <c r="G60" s="550" t="str">
        <f>IFERROR(__xludf.DUMMYFUNCTION("""COMPUTED_VALUE"""),"ウエスト / サイドベンツ")</f>
        <v>ウエスト / サイドベンツ</v>
      </c>
      <c r="H60" s="572" t="str">
        <f>IFERROR(__xludf.DUMMYFUNCTION("""COMPUTED_VALUE"""),"2")</f>
        <v>2</v>
      </c>
      <c r="I60" s="537"/>
      <c r="J60" s="538">
        <f>IFERROR(__xludf.DUMMYFUNCTION("""COMPUTED_VALUE"""),7.0)</f>
        <v>7</v>
      </c>
      <c r="K60" s="537">
        <f>IFERROR(__xludf.DUMMYFUNCTION("""COMPUTED_VALUE"""),46000.0)</f>
        <v>46000</v>
      </c>
      <c r="L60" s="539">
        <f>IFERROR(__xludf.DUMMYFUNCTION("""COMPUTED_VALUE"""),46003.0)</f>
        <v>46003</v>
      </c>
      <c r="M60" s="540">
        <f>IFERROR(__xludf.DUMMYFUNCTION("""COMPUTED_VALUE"""),46008.0)</f>
        <v>46008</v>
      </c>
      <c r="N60" s="539">
        <f>IFERROR(__xludf.DUMMYFUNCTION("""COMPUTED_VALUE"""),9900.0)</f>
        <v>9900</v>
      </c>
      <c r="O60" s="593">
        <f>IFERROR(__xludf.DUMMYFUNCTION("""COMPUTED_VALUE"""),9000.0)</f>
        <v>9000</v>
      </c>
      <c r="P60" s="594">
        <f>IFERROR(__xludf.DUMMYFUNCTION("""COMPUTED_VALUE"""),3000.0)</f>
        <v>3000</v>
      </c>
      <c r="Q60" s="183"/>
      <c r="R60" s="544"/>
      <c r="S60" s="544"/>
      <c r="T60" s="544"/>
      <c r="U60" s="609">
        <f>IFERROR(__xludf.DUMMYFUNCTION("""COMPUTED_VALUE"""),45754.0)</f>
        <v>45754</v>
      </c>
      <c r="V60" s="529"/>
      <c r="W60" s="529"/>
      <c r="X60" s="529"/>
      <c r="Y60" s="529"/>
      <c r="Z60" s="529"/>
      <c r="AA60" s="529"/>
      <c r="AB60" s="529"/>
      <c r="AC60" s="529"/>
      <c r="AD60" s="529"/>
      <c r="AE60" s="273"/>
    </row>
    <row r="61" hidden="1">
      <c r="A61" s="531" t="str">
        <f>IFERROR(__xludf.DUMMYFUNCTION("""COMPUTED_VALUE"""),"サイズ")</f>
        <v>サイズ</v>
      </c>
      <c r="B61" s="531" t="str">
        <f>IFERROR(__xludf.DUMMYFUNCTION("""COMPUTED_VALUE"""),"ジャケット / ジャコット")</f>
        <v>ジャケット / ジャコット</v>
      </c>
      <c r="C61" s="531" t="str">
        <f>IFERROR(__xludf.DUMMYFUNCTION("""COMPUTED_VALUE"""),"ウエスト")</f>
        <v>ウエスト</v>
      </c>
      <c r="D61" s="550" t="str">
        <f>IFERROR(__xludf.DUMMYFUNCTION("""COMPUTED_VALUE"""),"サイドベンツ")</f>
        <v>サイドベンツ</v>
      </c>
      <c r="E61" s="533"/>
      <c r="F61" s="534" t="str">
        <f>IFERROR(__xludf.DUMMYFUNCTION("""COMPUTED_VALUE"""),"ウエスト / サイドベンツ")</f>
        <v>ウエスト / サイドベンツ</v>
      </c>
      <c r="G61" s="550" t="str">
        <f>IFERROR(__xludf.DUMMYFUNCTION("""COMPUTED_VALUE"""),"ウエスト / サイドベンツ")</f>
        <v>ウエスト / サイドベンツ</v>
      </c>
      <c r="H61" s="572" t="str">
        <f>IFERROR(__xludf.DUMMYFUNCTION("""COMPUTED_VALUE"""),"3")</f>
        <v>3</v>
      </c>
      <c r="I61" s="536"/>
      <c r="J61" s="538">
        <f>IFERROR(__xludf.DUMMYFUNCTION("""COMPUTED_VALUE"""),7.0)</f>
        <v>7</v>
      </c>
      <c r="K61" s="537">
        <f>IFERROR(__xludf.DUMMYFUNCTION("""COMPUTED_VALUE"""),46000.0)</f>
        <v>46000</v>
      </c>
      <c r="L61" s="539">
        <f>IFERROR(__xludf.DUMMYFUNCTION("""COMPUTED_VALUE"""),46003.0)</f>
        <v>46003</v>
      </c>
      <c r="M61" s="540">
        <f>IFERROR(__xludf.DUMMYFUNCTION("""COMPUTED_VALUE"""),46008.0)</f>
        <v>46008</v>
      </c>
      <c r="N61" s="539">
        <f>IFERROR(__xludf.DUMMYFUNCTION("""COMPUTED_VALUE"""),9900.0)</f>
        <v>9900</v>
      </c>
      <c r="O61" s="593">
        <f>IFERROR(__xludf.DUMMYFUNCTION("""COMPUTED_VALUE"""),9000.0)</f>
        <v>9000</v>
      </c>
      <c r="P61" s="594">
        <f>IFERROR(__xludf.DUMMYFUNCTION("""COMPUTED_VALUE"""),3000.0)</f>
        <v>3000</v>
      </c>
      <c r="Q61" s="183"/>
      <c r="R61" s="544"/>
      <c r="S61" s="544"/>
      <c r="T61" s="544"/>
      <c r="U61" s="609">
        <f>IFERROR(__xludf.DUMMYFUNCTION("""COMPUTED_VALUE"""),45761.0)</f>
        <v>45761</v>
      </c>
      <c r="V61" s="529"/>
      <c r="W61" s="529"/>
      <c r="X61" s="529"/>
      <c r="Y61" s="529"/>
      <c r="Z61" s="529"/>
      <c r="AA61" s="529"/>
      <c r="AB61" s="529"/>
      <c r="AC61" s="529"/>
      <c r="AD61" s="529"/>
      <c r="AE61" s="273"/>
    </row>
    <row r="62" hidden="1">
      <c r="A62" s="531" t="str">
        <f>IFERROR(__xludf.DUMMYFUNCTION("""COMPUTED_VALUE"""),"サイズ")</f>
        <v>サイズ</v>
      </c>
      <c r="B62" s="531" t="str">
        <f>IFERROR(__xludf.DUMMYFUNCTION("""COMPUTED_VALUE"""),"ジャケット / ジャコット")</f>
        <v>ジャケット / ジャコット</v>
      </c>
      <c r="C62" s="531" t="str">
        <f>IFERROR(__xludf.DUMMYFUNCTION("""COMPUTED_VALUE"""),"ウエスト")</f>
        <v>ウエスト</v>
      </c>
      <c r="D62" s="550" t="str">
        <f>IFERROR(__xludf.DUMMYFUNCTION("""COMPUTED_VALUE"""),"ノーベント")</f>
        <v>ノーベント</v>
      </c>
      <c r="E62" s="533"/>
      <c r="F62" s="534" t="str">
        <f>IFERROR(__xludf.DUMMYFUNCTION("""COMPUTED_VALUE"""),"ウエスト / ノーベント")</f>
        <v>ウエスト / ノーベント</v>
      </c>
      <c r="G62" s="550" t="str">
        <f>IFERROR(__xludf.DUMMYFUNCTION("""COMPUTED_VALUE"""),"ウエスト / ノーベント")</f>
        <v>ウエスト / ノーベント</v>
      </c>
      <c r="H62" s="572" t="str">
        <f>IFERROR(__xludf.DUMMYFUNCTION("""COMPUTED_VALUE"""),"-5")</f>
        <v>-5</v>
      </c>
      <c r="I62" s="536"/>
      <c r="J62" s="538">
        <f>IFERROR(__xludf.DUMMYFUNCTION("""COMPUTED_VALUE"""),7.0)</f>
        <v>7</v>
      </c>
      <c r="K62" s="537">
        <f>IFERROR(__xludf.DUMMYFUNCTION("""COMPUTED_VALUE"""),46000.0)</f>
        <v>46000</v>
      </c>
      <c r="L62" s="539">
        <f>IFERROR(__xludf.DUMMYFUNCTION("""COMPUTED_VALUE"""),46003.0)</f>
        <v>46003</v>
      </c>
      <c r="M62" s="540">
        <f>IFERROR(__xludf.DUMMYFUNCTION("""COMPUTED_VALUE"""),46008.0)</f>
        <v>46008</v>
      </c>
      <c r="N62" s="539">
        <f>IFERROR(__xludf.DUMMYFUNCTION("""COMPUTED_VALUE"""),7430.0)</f>
        <v>7430</v>
      </c>
      <c r="O62" s="593">
        <f>IFERROR(__xludf.DUMMYFUNCTION("""COMPUTED_VALUE"""),6750.0)</f>
        <v>6750</v>
      </c>
      <c r="P62" s="594">
        <f>IFERROR(__xludf.DUMMYFUNCTION("""COMPUTED_VALUE"""),4500.0)</f>
        <v>4500</v>
      </c>
      <c r="Q62" s="183"/>
      <c r="R62" s="544"/>
      <c r="S62" s="544"/>
      <c r="T62" s="544"/>
      <c r="U62" s="609">
        <f>IFERROR(__xludf.DUMMYFUNCTION("""COMPUTED_VALUE"""),45768.0)</f>
        <v>45768</v>
      </c>
      <c r="V62" s="529"/>
      <c r="W62" s="529"/>
      <c r="X62" s="529"/>
      <c r="Y62" s="529"/>
      <c r="Z62" s="529"/>
      <c r="AA62" s="529"/>
      <c r="AB62" s="529"/>
      <c r="AC62" s="529"/>
      <c r="AD62" s="529"/>
      <c r="AE62" s="273"/>
    </row>
    <row r="63" hidden="1">
      <c r="A63" s="531" t="str">
        <f>IFERROR(__xludf.DUMMYFUNCTION("""COMPUTED_VALUE"""),"サイズ")</f>
        <v>サイズ</v>
      </c>
      <c r="B63" s="531" t="str">
        <f>IFERROR(__xludf.DUMMYFUNCTION("""COMPUTED_VALUE"""),"ジャケット / ジャコット")</f>
        <v>ジャケット / ジャコット</v>
      </c>
      <c r="C63" s="531" t="str">
        <f>IFERROR(__xludf.DUMMYFUNCTION("""COMPUTED_VALUE"""),"ウエスト")</f>
        <v>ウエスト</v>
      </c>
      <c r="D63" s="550" t="str">
        <f>IFERROR(__xludf.DUMMYFUNCTION("""COMPUTED_VALUE"""),"ノーベント")</f>
        <v>ノーベント</v>
      </c>
      <c r="E63" s="533"/>
      <c r="F63" s="534" t="str">
        <f>IFERROR(__xludf.DUMMYFUNCTION("""COMPUTED_VALUE"""),"ウエスト / ノーベント")</f>
        <v>ウエスト / ノーベント</v>
      </c>
      <c r="G63" s="550" t="str">
        <f>IFERROR(__xludf.DUMMYFUNCTION("""COMPUTED_VALUE"""),"ウエスト / ノーベント")</f>
        <v>ウエスト / ノーベント</v>
      </c>
      <c r="H63" s="572" t="str">
        <f>IFERROR(__xludf.DUMMYFUNCTION("""COMPUTED_VALUE"""),"-4")</f>
        <v>-4</v>
      </c>
      <c r="I63" s="536"/>
      <c r="J63" s="538">
        <f>IFERROR(__xludf.DUMMYFUNCTION("""COMPUTED_VALUE"""),7.0)</f>
        <v>7</v>
      </c>
      <c r="K63" s="537">
        <f>IFERROR(__xludf.DUMMYFUNCTION("""COMPUTED_VALUE"""),46000.0)</f>
        <v>46000</v>
      </c>
      <c r="L63" s="539">
        <f>IFERROR(__xludf.DUMMYFUNCTION("""COMPUTED_VALUE"""),46003.0)</f>
        <v>46003</v>
      </c>
      <c r="M63" s="540">
        <f>IFERROR(__xludf.DUMMYFUNCTION("""COMPUTED_VALUE"""),46008.0)</f>
        <v>46008</v>
      </c>
      <c r="N63" s="539">
        <f>IFERROR(__xludf.DUMMYFUNCTION("""COMPUTED_VALUE"""),7430.0)</f>
        <v>7430</v>
      </c>
      <c r="O63" s="593">
        <f>IFERROR(__xludf.DUMMYFUNCTION("""COMPUTED_VALUE"""),6750.0)</f>
        <v>6750</v>
      </c>
      <c r="P63" s="594">
        <f>IFERROR(__xludf.DUMMYFUNCTION("""COMPUTED_VALUE"""),4500.0)</f>
        <v>4500</v>
      </c>
      <c r="Q63" s="183"/>
      <c r="R63" s="544"/>
      <c r="S63" s="544"/>
      <c r="T63" s="544"/>
      <c r="U63" s="609">
        <f>IFERROR(__xludf.DUMMYFUNCTION("""COMPUTED_VALUE"""),45768.0)</f>
        <v>45768</v>
      </c>
      <c r="V63" s="529"/>
      <c r="W63" s="529"/>
      <c r="X63" s="529"/>
      <c r="Y63" s="529"/>
      <c r="Z63" s="529"/>
      <c r="AA63" s="529"/>
      <c r="AB63" s="529"/>
      <c r="AC63" s="529"/>
      <c r="AD63" s="529"/>
      <c r="AE63" s="273"/>
    </row>
    <row r="64" hidden="1">
      <c r="A64" s="531" t="str">
        <f>IFERROR(__xludf.DUMMYFUNCTION("""COMPUTED_VALUE"""),"サイズ")</f>
        <v>サイズ</v>
      </c>
      <c r="B64" s="531" t="str">
        <f>IFERROR(__xludf.DUMMYFUNCTION("""COMPUTED_VALUE"""),"ジャケット / ジャコット")</f>
        <v>ジャケット / ジャコット</v>
      </c>
      <c r="C64" s="531" t="str">
        <f>IFERROR(__xludf.DUMMYFUNCTION("""COMPUTED_VALUE"""),"ウエスト")</f>
        <v>ウエスト</v>
      </c>
      <c r="D64" s="550" t="str">
        <f>IFERROR(__xludf.DUMMYFUNCTION("""COMPUTED_VALUE"""),"ノーベント")</f>
        <v>ノーベント</v>
      </c>
      <c r="E64" s="533"/>
      <c r="F64" s="534" t="str">
        <f>IFERROR(__xludf.DUMMYFUNCTION("""COMPUTED_VALUE"""),"ウエスト / ノーベント")</f>
        <v>ウエスト / ノーベント</v>
      </c>
      <c r="G64" s="550" t="str">
        <f>IFERROR(__xludf.DUMMYFUNCTION("""COMPUTED_VALUE"""),"ウエスト / ノーベント")</f>
        <v>ウエスト / ノーベント</v>
      </c>
      <c r="H64" s="572" t="str">
        <f>IFERROR(__xludf.DUMMYFUNCTION("""COMPUTED_VALUE"""),"-3")</f>
        <v>-3</v>
      </c>
      <c r="I64" s="536"/>
      <c r="J64" s="538">
        <f>IFERROR(__xludf.DUMMYFUNCTION("""COMPUTED_VALUE"""),7.0)</f>
        <v>7</v>
      </c>
      <c r="K64" s="537">
        <f>IFERROR(__xludf.DUMMYFUNCTION("""COMPUTED_VALUE"""),46000.0)</f>
        <v>46000</v>
      </c>
      <c r="L64" s="539">
        <f>IFERROR(__xludf.DUMMYFUNCTION("""COMPUTED_VALUE"""),46003.0)</f>
        <v>46003</v>
      </c>
      <c r="M64" s="540">
        <f>IFERROR(__xludf.DUMMYFUNCTION("""COMPUTED_VALUE"""),46008.0)</f>
        <v>46008</v>
      </c>
      <c r="N64" s="539">
        <f>IFERROR(__xludf.DUMMYFUNCTION("""COMPUTED_VALUE"""),7430.0)</f>
        <v>7430</v>
      </c>
      <c r="O64" s="593">
        <f>IFERROR(__xludf.DUMMYFUNCTION("""COMPUTED_VALUE"""),6750.0)</f>
        <v>6750</v>
      </c>
      <c r="P64" s="594">
        <f>IFERROR(__xludf.DUMMYFUNCTION("""COMPUTED_VALUE"""),4500.0)</f>
        <v>4500</v>
      </c>
      <c r="Q64" s="183"/>
      <c r="R64" s="544"/>
      <c r="S64" s="544"/>
      <c r="T64" s="544"/>
      <c r="U64" s="609">
        <f>IFERROR(__xludf.DUMMYFUNCTION("""COMPUTED_VALUE"""),45775.0)</f>
        <v>45775</v>
      </c>
      <c r="V64" s="529"/>
      <c r="W64" s="529"/>
      <c r="X64" s="529"/>
      <c r="Y64" s="529"/>
      <c r="Z64" s="529"/>
      <c r="AA64" s="529"/>
      <c r="AB64" s="529"/>
      <c r="AC64" s="529"/>
      <c r="AD64" s="529"/>
      <c r="AE64" s="273"/>
    </row>
    <row r="65" hidden="1">
      <c r="A65" s="531" t="str">
        <f>IFERROR(__xludf.DUMMYFUNCTION("""COMPUTED_VALUE"""),"サイズ")</f>
        <v>サイズ</v>
      </c>
      <c r="B65" s="531" t="str">
        <f>IFERROR(__xludf.DUMMYFUNCTION("""COMPUTED_VALUE"""),"ジャケット / ジャコット")</f>
        <v>ジャケット / ジャコット</v>
      </c>
      <c r="C65" s="531" t="str">
        <f>IFERROR(__xludf.DUMMYFUNCTION("""COMPUTED_VALUE"""),"ウエスト")</f>
        <v>ウエスト</v>
      </c>
      <c r="D65" s="550" t="str">
        <f>IFERROR(__xludf.DUMMYFUNCTION("""COMPUTED_VALUE"""),"ノーベント")</f>
        <v>ノーベント</v>
      </c>
      <c r="E65" s="533"/>
      <c r="F65" s="534" t="str">
        <f>IFERROR(__xludf.DUMMYFUNCTION("""COMPUTED_VALUE"""),"ウエスト / ノーベント")</f>
        <v>ウエスト / ノーベント</v>
      </c>
      <c r="G65" s="550" t="str">
        <f>IFERROR(__xludf.DUMMYFUNCTION("""COMPUTED_VALUE"""),"ウエスト / ノーベント")</f>
        <v>ウエスト / ノーベント</v>
      </c>
      <c r="H65" s="572" t="str">
        <f>IFERROR(__xludf.DUMMYFUNCTION("""COMPUTED_VALUE"""),"-2")</f>
        <v>-2</v>
      </c>
      <c r="I65" s="536"/>
      <c r="J65" s="538">
        <f>IFERROR(__xludf.DUMMYFUNCTION("""COMPUTED_VALUE"""),7.0)</f>
        <v>7</v>
      </c>
      <c r="K65" s="537">
        <f>IFERROR(__xludf.DUMMYFUNCTION("""COMPUTED_VALUE"""),46000.0)</f>
        <v>46000</v>
      </c>
      <c r="L65" s="539">
        <f>IFERROR(__xludf.DUMMYFUNCTION("""COMPUTED_VALUE"""),46003.0)</f>
        <v>46003</v>
      </c>
      <c r="M65" s="540">
        <f>IFERROR(__xludf.DUMMYFUNCTION("""COMPUTED_VALUE"""),46008.0)</f>
        <v>46008</v>
      </c>
      <c r="N65" s="539">
        <f>IFERROR(__xludf.DUMMYFUNCTION("""COMPUTED_VALUE"""),7430.0)</f>
        <v>7430</v>
      </c>
      <c r="O65" s="593">
        <f>IFERROR(__xludf.DUMMYFUNCTION("""COMPUTED_VALUE"""),6750.0)</f>
        <v>6750</v>
      </c>
      <c r="P65" s="594">
        <f>IFERROR(__xludf.DUMMYFUNCTION("""COMPUTED_VALUE"""),4500.0)</f>
        <v>4500</v>
      </c>
      <c r="Q65" s="183"/>
      <c r="R65" s="544"/>
      <c r="S65" s="544"/>
      <c r="T65" s="544"/>
      <c r="U65" s="609">
        <f>IFERROR(__xludf.DUMMYFUNCTION("""COMPUTED_VALUE"""),45776.0)</f>
        <v>45776</v>
      </c>
      <c r="V65" s="529"/>
      <c r="W65" s="529"/>
      <c r="X65" s="529"/>
      <c r="Y65" s="529"/>
      <c r="Z65" s="529"/>
      <c r="AA65" s="529"/>
      <c r="AB65" s="529"/>
      <c r="AC65" s="529"/>
      <c r="AD65" s="529"/>
      <c r="AE65" s="273"/>
    </row>
    <row r="66" hidden="1">
      <c r="A66" s="531" t="str">
        <f>IFERROR(__xludf.DUMMYFUNCTION("""COMPUTED_VALUE"""),"サイズ")</f>
        <v>サイズ</v>
      </c>
      <c r="B66" s="531" t="str">
        <f>IFERROR(__xludf.DUMMYFUNCTION("""COMPUTED_VALUE"""),"ジャケット / ジャコット")</f>
        <v>ジャケット / ジャコット</v>
      </c>
      <c r="C66" s="531" t="str">
        <f>IFERROR(__xludf.DUMMYFUNCTION("""COMPUTED_VALUE"""),"ウエスト")</f>
        <v>ウエスト</v>
      </c>
      <c r="D66" s="550" t="str">
        <f>IFERROR(__xludf.DUMMYFUNCTION("""COMPUTED_VALUE"""),"ノーベント")</f>
        <v>ノーベント</v>
      </c>
      <c r="E66" s="533"/>
      <c r="F66" s="534" t="str">
        <f>IFERROR(__xludf.DUMMYFUNCTION("""COMPUTED_VALUE"""),"ウエスト / ノーベント")</f>
        <v>ウエスト / ノーベント</v>
      </c>
      <c r="G66" s="550" t="str">
        <f>IFERROR(__xludf.DUMMYFUNCTION("""COMPUTED_VALUE"""),"ウエスト / ノーベント")</f>
        <v>ウエスト / ノーベント</v>
      </c>
      <c r="H66" s="572" t="str">
        <f>IFERROR(__xludf.DUMMYFUNCTION("""COMPUTED_VALUE"""),"-1")</f>
        <v>-1</v>
      </c>
      <c r="I66" s="536"/>
      <c r="J66" s="538">
        <f>IFERROR(__xludf.DUMMYFUNCTION("""COMPUTED_VALUE"""),7.0)</f>
        <v>7</v>
      </c>
      <c r="K66" s="537">
        <f>IFERROR(__xludf.DUMMYFUNCTION("""COMPUTED_VALUE"""),46000.0)</f>
        <v>46000</v>
      </c>
      <c r="L66" s="539">
        <f>IFERROR(__xludf.DUMMYFUNCTION("""COMPUTED_VALUE"""),46003.0)</f>
        <v>46003</v>
      </c>
      <c r="M66" s="540">
        <f>IFERROR(__xludf.DUMMYFUNCTION("""COMPUTED_VALUE"""),46008.0)</f>
        <v>46008</v>
      </c>
      <c r="N66" s="539">
        <f>IFERROR(__xludf.DUMMYFUNCTION("""COMPUTED_VALUE"""),7430.0)</f>
        <v>7430</v>
      </c>
      <c r="O66" s="593">
        <f>IFERROR(__xludf.DUMMYFUNCTION("""COMPUTED_VALUE"""),6750.0)</f>
        <v>6750</v>
      </c>
      <c r="P66" s="594">
        <f>IFERROR(__xludf.DUMMYFUNCTION("""COMPUTED_VALUE"""),4500.0)</f>
        <v>4500</v>
      </c>
      <c r="Q66" s="183"/>
      <c r="R66" s="544"/>
      <c r="S66" s="544"/>
      <c r="T66" s="544"/>
      <c r="U66" s="609">
        <f>IFERROR(__xludf.DUMMYFUNCTION("""COMPUTED_VALUE"""),45777.0)</f>
        <v>45777</v>
      </c>
      <c r="V66" s="529"/>
      <c r="W66" s="529"/>
      <c r="X66" s="529"/>
      <c r="Y66" s="529"/>
      <c r="Z66" s="529"/>
      <c r="AA66" s="529"/>
      <c r="AB66" s="529"/>
      <c r="AC66" s="529"/>
      <c r="AD66" s="529"/>
      <c r="AE66" s="273"/>
    </row>
    <row r="67" hidden="1">
      <c r="A67" s="531" t="str">
        <f>IFERROR(__xludf.DUMMYFUNCTION("""COMPUTED_VALUE"""),"サイズ")</f>
        <v>サイズ</v>
      </c>
      <c r="B67" s="531" t="str">
        <f>IFERROR(__xludf.DUMMYFUNCTION("""COMPUTED_VALUE"""),"ジャケット / ジャコット")</f>
        <v>ジャケット / ジャコット</v>
      </c>
      <c r="C67" s="531" t="str">
        <f>IFERROR(__xludf.DUMMYFUNCTION("""COMPUTED_VALUE"""),"ウエスト")</f>
        <v>ウエスト</v>
      </c>
      <c r="D67" s="550" t="str">
        <f>IFERROR(__xludf.DUMMYFUNCTION("""COMPUTED_VALUE"""),"ノーベント")</f>
        <v>ノーベント</v>
      </c>
      <c r="E67" s="533"/>
      <c r="F67" s="607" t="str">
        <f>IFERROR(__xludf.DUMMYFUNCTION("""COMPUTED_VALUE"""),"ウエスト / ノーベント")</f>
        <v>ウエスト / ノーベント</v>
      </c>
      <c r="G67" s="550" t="str">
        <f>IFERROR(__xludf.DUMMYFUNCTION("""COMPUTED_VALUE"""),"ウエスト / ノーベント")</f>
        <v>ウエスト / ノーベント</v>
      </c>
      <c r="H67" s="551" t="str">
        <f>IFERROR(__xludf.DUMMYFUNCTION("""COMPUTED_VALUE"""),"1")</f>
        <v>1</v>
      </c>
      <c r="I67" s="551"/>
      <c r="J67" s="551">
        <f>IFERROR(__xludf.DUMMYFUNCTION("""COMPUTED_VALUE"""),7.0)</f>
        <v>7</v>
      </c>
      <c r="K67" s="551">
        <f>IFERROR(__xludf.DUMMYFUNCTION("""COMPUTED_VALUE"""),46000.0)</f>
        <v>46000</v>
      </c>
      <c r="L67" s="551">
        <f>IFERROR(__xludf.DUMMYFUNCTION("""COMPUTED_VALUE"""),46003.0)</f>
        <v>46003</v>
      </c>
      <c r="M67" s="551">
        <f>IFERROR(__xludf.DUMMYFUNCTION("""COMPUTED_VALUE"""),46008.0)</f>
        <v>46008</v>
      </c>
      <c r="N67" s="539">
        <f>IFERROR(__xludf.DUMMYFUNCTION("""COMPUTED_VALUE"""),9900.0)</f>
        <v>9900</v>
      </c>
      <c r="O67" s="593">
        <f>IFERROR(__xludf.DUMMYFUNCTION("""COMPUTED_VALUE"""),9000.0)</f>
        <v>9000</v>
      </c>
      <c r="P67" s="594">
        <f>IFERROR(__xludf.DUMMYFUNCTION("""COMPUTED_VALUE"""),3000.0)</f>
        <v>3000</v>
      </c>
      <c r="Q67" s="183"/>
      <c r="R67" s="544"/>
      <c r="S67" s="544"/>
      <c r="T67" s="544"/>
      <c r="U67" s="609">
        <f>IFERROR(__xludf.DUMMYFUNCTION("""COMPUTED_VALUE"""),45782.0)</f>
        <v>45782</v>
      </c>
      <c r="V67" s="529"/>
      <c r="W67" s="529"/>
      <c r="X67" s="529"/>
      <c r="Y67" s="529"/>
      <c r="Z67" s="529"/>
      <c r="AA67" s="529"/>
      <c r="AB67" s="529"/>
      <c r="AC67" s="529"/>
      <c r="AD67" s="529"/>
      <c r="AE67" s="273"/>
    </row>
    <row r="68" hidden="1">
      <c r="A68" s="531" t="str">
        <f>IFERROR(__xludf.DUMMYFUNCTION("""COMPUTED_VALUE"""),"サイズ")</f>
        <v>サイズ</v>
      </c>
      <c r="B68" s="531" t="str">
        <f>IFERROR(__xludf.DUMMYFUNCTION("""COMPUTED_VALUE"""),"ジャケット / ジャコット")</f>
        <v>ジャケット / ジャコット</v>
      </c>
      <c r="C68" s="531" t="str">
        <f>IFERROR(__xludf.DUMMYFUNCTION("""COMPUTED_VALUE"""),"ウエスト")</f>
        <v>ウエスト</v>
      </c>
      <c r="D68" s="550" t="str">
        <f>IFERROR(__xludf.DUMMYFUNCTION("""COMPUTED_VALUE"""),"ノーベント")</f>
        <v>ノーベント</v>
      </c>
      <c r="E68" s="533"/>
      <c r="F68" s="607" t="str">
        <f>IFERROR(__xludf.DUMMYFUNCTION("""COMPUTED_VALUE"""),"ウエスト / ノーベント")</f>
        <v>ウエスト / ノーベント</v>
      </c>
      <c r="G68" s="550" t="str">
        <f>IFERROR(__xludf.DUMMYFUNCTION("""COMPUTED_VALUE"""),"ウエスト / ノーベント")</f>
        <v>ウエスト / ノーベント</v>
      </c>
      <c r="H68" s="551" t="str">
        <f>IFERROR(__xludf.DUMMYFUNCTION("""COMPUTED_VALUE"""),"2")</f>
        <v>2</v>
      </c>
      <c r="I68" s="551"/>
      <c r="J68" s="551">
        <f>IFERROR(__xludf.DUMMYFUNCTION("""COMPUTED_VALUE"""),7.0)</f>
        <v>7</v>
      </c>
      <c r="K68" s="551">
        <f>IFERROR(__xludf.DUMMYFUNCTION("""COMPUTED_VALUE"""),46000.0)</f>
        <v>46000</v>
      </c>
      <c r="L68" s="551">
        <f>IFERROR(__xludf.DUMMYFUNCTION("""COMPUTED_VALUE"""),46003.0)</f>
        <v>46003</v>
      </c>
      <c r="M68" s="551">
        <f>IFERROR(__xludf.DUMMYFUNCTION("""COMPUTED_VALUE"""),46008.0)</f>
        <v>46008</v>
      </c>
      <c r="N68" s="539">
        <f>IFERROR(__xludf.DUMMYFUNCTION("""COMPUTED_VALUE"""),9900.0)</f>
        <v>9900</v>
      </c>
      <c r="O68" s="593">
        <f>IFERROR(__xludf.DUMMYFUNCTION("""COMPUTED_VALUE"""),9000.0)</f>
        <v>9000</v>
      </c>
      <c r="P68" s="594">
        <f>IFERROR(__xludf.DUMMYFUNCTION("""COMPUTED_VALUE"""),3000.0)</f>
        <v>3000</v>
      </c>
      <c r="Q68" s="183"/>
      <c r="R68" s="544"/>
      <c r="S68" s="544"/>
      <c r="T68" s="544"/>
      <c r="U68" s="595">
        <f>IFERROR(__xludf.DUMMYFUNCTION("""COMPUTED_VALUE"""),45783.0)</f>
        <v>45783</v>
      </c>
      <c r="V68" s="544"/>
      <c r="W68" s="544"/>
      <c r="X68" s="544"/>
      <c r="Y68" s="544"/>
      <c r="Z68" s="544"/>
      <c r="AA68" s="544"/>
      <c r="AB68" s="544"/>
      <c r="AC68" s="544"/>
      <c r="AD68" s="544"/>
      <c r="AE68" s="183"/>
      <c r="AF68" s="183"/>
      <c r="AG68" s="183"/>
      <c r="AH68" s="183"/>
      <c r="AI68" s="183"/>
      <c r="AJ68" s="183"/>
      <c r="AK68" s="183"/>
      <c r="AL68" s="183"/>
      <c r="AM68" s="183"/>
    </row>
    <row r="69" hidden="1">
      <c r="A69" s="531" t="str">
        <f>IFERROR(__xludf.DUMMYFUNCTION("""COMPUTED_VALUE"""),"サイズ")</f>
        <v>サイズ</v>
      </c>
      <c r="B69" s="531" t="str">
        <f>IFERROR(__xludf.DUMMYFUNCTION("""COMPUTED_VALUE"""),"ジャケット / ジャコット")</f>
        <v>ジャケット / ジャコット</v>
      </c>
      <c r="C69" s="531" t="str">
        <f>IFERROR(__xludf.DUMMYFUNCTION("""COMPUTED_VALUE"""),"ウエスト")</f>
        <v>ウエスト</v>
      </c>
      <c r="D69" s="550" t="str">
        <f>IFERROR(__xludf.DUMMYFUNCTION("""COMPUTED_VALUE"""),"ノーベント")</f>
        <v>ノーベント</v>
      </c>
      <c r="E69" s="533"/>
      <c r="F69" s="534" t="str">
        <f>IFERROR(__xludf.DUMMYFUNCTION("""COMPUTED_VALUE"""),"ウエスト / ノーベント")</f>
        <v>ウエスト / ノーベント</v>
      </c>
      <c r="G69" s="533" t="str">
        <f>IFERROR(__xludf.DUMMYFUNCTION("""COMPUTED_VALUE"""),"ウエスト / ノーベント")</f>
        <v>ウエスト / ノーベント</v>
      </c>
      <c r="H69" s="572" t="str">
        <f>IFERROR(__xludf.DUMMYFUNCTION("""COMPUTED_VALUE"""),"3")</f>
        <v>3</v>
      </c>
      <c r="I69" s="537"/>
      <c r="J69" s="538">
        <f>IFERROR(__xludf.DUMMYFUNCTION("""COMPUTED_VALUE"""),7.0)</f>
        <v>7</v>
      </c>
      <c r="K69" s="537">
        <f>IFERROR(__xludf.DUMMYFUNCTION("""COMPUTED_VALUE"""),46000.0)</f>
        <v>46000</v>
      </c>
      <c r="L69" s="539">
        <f>IFERROR(__xludf.DUMMYFUNCTION("""COMPUTED_VALUE"""),46003.0)</f>
        <v>46003</v>
      </c>
      <c r="M69" s="540">
        <f>IFERROR(__xludf.DUMMYFUNCTION("""COMPUTED_VALUE"""),46008.0)</f>
        <v>46008</v>
      </c>
      <c r="N69" s="539">
        <f>IFERROR(__xludf.DUMMYFUNCTION("""COMPUTED_VALUE"""),9900.0)</f>
        <v>9900</v>
      </c>
      <c r="O69" s="593">
        <f>IFERROR(__xludf.DUMMYFUNCTION("""COMPUTED_VALUE"""),9000.0)</f>
        <v>9000</v>
      </c>
      <c r="P69" s="594">
        <f>IFERROR(__xludf.DUMMYFUNCTION("""COMPUTED_VALUE"""),3000.0)</f>
        <v>3000</v>
      </c>
      <c r="Q69" s="183"/>
      <c r="R69" s="544"/>
      <c r="S69" s="544"/>
      <c r="T69" s="544"/>
      <c r="U69" s="595">
        <f>IFERROR(__xludf.DUMMYFUNCTION("""COMPUTED_VALUE"""),45784.0)</f>
        <v>45784</v>
      </c>
      <c r="V69" s="544"/>
      <c r="W69" s="544"/>
      <c r="X69" s="544"/>
      <c r="Y69" s="544"/>
      <c r="Z69" s="544"/>
      <c r="AA69" s="544"/>
      <c r="AB69" s="544"/>
      <c r="AC69" s="544"/>
      <c r="AD69" s="544"/>
      <c r="AE69" s="183"/>
      <c r="AF69" s="183"/>
      <c r="AG69" s="183"/>
      <c r="AH69" s="183"/>
      <c r="AI69" s="183"/>
      <c r="AJ69" s="183"/>
      <c r="AK69" s="183"/>
      <c r="AL69" s="183"/>
      <c r="AM69" s="183"/>
    </row>
    <row r="70" hidden="1">
      <c r="A70" s="531" t="str">
        <f>IFERROR(__xludf.DUMMYFUNCTION("""COMPUTED_VALUE"""),"サイズ")</f>
        <v>サイズ</v>
      </c>
      <c r="B70" s="531" t="str">
        <f>IFERROR(__xludf.DUMMYFUNCTION("""COMPUTED_VALUE"""),"ジャケット / ジャコット")</f>
        <v>ジャケット / ジャコット</v>
      </c>
      <c r="C70" s="531" t="str">
        <f>IFERROR(__xludf.DUMMYFUNCTION("""COMPUTED_VALUE"""),"ウエスト")</f>
        <v>ウエスト</v>
      </c>
      <c r="D70" s="550" t="str">
        <f>IFERROR(__xludf.DUMMYFUNCTION("""COMPUTED_VALUE"""),"ノーベント")</f>
        <v>ノーベント</v>
      </c>
      <c r="E70" s="533"/>
      <c r="F70" s="534" t="str">
        <f>IFERROR(__xludf.DUMMYFUNCTION("""COMPUTED_VALUE"""),"ウエスト / ノーベント")</f>
        <v>ウエスト / ノーベント</v>
      </c>
      <c r="G70" s="533" t="str">
        <f>IFERROR(__xludf.DUMMYFUNCTION("""COMPUTED_VALUE"""),"ウエスト / ノーベント")</f>
        <v>ウエスト / ノーベント</v>
      </c>
      <c r="H70" s="572" t="str">
        <f>IFERROR(__xludf.DUMMYFUNCTION("""COMPUTED_VALUE"""),"4")</f>
        <v>4</v>
      </c>
      <c r="I70" s="537"/>
      <c r="J70" s="538">
        <f>IFERROR(__xludf.DUMMYFUNCTION("""COMPUTED_VALUE"""),7.0)</f>
        <v>7</v>
      </c>
      <c r="K70" s="537">
        <f>IFERROR(__xludf.DUMMYFUNCTION("""COMPUTED_VALUE"""),46000.0)</f>
        <v>46000</v>
      </c>
      <c r="L70" s="539">
        <f>IFERROR(__xludf.DUMMYFUNCTION("""COMPUTED_VALUE"""),46003.0)</f>
        <v>46003</v>
      </c>
      <c r="M70" s="540">
        <f>IFERROR(__xludf.DUMMYFUNCTION("""COMPUTED_VALUE"""),46008.0)</f>
        <v>46008</v>
      </c>
      <c r="N70" s="539">
        <f>IFERROR(__xludf.DUMMYFUNCTION("""COMPUTED_VALUE"""),9900.0)</f>
        <v>9900</v>
      </c>
      <c r="O70" s="593">
        <f>IFERROR(__xludf.DUMMYFUNCTION("""COMPUTED_VALUE"""),9000.0)</f>
        <v>9000</v>
      </c>
      <c r="P70" s="594">
        <f>IFERROR(__xludf.DUMMYFUNCTION("""COMPUTED_VALUE"""),3000.0)</f>
        <v>3000</v>
      </c>
      <c r="Q70" s="183"/>
      <c r="R70" s="544"/>
      <c r="S70" s="544"/>
      <c r="T70" s="544"/>
      <c r="U70" s="595">
        <f>IFERROR(__xludf.DUMMYFUNCTION("""COMPUTED_VALUE"""),45789.0)</f>
        <v>45789</v>
      </c>
      <c r="V70" s="544"/>
      <c r="W70" s="544"/>
      <c r="X70" s="544"/>
      <c r="Y70" s="544"/>
      <c r="Z70" s="544"/>
      <c r="AA70" s="544"/>
      <c r="AB70" s="544"/>
      <c r="AC70" s="544"/>
      <c r="AD70" s="544"/>
      <c r="AE70" s="183"/>
      <c r="AF70" s="183"/>
      <c r="AG70" s="183"/>
      <c r="AH70" s="183"/>
      <c r="AI70" s="183"/>
      <c r="AJ70" s="183"/>
      <c r="AK70" s="183"/>
      <c r="AL70" s="183"/>
      <c r="AM70" s="183"/>
    </row>
    <row r="71" hidden="1">
      <c r="A71" s="531" t="str">
        <f>IFERROR(__xludf.DUMMYFUNCTION("""COMPUTED_VALUE"""),"サイズ")</f>
        <v>サイズ</v>
      </c>
      <c r="B71" s="531" t="str">
        <f>IFERROR(__xludf.DUMMYFUNCTION("""COMPUTED_VALUE"""),"ジャケット / ジャコット")</f>
        <v>ジャケット / ジャコット</v>
      </c>
      <c r="C71" s="531" t="str">
        <f>IFERROR(__xludf.DUMMYFUNCTION("""COMPUTED_VALUE"""),"袖丈")</f>
        <v>袖丈</v>
      </c>
      <c r="D71" s="550" t="str">
        <f>IFERROR(__xludf.DUMMYFUNCTION("""COMPUTED_VALUE"""),"本切羽なし")</f>
        <v>本切羽なし</v>
      </c>
      <c r="E71" s="550" t="str">
        <f>IFERROR(__xludf.DUMMYFUNCTION("""COMPUTED_VALUE"""),"※左右であっても1箇所換算")</f>
        <v>※左右であっても1箇所換算</v>
      </c>
      <c r="F71" s="534" t="str">
        <f>IFERROR(__xludf.DUMMYFUNCTION("""COMPUTED_VALUE"""),"袖丈 / 本切羽なし")</f>
        <v>袖丈 / 本切羽なし</v>
      </c>
      <c r="G71" s="533" t="str">
        <f>IFERROR(__xludf.DUMMYFUNCTION("""COMPUTED_VALUE"""),"袖丈 / 本切羽なし（※左右であっても1箇所換算）")</f>
        <v>袖丈 / 本切羽なし（※左右であっても1箇所換算）</v>
      </c>
      <c r="H71" s="572" t="str">
        <f>IFERROR(__xludf.DUMMYFUNCTION("""COMPUTED_VALUE"""),"0.5")</f>
        <v>0.5</v>
      </c>
      <c r="I71" s="537"/>
      <c r="J71" s="538">
        <f>IFERROR(__xludf.DUMMYFUNCTION("""COMPUTED_VALUE"""),7.0)</f>
        <v>7</v>
      </c>
      <c r="K71" s="537">
        <f>IFERROR(__xludf.DUMMYFUNCTION("""COMPUTED_VALUE"""),46000.0)</f>
        <v>46000</v>
      </c>
      <c r="L71" s="539">
        <f>IFERROR(__xludf.DUMMYFUNCTION("""COMPUTED_VALUE"""),46003.0)</f>
        <v>46003</v>
      </c>
      <c r="M71" s="540">
        <f>IFERROR(__xludf.DUMMYFUNCTION("""COMPUTED_VALUE"""),46008.0)</f>
        <v>46008</v>
      </c>
      <c r="N71" s="539">
        <f>IFERROR(__xludf.DUMMYFUNCTION("""COMPUTED_VALUE"""),2150.0)</f>
        <v>2150</v>
      </c>
      <c r="O71" s="593">
        <f>IFERROR(__xludf.DUMMYFUNCTION("""COMPUTED_VALUE"""),1950.0)</f>
        <v>1950</v>
      </c>
      <c r="P71" s="594">
        <f>IFERROR(__xludf.DUMMYFUNCTION("""COMPUTED_VALUE"""),650.0)</f>
        <v>650</v>
      </c>
      <c r="Q71" s="183"/>
      <c r="R71" s="544"/>
      <c r="S71" s="544"/>
      <c r="T71" s="544"/>
      <c r="U71" s="595">
        <f>IFERROR(__xludf.DUMMYFUNCTION("""COMPUTED_VALUE"""),45796.0)</f>
        <v>45796</v>
      </c>
      <c r="V71" s="544"/>
      <c r="W71" s="544"/>
      <c r="X71" s="544"/>
      <c r="Y71" s="544"/>
      <c r="Z71" s="544"/>
      <c r="AA71" s="544"/>
      <c r="AB71" s="544"/>
      <c r="AC71" s="544"/>
      <c r="AD71" s="544"/>
      <c r="AE71" s="183"/>
      <c r="AF71" s="183"/>
      <c r="AG71" s="183"/>
      <c r="AH71" s="183"/>
      <c r="AI71" s="183"/>
      <c r="AJ71" s="183"/>
      <c r="AK71" s="183"/>
      <c r="AL71" s="183"/>
      <c r="AM71" s="183"/>
    </row>
    <row r="72" hidden="1">
      <c r="A72" s="531" t="str">
        <f>IFERROR(__xludf.DUMMYFUNCTION("""COMPUTED_VALUE"""),"サイズ")</f>
        <v>サイズ</v>
      </c>
      <c r="B72" s="531" t="str">
        <f>IFERROR(__xludf.DUMMYFUNCTION("""COMPUTED_VALUE"""),"ジャケット / ジャコット")</f>
        <v>ジャケット / ジャコット</v>
      </c>
      <c r="C72" s="531" t="str">
        <f>IFERROR(__xludf.DUMMYFUNCTION("""COMPUTED_VALUE"""),"袖丈")</f>
        <v>袖丈</v>
      </c>
      <c r="D72" s="550" t="str">
        <f>IFERROR(__xludf.DUMMYFUNCTION("""COMPUTED_VALUE"""),"本切羽なし")</f>
        <v>本切羽なし</v>
      </c>
      <c r="E72" s="550" t="str">
        <f>IFERROR(__xludf.DUMMYFUNCTION("""COMPUTED_VALUE"""),"※左右であっても1箇所換算")</f>
        <v>※左右であっても1箇所換算</v>
      </c>
      <c r="F72" s="534" t="str">
        <f>IFERROR(__xludf.DUMMYFUNCTION("""COMPUTED_VALUE"""),"袖丈 / 本切羽なし")</f>
        <v>袖丈 / 本切羽なし</v>
      </c>
      <c r="G72" s="533" t="str">
        <f>IFERROR(__xludf.DUMMYFUNCTION("""COMPUTED_VALUE"""),"袖丈 / 本切羽なし（※左右であっても1箇所換算）")</f>
        <v>袖丈 / 本切羽なし（※左右であっても1箇所換算）</v>
      </c>
      <c r="H72" s="572" t="str">
        <f>IFERROR(__xludf.DUMMYFUNCTION("""COMPUTED_VALUE"""),"1")</f>
        <v>1</v>
      </c>
      <c r="I72" s="537"/>
      <c r="J72" s="538">
        <f>IFERROR(__xludf.DUMMYFUNCTION("""COMPUTED_VALUE"""),7.0)</f>
        <v>7</v>
      </c>
      <c r="K72" s="537">
        <f>IFERROR(__xludf.DUMMYFUNCTION("""COMPUTED_VALUE"""),46000.0)</f>
        <v>46000</v>
      </c>
      <c r="L72" s="539">
        <f>IFERROR(__xludf.DUMMYFUNCTION("""COMPUTED_VALUE"""),46003.0)</f>
        <v>46003</v>
      </c>
      <c r="M72" s="540">
        <f>IFERROR(__xludf.DUMMYFUNCTION("""COMPUTED_VALUE"""),46008.0)</f>
        <v>46008</v>
      </c>
      <c r="N72" s="539">
        <f>IFERROR(__xludf.DUMMYFUNCTION("""COMPUTED_VALUE"""),2150.0)</f>
        <v>2150</v>
      </c>
      <c r="O72" s="593">
        <f>IFERROR(__xludf.DUMMYFUNCTION("""COMPUTED_VALUE"""),1950.0)</f>
        <v>1950</v>
      </c>
      <c r="P72" s="594">
        <f>IFERROR(__xludf.DUMMYFUNCTION("""COMPUTED_VALUE"""),650.0)</f>
        <v>650</v>
      </c>
      <c r="Q72" s="183"/>
      <c r="R72" s="544"/>
      <c r="S72" s="544"/>
      <c r="T72" s="544"/>
      <c r="U72" s="595">
        <f>IFERROR(__xludf.DUMMYFUNCTION("""COMPUTED_VALUE"""),45803.0)</f>
        <v>45803</v>
      </c>
      <c r="V72" s="544"/>
      <c r="W72" s="544"/>
      <c r="X72" s="544"/>
      <c r="Y72" s="544"/>
      <c r="Z72" s="544"/>
      <c r="AA72" s="544"/>
      <c r="AB72" s="544"/>
      <c r="AC72" s="544"/>
      <c r="AD72" s="544"/>
      <c r="AE72" s="183"/>
      <c r="AF72" s="183"/>
      <c r="AG72" s="183"/>
      <c r="AH72" s="183"/>
      <c r="AI72" s="183"/>
      <c r="AJ72" s="183"/>
      <c r="AK72" s="183"/>
      <c r="AL72" s="183"/>
      <c r="AM72" s="183"/>
    </row>
    <row r="73" hidden="1">
      <c r="A73" s="531" t="str">
        <f>IFERROR(__xludf.DUMMYFUNCTION("""COMPUTED_VALUE"""),"サイズ")</f>
        <v>サイズ</v>
      </c>
      <c r="B73" s="531" t="str">
        <f>IFERROR(__xludf.DUMMYFUNCTION("""COMPUTED_VALUE"""),"ジャケット / ジャコット")</f>
        <v>ジャケット / ジャコット</v>
      </c>
      <c r="C73" s="531" t="str">
        <f>IFERROR(__xludf.DUMMYFUNCTION("""COMPUTED_VALUE"""),"袖丈")</f>
        <v>袖丈</v>
      </c>
      <c r="D73" s="550" t="str">
        <f>IFERROR(__xludf.DUMMYFUNCTION("""COMPUTED_VALUE"""),"本切羽なし")</f>
        <v>本切羽なし</v>
      </c>
      <c r="E73" s="550" t="str">
        <f>IFERROR(__xludf.DUMMYFUNCTION("""COMPUTED_VALUE"""),"※左右であっても1箇所換算")</f>
        <v>※左右であっても1箇所換算</v>
      </c>
      <c r="F73" s="534" t="str">
        <f>IFERROR(__xludf.DUMMYFUNCTION("""COMPUTED_VALUE"""),"袖丈 / 本切羽なし")</f>
        <v>袖丈 / 本切羽なし</v>
      </c>
      <c r="G73" s="533" t="str">
        <f>IFERROR(__xludf.DUMMYFUNCTION("""COMPUTED_VALUE"""),"袖丈 / 本切羽なし（※左右であっても1箇所換算）")</f>
        <v>袖丈 / 本切羽なし（※左右であっても1箇所換算）</v>
      </c>
      <c r="H73" s="572" t="str">
        <f>IFERROR(__xludf.DUMMYFUNCTION("""COMPUTED_VALUE"""),"1.5")</f>
        <v>1.5</v>
      </c>
      <c r="I73" s="537"/>
      <c r="J73" s="538">
        <f>IFERROR(__xludf.DUMMYFUNCTION("""COMPUTED_VALUE"""),7.0)</f>
        <v>7</v>
      </c>
      <c r="K73" s="537">
        <f>IFERROR(__xludf.DUMMYFUNCTION("""COMPUTED_VALUE"""),46000.0)</f>
        <v>46000</v>
      </c>
      <c r="L73" s="539">
        <f>IFERROR(__xludf.DUMMYFUNCTION("""COMPUTED_VALUE"""),46003.0)</f>
        <v>46003</v>
      </c>
      <c r="M73" s="540">
        <f>IFERROR(__xludf.DUMMYFUNCTION("""COMPUTED_VALUE"""),46008.0)</f>
        <v>46008</v>
      </c>
      <c r="N73" s="539">
        <f>IFERROR(__xludf.DUMMYFUNCTION("""COMPUTED_VALUE"""),2150.0)</f>
        <v>2150</v>
      </c>
      <c r="O73" s="593">
        <f>IFERROR(__xludf.DUMMYFUNCTION("""COMPUTED_VALUE"""),1950.0)</f>
        <v>1950</v>
      </c>
      <c r="P73" s="594">
        <f>IFERROR(__xludf.DUMMYFUNCTION("""COMPUTED_VALUE"""),650.0)</f>
        <v>650</v>
      </c>
      <c r="Q73" s="183"/>
      <c r="R73" s="544"/>
      <c r="S73" s="544"/>
      <c r="T73" s="544"/>
      <c r="U73" s="579">
        <f>IFERROR(__xludf.DUMMYFUNCTION("""COMPUTED_VALUE"""),45810.0)</f>
        <v>45810</v>
      </c>
      <c r="V73" s="544"/>
      <c r="W73" s="544"/>
      <c r="X73" s="544"/>
      <c r="Y73" s="544"/>
      <c r="Z73" s="544"/>
      <c r="AA73" s="544"/>
      <c r="AB73" s="544"/>
      <c r="AC73" s="544"/>
      <c r="AD73" s="544"/>
      <c r="AE73" s="183"/>
      <c r="AF73" s="183"/>
      <c r="AG73" s="183"/>
      <c r="AH73" s="183"/>
      <c r="AI73" s="183"/>
      <c r="AJ73" s="183"/>
      <c r="AK73" s="183"/>
      <c r="AL73" s="183"/>
      <c r="AM73" s="183"/>
    </row>
    <row r="74" hidden="1">
      <c r="A74" s="531" t="str">
        <f>IFERROR(__xludf.DUMMYFUNCTION("""COMPUTED_VALUE"""),"サイズ")</f>
        <v>サイズ</v>
      </c>
      <c r="B74" s="531" t="str">
        <f>IFERROR(__xludf.DUMMYFUNCTION("""COMPUTED_VALUE"""),"ジャケット / ジャコット")</f>
        <v>ジャケット / ジャコット</v>
      </c>
      <c r="C74" s="531" t="str">
        <f>IFERROR(__xludf.DUMMYFUNCTION("""COMPUTED_VALUE"""),"袖丈")</f>
        <v>袖丈</v>
      </c>
      <c r="D74" s="550" t="str">
        <f>IFERROR(__xludf.DUMMYFUNCTION("""COMPUTED_VALUE"""),"本切羽なし")</f>
        <v>本切羽なし</v>
      </c>
      <c r="E74" s="550" t="str">
        <f>IFERROR(__xludf.DUMMYFUNCTION("""COMPUTED_VALUE"""),"※左右であっても1箇所換算")</f>
        <v>※左右であっても1箇所換算</v>
      </c>
      <c r="F74" s="534" t="str">
        <f>IFERROR(__xludf.DUMMYFUNCTION("""COMPUTED_VALUE"""),"袖丈 / 本切羽なし")</f>
        <v>袖丈 / 本切羽なし</v>
      </c>
      <c r="G74" s="533" t="str">
        <f>IFERROR(__xludf.DUMMYFUNCTION("""COMPUTED_VALUE"""),"袖丈 / 本切羽なし（※左右であっても1箇所換算）")</f>
        <v>袖丈 / 本切羽なし（※左右であっても1箇所換算）</v>
      </c>
      <c r="H74" s="572" t="str">
        <f>IFERROR(__xludf.DUMMYFUNCTION("""COMPUTED_VALUE"""),"2")</f>
        <v>2</v>
      </c>
      <c r="I74" s="537"/>
      <c r="J74" s="538">
        <f>IFERROR(__xludf.DUMMYFUNCTION("""COMPUTED_VALUE"""),7.0)</f>
        <v>7</v>
      </c>
      <c r="K74" s="537">
        <f>IFERROR(__xludf.DUMMYFUNCTION("""COMPUTED_VALUE"""),46000.0)</f>
        <v>46000</v>
      </c>
      <c r="L74" s="539">
        <f>IFERROR(__xludf.DUMMYFUNCTION("""COMPUTED_VALUE"""),46003.0)</f>
        <v>46003</v>
      </c>
      <c r="M74" s="540">
        <f>IFERROR(__xludf.DUMMYFUNCTION("""COMPUTED_VALUE"""),46008.0)</f>
        <v>46008</v>
      </c>
      <c r="N74" s="539">
        <f>IFERROR(__xludf.DUMMYFUNCTION("""COMPUTED_VALUE"""),2150.0)</f>
        <v>2150</v>
      </c>
      <c r="O74" s="593">
        <f>IFERROR(__xludf.DUMMYFUNCTION("""COMPUTED_VALUE"""),1950.0)</f>
        <v>1950</v>
      </c>
      <c r="P74" s="594">
        <f>IFERROR(__xludf.DUMMYFUNCTION("""COMPUTED_VALUE"""),650.0)</f>
        <v>650</v>
      </c>
      <c r="Q74" s="183"/>
      <c r="R74" s="544"/>
      <c r="S74" s="544"/>
      <c r="T74" s="544"/>
      <c r="U74" s="579">
        <f>IFERROR(__xludf.DUMMYFUNCTION("""COMPUTED_VALUE"""),45817.0)</f>
        <v>45817</v>
      </c>
      <c r="V74" s="544"/>
      <c r="W74" s="544"/>
      <c r="X74" s="544"/>
      <c r="Y74" s="544"/>
      <c r="Z74" s="544"/>
      <c r="AA74" s="544"/>
      <c r="AB74" s="544"/>
      <c r="AC74" s="544"/>
      <c r="AD74" s="544"/>
      <c r="AE74" s="183"/>
      <c r="AF74" s="183"/>
      <c r="AG74" s="183"/>
      <c r="AH74" s="183"/>
      <c r="AI74" s="183"/>
      <c r="AJ74" s="183"/>
      <c r="AK74" s="183"/>
      <c r="AL74" s="183"/>
      <c r="AM74" s="183"/>
    </row>
    <row r="75" hidden="1">
      <c r="A75" s="531" t="str">
        <f>IFERROR(__xludf.DUMMYFUNCTION("""COMPUTED_VALUE"""),"サイズ")</f>
        <v>サイズ</v>
      </c>
      <c r="B75" s="531" t="str">
        <f>IFERROR(__xludf.DUMMYFUNCTION("""COMPUTED_VALUE"""),"ジャケット / ジャコット")</f>
        <v>ジャケット / ジャコット</v>
      </c>
      <c r="C75" s="531" t="str">
        <f>IFERROR(__xludf.DUMMYFUNCTION("""COMPUTED_VALUE"""),"袖丈")</f>
        <v>袖丈</v>
      </c>
      <c r="D75" s="550" t="str">
        <f>IFERROR(__xludf.DUMMYFUNCTION("""COMPUTED_VALUE"""),"本切羽なし")</f>
        <v>本切羽なし</v>
      </c>
      <c r="E75" s="550" t="str">
        <f>IFERROR(__xludf.DUMMYFUNCTION("""COMPUTED_VALUE"""),"※左右であっても1箇所換算")</f>
        <v>※左右であっても1箇所換算</v>
      </c>
      <c r="F75" s="534" t="str">
        <f>IFERROR(__xludf.DUMMYFUNCTION("""COMPUTED_VALUE"""),"袖丈 / 本切羽なし")</f>
        <v>袖丈 / 本切羽なし</v>
      </c>
      <c r="G75" s="550" t="str">
        <f>IFERROR(__xludf.DUMMYFUNCTION("""COMPUTED_VALUE"""),"袖丈 / 本切羽なし（※左右であっても1箇所換算）")</f>
        <v>袖丈 / 本切羽なし（※左右であっても1箇所換算）</v>
      </c>
      <c r="H75" s="572" t="str">
        <f>IFERROR(__xludf.DUMMYFUNCTION("""COMPUTED_VALUE"""),"2.5")</f>
        <v>2.5</v>
      </c>
      <c r="I75" s="537"/>
      <c r="J75" s="538">
        <f>IFERROR(__xludf.DUMMYFUNCTION("""COMPUTED_VALUE"""),7.0)</f>
        <v>7</v>
      </c>
      <c r="K75" s="537">
        <f>IFERROR(__xludf.DUMMYFUNCTION("""COMPUTED_VALUE"""),46000.0)</f>
        <v>46000</v>
      </c>
      <c r="L75" s="539">
        <f>IFERROR(__xludf.DUMMYFUNCTION("""COMPUTED_VALUE"""),46003.0)</f>
        <v>46003</v>
      </c>
      <c r="M75" s="540">
        <f>IFERROR(__xludf.DUMMYFUNCTION("""COMPUTED_VALUE"""),46008.0)</f>
        <v>46008</v>
      </c>
      <c r="N75" s="539">
        <f>IFERROR(__xludf.DUMMYFUNCTION("""COMPUTED_VALUE"""),2150.0)</f>
        <v>2150</v>
      </c>
      <c r="O75" s="593">
        <f>IFERROR(__xludf.DUMMYFUNCTION("""COMPUTED_VALUE"""),1950.0)</f>
        <v>1950</v>
      </c>
      <c r="P75" s="594">
        <f>IFERROR(__xludf.DUMMYFUNCTION("""COMPUTED_VALUE"""),650.0)</f>
        <v>650</v>
      </c>
      <c r="Q75" s="183"/>
      <c r="R75" s="544"/>
      <c r="S75" s="544"/>
      <c r="T75" s="544"/>
      <c r="U75" s="579">
        <f>IFERROR(__xludf.DUMMYFUNCTION("""COMPUTED_VALUE"""),45824.0)</f>
        <v>45824</v>
      </c>
      <c r="V75" s="544"/>
      <c r="W75" s="544"/>
      <c r="X75" s="544"/>
      <c r="Y75" s="544"/>
      <c r="Z75" s="544"/>
      <c r="AA75" s="544"/>
      <c r="AB75" s="544"/>
      <c r="AC75" s="544"/>
      <c r="AD75" s="544"/>
      <c r="AE75" s="183"/>
      <c r="AF75" s="183"/>
      <c r="AG75" s="183"/>
      <c r="AH75" s="183"/>
      <c r="AI75" s="183"/>
      <c r="AJ75" s="183"/>
      <c r="AK75" s="183"/>
      <c r="AL75" s="183"/>
      <c r="AM75" s="183"/>
    </row>
    <row r="76" hidden="1">
      <c r="A76" s="531" t="str">
        <f>IFERROR(__xludf.DUMMYFUNCTION("""COMPUTED_VALUE"""),"サイズ")</f>
        <v>サイズ</v>
      </c>
      <c r="B76" s="531" t="str">
        <f>IFERROR(__xludf.DUMMYFUNCTION("""COMPUTED_VALUE"""),"ジャケット / ジャコット")</f>
        <v>ジャケット / ジャコット</v>
      </c>
      <c r="C76" s="531" t="str">
        <f>IFERROR(__xludf.DUMMYFUNCTION("""COMPUTED_VALUE"""),"袖丈")</f>
        <v>袖丈</v>
      </c>
      <c r="D76" s="550" t="str">
        <f>IFERROR(__xludf.DUMMYFUNCTION("""COMPUTED_VALUE"""),"本切羽なし")</f>
        <v>本切羽なし</v>
      </c>
      <c r="E76" s="550" t="str">
        <f>IFERROR(__xludf.DUMMYFUNCTION("""COMPUTED_VALUE"""),"※左右であっても1箇所換算")</f>
        <v>※左右であっても1箇所換算</v>
      </c>
      <c r="F76" s="534" t="str">
        <f>IFERROR(__xludf.DUMMYFUNCTION("""COMPUTED_VALUE"""),"袖丈 / 本切羽なし")</f>
        <v>袖丈 / 本切羽なし</v>
      </c>
      <c r="G76" s="550" t="str">
        <f>IFERROR(__xludf.DUMMYFUNCTION("""COMPUTED_VALUE"""),"袖丈 / 本切羽なし（※左右であっても1箇所換算）")</f>
        <v>袖丈 / 本切羽なし（※左右であっても1箇所換算）</v>
      </c>
      <c r="H76" s="572" t="str">
        <f>IFERROR(__xludf.DUMMYFUNCTION("""COMPUTED_VALUE"""),"-6")</f>
        <v>-6</v>
      </c>
      <c r="I76" s="537"/>
      <c r="J76" s="538">
        <f>IFERROR(__xludf.DUMMYFUNCTION("""COMPUTED_VALUE"""),7.0)</f>
        <v>7</v>
      </c>
      <c r="K76" s="537">
        <f>IFERROR(__xludf.DUMMYFUNCTION("""COMPUTED_VALUE"""),46000.0)</f>
        <v>46000</v>
      </c>
      <c r="L76" s="539">
        <f>IFERROR(__xludf.DUMMYFUNCTION("""COMPUTED_VALUE"""),46003.0)</f>
        <v>46003</v>
      </c>
      <c r="M76" s="540">
        <f>IFERROR(__xludf.DUMMYFUNCTION("""COMPUTED_VALUE"""),46008.0)</f>
        <v>46008</v>
      </c>
      <c r="N76" s="539">
        <f>IFERROR(__xludf.DUMMYFUNCTION("""COMPUTED_VALUE"""),2150.0)</f>
        <v>2150</v>
      </c>
      <c r="O76" s="593">
        <f>IFERROR(__xludf.DUMMYFUNCTION("""COMPUTED_VALUE"""),1950.0)</f>
        <v>1950</v>
      </c>
      <c r="P76" s="594">
        <f>IFERROR(__xludf.DUMMYFUNCTION("""COMPUTED_VALUE"""),650.0)</f>
        <v>650</v>
      </c>
      <c r="Q76" s="183"/>
      <c r="R76" s="544"/>
      <c r="S76" s="544"/>
      <c r="T76" s="544"/>
      <c r="U76" s="595">
        <f>IFERROR(__xludf.DUMMYFUNCTION("""COMPUTED_VALUE"""),45828.0)</f>
        <v>45828</v>
      </c>
      <c r="V76" s="544"/>
      <c r="W76" s="544"/>
      <c r="X76" s="544"/>
      <c r="Y76" s="544"/>
      <c r="Z76" s="544"/>
      <c r="AA76" s="544"/>
      <c r="AB76" s="544"/>
      <c r="AC76" s="544"/>
      <c r="AD76" s="544"/>
      <c r="AE76" s="183"/>
      <c r="AF76" s="183"/>
      <c r="AG76" s="183"/>
      <c r="AH76" s="183"/>
      <c r="AI76" s="183"/>
      <c r="AJ76" s="183"/>
      <c r="AK76" s="183"/>
      <c r="AL76" s="183"/>
      <c r="AM76" s="183"/>
    </row>
    <row r="77" hidden="1">
      <c r="A77" s="531" t="str">
        <f>IFERROR(__xludf.DUMMYFUNCTION("""COMPUTED_VALUE"""),"サイズ")</f>
        <v>サイズ</v>
      </c>
      <c r="B77" s="531" t="str">
        <f>IFERROR(__xludf.DUMMYFUNCTION("""COMPUTED_VALUE"""),"ジャケット / ジャコット")</f>
        <v>ジャケット / ジャコット</v>
      </c>
      <c r="C77" s="531" t="str">
        <f>IFERROR(__xludf.DUMMYFUNCTION("""COMPUTED_VALUE"""),"袖丈")</f>
        <v>袖丈</v>
      </c>
      <c r="D77" s="550" t="str">
        <f>IFERROR(__xludf.DUMMYFUNCTION("""COMPUTED_VALUE"""),"本切羽なし")</f>
        <v>本切羽なし</v>
      </c>
      <c r="E77" s="550" t="str">
        <f>IFERROR(__xludf.DUMMYFUNCTION("""COMPUTED_VALUE"""),"※左右であっても1箇所換算")</f>
        <v>※左右であっても1箇所換算</v>
      </c>
      <c r="F77" s="534" t="str">
        <f>IFERROR(__xludf.DUMMYFUNCTION("""COMPUTED_VALUE"""),"袖丈 / 本切羽なし")</f>
        <v>袖丈 / 本切羽なし</v>
      </c>
      <c r="G77" s="550" t="str">
        <f>IFERROR(__xludf.DUMMYFUNCTION("""COMPUTED_VALUE"""),"袖丈 / 本切羽なし（※左右であっても1箇所換算）")</f>
        <v>袖丈 / 本切羽なし（※左右であっても1箇所換算）</v>
      </c>
      <c r="H77" s="572" t="str">
        <f>IFERROR(__xludf.DUMMYFUNCTION("""COMPUTED_VALUE"""),"-5.5")</f>
        <v>-5.5</v>
      </c>
      <c r="I77" s="537"/>
      <c r="J77" s="538">
        <f>IFERROR(__xludf.DUMMYFUNCTION("""COMPUTED_VALUE"""),7.0)</f>
        <v>7</v>
      </c>
      <c r="K77" s="537">
        <f>IFERROR(__xludf.DUMMYFUNCTION("""COMPUTED_VALUE"""),46000.0)</f>
        <v>46000</v>
      </c>
      <c r="L77" s="539">
        <f>IFERROR(__xludf.DUMMYFUNCTION("""COMPUTED_VALUE"""),46003.0)</f>
        <v>46003</v>
      </c>
      <c r="M77" s="540">
        <f>IFERROR(__xludf.DUMMYFUNCTION("""COMPUTED_VALUE"""),46008.0)</f>
        <v>46008</v>
      </c>
      <c r="N77" s="539">
        <f>IFERROR(__xludf.DUMMYFUNCTION("""COMPUTED_VALUE"""),2150.0)</f>
        <v>2150</v>
      </c>
      <c r="O77" s="593">
        <f>IFERROR(__xludf.DUMMYFUNCTION("""COMPUTED_VALUE"""),1950.0)</f>
        <v>1950</v>
      </c>
      <c r="P77" s="594">
        <f>IFERROR(__xludf.DUMMYFUNCTION("""COMPUTED_VALUE"""),650.0)</f>
        <v>650</v>
      </c>
      <c r="Q77" s="183"/>
      <c r="R77" s="544"/>
      <c r="S77" s="544"/>
      <c r="T77" s="544"/>
      <c r="U77" s="595">
        <f>IFERROR(__xludf.DUMMYFUNCTION("""COMPUTED_VALUE"""),45828.0)</f>
        <v>45828</v>
      </c>
      <c r="V77" s="544"/>
      <c r="W77" s="544"/>
      <c r="X77" s="544"/>
      <c r="Y77" s="544"/>
      <c r="Z77" s="544"/>
      <c r="AA77" s="544"/>
      <c r="AB77" s="544"/>
      <c r="AC77" s="544"/>
      <c r="AD77" s="544"/>
      <c r="AE77" s="183"/>
      <c r="AF77" s="183"/>
      <c r="AG77" s="183"/>
      <c r="AH77" s="183"/>
      <c r="AI77" s="183"/>
      <c r="AJ77" s="183"/>
      <c r="AK77" s="183"/>
      <c r="AL77" s="183"/>
      <c r="AM77" s="183"/>
    </row>
    <row r="78" hidden="1">
      <c r="A78" s="531" t="str">
        <f>IFERROR(__xludf.DUMMYFUNCTION("""COMPUTED_VALUE"""),"サイズ")</f>
        <v>サイズ</v>
      </c>
      <c r="B78" s="531" t="str">
        <f>IFERROR(__xludf.DUMMYFUNCTION("""COMPUTED_VALUE"""),"ジャケット / ジャコット")</f>
        <v>ジャケット / ジャコット</v>
      </c>
      <c r="C78" s="531" t="str">
        <f>IFERROR(__xludf.DUMMYFUNCTION("""COMPUTED_VALUE"""),"袖丈")</f>
        <v>袖丈</v>
      </c>
      <c r="D78" s="550" t="str">
        <f>IFERROR(__xludf.DUMMYFUNCTION("""COMPUTED_VALUE"""),"本切羽なし")</f>
        <v>本切羽なし</v>
      </c>
      <c r="E78" s="550" t="str">
        <f>IFERROR(__xludf.DUMMYFUNCTION("""COMPUTED_VALUE"""),"※左右であっても1箇所換算")</f>
        <v>※左右であっても1箇所換算</v>
      </c>
      <c r="F78" s="534" t="str">
        <f>IFERROR(__xludf.DUMMYFUNCTION("""COMPUTED_VALUE"""),"袖丈 / 本切羽なし")</f>
        <v>袖丈 / 本切羽なし</v>
      </c>
      <c r="G78" s="550" t="str">
        <f>IFERROR(__xludf.DUMMYFUNCTION("""COMPUTED_VALUE"""),"袖丈 / 本切羽なし（※左右であっても1箇所換算）")</f>
        <v>袖丈 / 本切羽なし（※左右であっても1箇所換算）</v>
      </c>
      <c r="H78" s="572" t="str">
        <f>IFERROR(__xludf.DUMMYFUNCTION("""COMPUTED_VALUE"""),"-5")</f>
        <v>-5</v>
      </c>
      <c r="I78" s="537"/>
      <c r="J78" s="538">
        <f>IFERROR(__xludf.DUMMYFUNCTION("""COMPUTED_VALUE"""),7.0)</f>
        <v>7</v>
      </c>
      <c r="K78" s="537">
        <f>IFERROR(__xludf.DUMMYFUNCTION("""COMPUTED_VALUE"""),46000.0)</f>
        <v>46000</v>
      </c>
      <c r="L78" s="539">
        <f>IFERROR(__xludf.DUMMYFUNCTION("""COMPUTED_VALUE"""),46003.0)</f>
        <v>46003</v>
      </c>
      <c r="M78" s="540">
        <f>IFERROR(__xludf.DUMMYFUNCTION("""COMPUTED_VALUE"""),46008.0)</f>
        <v>46008</v>
      </c>
      <c r="N78" s="539">
        <f>IFERROR(__xludf.DUMMYFUNCTION("""COMPUTED_VALUE"""),2150.0)</f>
        <v>2150</v>
      </c>
      <c r="O78" s="593">
        <f>IFERROR(__xludf.DUMMYFUNCTION("""COMPUTED_VALUE"""),1950.0)</f>
        <v>1950</v>
      </c>
      <c r="P78" s="594">
        <f>IFERROR(__xludf.DUMMYFUNCTION("""COMPUTED_VALUE"""),650.0)</f>
        <v>650</v>
      </c>
      <c r="Q78" s="183"/>
      <c r="R78" s="544"/>
      <c r="S78" s="544"/>
      <c r="T78" s="544"/>
      <c r="U78" s="595">
        <f>IFERROR(__xludf.DUMMYFUNCTION("""COMPUTED_VALUE"""),45828.0)</f>
        <v>45828</v>
      </c>
      <c r="V78" s="544"/>
      <c r="W78" s="544"/>
      <c r="X78" s="544"/>
      <c r="Y78" s="544"/>
      <c r="Z78" s="544"/>
      <c r="AA78" s="544"/>
      <c r="AB78" s="544"/>
      <c r="AC78" s="544"/>
      <c r="AD78" s="544"/>
      <c r="AE78" s="183"/>
      <c r="AF78" s="183"/>
      <c r="AG78" s="183"/>
      <c r="AH78" s="183"/>
      <c r="AI78" s="183"/>
      <c r="AJ78" s="183"/>
      <c r="AK78" s="183"/>
      <c r="AL78" s="183"/>
      <c r="AM78" s="183"/>
    </row>
    <row r="79" hidden="1">
      <c r="A79" s="531" t="str">
        <f>IFERROR(__xludf.DUMMYFUNCTION("""COMPUTED_VALUE"""),"サイズ")</f>
        <v>サイズ</v>
      </c>
      <c r="B79" s="531" t="str">
        <f>IFERROR(__xludf.DUMMYFUNCTION("""COMPUTED_VALUE"""),"ジャケット / ジャコット")</f>
        <v>ジャケット / ジャコット</v>
      </c>
      <c r="C79" s="531" t="str">
        <f>IFERROR(__xludf.DUMMYFUNCTION("""COMPUTED_VALUE"""),"袖丈")</f>
        <v>袖丈</v>
      </c>
      <c r="D79" s="550" t="str">
        <f>IFERROR(__xludf.DUMMYFUNCTION("""COMPUTED_VALUE"""),"本切羽なし")</f>
        <v>本切羽なし</v>
      </c>
      <c r="E79" s="550" t="str">
        <f>IFERROR(__xludf.DUMMYFUNCTION("""COMPUTED_VALUE"""),"※左右であっても1箇所換算")</f>
        <v>※左右であっても1箇所換算</v>
      </c>
      <c r="F79" s="534" t="str">
        <f>IFERROR(__xludf.DUMMYFUNCTION("""COMPUTED_VALUE"""),"袖丈 / 本切羽なし")</f>
        <v>袖丈 / 本切羽なし</v>
      </c>
      <c r="G79" s="533" t="str">
        <f>IFERROR(__xludf.DUMMYFUNCTION("""COMPUTED_VALUE"""),"袖丈 / 本切羽なし（※左右であっても1箇所換算）")</f>
        <v>袖丈 / 本切羽なし（※左右であっても1箇所換算）</v>
      </c>
      <c r="H79" s="572" t="str">
        <f>IFERROR(__xludf.DUMMYFUNCTION("""COMPUTED_VALUE"""),"-4.5")</f>
        <v>-4.5</v>
      </c>
      <c r="I79" s="537"/>
      <c r="J79" s="538">
        <f>IFERROR(__xludf.DUMMYFUNCTION("""COMPUTED_VALUE"""),7.0)</f>
        <v>7</v>
      </c>
      <c r="K79" s="537">
        <f>IFERROR(__xludf.DUMMYFUNCTION("""COMPUTED_VALUE"""),46000.0)</f>
        <v>46000</v>
      </c>
      <c r="L79" s="539">
        <f>IFERROR(__xludf.DUMMYFUNCTION("""COMPUTED_VALUE"""),46003.0)</f>
        <v>46003</v>
      </c>
      <c r="M79" s="540">
        <f>IFERROR(__xludf.DUMMYFUNCTION("""COMPUTED_VALUE"""),46008.0)</f>
        <v>46008</v>
      </c>
      <c r="N79" s="539">
        <f>IFERROR(__xludf.DUMMYFUNCTION("""COMPUTED_VALUE"""),2150.0)</f>
        <v>2150</v>
      </c>
      <c r="O79" s="593">
        <f>IFERROR(__xludf.DUMMYFUNCTION("""COMPUTED_VALUE"""),1950.0)</f>
        <v>1950</v>
      </c>
      <c r="P79" s="594">
        <f>IFERROR(__xludf.DUMMYFUNCTION("""COMPUTED_VALUE"""),650.0)</f>
        <v>650</v>
      </c>
      <c r="Q79" s="183"/>
      <c r="R79" s="544"/>
      <c r="S79" s="544"/>
      <c r="T79" s="544"/>
      <c r="U79" s="595">
        <f>IFERROR(__xludf.DUMMYFUNCTION("""COMPUTED_VALUE"""),45828.0)</f>
        <v>45828</v>
      </c>
      <c r="V79" s="544"/>
      <c r="W79" s="544"/>
      <c r="X79" s="544"/>
      <c r="Y79" s="544"/>
      <c r="Z79" s="544"/>
      <c r="AA79" s="544"/>
      <c r="AB79" s="544"/>
      <c r="AC79" s="544"/>
      <c r="AD79" s="544"/>
      <c r="AE79" s="183"/>
      <c r="AF79" s="183"/>
      <c r="AG79" s="183"/>
      <c r="AH79" s="183"/>
      <c r="AI79" s="183"/>
      <c r="AJ79" s="183"/>
      <c r="AK79" s="183"/>
      <c r="AL79" s="183"/>
      <c r="AM79" s="183"/>
    </row>
    <row r="80" hidden="1">
      <c r="A80" s="531" t="str">
        <f>IFERROR(__xludf.DUMMYFUNCTION("""COMPUTED_VALUE"""),"サイズ")</f>
        <v>サイズ</v>
      </c>
      <c r="B80" s="531" t="str">
        <f>IFERROR(__xludf.DUMMYFUNCTION("""COMPUTED_VALUE"""),"ジャケット / ジャコット")</f>
        <v>ジャケット / ジャコット</v>
      </c>
      <c r="C80" s="531" t="str">
        <f>IFERROR(__xludf.DUMMYFUNCTION("""COMPUTED_VALUE"""),"袖丈")</f>
        <v>袖丈</v>
      </c>
      <c r="D80" s="550" t="str">
        <f>IFERROR(__xludf.DUMMYFUNCTION("""COMPUTED_VALUE"""),"本切羽なし")</f>
        <v>本切羽なし</v>
      </c>
      <c r="E80" s="550" t="str">
        <f>IFERROR(__xludf.DUMMYFUNCTION("""COMPUTED_VALUE"""),"※左右であっても1箇所換算")</f>
        <v>※左右であっても1箇所換算</v>
      </c>
      <c r="F80" s="534" t="str">
        <f>IFERROR(__xludf.DUMMYFUNCTION("""COMPUTED_VALUE"""),"袖丈 / 本切羽なし")</f>
        <v>袖丈 / 本切羽なし</v>
      </c>
      <c r="G80" s="533" t="str">
        <f>IFERROR(__xludf.DUMMYFUNCTION("""COMPUTED_VALUE"""),"袖丈 / 本切羽なし（※左右であっても1箇所換算）")</f>
        <v>袖丈 / 本切羽なし（※左右であっても1箇所換算）</v>
      </c>
      <c r="H80" s="572" t="str">
        <f>IFERROR(__xludf.DUMMYFUNCTION("""COMPUTED_VALUE"""),"-4")</f>
        <v>-4</v>
      </c>
      <c r="I80" s="537"/>
      <c r="J80" s="538">
        <f>IFERROR(__xludf.DUMMYFUNCTION("""COMPUTED_VALUE"""),7.0)</f>
        <v>7</v>
      </c>
      <c r="K80" s="537">
        <f>IFERROR(__xludf.DUMMYFUNCTION("""COMPUTED_VALUE"""),46000.0)</f>
        <v>46000</v>
      </c>
      <c r="L80" s="539">
        <f>IFERROR(__xludf.DUMMYFUNCTION("""COMPUTED_VALUE"""),46003.0)</f>
        <v>46003</v>
      </c>
      <c r="M80" s="540">
        <f>IFERROR(__xludf.DUMMYFUNCTION("""COMPUTED_VALUE"""),46008.0)</f>
        <v>46008</v>
      </c>
      <c r="N80" s="539">
        <f>IFERROR(__xludf.DUMMYFUNCTION("""COMPUTED_VALUE"""),2150.0)</f>
        <v>2150</v>
      </c>
      <c r="O80" s="593">
        <f>IFERROR(__xludf.DUMMYFUNCTION("""COMPUTED_VALUE"""),1950.0)</f>
        <v>1950</v>
      </c>
      <c r="P80" s="594">
        <f>IFERROR(__xludf.DUMMYFUNCTION("""COMPUTED_VALUE"""),650.0)</f>
        <v>650</v>
      </c>
      <c r="Q80" s="183"/>
      <c r="R80" s="544"/>
      <c r="S80" s="544"/>
      <c r="T80" s="544"/>
      <c r="U80" s="595">
        <f>IFERROR(__xludf.DUMMYFUNCTION("""COMPUTED_VALUE"""),45828.0)</f>
        <v>45828</v>
      </c>
      <c r="V80" s="544"/>
      <c r="W80" s="544"/>
      <c r="X80" s="544"/>
      <c r="Y80" s="544"/>
      <c r="Z80" s="544"/>
      <c r="AA80" s="544"/>
      <c r="AB80" s="544"/>
      <c r="AC80" s="544"/>
      <c r="AD80" s="544"/>
      <c r="AE80" s="183"/>
      <c r="AF80" s="183"/>
      <c r="AG80" s="183"/>
      <c r="AH80" s="183"/>
      <c r="AI80" s="183"/>
      <c r="AJ80" s="183"/>
      <c r="AK80" s="183"/>
      <c r="AL80" s="183"/>
      <c r="AM80" s="183"/>
    </row>
    <row r="81" hidden="1">
      <c r="A81" s="531" t="str">
        <f>IFERROR(__xludf.DUMMYFUNCTION("""COMPUTED_VALUE"""),"サイズ")</f>
        <v>サイズ</v>
      </c>
      <c r="B81" s="531" t="str">
        <f>IFERROR(__xludf.DUMMYFUNCTION("""COMPUTED_VALUE"""),"ジャケット / ジャコット")</f>
        <v>ジャケット / ジャコット</v>
      </c>
      <c r="C81" s="531" t="str">
        <f>IFERROR(__xludf.DUMMYFUNCTION("""COMPUTED_VALUE"""),"袖丈")</f>
        <v>袖丈</v>
      </c>
      <c r="D81" s="550" t="str">
        <f>IFERROR(__xludf.DUMMYFUNCTION("""COMPUTED_VALUE"""),"本切羽なし")</f>
        <v>本切羽なし</v>
      </c>
      <c r="E81" s="550" t="str">
        <f>IFERROR(__xludf.DUMMYFUNCTION("""COMPUTED_VALUE"""),"※左右であっても1箇所換算")</f>
        <v>※左右であっても1箇所換算</v>
      </c>
      <c r="F81" s="534" t="str">
        <f>IFERROR(__xludf.DUMMYFUNCTION("""COMPUTED_VALUE"""),"袖丈 / 本切羽なし")</f>
        <v>袖丈 / 本切羽なし</v>
      </c>
      <c r="G81" s="533" t="str">
        <f>IFERROR(__xludf.DUMMYFUNCTION("""COMPUTED_VALUE"""),"袖丈 / 本切羽なし（※左右であっても1箇所換算）")</f>
        <v>袖丈 / 本切羽なし（※左右であっても1箇所換算）</v>
      </c>
      <c r="H81" s="572" t="str">
        <f>IFERROR(__xludf.DUMMYFUNCTION("""COMPUTED_VALUE"""),"-3.5")</f>
        <v>-3.5</v>
      </c>
      <c r="I81" s="537"/>
      <c r="J81" s="538">
        <f>IFERROR(__xludf.DUMMYFUNCTION("""COMPUTED_VALUE"""),7.0)</f>
        <v>7</v>
      </c>
      <c r="K81" s="537">
        <f>IFERROR(__xludf.DUMMYFUNCTION("""COMPUTED_VALUE"""),46000.0)</f>
        <v>46000</v>
      </c>
      <c r="L81" s="539">
        <f>IFERROR(__xludf.DUMMYFUNCTION("""COMPUTED_VALUE"""),46003.0)</f>
        <v>46003</v>
      </c>
      <c r="M81" s="540">
        <f>IFERROR(__xludf.DUMMYFUNCTION("""COMPUTED_VALUE"""),46008.0)</f>
        <v>46008</v>
      </c>
      <c r="N81" s="539">
        <f>IFERROR(__xludf.DUMMYFUNCTION("""COMPUTED_VALUE"""),2150.0)</f>
        <v>2150</v>
      </c>
      <c r="O81" s="593">
        <f>IFERROR(__xludf.DUMMYFUNCTION("""COMPUTED_VALUE"""),1950.0)</f>
        <v>1950</v>
      </c>
      <c r="P81" s="594">
        <f>IFERROR(__xludf.DUMMYFUNCTION("""COMPUTED_VALUE"""),650.0)</f>
        <v>650</v>
      </c>
      <c r="Q81" s="183"/>
      <c r="R81" s="544"/>
      <c r="S81" s="544"/>
      <c r="T81" s="544"/>
      <c r="U81" s="579">
        <f>IFERROR(__xludf.DUMMYFUNCTION("""COMPUTED_VALUE"""),45831.0)</f>
        <v>45831</v>
      </c>
      <c r="V81" s="544"/>
      <c r="W81" s="544"/>
      <c r="X81" s="544"/>
      <c r="Y81" s="544"/>
      <c r="Z81" s="544"/>
      <c r="AA81" s="544"/>
      <c r="AB81" s="544"/>
      <c r="AC81" s="544"/>
      <c r="AD81" s="544"/>
      <c r="AE81" s="183"/>
      <c r="AF81" s="183"/>
      <c r="AG81" s="183"/>
      <c r="AH81" s="183"/>
      <c r="AI81" s="183"/>
      <c r="AJ81" s="183"/>
      <c r="AK81" s="183"/>
      <c r="AL81" s="183"/>
      <c r="AM81" s="183"/>
    </row>
    <row r="82" hidden="1">
      <c r="A82" s="531" t="str">
        <f>IFERROR(__xludf.DUMMYFUNCTION("""COMPUTED_VALUE"""),"サイズ")</f>
        <v>サイズ</v>
      </c>
      <c r="B82" s="531" t="str">
        <f>IFERROR(__xludf.DUMMYFUNCTION("""COMPUTED_VALUE"""),"ジャケット / ジャコット")</f>
        <v>ジャケット / ジャコット</v>
      </c>
      <c r="C82" s="531" t="str">
        <f>IFERROR(__xludf.DUMMYFUNCTION("""COMPUTED_VALUE"""),"袖丈")</f>
        <v>袖丈</v>
      </c>
      <c r="D82" s="550" t="str">
        <f>IFERROR(__xludf.DUMMYFUNCTION("""COMPUTED_VALUE"""),"本切羽なし")</f>
        <v>本切羽なし</v>
      </c>
      <c r="E82" s="550" t="str">
        <f>IFERROR(__xludf.DUMMYFUNCTION("""COMPUTED_VALUE"""),"※左右であっても1箇所換算")</f>
        <v>※左右であっても1箇所換算</v>
      </c>
      <c r="F82" s="534" t="str">
        <f>IFERROR(__xludf.DUMMYFUNCTION("""COMPUTED_VALUE"""),"袖丈 / 本切羽なし")</f>
        <v>袖丈 / 本切羽なし</v>
      </c>
      <c r="G82" s="533" t="str">
        <f>IFERROR(__xludf.DUMMYFUNCTION("""COMPUTED_VALUE"""),"袖丈 / 本切羽なし（※左右であっても1箇所換算）")</f>
        <v>袖丈 / 本切羽なし（※左右であっても1箇所換算）</v>
      </c>
      <c r="H82" s="572" t="str">
        <f>IFERROR(__xludf.DUMMYFUNCTION("""COMPUTED_VALUE"""),"-3")</f>
        <v>-3</v>
      </c>
      <c r="I82" s="537"/>
      <c r="J82" s="538">
        <f>IFERROR(__xludf.DUMMYFUNCTION("""COMPUTED_VALUE"""),7.0)</f>
        <v>7</v>
      </c>
      <c r="K82" s="537">
        <f>IFERROR(__xludf.DUMMYFUNCTION("""COMPUTED_VALUE"""),46000.0)</f>
        <v>46000</v>
      </c>
      <c r="L82" s="539">
        <f>IFERROR(__xludf.DUMMYFUNCTION("""COMPUTED_VALUE"""),46003.0)</f>
        <v>46003</v>
      </c>
      <c r="M82" s="540">
        <f>IFERROR(__xludf.DUMMYFUNCTION("""COMPUTED_VALUE"""),46008.0)</f>
        <v>46008</v>
      </c>
      <c r="N82" s="539">
        <f>IFERROR(__xludf.DUMMYFUNCTION("""COMPUTED_VALUE"""),2150.0)</f>
        <v>2150</v>
      </c>
      <c r="O82" s="593">
        <f>IFERROR(__xludf.DUMMYFUNCTION("""COMPUTED_VALUE"""),1950.0)</f>
        <v>1950</v>
      </c>
      <c r="P82" s="594">
        <f>IFERROR(__xludf.DUMMYFUNCTION("""COMPUTED_VALUE"""),650.0)</f>
        <v>650</v>
      </c>
      <c r="Q82" s="183"/>
      <c r="R82" s="544"/>
      <c r="S82" s="544"/>
      <c r="T82" s="544"/>
      <c r="U82" s="579">
        <f>IFERROR(__xludf.DUMMYFUNCTION("""COMPUTED_VALUE"""),45838.0)</f>
        <v>45838</v>
      </c>
      <c r="V82" s="544"/>
      <c r="W82" s="544"/>
      <c r="X82" s="544"/>
      <c r="Y82" s="544"/>
      <c r="Z82" s="544"/>
      <c r="AA82" s="544"/>
      <c r="AB82" s="544"/>
      <c r="AC82" s="544"/>
      <c r="AD82" s="544"/>
      <c r="AE82" s="183"/>
      <c r="AF82" s="183"/>
      <c r="AG82" s="183"/>
      <c r="AH82" s="183"/>
      <c r="AI82" s="183"/>
      <c r="AJ82" s="183"/>
      <c r="AK82" s="183"/>
      <c r="AL82" s="183"/>
      <c r="AM82" s="183"/>
    </row>
    <row r="83" hidden="1">
      <c r="A83" s="531" t="str">
        <f>IFERROR(__xludf.DUMMYFUNCTION("""COMPUTED_VALUE"""),"サイズ")</f>
        <v>サイズ</v>
      </c>
      <c r="B83" s="531" t="str">
        <f>IFERROR(__xludf.DUMMYFUNCTION("""COMPUTED_VALUE"""),"ジャケット / ジャコット")</f>
        <v>ジャケット / ジャコット</v>
      </c>
      <c r="C83" s="531" t="str">
        <f>IFERROR(__xludf.DUMMYFUNCTION("""COMPUTED_VALUE"""),"袖丈")</f>
        <v>袖丈</v>
      </c>
      <c r="D83" s="550" t="str">
        <f>IFERROR(__xludf.DUMMYFUNCTION("""COMPUTED_VALUE"""),"本切羽なし")</f>
        <v>本切羽なし</v>
      </c>
      <c r="E83" s="550" t="str">
        <f>IFERROR(__xludf.DUMMYFUNCTION("""COMPUTED_VALUE"""),"※左右であっても1箇所換算")</f>
        <v>※左右であっても1箇所換算</v>
      </c>
      <c r="F83" s="534" t="str">
        <f>IFERROR(__xludf.DUMMYFUNCTION("""COMPUTED_VALUE"""),"袖丈 / 本切羽なし")</f>
        <v>袖丈 / 本切羽なし</v>
      </c>
      <c r="G83" s="533" t="str">
        <f>IFERROR(__xludf.DUMMYFUNCTION("""COMPUTED_VALUE"""),"袖丈 / 本切羽なし（※左右であっても1箇所換算）")</f>
        <v>袖丈 / 本切羽なし（※左右であっても1箇所換算）</v>
      </c>
      <c r="H83" s="572" t="str">
        <f>IFERROR(__xludf.DUMMYFUNCTION("""COMPUTED_VALUE"""),"-2.5")</f>
        <v>-2.5</v>
      </c>
      <c r="I83" s="537"/>
      <c r="J83" s="538">
        <f>IFERROR(__xludf.DUMMYFUNCTION("""COMPUTED_VALUE"""),7.0)</f>
        <v>7</v>
      </c>
      <c r="K83" s="537">
        <f>IFERROR(__xludf.DUMMYFUNCTION("""COMPUTED_VALUE"""),46000.0)</f>
        <v>46000</v>
      </c>
      <c r="L83" s="539">
        <f>IFERROR(__xludf.DUMMYFUNCTION("""COMPUTED_VALUE"""),46003.0)</f>
        <v>46003</v>
      </c>
      <c r="M83" s="540">
        <f>IFERROR(__xludf.DUMMYFUNCTION("""COMPUTED_VALUE"""),46008.0)</f>
        <v>46008</v>
      </c>
      <c r="N83" s="539">
        <f>IFERROR(__xludf.DUMMYFUNCTION("""COMPUTED_VALUE"""),2150.0)</f>
        <v>2150</v>
      </c>
      <c r="O83" s="593">
        <f>IFERROR(__xludf.DUMMYFUNCTION("""COMPUTED_VALUE"""),1950.0)</f>
        <v>1950</v>
      </c>
      <c r="P83" s="594">
        <f>IFERROR(__xludf.DUMMYFUNCTION("""COMPUTED_VALUE"""),650.0)</f>
        <v>650</v>
      </c>
      <c r="Q83" s="183"/>
      <c r="R83" s="544"/>
      <c r="S83" s="544"/>
      <c r="T83" s="544"/>
      <c r="U83" s="595">
        <f>IFERROR(__xludf.DUMMYFUNCTION("""COMPUTED_VALUE"""),45849.0)</f>
        <v>45849</v>
      </c>
      <c r="V83" s="544"/>
      <c r="W83" s="544"/>
      <c r="X83" s="544"/>
      <c r="Y83" s="544"/>
      <c r="Z83" s="544"/>
      <c r="AA83" s="544"/>
      <c r="AB83" s="544"/>
      <c r="AC83" s="544"/>
      <c r="AD83" s="544"/>
      <c r="AE83" s="183"/>
      <c r="AF83" s="183"/>
      <c r="AG83" s="183"/>
      <c r="AH83" s="183"/>
      <c r="AI83" s="183"/>
      <c r="AJ83" s="183"/>
      <c r="AK83" s="183"/>
      <c r="AL83" s="183"/>
      <c r="AM83" s="183"/>
    </row>
    <row r="84" hidden="1">
      <c r="A84" s="531" t="str">
        <f>IFERROR(__xludf.DUMMYFUNCTION("""COMPUTED_VALUE"""),"サイズ")</f>
        <v>サイズ</v>
      </c>
      <c r="B84" s="531" t="str">
        <f>IFERROR(__xludf.DUMMYFUNCTION("""COMPUTED_VALUE"""),"ジャケット / ジャコット")</f>
        <v>ジャケット / ジャコット</v>
      </c>
      <c r="C84" s="531" t="str">
        <f>IFERROR(__xludf.DUMMYFUNCTION("""COMPUTED_VALUE"""),"袖丈")</f>
        <v>袖丈</v>
      </c>
      <c r="D84" s="550" t="str">
        <f>IFERROR(__xludf.DUMMYFUNCTION("""COMPUTED_VALUE"""),"本切羽なし")</f>
        <v>本切羽なし</v>
      </c>
      <c r="E84" s="550" t="str">
        <f>IFERROR(__xludf.DUMMYFUNCTION("""COMPUTED_VALUE"""),"※左右であっても1箇所換算")</f>
        <v>※左右であっても1箇所換算</v>
      </c>
      <c r="F84" s="534" t="str">
        <f>IFERROR(__xludf.DUMMYFUNCTION("""COMPUTED_VALUE"""),"袖丈 / 本切羽なし")</f>
        <v>袖丈 / 本切羽なし</v>
      </c>
      <c r="G84" s="533" t="str">
        <f>IFERROR(__xludf.DUMMYFUNCTION("""COMPUTED_VALUE"""),"袖丈 / 本切羽なし（※左右であっても1箇所換算）")</f>
        <v>袖丈 / 本切羽なし（※左右であっても1箇所換算）</v>
      </c>
      <c r="H84" s="572" t="str">
        <f>IFERROR(__xludf.DUMMYFUNCTION("""COMPUTED_VALUE"""),"-2")</f>
        <v>-2</v>
      </c>
      <c r="I84" s="537"/>
      <c r="J84" s="538">
        <f>IFERROR(__xludf.DUMMYFUNCTION("""COMPUTED_VALUE"""),7.0)</f>
        <v>7</v>
      </c>
      <c r="K84" s="537">
        <f>IFERROR(__xludf.DUMMYFUNCTION("""COMPUTED_VALUE"""),46000.0)</f>
        <v>46000</v>
      </c>
      <c r="L84" s="539">
        <f>IFERROR(__xludf.DUMMYFUNCTION("""COMPUTED_VALUE"""),46003.0)</f>
        <v>46003</v>
      </c>
      <c r="M84" s="540">
        <f>IFERROR(__xludf.DUMMYFUNCTION("""COMPUTED_VALUE"""),46008.0)</f>
        <v>46008</v>
      </c>
      <c r="N84" s="539">
        <f>IFERROR(__xludf.DUMMYFUNCTION("""COMPUTED_VALUE"""),2150.0)</f>
        <v>2150</v>
      </c>
      <c r="O84" s="593">
        <f>IFERROR(__xludf.DUMMYFUNCTION("""COMPUTED_VALUE"""),1950.0)</f>
        <v>1950</v>
      </c>
      <c r="P84" s="594">
        <f>IFERROR(__xludf.DUMMYFUNCTION("""COMPUTED_VALUE"""),650.0)</f>
        <v>650</v>
      </c>
      <c r="Q84" s="183"/>
      <c r="R84" s="544"/>
      <c r="S84" s="544"/>
      <c r="T84" s="544"/>
      <c r="U84" s="595">
        <f>IFERROR(__xludf.DUMMYFUNCTION("""COMPUTED_VALUE"""),45859.0)</f>
        <v>45859</v>
      </c>
      <c r="V84" s="544"/>
      <c r="W84" s="544"/>
      <c r="X84" s="544"/>
      <c r="Y84" s="544"/>
      <c r="Z84" s="544"/>
      <c r="AA84" s="544"/>
      <c r="AB84" s="544"/>
      <c r="AC84" s="544"/>
      <c r="AD84" s="544"/>
      <c r="AE84" s="183"/>
      <c r="AF84" s="183"/>
      <c r="AG84" s="183"/>
      <c r="AH84" s="183"/>
      <c r="AI84" s="183"/>
      <c r="AJ84" s="183"/>
      <c r="AK84" s="183"/>
      <c r="AL84" s="183"/>
      <c r="AM84" s="183"/>
    </row>
    <row r="85" hidden="1">
      <c r="A85" s="531" t="str">
        <f>IFERROR(__xludf.DUMMYFUNCTION("""COMPUTED_VALUE"""),"サイズ")</f>
        <v>サイズ</v>
      </c>
      <c r="B85" s="531" t="str">
        <f>IFERROR(__xludf.DUMMYFUNCTION("""COMPUTED_VALUE"""),"ジャケット / ジャコット")</f>
        <v>ジャケット / ジャコット</v>
      </c>
      <c r="C85" s="531" t="str">
        <f>IFERROR(__xludf.DUMMYFUNCTION("""COMPUTED_VALUE"""),"袖丈")</f>
        <v>袖丈</v>
      </c>
      <c r="D85" s="550" t="str">
        <f>IFERROR(__xludf.DUMMYFUNCTION("""COMPUTED_VALUE"""),"本切羽なし")</f>
        <v>本切羽なし</v>
      </c>
      <c r="E85" s="550" t="str">
        <f>IFERROR(__xludf.DUMMYFUNCTION("""COMPUTED_VALUE"""),"※左右であっても1箇所換算")</f>
        <v>※左右であっても1箇所換算</v>
      </c>
      <c r="F85" s="534" t="str">
        <f>IFERROR(__xludf.DUMMYFUNCTION("""COMPUTED_VALUE"""),"袖丈 / 本切羽なし")</f>
        <v>袖丈 / 本切羽なし</v>
      </c>
      <c r="G85" s="533" t="str">
        <f>IFERROR(__xludf.DUMMYFUNCTION("""COMPUTED_VALUE"""),"袖丈 / 本切羽なし（※左右であっても1箇所換算）")</f>
        <v>袖丈 / 本切羽なし（※左右であっても1箇所換算）</v>
      </c>
      <c r="H85" s="572" t="str">
        <f>IFERROR(__xludf.DUMMYFUNCTION("""COMPUTED_VALUE"""),"-1.5")</f>
        <v>-1.5</v>
      </c>
      <c r="I85" s="537"/>
      <c r="J85" s="538">
        <f>IFERROR(__xludf.DUMMYFUNCTION("""COMPUTED_VALUE"""),7.0)</f>
        <v>7</v>
      </c>
      <c r="K85" s="537">
        <f>IFERROR(__xludf.DUMMYFUNCTION("""COMPUTED_VALUE"""),46000.0)</f>
        <v>46000</v>
      </c>
      <c r="L85" s="539">
        <f>IFERROR(__xludf.DUMMYFUNCTION("""COMPUTED_VALUE"""),46003.0)</f>
        <v>46003</v>
      </c>
      <c r="M85" s="540">
        <f>IFERROR(__xludf.DUMMYFUNCTION("""COMPUTED_VALUE"""),46008.0)</f>
        <v>46008</v>
      </c>
      <c r="N85" s="539">
        <f>IFERROR(__xludf.DUMMYFUNCTION("""COMPUTED_VALUE"""),2150.0)</f>
        <v>2150</v>
      </c>
      <c r="O85" s="593">
        <f>IFERROR(__xludf.DUMMYFUNCTION("""COMPUTED_VALUE"""),1950.0)</f>
        <v>1950</v>
      </c>
      <c r="P85" s="594">
        <f>IFERROR(__xludf.DUMMYFUNCTION("""COMPUTED_VALUE"""),650.0)</f>
        <v>650</v>
      </c>
      <c r="Q85" s="183"/>
      <c r="R85" s="544"/>
      <c r="S85" s="544"/>
      <c r="T85" s="544"/>
      <c r="U85" s="595">
        <f>IFERROR(__xludf.DUMMYFUNCTION("""COMPUTED_VALUE"""),45880.0)</f>
        <v>45880</v>
      </c>
      <c r="V85" s="544"/>
      <c r="W85" s="544"/>
      <c r="X85" s="544"/>
      <c r="Y85" s="544"/>
      <c r="Z85" s="544"/>
      <c r="AA85" s="544"/>
      <c r="AB85" s="544"/>
      <c r="AC85" s="544"/>
      <c r="AD85" s="544"/>
      <c r="AE85" s="183"/>
      <c r="AF85" s="183"/>
      <c r="AG85" s="183"/>
      <c r="AH85" s="183"/>
      <c r="AI85" s="183"/>
      <c r="AJ85" s="183"/>
      <c r="AK85" s="183"/>
      <c r="AL85" s="183"/>
      <c r="AM85" s="183"/>
    </row>
    <row r="86" hidden="1">
      <c r="A86" s="531" t="str">
        <f>IFERROR(__xludf.DUMMYFUNCTION("""COMPUTED_VALUE"""),"サイズ")</f>
        <v>サイズ</v>
      </c>
      <c r="B86" s="531" t="str">
        <f>IFERROR(__xludf.DUMMYFUNCTION("""COMPUTED_VALUE"""),"ジャケット / ジャコット")</f>
        <v>ジャケット / ジャコット</v>
      </c>
      <c r="C86" s="531" t="str">
        <f>IFERROR(__xludf.DUMMYFUNCTION("""COMPUTED_VALUE"""),"袖丈")</f>
        <v>袖丈</v>
      </c>
      <c r="D86" s="550" t="str">
        <f>IFERROR(__xludf.DUMMYFUNCTION("""COMPUTED_VALUE"""),"本切羽なし")</f>
        <v>本切羽なし</v>
      </c>
      <c r="E86" s="550" t="str">
        <f>IFERROR(__xludf.DUMMYFUNCTION("""COMPUTED_VALUE"""),"※左右であっても1箇所換算")</f>
        <v>※左右であっても1箇所換算</v>
      </c>
      <c r="F86" s="534" t="str">
        <f>IFERROR(__xludf.DUMMYFUNCTION("""COMPUTED_VALUE"""),"袖丈 / 本切羽なし")</f>
        <v>袖丈 / 本切羽なし</v>
      </c>
      <c r="G86" s="533" t="str">
        <f>IFERROR(__xludf.DUMMYFUNCTION("""COMPUTED_VALUE"""),"袖丈 / 本切羽なし（※左右であっても1箇所換算）")</f>
        <v>袖丈 / 本切羽なし（※左右であっても1箇所換算）</v>
      </c>
      <c r="H86" s="572" t="str">
        <f>IFERROR(__xludf.DUMMYFUNCTION("""COMPUTED_VALUE"""),"-1")</f>
        <v>-1</v>
      </c>
      <c r="I86" s="537"/>
      <c r="J86" s="538">
        <f>IFERROR(__xludf.DUMMYFUNCTION("""COMPUTED_VALUE"""),7.0)</f>
        <v>7</v>
      </c>
      <c r="K86" s="537">
        <f>IFERROR(__xludf.DUMMYFUNCTION("""COMPUTED_VALUE"""),46000.0)</f>
        <v>46000</v>
      </c>
      <c r="L86" s="539">
        <f>IFERROR(__xludf.DUMMYFUNCTION("""COMPUTED_VALUE"""),46003.0)</f>
        <v>46003</v>
      </c>
      <c r="M86" s="540">
        <f>IFERROR(__xludf.DUMMYFUNCTION("""COMPUTED_VALUE"""),46008.0)</f>
        <v>46008</v>
      </c>
      <c r="N86" s="539">
        <f>IFERROR(__xludf.DUMMYFUNCTION("""COMPUTED_VALUE"""),2150.0)</f>
        <v>2150</v>
      </c>
      <c r="O86" s="593">
        <f>IFERROR(__xludf.DUMMYFUNCTION("""COMPUTED_VALUE"""),1950.0)</f>
        <v>1950</v>
      </c>
      <c r="P86" s="594">
        <f>IFERROR(__xludf.DUMMYFUNCTION("""COMPUTED_VALUE"""),650.0)</f>
        <v>650</v>
      </c>
      <c r="Q86" s="183"/>
      <c r="R86" s="544"/>
      <c r="S86" s="544"/>
      <c r="T86" s="544"/>
      <c r="U86" s="595">
        <f>IFERROR(__xludf.DUMMYFUNCTION("""COMPUTED_VALUE"""),45881.0)</f>
        <v>45881</v>
      </c>
      <c r="V86" s="544"/>
      <c r="W86" s="544"/>
      <c r="X86" s="544"/>
      <c r="Y86" s="544"/>
      <c r="Z86" s="544"/>
      <c r="AA86" s="544"/>
      <c r="AB86" s="544"/>
      <c r="AC86" s="544"/>
      <c r="AD86" s="544"/>
      <c r="AE86" s="183"/>
      <c r="AF86" s="183"/>
      <c r="AG86" s="183"/>
      <c r="AH86" s="183"/>
      <c r="AI86" s="183"/>
      <c r="AJ86" s="183"/>
      <c r="AK86" s="183"/>
      <c r="AL86" s="183"/>
      <c r="AM86" s="183"/>
    </row>
    <row r="87" hidden="1">
      <c r="A87" s="531" t="str">
        <f>IFERROR(__xludf.DUMMYFUNCTION("""COMPUTED_VALUE"""),"サイズ")</f>
        <v>サイズ</v>
      </c>
      <c r="B87" s="531" t="str">
        <f>IFERROR(__xludf.DUMMYFUNCTION("""COMPUTED_VALUE"""),"ジャケット / ジャコット")</f>
        <v>ジャケット / ジャコット</v>
      </c>
      <c r="C87" s="531" t="str">
        <f>IFERROR(__xludf.DUMMYFUNCTION("""COMPUTED_VALUE"""),"袖丈")</f>
        <v>袖丈</v>
      </c>
      <c r="D87" s="550" t="str">
        <f>IFERROR(__xludf.DUMMYFUNCTION("""COMPUTED_VALUE"""),"本切羽なし")</f>
        <v>本切羽なし</v>
      </c>
      <c r="E87" s="550" t="str">
        <f>IFERROR(__xludf.DUMMYFUNCTION("""COMPUTED_VALUE"""),"※左右であっても1箇所換算")</f>
        <v>※左右であっても1箇所換算</v>
      </c>
      <c r="F87" s="534" t="str">
        <f>IFERROR(__xludf.DUMMYFUNCTION("""COMPUTED_VALUE"""),"袖丈 / 本切羽なし")</f>
        <v>袖丈 / 本切羽なし</v>
      </c>
      <c r="G87" s="533" t="str">
        <f>IFERROR(__xludf.DUMMYFUNCTION("""COMPUTED_VALUE"""),"袖丈 / 本切羽なし（※左右であっても1箇所換算）")</f>
        <v>袖丈 / 本切羽なし（※左右であっても1箇所換算）</v>
      </c>
      <c r="H87" s="572" t="str">
        <f>IFERROR(__xludf.DUMMYFUNCTION("""COMPUTED_VALUE"""),"-0.5")</f>
        <v>-0.5</v>
      </c>
      <c r="I87" s="537"/>
      <c r="J87" s="538">
        <f>IFERROR(__xludf.DUMMYFUNCTION("""COMPUTED_VALUE"""),7.0)</f>
        <v>7</v>
      </c>
      <c r="K87" s="537">
        <f>IFERROR(__xludf.DUMMYFUNCTION("""COMPUTED_VALUE"""),46000.0)</f>
        <v>46000</v>
      </c>
      <c r="L87" s="539">
        <f>IFERROR(__xludf.DUMMYFUNCTION("""COMPUTED_VALUE"""),46003.0)</f>
        <v>46003</v>
      </c>
      <c r="M87" s="540">
        <f>IFERROR(__xludf.DUMMYFUNCTION("""COMPUTED_VALUE"""),46008.0)</f>
        <v>46008</v>
      </c>
      <c r="N87" s="539">
        <f>IFERROR(__xludf.DUMMYFUNCTION("""COMPUTED_VALUE"""),2150.0)</f>
        <v>2150</v>
      </c>
      <c r="O87" s="593">
        <f>IFERROR(__xludf.DUMMYFUNCTION("""COMPUTED_VALUE"""),1950.0)</f>
        <v>1950</v>
      </c>
      <c r="P87" s="594">
        <f>IFERROR(__xludf.DUMMYFUNCTION("""COMPUTED_VALUE"""),650.0)</f>
        <v>650</v>
      </c>
      <c r="Q87" s="183"/>
      <c r="R87" s="544"/>
      <c r="S87" s="544"/>
      <c r="T87" s="544"/>
      <c r="U87" s="595">
        <f>IFERROR(__xludf.DUMMYFUNCTION("""COMPUTED_VALUE"""),45882.0)</f>
        <v>45882</v>
      </c>
      <c r="V87" s="544"/>
      <c r="W87" s="544"/>
      <c r="X87" s="544"/>
      <c r="Y87" s="544"/>
      <c r="Z87" s="544"/>
      <c r="AA87" s="544"/>
      <c r="AB87" s="544"/>
      <c r="AC87" s="544"/>
      <c r="AD87" s="544"/>
      <c r="AE87" s="183"/>
      <c r="AF87" s="183"/>
      <c r="AG87" s="183"/>
      <c r="AH87" s="183"/>
      <c r="AI87" s="183"/>
      <c r="AJ87" s="183"/>
      <c r="AK87" s="183"/>
      <c r="AL87" s="183"/>
      <c r="AM87" s="183"/>
    </row>
    <row r="88" hidden="1">
      <c r="A88" s="531" t="str">
        <f>IFERROR(__xludf.DUMMYFUNCTION("""COMPUTED_VALUE"""),"サイズ")</f>
        <v>サイズ</v>
      </c>
      <c r="B88" s="531" t="str">
        <f>IFERROR(__xludf.DUMMYFUNCTION("""COMPUTED_VALUE"""),"ジャケット / ジャコット")</f>
        <v>ジャケット / ジャコット</v>
      </c>
      <c r="C88" s="531" t="str">
        <f>IFERROR(__xludf.DUMMYFUNCTION("""COMPUTED_VALUE"""),"袖丈")</f>
        <v>袖丈</v>
      </c>
      <c r="D88" s="550" t="str">
        <f>IFERROR(__xludf.DUMMYFUNCTION("""COMPUTED_VALUE"""),"本切羽あり")</f>
        <v>本切羽あり</v>
      </c>
      <c r="E88" s="550" t="str">
        <f>IFERROR(__xludf.DUMMYFUNCTION("""COMPUTED_VALUE"""),"※左右であっても1箇所換算")</f>
        <v>※左右であっても1箇所換算</v>
      </c>
      <c r="F88" s="534" t="str">
        <f>IFERROR(__xludf.DUMMYFUNCTION("""COMPUTED_VALUE"""),"袖丈 / 本切羽あり")</f>
        <v>袖丈 / 本切羽あり</v>
      </c>
      <c r="G88" s="533" t="str">
        <f>IFERROR(__xludf.DUMMYFUNCTION("""COMPUTED_VALUE"""),"袖丈 / 本切羽あり（※左右であっても1箇所換算）")</f>
        <v>袖丈 / 本切羽あり（※左右であっても1箇所換算）</v>
      </c>
      <c r="H88" s="572" t="str">
        <f>IFERROR(__xludf.DUMMYFUNCTION("""COMPUTED_VALUE"""),"-4")</f>
        <v>-4</v>
      </c>
      <c r="I88" s="537"/>
      <c r="J88" s="538">
        <f>IFERROR(__xludf.DUMMYFUNCTION("""COMPUTED_VALUE"""),8.0)</f>
        <v>8</v>
      </c>
      <c r="K88" s="537">
        <f>IFERROR(__xludf.DUMMYFUNCTION("""COMPUTED_VALUE"""),46001.0)</f>
        <v>46001</v>
      </c>
      <c r="L88" s="539">
        <f>IFERROR(__xludf.DUMMYFUNCTION("""COMPUTED_VALUE"""),46003.0)</f>
        <v>46003</v>
      </c>
      <c r="M88" s="540">
        <f>IFERROR(__xludf.DUMMYFUNCTION("""COMPUTED_VALUE"""),46008.0)</f>
        <v>46008</v>
      </c>
      <c r="N88" s="539">
        <f>IFERROR(__xludf.DUMMYFUNCTION("""COMPUTED_VALUE"""),7590.0)</f>
        <v>7590</v>
      </c>
      <c r="O88" s="593">
        <f>IFERROR(__xludf.DUMMYFUNCTION("""COMPUTED_VALUE"""),6900.0)</f>
        <v>6900</v>
      </c>
      <c r="P88" s="594">
        <f>IFERROR(__xludf.DUMMYFUNCTION("""COMPUTED_VALUE"""),2300.0)</f>
        <v>2300</v>
      </c>
      <c r="Q88" s="183"/>
      <c r="R88" s="544"/>
      <c r="S88" s="544"/>
      <c r="T88" s="544"/>
      <c r="U88" s="595">
        <f>IFERROR(__xludf.DUMMYFUNCTION("""COMPUTED_VALUE"""),45883.0)</f>
        <v>45883</v>
      </c>
      <c r="V88" s="544"/>
      <c r="W88" s="544"/>
      <c r="X88" s="544"/>
      <c r="Y88" s="544"/>
      <c r="Z88" s="544"/>
      <c r="AA88" s="544"/>
      <c r="AB88" s="544"/>
      <c r="AC88" s="544"/>
      <c r="AD88" s="544"/>
      <c r="AE88" s="183"/>
      <c r="AF88" s="183"/>
      <c r="AG88" s="183"/>
      <c r="AH88" s="183"/>
      <c r="AI88" s="183"/>
      <c r="AJ88" s="183"/>
      <c r="AK88" s="183"/>
      <c r="AL88" s="183"/>
      <c r="AM88" s="183"/>
    </row>
    <row r="89" hidden="1">
      <c r="A89" s="531" t="str">
        <f>IFERROR(__xludf.DUMMYFUNCTION("""COMPUTED_VALUE"""),"サイズ")</f>
        <v>サイズ</v>
      </c>
      <c r="B89" s="531" t="str">
        <f>IFERROR(__xludf.DUMMYFUNCTION("""COMPUTED_VALUE"""),"ジャケット / ジャコット")</f>
        <v>ジャケット / ジャコット</v>
      </c>
      <c r="C89" s="531" t="str">
        <f>IFERROR(__xludf.DUMMYFUNCTION("""COMPUTED_VALUE"""),"袖丈")</f>
        <v>袖丈</v>
      </c>
      <c r="D89" s="550" t="str">
        <f>IFERROR(__xludf.DUMMYFUNCTION("""COMPUTED_VALUE"""),"本切羽あり")</f>
        <v>本切羽あり</v>
      </c>
      <c r="E89" s="550" t="str">
        <f>IFERROR(__xludf.DUMMYFUNCTION("""COMPUTED_VALUE"""),"※左右であっても1箇所換算")</f>
        <v>※左右であっても1箇所換算</v>
      </c>
      <c r="F89" s="534" t="str">
        <f>IFERROR(__xludf.DUMMYFUNCTION("""COMPUTED_VALUE"""),"袖丈 / 本切羽あり")</f>
        <v>袖丈 / 本切羽あり</v>
      </c>
      <c r="G89" s="533" t="str">
        <f>IFERROR(__xludf.DUMMYFUNCTION("""COMPUTED_VALUE"""),"袖丈 / 本切羽あり（※左右であっても1箇所換算）")</f>
        <v>袖丈 / 本切羽あり（※左右であっても1箇所換算）</v>
      </c>
      <c r="H89" s="572" t="str">
        <f>IFERROR(__xludf.DUMMYFUNCTION("""COMPUTED_VALUE"""),"-3.5")</f>
        <v>-3.5</v>
      </c>
      <c r="I89" s="537"/>
      <c r="J89" s="538">
        <f>IFERROR(__xludf.DUMMYFUNCTION("""COMPUTED_VALUE"""),8.0)</f>
        <v>8</v>
      </c>
      <c r="K89" s="537">
        <f>IFERROR(__xludf.DUMMYFUNCTION("""COMPUTED_VALUE"""),46001.0)</f>
        <v>46001</v>
      </c>
      <c r="L89" s="539">
        <f>IFERROR(__xludf.DUMMYFUNCTION("""COMPUTED_VALUE"""),46003.0)</f>
        <v>46003</v>
      </c>
      <c r="M89" s="540">
        <f>IFERROR(__xludf.DUMMYFUNCTION("""COMPUTED_VALUE"""),46008.0)</f>
        <v>46008</v>
      </c>
      <c r="N89" s="539">
        <f>IFERROR(__xludf.DUMMYFUNCTION("""COMPUTED_VALUE"""),7590.0)</f>
        <v>7590</v>
      </c>
      <c r="O89" s="593">
        <f>IFERROR(__xludf.DUMMYFUNCTION("""COMPUTED_VALUE"""),6900.0)</f>
        <v>6900</v>
      </c>
      <c r="P89" s="594">
        <f>IFERROR(__xludf.DUMMYFUNCTION("""COMPUTED_VALUE"""),2300.0)</f>
        <v>2300</v>
      </c>
      <c r="Q89" s="183"/>
      <c r="R89" s="544"/>
      <c r="S89" s="544"/>
      <c r="T89" s="544"/>
      <c r="U89" s="595">
        <f>IFERROR(__xludf.DUMMYFUNCTION("""COMPUTED_VALUE"""),45884.0)</f>
        <v>45884</v>
      </c>
      <c r="V89" s="544"/>
      <c r="W89" s="544"/>
      <c r="X89" s="544"/>
      <c r="Y89" s="544"/>
      <c r="Z89" s="544"/>
      <c r="AA89" s="544"/>
      <c r="AB89" s="544"/>
      <c r="AC89" s="544"/>
      <c r="AD89" s="544"/>
      <c r="AE89" s="183"/>
      <c r="AF89" s="183"/>
      <c r="AG89" s="183"/>
      <c r="AH89" s="183"/>
      <c r="AI89" s="183"/>
      <c r="AJ89" s="183"/>
      <c r="AK89" s="183"/>
      <c r="AL89" s="183"/>
      <c r="AM89" s="183"/>
    </row>
    <row r="90" hidden="1">
      <c r="A90" s="531" t="str">
        <f>IFERROR(__xludf.DUMMYFUNCTION("""COMPUTED_VALUE"""),"サイズ")</f>
        <v>サイズ</v>
      </c>
      <c r="B90" s="531" t="str">
        <f>IFERROR(__xludf.DUMMYFUNCTION("""COMPUTED_VALUE"""),"ジャケット / ジャコット")</f>
        <v>ジャケット / ジャコット</v>
      </c>
      <c r="C90" s="531" t="str">
        <f>IFERROR(__xludf.DUMMYFUNCTION("""COMPUTED_VALUE"""),"袖丈")</f>
        <v>袖丈</v>
      </c>
      <c r="D90" s="550" t="str">
        <f>IFERROR(__xludf.DUMMYFUNCTION("""COMPUTED_VALUE"""),"本切羽あり")</f>
        <v>本切羽あり</v>
      </c>
      <c r="E90" s="550" t="str">
        <f>IFERROR(__xludf.DUMMYFUNCTION("""COMPUTED_VALUE"""),"※左右であっても1箇所換算")</f>
        <v>※左右であっても1箇所換算</v>
      </c>
      <c r="F90" s="534" t="str">
        <f>IFERROR(__xludf.DUMMYFUNCTION("""COMPUTED_VALUE"""),"袖丈 / 本切羽あり")</f>
        <v>袖丈 / 本切羽あり</v>
      </c>
      <c r="G90" s="533" t="str">
        <f>IFERROR(__xludf.DUMMYFUNCTION("""COMPUTED_VALUE"""),"袖丈 / 本切羽あり（※左右であっても1箇所換算）")</f>
        <v>袖丈 / 本切羽あり（※左右であっても1箇所換算）</v>
      </c>
      <c r="H90" s="572" t="str">
        <f>IFERROR(__xludf.DUMMYFUNCTION("""COMPUTED_VALUE"""),"-3")</f>
        <v>-3</v>
      </c>
      <c r="I90" s="537"/>
      <c r="J90" s="538">
        <f>IFERROR(__xludf.DUMMYFUNCTION("""COMPUTED_VALUE"""),8.0)</f>
        <v>8</v>
      </c>
      <c r="K90" s="537">
        <f>IFERROR(__xludf.DUMMYFUNCTION("""COMPUTED_VALUE"""),46001.0)</f>
        <v>46001</v>
      </c>
      <c r="L90" s="539">
        <f>IFERROR(__xludf.DUMMYFUNCTION("""COMPUTED_VALUE"""),46003.0)</f>
        <v>46003</v>
      </c>
      <c r="M90" s="540">
        <f>IFERROR(__xludf.DUMMYFUNCTION("""COMPUTED_VALUE"""),46008.0)</f>
        <v>46008</v>
      </c>
      <c r="N90" s="539">
        <f>IFERROR(__xludf.DUMMYFUNCTION("""COMPUTED_VALUE"""),7590.0)</f>
        <v>7590</v>
      </c>
      <c r="O90" s="593">
        <f>IFERROR(__xludf.DUMMYFUNCTION("""COMPUTED_VALUE"""),6900.0)</f>
        <v>6900</v>
      </c>
      <c r="P90" s="594">
        <f>IFERROR(__xludf.DUMMYFUNCTION("""COMPUTED_VALUE"""),2300.0)</f>
        <v>2300</v>
      </c>
      <c r="Q90" s="183"/>
      <c r="R90" s="544"/>
      <c r="S90" s="544"/>
      <c r="T90" s="544"/>
      <c r="U90" s="595">
        <f>IFERROR(__xludf.DUMMYFUNCTION("""COMPUTED_VALUE"""),45887.0)</f>
        <v>45887</v>
      </c>
      <c r="V90" s="544"/>
      <c r="W90" s="544"/>
      <c r="X90" s="544"/>
      <c r="Y90" s="544"/>
      <c r="Z90" s="544"/>
      <c r="AA90" s="544"/>
      <c r="AB90" s="544"/>
      <c r="AC90" s="544"/>
      <c r="AD90" s="544"/>
      <c r="AE90" s="183"/>
      <c r="AF90" s="183"/>
      <c r="AG90" s="183"/>
      <c r="AH90" s="183"/>
      <c r="AI90" s="183"/>
      <c r="AJ90" s="183"/>
      <c r="AK90" s="183"/>
      <c r="AL90" s="183"/>
      <c r="AM90" s="183"/>
    </row>
    <row r="91" hidden="1">
      <c r="A91" s="531" t="str">
        <f>IFERROR(__xludf.DUMMYFUNCTION("""COMPUTED_VALUE"""),"サイズ")</f>
        <v>サイズ</v>
      </c>
      <c r="B91" s="531" t="str">
        <f>IFERROR(__xludf.DUMMYFUNCTION("""COMPUTED_VALUE"""),"ジャケット / ジャコット")</f>
        <v>ジャケット / ジャコット</v>
      </c>
      <c r="C91" s="531" t="str">
        <f>IFERROR(__xludf.DUMMYFUNCTION("""COMPUTED_VALUE"""),"袖丈")</f>
        <v>袖丈</v>
      </c>
      <c r="D91" s="550" t="str">
        <f>IFERROR(__xludf.DUMMYFUNCTION("""COMPUTED_VALUE"""),"本切羽あり")</f>
        <v>本切羽あり</v>
      </c>
      <c r="E91" s="550" t="str">
        <f>IFERROR(__xludf.DUMMYFUNCTION("""COMPUTED_VALUE"""),"※左右であっても1箇所換算")</f>
        <v>※左右であっても1箇所換算</v>
      </c>
      <c r="F91" s="534" t="str">
        <f>IFERROR(__xludf.DUMMYFUNCTION("""COMPUTED_VALUE"""),"袖丈 / 本切羽あり")</f>
        <v>袖丈 / 本切羽あり</v>
      </c>
      <c r="G91" s="533" t="str">
        <f>IFERROR(__xludf.DUMMYFUNCTION("""COMPUTED_VALUE"""),"袖丈 / 本切羽あり（※左右であっても1箇所換算）")</f>
        <v>袖丈 / 本切羽あり（※左右であっても1箇所換算）</v>
      </c>
      <c r="H91" s="572" t="str">
        <f>IFERROR(__xludf.DUMMYFUNCTION("""COMPUTED_VALUE"""),"-2.5")</f>
        <v>-2.5</v>
      </c>
      <c r="I91" s="537"/>
      <c r="J91" s="538">
        <f>IFERROR(__xludf.DUMMYFUNCTION("""COMPUTED_VALUE"""),8.0)</f>
        <v>8</v>
      </c>
      <c r="K91" s="537">
        <f>IFERROR(__xludf.DUMMYFUNCTION("""COMPUTED_VALUE"""),46001.0)</f>
        <v>46001</v>
      </c>
      <c r="L91" s="539">
        <f>IFERROR(__xludf.DUMMYFUNCTION("""COMPUTED_VALUE"""),46003.0)</f>
        <v>46003</v>
      </c>
      <c r="M91" s="540">
        <f>IFERROR(__xludf.DUMMYFUNCTION("""COMPUTED_VALUE"""),46008.0)</f>
        <v>46008</v>
      </c>
      <c r="N91" s="539">
        <f>IFERROR(__xludf.DUMMYFUNCTION("""COMPUTED_VALUE"""),7590.0)</f>
        <v>7590</v>
      </c>
      <c r="O91" s="593">
        <f>IFERROR(__xludf.DUMMYFUNCTION("""COMPUTED_VALUE"""),6900.0)</f>
        <v>6900</v>
      </c>
      <c r="P91" s="594">
        <f>IFERROR(__xludf.DUMMYFUNCTION("""COMPUTED_VALUE"""),2300.0)</f>
        <v>2300</v>
      </c>
      <c r="Q91" s="183"/>
      <c r="R91" s="544"/>
      <c r="S91" s="544"/>
      <c r="T91" s="544"/>
      <c r="U91" s="595">
        <f>IFERROR(__xludf.DUMMYFUNCTION("""COMPUTED_VALUE"""),45888.0)</f>
        <v>45888</v>
      </c>
      <c r="V91" s="544"/>
      <c r="W91" s="544"/>
      <c r="X91" s="544"/>
      <c r="Y91" s="544"/>
      <c r="Z91" s="544"/>
      <c r="AA91" s="544"/>
      <c r="AB91" s="544"/>
      <c r="AC91" s="544"/>
      <c r="AD91" s="544"/>
      <c r="AE91" s="183"/>
      <c r="AF91" s="183"/>
      <c r="AG91" s="183"/>
      <c r="AH91" s="183"/>
      <c r="AI91" s="183"/>
      <c r="AJ91" s="183"/>
      <c r="AK91" s="183"/>
      <c r="AL91" s="183"/>
      <c r="AM91" s="183"/>
    </row>
    <row r="92" hidden="1">
      <c r="A92" s="531" t="str">
        <f>IFERROR(__xludf.DUMMYFUNCTION("""COMPUTED_VALUE"""),"サイズ")</f>
        <v>サイズ</v>
      </c>
      <c r="B92" s="531" t="str">
        <f>IFERROR(__xludf.DUMMYFUNCTION("""COMPUTED_VALUE"""),"ジャケット / ジャコット")</f>
        <v>ジャケット / ジャコット</v>
      </c>
      <c r="C92" s="531" t="str">
        <f>IFERROR(__xludf.DUMMYFUNCTION("""COMPUTED_VALUE"""),"袖丈")</f>
        <v>袖丈</v>
      </c>
      <c r="D92" s="550" t="str">
        <f>IFERROR(__xludf.DUMMYFUNCTION("""COMPUTED_VALUE"""),"本切羽あり")</f>
        <v>本切羽あり</v>
      </c>
      <c r="E92" s="550" t="str">
        <f>IFERROR(__xludf.DUMMYFUNCTION("""COMPUTED_VALUE"""),"※左右であっても1箇所換算")</f>
        <v>※左右であっても1箇所換算</v>
      </c>
      <c r="F92" s="534" t="str">
        <f>IFERROR(__xludf.DUMMYFUNCTION("""COMPUTED_VALUE"""),"袖丈 / 本切羽あり")</f>
        <v>袖丈 / 本切羽あり</v>
      </c>
      <c r="G92" s="533" t="str">
        <f>IFERROR(__xludf.DUMMYFUNCTION("""COMPUTED_VALUE"""),"袖丈 / 本切羽あり（※左右であっても1箇所換算）")</f>
        <v>袖丈 / 本切羽あり（※左右であっても1箇所換算）</v>
      </c>
      <c r="H92" s="572" t="str">
        <f>IFERROR(__xludf.DUMMYFUNCTION("""COMPUTED_VALUE"""),"-2")</f>
        <v>-2</v>
      </c>
      <c r="I92" s="537"/>
      <c r="J92" s="538">
        <f>IFERROR(__xludf.DUMMYFUNCTION("""COMPUTED_VALUE"""),8.0)</f>
        <v>8</v>
      </c>
      <c r="K92" s="537">
        <f>IFERROR(__xludf.DUMMYFUNCTION("""COMPUTED_VALUE"""),46001.0)</f>
        <v>46001</v>
      </c>
      <c r="L92" s="539">
        <f>IFERROR(__xludf.DUMMYFUNCTION("""COMPUTED_VALUE"""),46003.0)</f>
        <v>46003</v>
      </c>
      <c r="M92" s="540">
        <f>IFERROR(__xludf.DUMMYFUNCTION("""COMPUTED_VALUE"""),46008.0)</f>
        <v>46008</v>
      </c>
      <c r="N92" s="539">
        <f>IFERROR(__xludf.DUMMYFUNCTION("""COMPUTED_VALUE"""),7590.0)</f>
        <v>7590</v>
      </c>
      <c r="O92" s="593">
        <f>IFERROR(__xludf.DUMMYFUNCTION("""COMPUTED_VALUE"""),6900.0)</f>
        <v>6900</v>
      </c>
      <c r="P92" s="594">
        <f>IFERROR(__xludf.DUMMYFUNCTION("""COMPUTED_VALUE"""),2300.0)</f>
        <v>2300</v>
      </c>
      <c r="Q92" s="183"/>
      <c r="R92" s="544"/>
      <c r="S92" s="544"/>
      <c r="T92" s="544"/>
      <c r="U92" s="595">
        <f>IFERROR(__xludf.DUMMYFUNCTION("""COMPUTED_VALUE"""),45915.0)</f>
        <v>45915</v>
      </c>
      <c r="V92" s="544"/>
      <c r="W92" s="544"/>
      <c r="X92" s="544"/>
      <c r="Y92" s="544"/>
      <c r="Z92" s="544"/>
      <c r="AA92" s="544"/>
      <c r="AB92" s="544"/>
      <c r="AC92" s="544"/>
      <c r="AD92" s="544"/>
      <c r="AE92" s="183"/>
      <c r="AF92" s="183"/>
      <c r="AG92" s="183"/>
      <c r="AH92" s="183"/>
      <c r="AI92" s="183"/>
      <c r="AJ92" s="183"/>
      <c r="AK92" s="183"/>
      <c r="AL92" s="183"/>
      <c r="AM92" s="183"/>
    </row>
    <row r="93" hidden="1">
      <c r="A93" s="531" t="str">
        <f>IFERROR(__xludf.DUMMYFUNCTION("""COMPUTED_VALUE"""),"サイズ")</f>
        <v>サイズ</v>
      </c>
      <c r="B93" s="531" t="str">
        <f>IFERROR(__xludf.DUMMYFUNCTION("""COMPUTED_VALUE"""),"ジャケット / ジャコット")</f>
        <v>ジャケット / ジャコット</v>
      </c>
      <c r="C93" s="531" t="str">
        <f>IFERROR(__xludf.DUMMYFUNCTION("""COMPUTED_VALUE"""),"袖丈")</f>
        <v>袖丈</v>
      </c>
      <c r="D93" s="550" t="str">
        <f>IFERROR(__xludf.DUMMYFUNCTION("""COMPUTED_VALUE"""),"本切羽あり")</f>
        <v>本切羽あり</v>
      </c>
      <c r="E93" s="550" t="str">
        <f>IFERROR(__xludf.DUMMYFUNCTION("""COMPUTED_VALUE"""),"※左右であっても1箇所換算")</f>
        <v>※左右であっても1箇所換算</v>
      </c>
      <c r="F93" s="534" t="str">
        <f>IFERROR(__xludf.DUMMYFUNCTION("""COMPUTED_VALUE"""),"袖丈 / 本切羽あり")</f>
        <v>袖丈 / 本切羽あり</v>
      </c>
      <c r="G93" s="550" t="str">
        <f>IFERROR(__xludf.DUMMYFUNCTION("""COMPUTED_VALUE"""),"袖丈 / 本切羽あり（※左右であっても1箇所換算）")</f>
        <v>袖丈 / 本切羽あり（※左右であっても1箇所換算）</v>
      </c>
      <c r="H93" s="572" t="str">
        <f>IFERROR(__xludf.DUMMYFUNCTION("""COMPUTED_VALUE"""),"-1.5")</f>
        <v>-1.5</v>
      </c>
      <c r="I93" s="537"/>
      <c r="J93" s="538">
        <f>IFERROR(__xludf.DUMMYFUNCTION("""COMPUTED_VALUE"""),8.0)</f>
        <v>8</v>
      </c>
      <c r="K93" s="537">
        <f>IFERROR(__xludf.DUMMYFUNCTION("""COMPUTED_VALUE"""),46001.0)</f>
        <v>46001</v>
      </c>
      <c r="L93" s="539">
        <f>IFERROR(__xludf.DUMMYFUNCTION("""COMPUTED_VALUE"""),46003.0)</f>
        <v>46003</v>
      </c>
      <c r="M93" s="540">
        <f>IFERROR(__xludf.DUMMYFUNCTION("""COMPUTED_VALUE"""),46008.0)</f>
        <v>46008</v>
      </c>
      <c r="N93" s="539">
        <f>IFERROR(__xludf.DUMMYFUNCTION("""COMPUTED_VALUE"""),7590.0)</f>
        <v>7590</v>
      </c>
      <c r="O93" s="593">
        <f>IFERROR(__xludf.DUMMYFUNCTION("""COMPUTED_VALUE"""),6900.0)</f>
        <v>6900</v>
      </c>
      <c r="P93" s="594">
        <f>IFERROR(__xludf.DUMMYFUNCTION("""COMPUTED_VALUE"""),2300.0)</f>
        <v>2300</v>
      </c>
      <c r="Q93" s="183"/>
      <c r="R93" s="544"/>
      <c r="S93" s="544"/>
      <c r="T93" s="544"/>
      <c r="U93" s="595">
        <f>IFERROR(__xludf.DUMMYFUNCTION("""COMPUTED_VALUE"""),45923.0)</f>
        <v>45923</v>
      </c>
      <c r="V93" s="544"/>
      <c r="W93" s="544"/>
      <c r="X93" s="544"/>
      <c r="Y93" s="544"/>
      <c r="Z93" s="544"/>
      <c r="AA93" s="544"/>
      <c r="AB93" s="544"/>
      <c r="AC93" s="544"/>
      <c r="AD93" s="544"/>
      <c r="AE93" s="183"/>
      <c r="AF93" s="183"/>
      <c r="AG93" s="183"/>
      <c r="AH93" s="183"/>
      <c r="AI93" s="183"/>
      <c r="AJ93" s="183"/>
      <c r="AK93" s="183"/>
      <c r="AL93" s="183"/>
      <c r="AM93" s="183"/>
    </row>
    <row r="94" hidden="1">
      <c r="A94" s="531" t="str">
        <f>IFERROR(__xludf.DUMMYFUNCTION("""COMPUTED_VALUE"""),"サイズ")</f>
        <v>サイズ</v>
      </c>
      <c r="B94" s="531" t="str">
        <f>IFERROR(__xludf.DUMMYFUNCTION("""COMPUTED_VALUE"""),"ジャケット / ジャコット")</f>
        <v>ジャケット / ジャコット</v>
      </c>
      <c r="C94" s="531" t="str">
        <f>IFERROR(__xludf.DUMMYFUNCTION("""COMPUTED_VALUE"""),"袖丈")</f>
        <v>袖丈</v>
      </c>
      <c r="D94" s="550" t="str">
        <f>IFERROR(__xludf.DUMMYFUNCTION("""COMPUTED_VALUE"""),"本切羽あり")</f>
        <v>本切羽あり</v>
      </c>
      <c r="E94" s="550" t="str">
        <f>IFERROR(__xludf.DUMMYFUNCTION("""COMPUTED_VALUE"""),"※左右であっても1箇所換算")</f>
        <v>※左右であっても1箇所換算</v>
      </c>
      <c r="F94" s="534" t="str">
        <f>IFERROR(__xludf.DUMMYFUNCTION("""COMPUTED_VALUE"""),"袖丈 / 本切羽あり")</f>
        <v>袖丈 / 本切羽あり</v>
      </c>
      <c r="G94" s="550" t="str">
        <f>IFERROR(__xludf.DUMMYFUNCTION("""COMPUTED_VALUE"""),"袖丈 / 本切羽あり（※左右であっても1箇所換算）")</f>
        <v>袖丈 / 本切羽あり（※左右であっても1箇所換算）</v>
      </c>
      <c r="H94" s="572" t="str">
        <f>IFERROR(__xludf.DUMMYFUNCTION("""COMPUTED_VALUE"""),"-1")</f>
        <v>-1</v>
      </c>
      <c r="I94" s="537"/>
      <c r="J94" s="538">
        <f>IFERROR(__xludf.DUMMYFUNCTION("""COMPUTED_VALUE"""),8.0)</f>
        <v>8</v>
      </c>
      <c r="K94" s="537">
        <f>IFERROR(__xludf.DUMMYFUNCTION("""COMPUTED_VALUE"""),46001.0)</f>
        <v>46001</v>
      </c>
      <c r="L94" s="539">
        <f>IFERROR(__xludf.DUMMYFUNCTION("""COMPUTED_VALUE"""),46003.0)</f>
        <v>46003</v>
      </c>
      <c r="M94" s="540">
        <f>IFERROR(__xludf.DUMMYFUNCTION("""COMPUTED_VALUE"""),46008.0)</f>
        <v>46008</v>
      </c>
      <c r="N94" s="539">
        <f>IFERROR(__xludf.DUMMYFUNCTION("""COMPUTED_VALUE"""),7590.0)</f>
        <v>7590</v>
      </c>
      <c r="O94" s="593">
        <f>IFERROR(__xludf.DUMMYFUNCTION("""COMPUTED_VALUE"""),6900.0)</f>
        <v>6900</v>
      </c>
      <c r="P94" s="594">
        <f>IFERROR(__xludf.DUMMYFUNCTION("""COMPUTED_VALUE"""),2300.0)</f>
        <v>2300</v>
      </c>
      <c r="Q94" s="183"/>
      <c r="R94" s="544"/>
      <c r="S94" s="544"/>
      <c r="T94" s="544"/>
      <c r="U94" s="595">
        <f>IFERROR(__xludf.DUMMYFUNCTION("""COMPUTED_VALUE"""),45943.0)</f>
        <v>45943</v>
      </c>
      <c r="V94" s="544"/>
      <c r="W94" s="544"/>
      <c r="X94" s="544"/>
      <c r="Y94" s="544"/>
      <c r="Z94" s="544"/>
      <c r="AA94" s="544"/>
      <c r="AB94" s="544"/>
      <c r="AC94" s="544"/>
      <c r="AD94" s="544"/>
      <c r="AE94" s="183"/>
      <c r="AF94" s="183"/>
      <c r="AG94" s="183"/>
      <c r="AH94" s="183"/>
      <c r="AI94" s="183"/>
      <c r="AJ94" s="183"/>
      <c r="AK94" s="183"/>
      <c r="AL94" s="183"/>
      <c r="AM94" s="183"/>
    </row>
    <row r="95" hidden="1">
      <c r="A95" s="531" t="str">
        <f>IFERROR(__xludf.DUMMYFUNCTION("""COMPUTED_VALUE"""),"サイズ")</f>
        <v>サイズ</v>
      </c>
      <c r="B95" s="531" t="str">
        <f>IFERROR(__xludf.DUMMYFUNCTION("""COMPUTED_VALUE"""),"ジャケット / ジャコット")</f>
        <v>ジャケット / ジャコット</v>
      </c>
      <c r="C95" s="531" t="str">
        <f>IFERROR(__xludf.DUMMYFUNCTION("""COMPUTED_VALUE"""),"袖丈")</f>
        <v>袖丈</v>
      </c>
      <c r="D95" s="550" t="str">
        <f>IFERROR(__xludf.DUMMYFUNCTION("""COMPUTED_VALUE"""),"本切羽あり")</f>
        <v>本切羽あり</v>
      </c>
      <c r="E95" s="550" t="str">
        <f>IFERROR(__xludf.DUMMYFUNCTION("""COMPUTED_VALUE"""),"※左右であっても1箇所換算")</f>
        <v>※左右であっても1箇所換算</v>
      </c>
      <c r="F95" s="534" t="str">
        <f>IFERROR(__xludf.DUMMYFUNCTION("""COMPUTED_VALUE"""),"袖丈 / 本切羽あり")</f>
        <v>袖丈 / 本切羽あり</v>
      </c>
      <c r="G95" s="550" t="str">
        <f>IFERROR(__xludf.DUMMYFUNCTION("""COMPUTED_VALUE"""),"袖丈 / 本切羽あり（※左右であっても1箇所換算）")</f>
        <v>袖丈 / 本切羽あり（※左右であっても1箇所換算）</v>
      </c>
      <c r="H95" s="572" t="str">
        <f>IFERROR(__xludf.DUMMYFUNCTION("""COMPUTED_VALUE"""),"-0.5")</f>
        <v>-0.5</v>
      </c>
      <c r="I95" s="537"/>
      <c r="J95" s="538">
        <f>IFERROR(__xludf.DUMMYFUNCTION("""COMPUTED_VALUE"""),8.0)</f>
        <v>8</v>
      </c>
      <c r="K95" s="537">
        <f>IFERROR(__xludf.DUMMYFUNCTION("""COMPUTED_VALUE"""),46001.0)</f>
        <v>46001</v>
      </c>
      <c r="L95" s="539">
        <f>IFERROR(__xludf.DUMMYFUNCTION("""COMPUTED_VALUE"""),46003.0)</f>
        <v>46003</v>
      </c>
      <c r="M95" s="540">
        <f>IFERROR(__xludf.DUMMYFUNCTION("""COMPUTED_VALUE"""),46008.0)</f>
        <v>46008</v>
      </c>
      <c r="N95" s="539">
        <f>IFERROR(__xludf.DUMMYFUNCTION("""COMPUTED_VALUE"""),7590.0)</f>
        <v>7590</v>
      </c>
      <c r="O95" s="593">
        <f>IFERROR(__xludf.DUMMYFUNCTION("""COMPUTED_VALUE"""),6900.0)</f>
        <v>6900</v>
      </c>
      <c r="P95" s="594">
        <f>IFERROR(__xludf.DUMMYFUNCTION("""COMPUTED_VALUE"""),2300.0)</f>
        <v>2300</v>
      </c>
      <c r="Q95" s="183"/>
      <c r="R95" s="544"/>
      <c r="S95" s="544"/>
      <c r="T95" s="544"/>
      <c r="U95" s="595">
        <f>IFERROR(__xludf.DUMMYFUNCTION("""COMPUTED_VALUE"""),45964.0)</f>
        <v>45964</v>
      </c>
      <c r="V95" s="544"/>
      <c r="W95" s="544"/>
      <c r="X95" s="544"/>
      <c r="Y95" s="544"/>
      <c r="Z95" s="544"/>
      <c r="AA95" s="544"/>
      <c r="AB95" s="544"/>
      <c r="AC95" s="544"/>
      <c r="AD95" s="544"/>
      <c r="AE95" s="183"/>
      <c r="AF95" s="183"/>
      <c r="AG95" s="183"/>
      <c r="AH95" s="183"/>
      <c r="AI95" s="183"/>
      <c r="AJ95" s="183"/>
      <c r="AK95" s="183"/>
      <c r="AL95" s="183"/>
      <c r="AM95" s="183"/>
    </row>
    <row r="96" hidden="1">
      <c r="A96" s="531" t="str">
        <f>IFERROR(__xludf.DUMMYFUNCTION("""COMPUTED_VALUE"""),"サイズ")</f>
        <v>サイズ</v>
      </c>
      <c r="B96" s="531" t="str">
        <f>IFERROR(__xludf.DUMMYFUNCTION("""COMPUTED_VALUE"""),"ジャケット / ジャコット")</f>
        <v>ジャケット / ジャコット</v>
      </c>
      <c r="C96" s="531" t="str">
        <f>IFERROR(__xludf.DUMMYFUNCTION("""COMPUTED_VALUE"""),"袖丈")</f>
        <v>袖丈</v>
      </c>
      <c r="D96" s="550" t="str">
        <f>IFERROR(__xludf.DUMMYFUNCTION("""COMPUTED_VALUE"""),"本切羽あり")</f>
        <v>本切羽あり</v>
      </c>
      <c r="E96" s="550" t="str">
        <f>IFERROR(__xludf.DUMMYFUNCTION("""COMPUTED_VALUE"""),"※左右であっても1箇所換算")</f>
        <v>※左右であっても1箇所換算</v>
      </c>
      <c r="F96" s="534" t="str">
        <f>IFERROR(__xludf.DUMMYFUNCTION("""COMPUTED_VALUE"""),"袖丈 / 本切羽あり")</f>
        <v>袖丈 / 本切羽あり</v>
      </c>
      <c r="G96" s="550" t="str">
        <f>IFERROR(__xludf.DUMMYFUNCTION("""COMPUTED_VALUE"""),"袖丈 / 本切羽あり（※左右であっても1箇所換算）")</f>
        <v>袖丈 / 本切羽あり（※左右であっても1箇所換算）</v>
      </c>
      <c r="H96" s="572" t="str">
        <f>IFERROR(__xludf.DUMMYFUNCTION("""COMPUTED_VALUE"""),"0.5")</f>
        <v>0.5</v>
      </c>
      <c r="I96" s="537"/>
      <c r="J96" s="538">
        <f>IFERROR(__xludf.DUMMYFUNCTION("""COMPUTED_VALUE"""),8.0)</f>
        <v>8</v>
      </c>
      <c r="K96" s="537">
        <f>IFERROR(__xludf.DUMMYFUNCTION("""COMPUTED_VALUE"""),46001.0)</f>
        <v>46001</v>
      </c>
      <c r="L96" s="539">
        <f>IFERROR(__xludf.DUMMYFUNCTION("""COMPUTED_VALUE"""),46003.0)</f>
        <v>46003</v>
      </c>
      <c r="M96" s="540">
        <f>IFERROR(__xludf.DUMMYFUNCTION("""COMPUTED_VALUE"""),46008.0)</f>
        <v>46008</v>
      </c>
      <c r="N96" s="539">
        <f>IFERROR(__xludf.DUMMYFUNCTION("""COMPUTED_VALUE"""),10730.0)</f>
        <v>10730</v>
      </c>
      <c r="O96" s="593">
        <f>IFERROR(__xludf.DUMMYFUNCTION("""COMPUTED_VALUE"""),9750.0)</f>
        <v>9750</v>
      </c>
      <c r="P96" s="594">
        <f>IFERROR(__xludf.DUMMYFUNCTION("""COMPUTED_VALUE"""),2300.0)</f>
        <v>2300</v>
      </c>
      <c r="Q96" s="183"/>
      <c r="R96" s="544"/>
      <c r="S96" s="544"/>
      <c r="T96" s="544"/>
      <c r="U96" s="595">
        <f>IFERROR(__xludf.DUMMYFUNCTION("""COMPUTED_VALUE"""),45985.0)</f>
        <v>45985</v>
      </c>
      <c r="V96" s="544"/>
      <c r="W96" s="544"/>
      <c r="X96" s="544"/>
      <c r="Y96" s="544"/>
      <c r="Z96" s="544"/>
      <c r="AA96" s="544"/>
      <c r="AB96" s="544"/>
      <c r="AC96" s="544"/>
      <c r="AD96" s="544"/>
      <c r="AE96" s="183"/>
      <c r="AF96" s="183"/>
      <c r="AG96" s="183"/>
      <c r="AH96" s="183"/>
      <c r="AI96" s="183"/>
      <c r="AJ96" s="183"/>
      <c r="AK96" s="183"/>
      <c r="AL96" s="183"/>
      <c r="AM96" s="183"/>
    </row>
    <row r="97" hidden="1">
      <c r="A97" s="531" t="str">
        <f>IFERROR(__xludf.DUMMYFUNCTION("""COMPUTED_VALUE"""),"サイズ")</f>
        <v>サイズ</v>
      </c>
      <c r="B97" s="531" t="str">
        <f>IFERROR(__xludf.DUMMYFUNCTION("""COMPUTED_VALUE"""),"ジャケット / ジャコット")</f>
        <v>ジャケット / ジャコット</v>
      </c>
      <c r="C97" s="531" t="str">
        <f>IFERROR(__xludf.DUMMYFUNCTION("""COMPUTED_VALUE"""),"着丈")</f>
        <v>着丈</v>
      </c>
      <c r="D97" s="550" t="str">
        <f>IFERROR(__xludf.DUMMYFUNCTION("""COMPUTED_VALUE"""),"センターベント")</f>
        <v>センターベント</v>
      </c>
      <c r="E97" s="533"/>
      <c r="F97" s="534" t="str">
        <f>IFERROR(__xludf.DUMMYFUNCTION("""COMPUTED_VALUE"""),"着丈 / センターベント")</f>
        <v>着丈 / センターベント</v>
      </c>
      <c r="G97" s="550" t="str">
        <f>IFERROR(__xludf.DUMMYFUNCTION("""COMPUTED_VALUE"""),"着丈 / センターベント")</f>
        <v>着丈 / センターベント</v>
      </c>
      <c r="H97" s="572" t="str">
        <f>IFERROR(__xludf.DUMMYFUNCTION("""COMPUTED_VALUE"""),"-2")</f>
        <v>-2</v>
      </c>
      <c r="I97" s="537"/>
      <c r="J97" s="538">
        <f>IFERROR(__xludf.DUMMYFUNCTION("""COMPUTED_VALUE"""),7.0)</f>
        <v>7</v>
      </c>
      <c r="K97" s="537">
        <f>IFERROR(__xludf.DUMMYFUNCTION("""COMPUTED_VALUE"""),46000.0)</f>
        <v>46000</v>
      </c>
      <c r="L97" s="539">
        <f>IFERROR(__xludf.DUMMYFUNCTION("""COMPUTED_VALUE"""),46003.0)</f>
        <v>46003</v>
      </c>
      <c r="M97" s="540">
        <f>IFERROR(__xludf.DUMMYFUNCTION("""COMPUTED_VALUE"""),46008.0)</f>
        <v>46008</v>
      </c>
      <c r="N97" s="539">
        <f>IFERROR(__xludf.DUMMYFUNCTION("""COMPUTED_VALUE"""),4130.0)</f>
        <v>4130</v>
      </c>
      <c r="O97" s="593">
        <f>IFERROR(__xludf.DUMMYFUNCTION("""COMPUTED_VALUE"""),3750.0)</f>
        <v>3750</v>
      </c>
      <c r="P97" s="594">
        <f>IFERROR(__xludf.DUMMYFUNCTION("""COMPUTED_VALUE"""),2500.0)</f>
        <v>2500</v>
      </c>
      <c r="Q97" s="183"/>
      <c r="R97" s="544"/>
      <c r="S97" s="544"/>
      <c r="T97" s="544"/>
      <c r="U97" s="579">
        <f>IFERROR(__xludf.DUMMYFUNCTION("""COMPUTED_VALUE"""),46017.0)</f>
        <v>46017</v>
      </c>
      <c r="V97" s="544"/>
      <c r="W97" s="544"/>
      <c r="X97" s="544"/>
      <c r="Y97" s="544"/>
      <c r="Z97" s="544"/>
      <c r="AA97" s="544"/>
      <c r="AB97" s="544"/>
      <c r="AC97" s="544"/>
      <c r="AD97" s="544"/>
      <c r="AE97" s="183"/>
      <c r="AF97" s="183"/>
      <c r="AG97" s="183"/>
      <c r="AH97" s="183"/>
      <c r="AI97" s="183"/>
      <c r="AJ97" s="183"/>
      <c r="AK97" s="183"/>
      <c r="AL97" s="183"/>
      <c r="AM97" s="183"/>
    </row>
    <row r="98" hidden="1">
      <c r="A98" s="531" t="str">
        <f>IFERROR(__xludf.DUMMYFUNCTION("""COMPUTED_VALUE"""),"サイズ")</f>
        <v>サイズ</v>
      </c>
      <c r="B98" s="531" t="str">
        <f>IFERROR(__xludf.DUMMYFUNCTION("""COMPUTED_VALUE"""),"ジャケット / ジャコット")</f>
        <v>ジャケット / ジャコット</v>
      </c>
      <c r="C98" s="531" t="str">
        <f>IFERROR(__xludf.DUMMYFUNCTION("""COMPUTED_VALUE"""),"着丈")</f>
        <v>着丈</v>
      </c>
      <c r="D98" s="550" t="str">
        <f>IFERROR(__xludf.DUMMYFUNCTION("""COMPUTED_VALUE"""),"センターベント")</f>
        <v>センターベント</v>
      </c>
      <c r="E98" s="533"/>
      <c r="F98" s="534" t="str">
        <f>IFERROR(__xludf.DUMMYFUNCTION("""COMPUTED_VALUE"""),"着丈 / センターベント")</f>
        <v>着丈 / センターベント</v>
      </c>
      <c r="G98" s="550" t="str">
        <f>IFERROR(__xludf.DUMMYFUNCTION("""COMPUTED_VALUE"""),"着丈 / センターベント")</f>
        <v>着丈 / センターベント</v>
      </c>
      <c r="H98" s="572" t="str">
        <f>IFERROR(__xludf.DUMMYFUNCTION("""COMPUTED_VALUE"""),"-1.5")</f>
        <v>-1.5</v>
      </c>
      <c r="I98" s="537"/>
      <c r="J98" s="538">
        <f>IFERROR(__xludf.DUMMYFUNCTION("""COMPUTED_VALUE"""),7.0)</f>
        <v>7</v>
      </c>
      <c r="K98" s="537">
        <f>IFERROR(__xludf.DUMMYFUNCTION("""COMPUTED_VALUE"""),46000.0)</f>
        <v>46000</v>
      </c>
      <c r="L98" s="539">
        <f>IFERROR(__xludf.DUMMYFUNCTION("""COMPUTED_VALUE"""),46003.0)</f>
        <v>46003</v>
      </c>
      <c r="M98" s="540">
        <f>IFERROR(__xludf.DUMMYFUNCTION("""COMPUTED_VALUE"""),46008.0)</f>
        <v>46008</v>
      </c>
      <c r="N98" s="539">
        <f>IFERROR(__xludf.DUMMYFUNCTION("""COMPUTED_VALUE"""),4130.0)</f>
        <v>4130</v>
      </c>
      <c r="O98" s="593">
        <f>IFERROR(__xludf.DUMMYFUNCTION("""COMPUTED_VALUE"""),3750.0)</f>
        <v>3750</v>
      </c>
      <c r="P98" s="594">
        <f>IFERROR(__xludf.DUMMYFUNCTION("""COMPUTED_VALUE"""),2500.0)</f>
        <v>2500</v>
      </c>
      <c r="Q98" s="183"/>
      <c r="R98" s="544"/>
      <c r="S98" s="544"/>
      <c r="T98" s="544"/>
      <c r="U98" s="579">
        <f>IFERROR(__xludf.DUMMYFUNCTION("""COMPUTED_VALUE"""),46018.0)</f>
        <v>46018</v>
      </c>
      <c r="V98" s="544"/>
      <c r="W98" s="544"/>
      <c r="X98" s="544"/>
      <c r="Y98" s="544"/>
      <c r="Z98" s="544"/>
      <c r="AA98" s="544"/>
      <c r="AB98" s="544"/>
      <c r="AC98" s="544"/>
      <c r="AD98" s="544"/>
      <c r="AE98" s="183"/>
      <c r="AF98" s="183"/>
      <c r="AG98" s="183"/>
      <c r="AH98" s="183"/>
      <c r="AI98" s="183"/>
      <c r="AJ98" s="183"/>
      <c r="AK98" s="183"/>
      <c r="AL98" s="183"/>
      <c r="AM98" s="183"/>
    </row>
    <row r="99" hidden="1">
      <c r="A99" s="531" t="str">
        <f>IFERROR(__xludf.DUMMYFUNCTION("""COMPUTED_VALUE"""),"サイズ")</f>
        <v>サイズ</v>
      </c>
      <c r="B99" s="531" t="str">
        <f>IFERROR(__xludf.DUMMYFUNCTION("""COMPUTED_VALUE"""),"ジャケット / ジャコット")</f>
        <v>ジャケット / ジャコット</v>
      </c>
      <c r="C99" s="531" t="str">
        <f>IFERROR(__xludf.DUMMYFUNCTION("""COMPUTED_VALUE"""),"着丈")</f>
        <v>着丈</v>
      </c>
      <c r="D99" s="550" t="str">
        <f>IFERROR(__xludf.DUMMYFUNCTION("""COMPUTED_VALUE"""),"センターベント")</f>
        <v>センターベント</v>
      </c>
      <c r="E99" s="533"/>
      <c r="F99" s="534" t="str">
        <f>IFERROR(__xludf.DUMMYFUNCTION("""COMPUTED_VALUE"""),"着丈 / センターベント")</f>
        <v>着丈 / センターベント</v>
      </c>
      <c r="G99" s="550" t="str">
        <f>IFERROR(__xludf.DUMMYFUNCTION("""COMPUTED_VALUE"""),"着丈 / センターベント")</f>
        <v>着丈 / センターベント</v>
      </c>
      <c r="H99" s="572" t="str">
        <f>IFERROR(__xludf.DUMMYFUNCTION("""COMPUTED_VALUE"""),"-1")</f>
        <v>-1</v>
      </c>
      <c r="I99" s="537"/>
      <c r="J99" s="538">
        <f>IFERROR(__xludf.DUMMYFUNCTION("""COMPUTED_VALUE"""),7.0)</f>
        <v>7</v>
      </c>
      <c r="K99" s="537">
        <f>IFERROR(__xludf.DUMMYFUNCTION("""COMPUTED_VALUE"""),46000.0)</f>
        <v>46000</v>
      </c>
      <c r="L99" s="539">
        <f>IFERROR(__xludf.DUMMYFUNCTION("""COMPUTED_VALUE"""),46003.0)</f>
        <v>46003</v>
      </c>
      <c r="M99" s="540">
        <f>IFERROR(__xludf.DUMMYFUNCTION("""COMPUTED_VALUE"""),46008.0)</f>
        <v>46008</v>
      </c>
      <c r="N99" s="539">
        <f>IFERROR(__xludf.DUMMYFUNCTION("""COMPUTED_VALUE"""),4130.0)</f>
        <v>4130</v>
      </c>
      <c r="O99" s="593">
        <f>IFERROR(__xludf.DUMMYFUNCTION("""COMPUTED_VALUE"""),3750.0)</f>
        <v>3750</v>
      </c>
      <c r="P99" s="594">
        <f>IFERROR(__xludf.DUMMYFUNCTION("""COMPUTED_VALUE"""),2500.0)</f>
        <v>2500</v>
      </c>
      <c r="Q99" s="183"/>
      <c r="R99" s="544"/>
      <c r="S99" s="544"/>
      <c r="T99" s="544"/>
      <c r="U99" s="579">
        <f>IFERROR(__xludf.DUMMYFUNCTION("""COMPUTED_VALUE"""),46020.0)</f>
        <v>46020</v>
      </c>
      <c r="V99" s="544"/>
      <c r="W99" s="544"/>
      <c r="X99" s="544"/>
      <c r="Y99" s="544"/>
      <c r="Z99" s="544"/>
      <c r="AA99" s="544"/>
      <c r="AB99" s="544"/>
      <c r="AC99" s="544"/>
      <c r="AD99" s="544"/>
      <c r="AE99" s="183"/>
      <c r="AF99" s="183"/>
      <c r="AG99" s="183"/>
      <c r="AH99" s="183"/>
      <c r="AI99" s="183"/>
      <c r="AJ99" s="183"/>
      <c r="AK99" s="183"/>
      <c r="AL99" s="183"/>
      <c r="AM99" s="183"/>
    </row>
    <row r="100" hidden="1">
      <c r="A100" s="531" t="str">
        <f>IFERROR(__xludf.DUMMYFUNCTION("""COMPUTED_VALUE"""),"サイズ")</f>
        <v>サイズ</v>
      </c>
      <c r="B100" s="531" t="str">
        <f>IFERROR(__xludf.DUMMYFUNCTION("""COMPUTED_VALUE"""),"ジャケット / ジャコット")</f>
        <v>ジャケット / ジャコット</v>
      </c>
      <c r="C100" s="531" t="str">
        <f>IFERROR(__xludf.DUMMYFUNCTION("""COMPUTED_VALUE"""),"着丈")</f>
        <v>着丈</v>
      </c>
      <c r="D100" s="550" t="str">
        <f>IFERROR(__xludf.DUMMYFUNCTION("""COMPUTED_VALUE"""),"センターベント")</f>
        <v>センターベント</v>
      </c>
      <c r="E100" s="533"/>
      <c r="F100" s="534" t="str">
        <f>IFERROR(__xludf.DUMMYFUNCTION("""COMPUTED_VALUE"""),"着丈 / センターベント")</f>
        <v>着丈 / センターベント</v>
      </c>
      <c r="G100" s="550" t="str">
        <f>IFERROR(__xludf.DUMMYFUNCTION("""COMPUTED_VALUE"""),"着丈 / センターベント")</f>
        <v>着丈 / センターベント</v>
      </c>
      <c r="H100" s="572" t="str">
        <f>IFERROR(__xludf.DUMMYFUNCTION("""COMPUTED_VALUE"""),"-0.5")</f>
        <v>-0.5</v>
      </c>
      <c r="I100" s="537"/>
      <c r="J100" s="538">
        <f>IFERROR(__xludf.DUMMYFUNCTION("""COMPUTED_VALUE"""),7.0)</f>
        <v>7</v>
      </c>
      <c r="K100" s="537">
        <f>IFERROR(__xludf.DUMMYFUNCTION("""COMPUTED_VALUE"""),46000.0)</f>
        <v>46000</v>
      </c>
      <c r="L100" s="539">
        <f>IFERROR(__xludf.DUMMYFUNCTION("""COMPUTED_VALUE"""),46003.0)</f>
        <v>46003</v>
      </c>
      <c r="M100" s="540">
        <f>IFERROR(__xludf.DUMMYFUNCTION("""COMPUTED_VALUE"""),46008.0)</f>
        <v>46008</v>
      </c>
      <c r="N100" s="539">
        <f>IFERROR(__xludf.DUMMYFUNCTION("""COMPUTED_VALUE"""),4130.0)</f>
        <v>4130</v>
      </c>
      <c r="O100" s="593">
        <f>IFERROR(__xludf.DUMMYFUNCTION("""COMPUTED_VALUE"""),3750.0)</f>
        <v>3750</v>
      </c>
      <c r="P100" s="594">
        <f>IFERROR(__xludf.DUMMYFUNCTION("""COMPUTED_VALUE"""),2500.0)</f>
        <v>2500</v>
      </c>
      <c r="Q100" s="183"/>
      <c r="R100" s="544"/>
      <c r="S100" s="544"/>
      <c r="T100" s="544"/>
      <c r="U100" s="579">
        <f>IFERROR(__xludf.DUMMYFUNCTION("""COMPUTED_VALUE"""),46021.0)</f>
        <v>46021</v>
      </c>
      <c r="V100" s="544"/>
      <c r="W100" s="544"/>
      <c r="X100" s="544"/>
      <c r="Y100" s="544"/>
      <c r="Z100" s="544"/>
      <c r="AA100" s="544"/>
      <c r="AB100" s="544"/>
      <c r="AC100" s="544"/>
      <c r="AD100" s="544"/>
      <c r="AE100" s="183"/>
      <c r="AF100" s="183"/>
      <c r="AG100" s="183"/>
      <c r="AH100" s="183"/>
      <c r="AI100" s="183"/>
      <c r="AJ100" s="183"/>
      <c r="AK100" s="183"/>
      <c r="AL100" s="183"/>
      <c r="AM100" s="183"/>
    </row>
    <row r="101" hidden="1">
      <c r="A101" s="531" t="str">
        <f>IFERROR(__xludf.DUMMYFUNCTION("""COMPUTED_VALUE"""),"サイズ")</f>
        <v>サイズ</v>
      </c>
      <c r="B101" s="531" t="str">
        <f>IFERROR(__xludf.DUMMYFUNCTION("""COMPUTED_VALUE"""),"ジャケット / ジャコット")</f>
        <v>ジャケット / ジャコット</v>
      </c>
      <c r="C101" s="531" t="str">
        <f>IFERROR(__xludf.DUMMYFUNCTION("""COMPUTED_VALUE"""),"着丈")</f>
        <v>着丈</v>
      </c>
      <c r="D101" s="550" t="str">
        <f>IFERROR(__xludf.DUMMYFUNCTION("""COMPUTED_VALUE"""),"センターベント")</f>
        <v>センターベント</v>
      </c>
      <c r="E101" s="533"/>
      <c r="F101" s="534" t="str">
        <f>IFERROR(__xludf.DUMMYFUNCTION("""COMPUTED_VALUE"""),"着丈 / センターベント")</f>
        <v>着丈 / センターベント</v>
      </c>
      <c r="G101" s="550" t="str">
        <f>IFERROR(__xludf.DUMMYFUNCTION("""COMPUTED_VALUE"""),"着丈 / センターベント")</f>
        <v>着丈 / センターベント</v>
      </c>
      <c r="H101" s="572" t="str">
        <f>IFERROR(__xludf.DUMMYFUNCTION("""COMPUTED_VALUE"""),"0.5")</f>
        <v>0.5</v>
      </c>
      <c r="I101" s="537"/>
      <c r="J101" s="538">
        <f>IFERROR(__xludf.DUMMYFUNCTION("""COMPUTED_VALUE"""),7.0)</f>
        <v>7</v>
      </c>
      <c r="K101" s="537">
        <f>IFERROR(__xludf.DUMMYFUNCTION("""COMPUTED_VALUE"""),46000.0)</f>
        <v>46000</v>
      </c>
      <c r="L101" s="539">
        <f>IFERROR(__xludf.DUMMYFUNCTION("""COMPUTED_VALUE"""),46003.0)</f>
        <v>46003</v>
      </c>
      <c r="M101" s="540">
        <f>IFERROR(__xludf.DUMMYFUNCTION("""COMPUTED_VALUE"""),46008.0)</f>
        <v>46008</v>
      </c>
      <c r="N101" s="539">
        <f>IFERROR(__xludf.DUMMYFUNCTION("""COMPUTED_VALUE"""),4130.0)</f>
        <v>4130</v>
      </c>
      <c r="O101" s="593">
        <f>IFERROR(__xludf.DUMMYFUNCTION("""COMPUTED_VALUE"""),3750.0)</f>
        <v>3750</v>
      </c>
      <c r="P101" s="594">
        <f>IFERROR(__xludf.DUMMYFUNCTION("""COMPUTED_VALUE"""),2500.0)</f>
        <v>2500</v>
      </c>
      <c r="Q101" s="183"/>
      <c r="R101" s="544"/>
      <c r="S101" s="544"/>
      <c r="T101" s="544"/>
      <c r="U101" s="579">
        <f>IFERROR(__xludf.DUMMYFUNCTION("""COMPUTED_VALUE"""),46022.0)</f>
        <v>46022</v>
      </c>
      <c r="V101" s="544"/>
      <c r="W101" s="544"/>
      <c r="X101" s="544"/>
      <c r="Y101" s="544"/>
      <c r="Z101" s="544"/>
      <c r="AA101" s="544"/>
      <c r="AB101" s="544"/>
      <c r="AC101" s="544"/>
      <c r="AD101" s="544"/>
      <c r="AE101" s="183"/>
      <c r="AF101" s="183"/>
      <c r="AG101" s="183"/>
      <c r="AH101" s="183"/>
      <c r="AI101" s="183"/>
      <c r="AJ101" s="183"/>
      <c r="AK101" s="183"/>
      <c r="AL101" s="183"/>
      <c r="AM101" s="183"/>
    </row>
    <row r="102" hidden="1">
      <c r="A102" s="531" t="str">
        <f>IFERROR(__xludf.DUMMYFUNCTION("""COMPUTED_VALUE"""),"サイズ")</f>
        <v>サイズ</v>
      </c>
      <c r="B102" s="531" t="str">
        <f>IFERROR(__xludf.DUMMYFUNCTION("""COMPUTED_VALUE"""),"ジャケット / ジャコット")</f>
        <v>ジャケット / ジャコット</v>
      </c>
      <c r="C102" s="531" t="str">
        <f>IFERROR(__xludf.DUMMYFUNCTION("""COMPUTED_VALUE"""),"着丈")</f>
        <v>着丈</v>
      </c>
      <c r="D102" s="550" t="str">
        <f>IFERROR(__xludf.DUMMYFUNCTION("""COMPUTED_VALUE"""),"センターベント")</f>
        <v>センターベント</v>
      </c>
      <c r="E102" s="533"/>
      <c r="F102" s="534" t="str">
        <f>IFERROR(__xludf.DUMMYFUNCTION("""COMPUTED_VALUE"""),"着丈 / センターベント")</f>
        <v>着丈 / センターベント</v>
      </c>
      <c r="G102" s="550" t="str">
        <f>IFERROR(__xludf.DUMMYFUNCTION("""COMPUTED_VALUE"""),"着丈 / センターベント")</f>
        <v>着丈 / センターベント</v>
      </c>
      <c r="H102" s="572" t="str">
        <f>IFERROR(__xludf.DUMMYFUNCTION("""COMPUTED_VALUE"""),"1")</f>
        <v>1</v>
      </c>
      <c r="I102" s="537"/>
      <c r="J102" s="538">
        <f>IFERROR(__xludf.DUMMYFUNCTION("""COMPUTED_VALUE"""),7.0)</f>
        <v>7</v>
      </c>
      <c r="K102" s="537">
        <f>IFERROR(__xludf.DUMMYFUNCTION("""COMPUTED_VALUE"""),46000.0)</f>
        <v>46000</v>
      </c>
      <c r="L102" s="539">
        <f>IFERROR(__xludf.DUMMYFUNCTION("""COMPUTED_VALUE"""),46003.0)</f>
        <v>46003</v>
      </c>
      <c r="M102" s="540">
        <f>IFERROR(__xludf.DUMMYFUNCTION("""COMPUTED_VALUE"""),46008.0)</f>
        <v>46008</v>
      </c>
      <c r="N102" s="539">
        <f>IFERROR(__xludf.DUMMYFUNCTION("""COMPUTED_VALUE"""),4130.0)</f>
        <v>4130</v>
      </c>
      <c r="O102" s="593">
        <f>IFERROR(__xludf.DUMMYFUNCTION("""COMPUTED_VALUE"""),3750.0)</f>
        <v>3750</v>
      </c>
      <c r="P102" s="594">
        <f>IFERROR(__xludf.DUMMYFUNCTION("""COMPUTED_VALUE"""),2500.0)</f>
        <v>2500</v>
      </c>
      <c r="Q102" s="183"/>
      <c r="R102" s="544"/>
      <c r="S102" s="544"/>
      <c r="T102" s="544"/>
      <c r="U102" s="579">
        <f>IFERROR(__xludf.DUMMYFUNCTION("""COMPUTED_VALUE"""),46023.0)</f>
        <v>46023</v>
      </c>
      <c r="V102" s="544"/>
      <c r="W102" s="544"/>
      <c r="X102" s="544"/>
      <c r="Y102" s="544"/>
      <c r="Z102" s="544"/>
      <c r="AA102" s="544"/>
      <c r="AB102" s="544"/>
      <c r="AC102" s="544"/>
      <c r="AD102" s="544"/>
      <c r="AE102" s="183"/>
      <c r="AF102" s="183"/>
      <c r="AG102" s="183"/>
      <c r="AH102" s="183"/>
      <c r="AI102" s="183"/>
      <c r="AJ102" s="183"/>
      <c r="AK102" s="183"/>
      <c r="AL102" s="183"/>
      <c r="AM102" s="183"/>
    </row>
    <row r="103" hidden="1">
      <c r="A103" s="531" t="str">
        <f>IFERROR(__xludf.DUMMYFUNCTION("""COMPUTED_VALUE"""),"サイズ")</f>
        <v>サイズ</v>
      </c>
      <c r="B103" s="531" t="str">
        <f>IFERROR(__xludf.DUMMYFUNCTION("""COMPUTED_VALUE"""),"ジャケット / ジャコット")</f>
        <v>ジャケット / ジャコット</v>
      </c>
      <c r="C103" s="531" t="str">
        <f>IFERROR(__xludf.DUMMYFUNCTION("""COMPUTED_VALUE"""),"着丈")</f>
        <v>着丈</v>
      </c>
      <c r="D103" s="550" t="str">
        <f>IFERROR(__xludf.DUMMYFUNCTION("""COMPUTED_VALUE"""),"サイドベンツ")</f>
        <v>サイドベンツ</v>
      </c>
      <c r="E103" s="533"/>
      <c r="F103" s="534" t="str">
        <f>IFERROR(__xludf.DUMMYFUNCTION("""COMPUTED_VALUE"""),"着丈 / サイドベンツ")</f>
        <v>着丈 / サイドベンツ</v>
      </c>
      <c r="G103" s="550" t="str">
        <f>IFERROR(__xludf.DUMMYFUNCTION("""COMPUTED_VALUE"""),"着丈 / サイドベンツ")</f>
        <v>着丈 / サイドベンツ</v>
      </c>
      <c r="H103" s="572" t="str">
        <f>IFERROR(__xludf.DUMMYFUNCTION("""COMPUTED_VALUE"""),"-2")</f>
        <v>-2</v>
      </c>
      <c r="I103" s="537"/>
      <c r="J103" s="538">
        <f>IFERROR(__xludf.DUMMYFUNCTION("""COMPUTED_VALUE"""),7.0)</f>
        <v>7</v>
      </c>
      <c r="K103" s="537">
        <f>IFERROR(__xludf.DUMMYFUNCTION("""COMPUTED_VALUE"""),46000.0)</f>
        <v>46000</v>
      </c>
      <c r="L103" s="539">
        <f>IFERROR(__xludf.DUMMYFUNCTION("""COMPUTED_VALUE"""),46003.0)</f>
        <v>46003</v>
      </c>
      <c r="M103" s="540">
        <f>IFERROR(__xludf.DUMMYFUNCTION("""COMPUTED_VALUE"""),46008.0)</f>
        <v>46008</v>
      </c>
      <c r="N103" s="539">
        <f>IFERROR(__xludf.DUMMYFUNCTION("""COMPUTED_VALUE"""),4950.0)</f>
        <v>4950</v>
      </c>
      <c r="O103" s="593">
        <f>IFERROR(__xludf.DUMMYFUNCTION("""COMPUTED_VALUE"""),4500.0)</f>
        <v>4500</v>
      </c>
      <c r="P103" s="594">
        <f>IFERROR(__xludf.DUMMYFUNCTION("""COMPUTED_VALUE"""),3000.0)</f>
        <v>3000</v>
      </c>
      <c r="Q103" s="183"/>
      <c r="R103" s="544"/>
      <c r="S103" s="544"/>
      <c r="T103" s="544"/>
      <c r="U103" s="579">
        <f>IFERROR(__xludf.DUMMYFUNCTION("""COMPUTED_VALUE"""),46024.0)</f>
        <v>46024</v>
      </c>
      <c r="V103" s="544"/>
      <c r="W103" s="544"/>
      <c r="X103" s="544"/>
      <c r="Y103" s="544"/>
      <c r="Z103" s="544"/>
      <c r="AA103" s="544"/>
      <c r="AB103" s="544"/>
      <c r="AC103" s="544"/>
      <c r="AD103" s="544"/>
      <c r="AE103" s="183"/>
      <c r="AF103" s="183"/>
      <c r="AG103" s="183"/>
      <c r="AH103" s="183"/>
      <c r="AI103" s="183"/>
      <c r="AJ103" s="183"/>
      <c r="AK103" s="183"/>
      <c r="AL103" s="183"/>
      <c r="AM103" s="183"/>
    </row>
    <row r="104">
      <c r="A104" s="531" t="str">
        <f>IFERROR(__xludf.DUMMYFUNCTION("""COMPUTED_VALUE"""),"サイズ")</f>
        <v>サイズ</v>
      </c>
      <c r="B104" s="531" t="str">
        <f>IFERROR(__xludf.DUMMYFUNCTION("""COMPUTED_VALUE"""),"ジャケット / ジャコット")</f>
        <v>ジャケット / ジャコット</v>
      </c>
      <c r="C104" s="531" t="str">
        <f>IFERROR(__xludf.DUMMYFUNCTION("""COMPUTED_VALUE"""),"着丈")</f>
        <v>着丈</v>
      </c>
      <c r="D104" s="550" t="str">
        <f>IFERROR(__xludf.DUMMYFUNCTION("""COMPUTED_VALUE"""),"サイドベンツ")</f>
        <v>サイドベンツ</v>
      </c>
      <c r="E104" s="533"/>
      <c r="F104" s="534" t="str">
        <f>IFERROR(__xludf.DUMMYFUNCTION("""COMPUTED_VALUE"""),"着丈 / サイドベンツ")</f>
        <v>着丈 / サイドベンツ</v>
      </c>
      <c r="G104" s="550" t="str">
        <f>IFERROR(__xludf.DUMMYFUNCTION("""COMPUTED_VALUE"""),"着丈 / サイドベンツ")</f>
        <v>着丈 / サイドベンツ</v>
      </c>
      <c r="H104" s="572" t="str">
        <f>IFERROR(__xludf.DUMMYFUNCTION("""COMPUTED_VALUE"""),"-1.5")</f>
        <v>-1.5</v>
      </c>
      <c r="I104" s="537"/>
      <c r="J104" s="538">
        <f>IFERROR(__xludf.DUMMYFUNCTION("""COMPUTED_VALUE"""),7.0)</f>
        <v>7</v>
      </c>
      <c r="K104" s="537">
        <f>IFERROR(__xludf.DUMMYFUNCTION("""COMPUTED_VALUE"""),46000.0)</f>
        <v>46000</v>
      </c>
      <c r="L104" s="539">
        <f>IFERROR(__xludf.DUMMYFUNCTION("""COMPUTED_VALUE"""),46003.0)</f>
        <v>46003</v>
      </c>
      <c r="M104" s="540">
        <f>IFERROR(__xludf.DUMMYFUNCTION("""COMPUTED_VALUE"""),46008.0)</f>
        <v>46008</v>
      </c>
      <c r="N104" s="539">
        <f>IFERROR(__xludf.DUMMYFUNCTION("""COMPUTED_VALUE"""),4950.0)</f>
        <v>4950</v>
      </c>
      <c r="O104" s="593">
        <f>IFERROR(__xludf.DUMMYFUNCTION("""COMPUTED_VALUE"""),4500.0)</f>
        <v>4500</v>
      </c>
      <c r="P104" s="594">
        <f>IFERROR(__xludf.DUMMYFUNCTION("""COMPUTED_VALUE"""),3000.0)</f>
        <v>3000</v>
      </c>
      <c r="Q104" s="183"/>
      <c r="R104" s="544"/>
      <c r="S104" s="544"/>
      <c r="T104" s="544"/>
      <c r="U104" s="579">
        <f>IFERROR(__xludf.DUMMYFUNCTION("""COMPUTED_VALUE"""),46027.0)</f>
        <v>46027</v>
      </c>
      <c r="V104" s="544"/>
      <c r="W104" s="544"/>
      <c r="X104" s="544"/>
      <c r="Y104" s="544"/>
      <c r="Z104" s="544"/>
      <c r="AA104" s="544"/>
      <c r="AB104" s="544"/>
      <c r="AC104" s="544"/>
      <c r="AD104" s="544"/>
      <c r="AE104" s="183"/>
      <c r="AF104" s="183"/>
      <c r="AG104" s="183"/>
      <c r="AH104" s="183"/>
      <c r="AI104" s="183"/>
      <c r="AJ104" s="183"/>
      <c r="AK104" s="183"/>
      <c r="AL104" s="183"/>
      <c r="AM104" s="183"/>
    </row>
    <row r="105">
      <c r="A105" s="531" t="str">
        <f>IFERROR(__xludf.DUMMYFUNCTION("""COMPUTED_VALUE"""),"サイズ")</f>
        <v>サイズ</v>
      </c>
      <c r="B105" s="531" t="str">
        <f>IFERROR(__xludf.DUMMYFUNCTION("""COMPUTED_VALUE"""),"ジャケット / ジャコット")</f>
        <v>ジャケット / ジャコット</v>
      </c>
      <c r="C105" s="531" t="str">
        <f>IFERROR(__xludf.DUMMYFUNCTION("""COMPUTED_VALUE"""),"着丈")</f>
        <v>着丈</v>
      </c>
      <c r="D105" s="550" t="str">
        <f>IFERROR(__xludf.DUMMYFUNCTION("""COMPUTED_VALUE"""),"サイドベンツ")</f>
        <v>サイドベンツ</v>
      </c>
      <c r="E105" s="533"/>
      <c r="F105" s="534" t="str">
        <f>IFERROR(__xludf.DUMMYFUNCTION("""COMPUTED_VALUE"""),"着丈 / サイドベンツ")</f>
        <v>着丈 / サイドベンツ</v>
      </c>
      <c r="G105" s="550" t="str">
        <f>IFERROR(__xludf.DUMMYFUNCTION("""COMPUTED_VALUE"""),"着丈 / サイドベンツ")</f>
        <v>着丈 / サイドベンツ</v>
      </c>
      <c r="H105" s="572" t="str">
        <f>IFERROR(__xludf.DUMMYFUNCTION("""COMPUTED_VALUE"""),"-1")</f>
        <v>-1</v>
      </c>
      <c r="I105" s="537"/>
      <c r="J105" s="538">
        <f>IFERROR(__xludf.DUMMYFUNCTION("""COMPUTED_VALUE"""),7.0)</f>
        <v>7</v>
      </c>
      <c r="K105" s="537">
        <f>IFERROR(__xludf.DUMMYFUNCTION("""COMPUTED_VALUE"""),46000.0)</f>
        <v>46000</v>
      </c>
      <c r="L105" s="539">
        <f>IFERROR(__xludf.DUMMYFUNCTION("""COMPUTED_VALUE"""),46003.0)</f>
        <v>46003</v>
      </c>
      <c r="M105" s="540">
        <f>IFERROR(__xludf.DUMMYFUNCTION("""COMPUTED_VALUE"""),46008.0)</f>
        <v>46008</v>
      </c>
      <c r="N105" s="539">
        <f>IFERROR(__xludf.DUMMYFUNCTION("""COMPUTED_VALUE"""),4950.0)</f>
        <v>4950</v>
      </c>
      <c r="O105" s="593">
        <f>IFERROR(__xludf.DUMMYFUNCTION("""COMPUTED_VALUE"""),4500.0)</f>
        <v>4500</v>
      </c>
      <c r="P105" s="594">
        <f>IFERROR(__xludf.DUMMYFUNCTION("""COMPUTED_VALUE"""),3000.0)</f>
        <v>3000</v>
      </c>
      <c r="Q105" s="183"/>
      <c r="R105" s="544"/>
      <c r="S105" s="544"/>
      <c r="T105" s="544"/>
      <c r="U105" s="579">
        <f>IFERROR(__xludf.DUMMYFUNCTION("""COMPUTED_VALUE"""),46028.0)</f>
        <v>46028</v>
      </c>
      <c r="V105" s="544"/>
      <c r="W105" s="544"/>
      <c r="X105" s="544"/>
      <c r="Y105" s="544"/>
      <c r="Z105" s="544"/>
      <c r="AA105" s="544"/>
      <c r="AB105" s="544"/>
      <c r="AC105" s="544"/>
      <c r="AD105" s="544"/>
      <c r="AE105" s="183"/>
      <c r="AF105" s="183"/>
      <c r="AG105" s="183"/>
      <c r="AH105" s="183"/>
      <c r="AI105" s="183"/>
      <c r="AJ105" s="183"/>
      <c r="AK105" s="183"/>
      <c r="AL105" s="183"/>
      <c r="AM105" s="183"/>
    </row>
    <row r="106">
      <c r="A106" s="531" t="str">
        <f>IFERROR(__xludf.DUMMYFUNCTION("""COMPUTED_VALUE"""),"サイズ")</f>
        <v>サイズ</v>
      </c>
      <c r="B106" s="531" t="str">
        <f>IFERROR(__xludf.DUMMYFUNCTION("""COMPUTED_VALUE"""),"ジャケット / ジャコット")</f>
        <v>ジャケット / ジャコット</v>
      </c>
      <c r="C106" s="531" t="str">
        <f>IFERROR(__xludf.DUMMYFUNCTION("""COMPUTED_VALUE"""),"着丈")</f>
        <v>着丈</v>
      </c>
      <c r="D106" s="550" t="str">
        <f>IFERROR(__xludf.DUMMYFUNCTION("""COMPUTED_VALUE"""),"サイドベンツ")</f>
        <v>サイドベンツ</v>
      </c>
      <c r="E106" s="533"/>
      <c r="F106" s="534" t="str">
        <f>IFERROR(__xludf.DUMMYFUNCTION("""COMPUTED_VALUE"""),"着丈 / サイドベンツ")</f>
        <v>着丈 / サイドベンツ</v>
      </c>
      <c r="G106" s="550" t="str">
        <f>IFERROR(__xludf.DUMMYFUNCTION("""COMPUTED_VALUE"""),"着丈 / サイドベンツ")</f>
        <v>着丈 / サイドベンツ</v>
      </c>
      <c r="H106" s="572" t="str">
        <f>IFERROR(__xludf.DUMMYFUNCTION("""COMPUTED_VALUE"""),"-0.5")</f>
        <v>-0.5</v>
      </c>
      <c r="I106" s="537"/>
      <c r="J106" s="538">
        <f>IFERROR(__xludf.DUMMYFUNCTION("""COMPUTED_VALUE"""),7.0)</f>
        <v>7</v>
      </c>
      <c r="K106" s="537">
        <f>IFERROR(__xludf.DUMMYFUNCTION("""COMPUTED_VALUE"""),46000.0)</f>
        <v>46000</v>
      </c>
      <c r="L106" s="539">
        <f>IFERROR(__xludf.DUMMYFUNCTION("""COMPUTED_VALUE"""),46003.0)</f>
        <v>46003</v>
      </c>
      <c r="M106" s="540">
        <f>IFERROR(__xludf.DUMMYFUNCTION("""COMPUTED_VALUE"""),46008.0)</f>
        <v>46008</v>
      </c>
      <c r="N106" s="539">
        <f>IFERROR(__xludf.DUMMYFUNCTION("""COMPUTED_VALUE"""),4950.0)</f>
        <v>4950</v>
      </c>
      <c r="O106" s="593">
        <f>IFERROR(__xludf.DUMMYFUNCTION("""COMPUTED_VALUE"""),4500.0)</f>
        <v>4500</v>
      </c>
      <c r="P106" s="594">
        <f>IFERROR(__xludf.DUMMYFUNCTION("""COMPUTED_VALUE"""),3000.0)</f>
        <v>3000</v>
      </c>
      <c r="Q106" s="183"/>
      <c r="R106" s="544"/>
      <c r="S106" s="544"/>
      <c r="T106" s="544"/>
      <c r="U106" s="579">
        <f>IFERROR(__xludf.DUMMYFUNCTION("""COMPUTED_VALUE"""),46029.0)</f>
        <v>46029</v>
      </c>
      <c r="V106" s="544"/>
      <c r="W106" s="544"/>
      <c r="X106" s="544"/>
      <c r="Y106" s="544"/>
      <c r="Z106" s="544"/>
      <c r="AA106" s="544"/>
      <c r="AB106" s="544"/>
      <c r="AC106" s="544"/>
      <c r="AD106" s="544"/>
      <c r="AE106" s="183"/>
      <c r="AF106" s="183"/>
      <c r="AG106" s="183"/>
      <c r="AH106" s="183"/>
      <c r="AI106" s="183"/>
      <c r="AJ106" s="183"/>
      <c r="AK106" s="183"/>
      <c r="AL106" s="183"/>
      <c r="AM106" s="183"/>
    </row>
    <row r="107">
      <c r="A107" s="531" t="str">
        <f>IFERROR(__xludf.DUMMYFUNCTION("""COMPUTED_VALUE"""),"サイズ")</f>
        <v>サイズ</v>
      </c>
      <c r="B107" s="531" t="str">
        <f>IFERROR(__xludf.DUMMYFUNCTION("""COMPUTED_VALUE"""),"ジャケット / ジャコット")</f>
        <v>ジャケット / ジャコット</v>
      </c>
      <c r="C107" s="531" t="str">
        <f>IFERROR(__xludf.DUMMYFUNCTION("""COMPUTED_VALUE"""),"着丈")</f>
        <v>着丈</v>
      </c>
      <c r="D107" s="550" t="str">
        <f>IFERROR(__xludf.DUMMYFUNCTION("""COMPUTED_VALUE"""),"サイドベンツ")</f>
        <v>サイドベンツ</v>
      </c>
      <c r="E107" s="533"/>
      <c r="F107" s="534" t="str">
        <f>IFERROR(__xludf.DUMMYFUNCTION("""COMPUTED_VALUE"""),"着丈 / サイドベンツ")</f>
        <v>着丈 / サイドベンツ</v>
      </c>
      <c r="G107" s="550" t="str">
        <f>IFERROR(__xludf.DUMMYFUNCTION("""COMPUTED_VALUE"""),"着丈 / サイドベンツ")</f>
        <v>着丈 / サイドベンツ</v>
      </c>
      <c r="H107" s="572" t="str">
        <f>IFERROR(__xludf.DUMMYFUNCTION("""COMPUTED_VALUE"""),"0.5")</f>
        <v>0.5</v>
      </c>
      <c r="I107" s="537"/>
      <c r="J107" s="538">
        <f>IFERROR(__xludf.DUMMYFUNCTION("""COMPUTED_VALUE"""),7.0)</f>
        <v>7</v>
      </c>
      <c r="K107" s="537">
        <f>IFERROR(__xludf.DUMMYFUNCTION("""COMPUTED_VALUE"""),46000.0)</f>
        <v>46000</v>
      </c>
      <c r="L107" s="539">
        <f>IFERROR(__xludf.DUMMYFUNCTION("""COMPUTED_VALUE"""),46003.0)</f>
        <v>46003</v>
      </c>
      <c r="M107" s="540">
        <f>IFERROR(__xludf.DUMMYFUNCTION("""COMPUTED_VALUE"""),46008.0)</f>
        <v>46008</v>
      </c>
      <c r="N107" s="539">
        <f>IFERROR(__xludf.DUMMYFUNCTION("""COMPUTED_VALUE"""),4950.0)</f>
        <v>4950</v>
      </c>
      <c r="O107" s="593">
        <f>IFERROR(__xludf.DUMMYFUNCTION("""COMPUTED_VALUE"""),4500.0)</f>
        <v>4500</v>
      </c>
      <c r="P107" s="594">
        <f>IFERROR(__xludf.DUMMYFUNCTION("""COMPUTED_VALUE"""),3000.0)</f>
        <v>3000</v>
      </c>
      <c r="Q107" s="183"/>
      <c r="R107" s="544"/>
      <c r="S107" s="544"/>
      <c r="T107" s="544"/>
      <c r="U107" s="579">
        <f>IFERROR(__xludf.DUMMYFUNCTION("""COMPUTED_VALUE"""),46034.0)</f>
        <v>46034</v>
      </c>
      <c r="V107" s="544"/>
      <c r="W107" s="544"/>
      <c r="X107" s="544"/>
      <c r="Y107" s="544"/>
      <c r="Z107" s="544"/>
      <c r="AA107" s="544"/>
      <c r="AB107" s="544"/>
      <c r="AC107" s="544"/>
      <c r="AD107" s="544"/>
      <c r="AE107" s="183"/>
      <c r="AF107" s="183"/>
      <c r="AG107" s="183"/>
      <c r="AH107" s="183"/>
      <c r="AI107" s="183"/>
      <c r="AJ107" s="183"/>
      <c r="AK107" s="183"/>
      <c r="AL107" s="183"/>
      <c r="AM107" s="183"/>
    </row>
    <row r="108">
      <c r="A108" s="531" t="str">
        <f>IFERROR(__xludf.DUMMYFUNCTION("""COMPUTED_VALUE"""),"サイズ")</f>
        <v>サイズ</v>
      </c>
      <c r="B108" s="531" t="str">
        <f>IFERROR(__xludf.DUMMYFUNCTION("""COMPUTED_VALUE"""),"ジャケット / ジャコット")</f>
        <v>ジャケット / ジャコット</v>
      </c>
      <c r="C108" s="531" t="str">
        <f>IFERROR(__xludf.DUMMYFUNCTION("""COMPUTED_VALUE"""),"着丈")</f>
        <v>着丈</v>
      </c>
      <c r="D108" s="550" t="str">
        <f>IFERROR(__xludf.DUMMYFUNCTION("""COMPUTED_VALUE"""),"サイドベンツ")</f>
        <v>サイドベンツ</v>
      </c>
      <c r="E108" s="533"/>
      <c r="F108" s="534" t="str">
        <f>IFERROR(__xludf.DUMMYFUNCTION("""COMPUTED_VALUE"""),"着丈 / サイドベンツ")</f>
        <v>着丈 / サイドベンツ</v>
      </c>
      <c r="G108" s="550" t="str">
        <f>IFERROR(__xludf.DUMMYFUNCTION("""COMPUTED_VALUE"""),"着丈 / サイドベンツ")</f>
        <v>着丈 / サイドベンツ</v>
      </c>
      <c r="H108" s="572" t="str">
        <f>IFERROR(__xludf.DUMMYFUNCTION("""COMPUTED_VALUE"""),"1")</f>
        <v>1</v>
      </c>
      <c r="I108" s="537"/>
      <c r="J108" s="538">
        <f>IFERROR(__xludf.DUMMYFUNCTION("""COMPUTED_VALUE"""),7.0)</f>
        <v>7</v>
      </c>
      <c r="K108" s="537">
        <f>IFERROR(__xludf.DUMMYFUNCTION("""COMPUTED_VALUE"""),46000.0)</f>
        <v>46000</v>
      </c>
      <c r="L108" s="539">
        <f>IFERROR(__xludf.DUMMYFUNCTION("""COMPUTED_VALUE"""),46003.0)</f>
        <v>46003</v>
      </c>
      <c r="M108" s="540">
        <f>IFERROR(__xludf.DUMMYFUNCTION("""COMPUTED_VALUE"""),46008.0)</f>
        <v>46008</v>
      </c>
      <c r="N108" s="539">
        <f>IFERROR(__xludf.DUMMYFUNCTION("""COMPUTED_VALUE"""),4950.0)</f>
        <v>4950</v>
      </c>
      <c r="O108" s="593">
        <f>IFERROR(__xludf.DUMMYFUNCTION("""COMPUTED_VALUE"""),4500.0)</f>
        <v>4500</v>
      </c>
      <c r="P108" s="594">
        <f>IFERROR(__xludf.DUMMYFUNCTION("""COMPUTED_VALUE"""),3000.0)</f>
        <v>3000</v>
      </c>
      <c r="Q108" s="183"/>
      <c r="R108" s="544"/>
      <c r="S108" s="544"/>
      <c r="T108" s="544"/>
      <c r="U108" s="579">
        <f>IFERROR(__xludf.DUMMYFUNCTION("""COMPUTED_VALUE"""),46064.0)</f>
        <v>46064</v>
      </c>
      <c r="V108" s="544"/>
      <c r="W108" s="544"/>
      <c r="X108" s="544"/>
      <c r="Y108" s="544"/>
      <c r="Z108" s="544"/>
      <c r="AA108" s="544"/>
      <c r="AB108" s="544"/>
      <c r="AC108" s="544"/>
      <c r="AD108" s="544"/>
      <c r="AE108" s="183"/>
      <c r="AF108" s="183"/>
      <c r="AG108" s="183"/>
      <c r="AH108" s="183"/>
      <c r="AI108" s="183"/>
      <c r="AJ108" s="183"/>
      <c r="AK108" s="183"/>
      <c r="AL108" s="183"/>
      <c r="AM108" s="183"/>
    </row>
    <row r="109">
      <c r="A109" s="531" t="str">
        <f>IFERROR(__xludf.DUMMYFUNCTION("""COMPUTED_VALUE"""),"サイズ")</f>
        <v>サイズ</v>
      </c>
      <c r="B109" s="531" t="str">
        <f>IFERROR(__xludf.DUMMYFUNCTION("""COMPUTED_VALUE"""),"ジャケット / ジャコット")</f>
        <v>ジャケット / ジャコット</v>
      </c>
      <c r="C109" s="531" t="str">
        <f>IFERROR(__xludf.DUMMYFUNCTION("""COMPUTED_VALUE"""),"着丈")</f>
        <v>着丈</v>
      </c>
      <c r="D109" s="550" t="str">
        <f>IFERROR(__xludf.DUMMYFUNCTION("""COMPUTED_VALUE"""),"ノーベント")</f>
        <v>ノーベント</v>
      </c>
      <c r="E109" s="533"/>
      <c r="F109" s="534" t="str">
        <f>IFERROR(__xludf.DUMMYFUNCTION("""COMPUTED_VALUE"""),"着丈 / ノーベント")</f>
        <v>着丈 / ノーベント</v>
      </c>
      <c r="G109" s="550" t="str">
        <f>IFERROR(__xludf.DUMMYFUNCTION("""COMPUTED_VALUE"""),"着丈 / ノーベント")</f>
        <v>着丈 / ノーベント</v>
      </c>
      <c r="H109" s="572" t="str">
        <f>IFERROR(__xludf.DUMMYFUNCTION("""COMPUTED_VALUE"""),"-2")</f>
        <v>-2</v>
      </c>
      <c r="I109" s="537"/>
      <c r="J109" s="538">
        <f>IFERROR(__xludf.DUMMYFUNCTION("""COMPUTED_VALUE"""),7.0)</f>
        <v>7</v>
      </c>
      <c r="K109" s="537">
        <f>IFERROR(__xludf.DUMMYFUNCTION("""COMPUTED_VALUE"""),46000.0)</f>
        <v>46000</v>
      </c>
      <c r="L109" s="539">
        <f>IFERROR(__xludf.DUMMYFUNCTION("""COMPUTED_VALUE"""),46003.0)</f>
        <v>46003</v>
      </c>
      <c r="M109" s="540">
        <f>IFERROR(__xludf.DUMMYFUNCTION("""COMPUTED_VALUE"""),46008.0)</f>
        <v>46008</v>
      </c>
      <c r="N109" s="539">
        <f>IFERROR(__xludf.DUMMYFUNCTION("""COMPUTED_VALUE"""),4950.0)</f>
        <v>4950</v>
      </c>
      <c r="O109" s="593">
        <f>IFERROR(__xludf.DUMMYFUNCTION("""COMPUTED_VALUE"""),4500.0)</f>
        <v>4500</v>
      </c>
      <c r="P109" s="594">
        <f>IFERROR(__xludf.DUMMYFUNCTION("""COMPUTED_VALUE"""),3000.0)</f>
        <v>3000</v>
      </c>
      <c r="Q109" s="183"/>
      <c r="R109" s="544" t="str">
        <f>IFERROR(__xludf.DUMMYFUNCTION("""COMPUTED_VALUE"""),"O列要確認")</f>
        <v>O列要確認</v>
      </c>
      <c r="S109" s="544"/>
      <c r="T109" s="544"/>
      <c r="U109" s="579">
        <f>IFERROR(__xludf.DUMMYFUNCTION("""COMPUTED_VALUE"""),46076.0)</f>
        <v>46076</v>
      </c>
      <c r="V109" s="544"/>
      <c r="W109" s="544"/>
      <c r="X109" s="544"/>
      <c r="Y109" s="544"/>
      <c r="Z109" s="544"/>
      <c r="AA109" s="544"/>
      <c r="AB109" s="544"/>
      <c r="AC109" s="544"/>
      <c r="AD109" s="544"/>
      <c r="AE109" s="183"/>
      <c r="AF109" s="183"/>
      <c r="AG109" s="183"/>
      <c r="AH109" s="183"/>
      <c r="AI109" s="183"/>
      <c r="AJ109" s="183"/>
      <c r="AK109" s="183"/>
      <c r="AL109" s="183"/>
      <c r="AM109" s="183"/>
    </row>
    <row r="110">
      <c r="A110" s="531" t="str">
        <f>IFERROR(__xludf.DUMMYFUNCTION("""COMPUTED_VALUE"""),"サイズ")</f>
        <v>サイズ</v>
      </c>
      <c r="B110" s="531" t="str">
        <f>IFERROR(__xludf.DUMMYFUNCTION("""COMPUTED_VALUE"""),"ジャケット / ジャコット")</f>
        <v>ジャケット / ジャコット</v>
      </c>
      <c r="C110" s="531" t="str">
        <f>IFERROR(__xludf.DUMMYFUNCTION("""COMPUTED_VALUE"""),"着丈")</f>
        <v>着丈</v>
      </c>
      <c r="D110" s="550" t="str">
        <f>IFERROR(__xludf.DUMMYFUNCTION("""COMPUTED_VALUE"""),"ノーベント")</f>
        <v>ノーベント</v>
      </c>
      <c r="E110" s="533"/>
      <c r="F110" s="534" t="str">
        <f>IFERROR(__xludf.DUMMYFUNCTION("""COMPUTED_VALUE"""),"着丈 / ノーベント")</f>
        <v>着丈 / ノーベント</v>
      </c>
      <c r="G110" s="550" t="str">
        <f>IFERROR(__xludf.DUMMYFUNCTION("""COMPUTED_VALUE"""),"着丈 / ノーベント")</f>
        <v>着丈 / ノーベント</v>
      </c>
      <c r="H110" s="572" t="str">
        <f>IFERROR(__xludf.DUMMYFUNCTION("""COMPUTED_VALUE"""),"-1.5")</f>
        <v>-1.5</v>
      </c>
      <c r="I110" s="537"/>
      <c r="J110" s="538">
        <f>IFERROR(__xludf.DUMMYFUNCTION("""COMPUTED_VALUE"""),7.0)</f>
        <v>7</v>
      </c>
      <c r="K110" s="537">
        <f>IFERROR(__xludf.DUMMYFUNCTION("""COMPUTED_VALUE"""),46000.0)</f>
        <v>46000</v>
      </c>
      <c r="L110" s="539">
        <f>IFERROR(__xludf.DUMMYFUNCTION("""COMPUTED_VALUE"""),46003.0)</f>
        <v>46003</v>
      </c>
      <c r="M110" s="540">
        <f>IFERROR(__xludf.DUMMYFUNCTION("""COMPUTED_VALUE"""),46008.0)</f>
        <v>46008</v>
      </c>
      <c r="N110" s="539">
        <f>IFERROR(__xludf.DUMMYFUNCTION("""COMPUTED_VALUE"""),4950.0)</f>
        <v>4950</v>
      </c>
      <c r="O110" s="593">
        <f>IFERROR(__xludf.DUMMYFUNCTION("""COMPUTED_VALUE"""),4500.0)</f>
        <v>4500</v>
      </c>
      <c r="P110" s="594">
        <f>IFERROR(__xludf.DUMMYFUNCTION("""COMPUTED_VALUE"""),3000.0)</f>
        <v>3000</v>
      </c>
      <c r="Q110" s="183"/>
      <c r="R110" s="544" t="str">
        <f>IFERROR(__xludf.DUMMYFUNCTION("""COMPUTED_VALUE"""),"O列要確認")</f>
        <v>O列要確認</v>
      </c>
      <c r="S110" s="544"/>
      <c r="T110" s="544"/>
      <c r="U110" s="544"/>
      <c r="V110" s="544"/>
      <c r="W110" s="544"/>
      <c r="X110" s="544"/>
      <c r="Y110" s="544"/>
      <c r="Z110" s="544"/>
      <c r="AA110" s="544"/>
      <c r="AB110" s="544"/>
      <c r="AC110" s="544"/>
      <c r="AD110" s="544"/>
      <c r="AE110" s="183"/>
      <c r="AF110" s="183"/>
      <c r="AG110" s="183"/>
      <c r="AH110" s="183"/>
      <c r="AI110" s="183"/>
      <c r="AJ110" s="183"/>
      <c r="AK110" s="183"/>
      <c r="AL110" s="183"/>
      <c r="AM110" s="183"/>
    </row>
    <row r="111" hidden="1">
      <c r="A111" s="531" t="str">
        <f>IFERROR(__xludf.DUMMYFUNCTION("""COMPUTED_VALUE"""),"サイズ")</f>
        <v>サイズ</v>
      </c>
      <c r="B111" s="531" t="str">
        <f>IFERROR(__xludf.DUMMYFUNCTION("""COMPUTED_VALUE"""),"ジャケット / ジャコット")</f>
        <v>ジャケット / ジャコット</v>
      </c>
      <c r="C111" s="531" t="str">
        <f>IFERROR(__xludf.DUMMYFUNCTION("""COMPUTED_VALUE"""),"着丈")</f>
        <v>着丈</v>
      </c>
      <c r="D111" s="550" t="str">
        <f>IFERROR(__xludf.DUMMYFUNCTION("""COMPUTED_VALUE"""),"ノーベント")</f>
        <v>ノーベント</v>
      </c>
      <c r="E111" s="533"/>
      <c r="F111" s="534" t="str">
        <f>IFERROR(__xludf.DUMMYFUNCTION("""COMPUTED_VALUE"""),"着丈 / ノーベント")</f>
        <v>着丈 / ノーベント</v>
      </c>
      <c r="G111" s="550" t="str">
        <f>IFERROR(__xludf.DUMMYFUNCTION("""COMPUTED_VALUE"""),"着丈 / ノーベント")</f>
        <v>着丈 / ノーベント</v>
      </c>
      <c r="H111" s="572" t="str">
        <f>IFERROR(__xludf.DUMMYFUNCTION("""COMPUTED_VALUE"""),"-1")</f>
        <v>-1</v>
      </c>
      <c r="I111" s="537"/>
      <c r="J111" s="538">
        <f>IFERROR(__xludf.DUMMYFUNCTION("""COMPUTED_VALUE"""),7.0)</f>
        <v>7</v>
      </c>
      <c r="K111" s="537">
        <f>IFERROR(__xludf.DUMMYFUNCTION("""COMPUTED_VALUE"""),46000.0)</f>
        <v>46000</v>
      </c>
      <c r="L111" s="539">
        <f>IFERROR(__xludf.DUMMYFUNCTION("""COMPUTED_VALUE"""),46003.0)</f>
        <v>46003</v>
      </c>
      <c r="M111" s="540">
        <f>IFERROR(__xludf.DUMMYFUNCTION("""COMPUTED_VALUE"""),46008.0)</f>
        <v>46008</v>
      </c>
      <c r="N111" s="539">
        <f>IFERROR(__xludf.DUMMYFUNCTION("""COMPUTED_VALUE"""),4950.0)</f>
        <v>4950</v>
      </c>
      <c r="O111" s="593">
        <f>IFERROR(__xludf.DUMMYFUNCTION("""COMPUTED_VALUE"""),4500.0)</f>
        <v>4500</v>
      </c>
      <c r="P111" s="594">
        <f>IFERROR(__xludf.DUMMYFUNCTION("""COMPUTED_VALUE"""),3000.0)</f>
        <v>3000</v>
      </c>
      <c r="Q111" s="183"/>
      <c r="R111" s="544" t="str">
        <f>IFERROR(__xludf.DUMMYFUNCTION("""COMPUTED_VALUE"""),"O列要確認")</f>
        <v>O列要確認</v>
      </c>
      <c r="S111" s="544"/>
      <c r="T111" s="544"/>
      <c r="U111" s="544"/>
      <c r="V111" s="544"/>
      <c r="W111" s="544"/>
      <c r="X111" s="544"/>
      <c r="Y111" s="544"/>
      <c r="Z111" s="544"/>
      <c r="AA111" s="544"/>
      <c r="AB111" s="544"/>
      <c r="AC111" s="544"/>
      <c r="AD111" s="544"/>
      <c r="AE111" s="183"/>
      <c r="AF111" s="183"/>
      <c r="AG111" s="183"/>
      <c r="AH111" s="183"/>
      <c r="AI111" s="183"/>
      <c r="AJ111" s="183"/>
      <c r="AK111" s="183"/>
      <c r="AL111" s="183"/>
      <c r="AM111" s="183"/>
    </row>
    <row r="112" hidden="1">
      <c r="A112" s="531" t="str">
        <f>IFERROR(__xludf.DUMMYFUNCTION("""COMPUTED_VALUE"""),"サイズ")</f>
        <v>サイズ</v>
      </c>
      <c r="B112" s="531" t="str">
        <f>IFERROR(__xludf.DUMMYFUNCTION("""COMPUTED_VALUE"""),"ジャケット / ジャコット")</f>
        <v>ジャケット / ジャコット</v>
      </c>
      <c r="C112" s="531" t="str">
        <f>IFERROR(__xludf.DUMMYFUNCTION("""COMPUTED_VALUE"""),"着丈")</f>
        <v>着丈</v>
      </c>
      <c r="D112" s="550" t="str">
        <f>IFERROR(__xludf.DUMMYFUNCTION("""COMPUTED_VALUE"""),"ノーベント")</f>
        <v>ノーベント</v>
      </c>
      <c r="E112" s="533"/>
      <c r="F112" s="534" t="str">
        <f>IFERROR(__xludf.DUMMYFUNCTION("""COMPUTED_VALUE"""),"着丈 / ノーベント")</f>
        <v>着丈 / ノーベント</v>
      </c>
      <c r="G112" s="550" t="str">
        <f>IFERROR(__xludf.DUMMYFUNCTION("""COMPUTED_VALUE"""),"着丈 / ノーベント")</f>
        <v>着丈 / ノーベント</v>
      </c>
      <c r="H112" s="572" t="str">
        <f>IFERROR(__xludf.DUMMYFUNCTION("""COMPUTED_VALUE"""),"-0.5")</f>
        <v>-0.5</v>
      </c>
      <c r="I112" s="537"/>
      <c r="J112" s="538">
        <f>IFERROR(__xludf.DUMMYFUNCTION("""COMPUTED_VALUE"""),7.0)</f>
        <v>7</v>
      </c>
      <c r="K112" s="537">
        <f>IFERROR(__xludf.DUMMYFUNCTION("""COMPUTED_VALUE"""),46000.0)</f>
        <v>46000</v>
      </c>
      <c r="L112" s="539">
        <f>IFERROR(__xludf.DUMMYFUNCTION("""COMPUTED_VALUE"""),46003.0)</f>
        <v>46003</v>
      </c>
      <c r="M112" s="540">
        <f>IFERROR(__xludf.DUMMYFUNCTION("""COMPUTED_VALUE"""),46008.0)</f>
        <v>46008</v>
      </c>
      <c r="N112" s="539">
        <f>IFERROR(__xludf.DUMMYFUNCTION("""COMPUTED_VALUE"""),4950.0)</f>
        <v>4950</v>
      </c>
      <c r="O112" s="593">
        <f>IFERROR(__xludf.DUMMYFUNCTION("""COMPUTED_VALUE"""),4500.0)</f>
        <v>4500</v>
      </c>
      <c r="P112" s="594">
        <f>IFERROR(__xludf.DUMMYFUNCTION("""COMPUTED_VALUE"""),3000.0)</f>
        <v>3000</v>
      </c>
      <c r="Q112" s="183"/>
      <c r="R112" s="544" t="str">
        <f>IFERROR(__xludf.DUMMYFUNCTION("""COMPUTED_VALUE"""),"O列要確認")</f>
        <v>O列要確認</v>
      </c>
      <c r="S112" s="544"/>
      <c r="T112" s="544"/>
      <c r="U112" s="544"/>
      <c r="V112" s="544"/>
      <c r="W112" s="544"/>
      <c r="X112" s="544"/>
      <c r="Y112" s="544"/>
      <c r="Z112" s="544"/>
      <c r="AA112" s="544"/>
      <c r="AB112" s="544"/>
      <c r="AC112" s="544"/>
      <c r="AD112" s="544"/>
      <c r="AE112" s="183"/>
      <c r="AF112" s="183"/>
      <c r="AG112" s="183"/>
      <c r="AH112" s="183"/>
      <c r="AI112" s="183"/>
      <c r="AJ112" s="183"/>
      <c r="AK112" s="183"/>
      <c r="AL112" s="183"/>
      <c r="AM112" s="183"/>
    </row>
    <row r="113" hidden="1">
      <c r="A113" s="531" t="str">
        <f>IFERROR(__xludf.DUMMYFUNCTION("""COMPUTED_VALUE"""),"サイズ")</f>
        <v>サイズ</v>
      </c>
      <c r="B113" s="531" t="str">
        <f>IFERROR(__xludf.DUMMYFUNCTION("""COMPUTED_VALUE"""),"ジャケット / ジャコット")</f>
        <v>ジャケット / ジャコット</v>
      </c>
      <c r="C113" s="531" t="str">
        <f>IFERROR(__xludf.DUMMYFUNCTION("""COMPUTED_VALUE"""),"着丈")</f>
        <v>着丈</v>
      </c>
      <c r="D113" s="550" t="str">
        <f>IFERROR(__xludf.DUMMYFUNCTION("""COMPUTED_VALUE"""),"ノーベント")</f>
        <v>ノーベント</v>
      </c>
      <c r="E113" s="533"/>
      <c r="F113" s="534" t="str">
        <f>IFERROR(__xludf.DUMMYFUNCTION("""COMPUTED_VALUE"""),"着丈 / ノーベント")</f>
        <v>着丈 / ノーベント</v>
      </c>
      <c r="G113" s="550" t="str">
        <f>IFERROR(__xludf.DUMMYFUNCTION("""COMPUTED_VALUE"""),"着丈 / ノーベント")</f>
        <v>着丈 / ノーベント</v>
      </c>
      <c r="H113" s="572" t="str">
        <f>IFERROR(__xludf.DUMMYFUNCTION("""COMPUTED_VALUE"""),"0.5")</f>
        <v>0.5</v>
      </c>
      <c r="I113" s="537"/>
      <c r="J113" s="538">
        <f>IFERROR(__xludf.DUMMYFUNCTION("""COMPUTED_VALUE"""),7.0)</f>
        <v>7</v>
      </c>
      <c r="K113" s="537">
        <f>IFERROR(__xludf.DUMMYFUNCTION("""COMPUTED_VALUE"""),46000.0)</f>
        <v>46000</v>
      </c>
      <c r="L113" s="539">
        <f>IFERROR(__xludf.DUMMYFUNCTION("""COMPUTED_VALUE"""),46003.0)</f>
        <v>46003</v>
      </c>
      <c r="M113" s="540">
        <f>IFERROR(__xludf.DUMMYFUNCTION("""COMPUTED_VALUE"""),46008.0)</f>
        <v>46008</v>
      </c>
      <c r="N113" s="539">
        <f>IFERROR(__xludf.DUMMYFUNCTION("""COMPUTED_VALUE"""),4950.0)</f>
        <v>4950</v>
      </c>
      <c r="O113" s="593">
        <f>IFERROR(__xludf.DUMMYFUNCTION("""COMPUTED_VALUE"""),4500.0)</f>
        <v>4500</v>
      </c>
      <c r="P113" s="594">
        <f>IFERROR(__xludf.DUMMYFUNCTION("""COMPUTED_VALUE"""),3000.0)</f>
        <v>3000</v>
      </c>
      <c r="Q113" s="183"/>
      <c r="R113" s="544" t="str">
        <f>IFERROR(__xludf.DUMMYFUNCTION("""COMPUTED_VALUE"""),"O列要確認")</f>
        <v>O列要確認</v>
      </c>
      <c r="S113" s="544"/>
      <c r="T113" s="544"/>
      <c r="U113" s="544"/>
      <c r="V113" s="544"/>
      <c r="W113" s="544"/>
      <c r="X113" s="544"/>
      <c r="Y113" s="544"/>
      <c r="Z113" s="544"/>
      <c r="AA113" s="544"/>
      <c r="AB113" s="544"/>
      <c r="AC113" s="544"/>
      <c r="AD113" s="544"/>
      <c r="AE113" s="183"/>
      <c r="AF113" s="183"/>
      <c r="AG113" s="183"/>
      <c r="AH113" s="183"/>
      <c r="AI113" s="183"/>
      <c r="AJ113" s="183"/>
      <c r="AK113" s="183"/>
      <c r="AL113" s="183"/>
      <c r="AM113" s="183"/>
    </row>
    <row r="114" hidden="1">
      <c r="A114" s="531" t="str">
        <f>IFERROR(__xludf.DUMMYFUNCTION("""COMPUTED_VALUE"""),"サイズ")</f>
        <v>サイズ</v>
      </c>
      <c r="B114" s="531" t="str">
        <f>IFERROR(__xludf.DUMMYFUNCTION("""COMPUTED_VALUE"""),"ジャケット / ジャコット")</f>
        <v>ジャケット / ジャコット</v>
      </c>
      <c r="C114" s="531" t="str">
        <f>IFERROR(__xludf.DUMMYFUNCTION("""COMPUTED_VALUE"""),"着丈")</f>
        <v>着丈</v>
      </c>
      <c r="D114" s="550" t="str">
        <f>IFERROR(__xludf.DUMMYFUNCTION("""COMPUTED_VALUE"""),"ノーベント")</f>
        <v>ノーベント</v>
      </c>
      <c r="E114" s="533"/>
      <c r="F114" s="534" t="str">
        <f>IFERROR(__xludf.DUMMYFUNCTION("""COMPUTED_VALUE"""),"着丈 / ノーベント")</f>
        <v>着丈 / ノーベント</v>
      </c>
      <c r="G114" s="550" t="str">
        <f>IFERROR(__xludf.DUMMYFUNCTION("""COMPUTED_VALUE"""),"着丈 / ノーベント")</f>
        <v>着丈 / ノーベント</v>
      </c>
      <c r="H114" s="572" t="str">
        <f>IFERROR(__xludf.DUMMYFUNCTION("""COMPUTED_VALUE"""),"1")</f>
        <v>1</v>
      </c>
      <c r="I114" s="537"/>
      <c r="J114" s="538">
        <f>IFERROR(__xludf.DUMMYFUNCTION("""COMPUTED_VALUE"""),7.0)</f>
        <v>7</v>
      </c>
      <c r="K114" s="537">
        <f>IFERROR(__xludf.DUMMYFUNCTION("""COMPUTED_VALUE"""),46000.0)</f>
        <v>46000</v>
      </c>
      <c r="L114" s="539">
        <f>IFERROR(__xludf.DUMMYFUNCTION("""COMPUTED_VALUE"""),46003.0)</f>
        <v>46003</v>
      </c>
      <c r="M114" s="540">
        <f>IFERROR(__xludf.DUMMYFUNCTION("""COMPUTED_VALUE"""),46008.0)</f>
        <v>46008</v>
      </c>
      <c r="N114" s="539">
        <f>IFERROR(__xludf.DUMMYFUNCTION("""COMPUTED_VALUE"""),4950.0)</f>
        <v>4950</v>
      </c>
      <c r="O114" s="593">
        <f>IFERROR(__xludf.DUMMYFUNCTION("""COMPUTED_VALUE"""),4500.0)</f>
        <v>4500</v>
      </c>
      <c r="P114" s="594">
        <f>IFERROR(__xludf.DUMMYFUNCTION("""COMPUTED_VALUE"""),3000.0)</f>
        <v>3000</v>
      </c>
      <c r="Q114" s="183"/>
      <c r="R114" s="544" t="str">
        <f>IFERROR(__xludf.DUMMYFUNCTION("""COMPUTED_VALUE"""),"O列要確認")</f>
        <v>O列要確認</v>
      </c>
      <c r="S114" s="544"/>
      <c r="T114" s="544"/>
      <c r="U114" s="544"/>
      <c r="V114" s="544"/>
      <c r="W114" s="544"/>
      <c r="X114" s="544"/>
      <c r="Y114" s="544"/>
      <c r="Z114" s="544"/>
      <c r="AA114" s="544"/>
      <c r="AB114" s="544"/>
      <c r="AC114" s="544"/>
      <c r="AD114" s="544"/>
      <c r="AE114" s="183"/>
      <c r="AF114" s="183"/>
      <c r="AG114" s="183"/>
      <c r="AH114" s="183"/>
      <c r="AI114" s="183"/>
      <c r="AJ114" s="183"/>
      <c r="AK114" s="183"/>
      <c r="AL114" s="183"/>
      <c r="AM114" s="183"/>
    </row>
    <row r="115" hidden="1">
      <c r="A115" s="531" t="str">
        <f>IFERROR(__xludf.DUMMYFUNCTION("""COMPUTED_VALUE"""),"縫製")</f>
        <v>縫製</v>
      </c>
      <c r="B115" s="531" t="str">
        <f>IFERROR(__xludf.DUMMYFUNCTION("""COMPUTED_VALUE"""),"ジャケット / ジャコット")</f>
        <v>ジャケット / ジャコット</v>
      </c>
      <c r="C115" s="531" t="str">
        <f>IFERROR(__xludf.DUMMYFUNCTION("""COMPUTED_VALUE"""),"再プレスのみ")</f>
        <v>再プレスのみ</v>
      </c>
      <c r="D115" s="550"/>
      <c r="E115" s="533"/>
      <c r="F115" s="534" t="str">
        <f>IFERROR(__xludf.DUMMYFUNCTION("""COMPUTED_VALUE"""),"再プレスのみ")</f>
        <v>再プレスのみ</v>
      </c>
      <c r="G115" s="550" t="str">
        <f>IFERROR(__xludf.DUMMYFUNCTION("""COMPUTED_VALUE"""),"再プレスのみ")</f>
        <v>再プレスのみ</v>
      </c>
      <c r="H115" s="536"/>
      <c r="I115" s="537" t="str">
        <f>IFERROR(__xludf.DUMMYFUNCTION("""COMPUTED_VALUE"""),"店舗/CS")</f>
        <v>店舗/CS</v>
      </c>
      <c r="J115" s="538"/>
      <c r="K115" s="538" t="str">
        <f>IFERROR(__xludf.DUMMYFUNCTION("""COMPUTED_VALUE"""),"3営業日前後")</f>
        <v>3営業日前後</v>
      </c>
      <c r="L115" s="539"/>
      <c r="M115" s="540"/>
      <c r="N115" s="539">
        <f>IFERROR(__xludf.DUMMYFUNCTION("""COMPUTED_VALUE"""),770.0)</f>
        <v>770</v>
      </c>
      <c r="O115" s="593">
        <f>IFERROR(__xludf.DUMMYFUNCTION("""COMPUTED_VALUE"""),700.0)</f>
        <v>700</v>
      </c>
      <c r="P115" s="594">
        <f>IFERROR(__xludf.DUMMYFUNCTION("""COMPUTED_VALUE"""),350.0)</f>
        <v>350</v>
      </c>
      <c r="Q115" s="183"/>
      <c r="R115" s="544"/>
      <c r="S115" s="544"/>
      <c r="T115" s="544"/>
      <c r="U115" s="544"/>
      <c r="V115" s="544"/>
      <c r="W115" s="544"/>
      <c r="X115" s="544"/>
      <c r="Y115" s="544"/>
      <c r="Z115" s="544"/>
      <c r="AA115" s="544"/>
      <c r="AB115" s="544"/>
      <c r="AC115" s="544"/>
      <c r="AD115" s="544"/>
      <c r="AE115" s="183"/>
      <c r="AF115" s="183"/>
      <c r="AG115" s="183"/>
      <c r="AH115" s="183"/>
      <c r="AI115" s="183"/>
      <c r="AJ115" s="183"/>
      <c r="AK115" s="183"/>
      <c r="AL115" s="183"/>
      <c r="AM115" s="183"/>
    </row>
    <row r="116" hidden="1">
      <c r="A116" s="531" t="str">
        <f>IFERROR(__xludf.DUMMYFUNCTION("""COMPUTED_VALUE"""),"縫製")</f>
        <v>縫製</v>
      </c>
      <c r="B116" s="531" t="str">
        <f>IFERROR(__xludf.DUMMYFUNCTION("""COMPUTED_VALUE"""),"ジャケット / ジャコット")</f>
        <v>ジャケット / ジャコット</v>
      </c>
      <c r="C116" s="531" t="str">
        <f>IFERROR(__xludf.DUMMYFUNCTION("""COMPUTED_VALUE"""),"ボタン購入のみ")</f>
        <v>ボタン購入のみ</v>
      </c>
      <c r="D116" s="550"/>
      <c r="E116" s="533" t="str">
        <f>IFERROR(__xludf.DUMMYFUNCTION("""COMPUTED_VALUE"""),"配送料不要")</f>
        <v>配送料不要</v>
      </c>
      <c r="F116" s="534" t="str">
        <f>IFERROR(__xludf.DUMMYFUNCTION("""COMPUTED_VALUE"""),"ボタン購入のみ")</f>
        <v>ボタン購入のみ</v>
      </c>
      <c r="G116" s="550" t="str">
        <f>IFERROR(__xludf.DUMMYFUNCTION("""COMPUTED_VALUE"""),"ボタン購入のみ（配送料不要）")</f>
        <v>ボタン購入のみ（配送料不要）</v>
      </c>
      <c r="H116" s="536"/>
      <c r="I116" s="537" t="str">
        <f>IFERROR(__xludf.DUMMYFUNCTION("""COMPUTED_VALUE"""),"店舗/CS")</f>
        <v>店舗/CS</v>
      </c>
      <c r="J116" s="538"/>
      <c r="K116" s="538" t="str">
        <f>IFERROR(__xludf.DUMMYFUNCTION("""COMPUTED_VALUE"""),"7営業日前後")</f>
        <v>7営業日前後</v>
      </c>
      <c r="L116" s="539"/>
      <c r="M116" s="540"/>
      <c r="N116" s="539">
        <f>IFERROR(__xludf.DUMMYFUNCTION("""COMPUTED_VALUE"""),1000.0)</f>
        <v>1000</v>
      </c>
      <c r="O116" s="593">
        <f>IFERROR(__xludf.DUMMYFUNCTION("""COMPUTED_VALUE"""),909.0)</f>
        <v>909</v>
      </c>
      <c r="P116" s="594" t="str">
        <f>IFERROR(__xludf.DUMMYFUNCTION("""COMPUTED_VALUE"""),"未定")</f>
        <v>未定</v>
      </c>
      <c r="Q116" s="183"/>
      <c r="R116" s="544"/>
      <c r="S116" s="544"/>
      <c r="T116" s="544"/>
      <c r="U116" s="544"/>
      <c r="V116" s="544"/>
      <c r="W116" s="544"/>
      <c r="X116" s="544"/>
      <c r="Y116" s="544"/>
      <c r="Z116" s="544"/>
      <c r="AA116" s="544"/>
      <c r="AB116" s="544"/>
      <c r="AC116" s="544"/>
      <c r="AD116" s="544"/>
      <c r="AE116" s="183"/>
      <c r="AF116" s="183"/>
      <c r="AG116" s="183"/>
      <c r="AH116" s="183"/>
      <c r="AI116" s="183"/>
      <c r="AJ116" s="183"/>
      <c r="AK116" s="183"/>
      <c r="AL116" s="183"/>
      <c r="AM116" s="183"/>
    </row>
    <row r="117" hidden="1">
      <c r="A117" s="531" t="str">
        <f>IFERROR(__xludf.DUMMYFUNCTION("""COMPUTED_VALUE"""),"縫製")</f>
        <v>縫製</v>
      </c>
      <c r="B117" s="531" t="str">
        <f>IFERROR(__xludf.DUMMYFUNCTION("""COMPUTED_VALUE"""),"ジャケット / ジャコット")</f>
        <v>ジャケット / ジャコット</v>
      </c>
      <c r="C117" s="531" t="str">
        <f>IFERROR(__xludf.DUMMYFUNCTION("""COMPUTED_VALUE"""),"ボタンお直し (購入＋つけ直し)")</f>
        <v>ボタンお直し (購入＋つけ直し)</v>
      </c>
      <c r="D117" s="550"/>
      <c r="E117" s="533" t="str">
        <f>IFERROR(__xludf.DUMMYFUNCTION("""COMPUTED_VALUE"""),"対応NG：生地破損がおきているもの")</f>
        <v>対応NG：生地破損がおきているもの</v>
      </c>
      <c r="F117" s="534" t="str">
        <f>IFERROR(__xludf.DUMMYFUNCTION("""COMPUTED_VALUE"""),"ボタンお直し (購入＋つけ直し)")</f>
        <v>ボタンお直し (購入＋つけ直し)</v>
      </c>
      <c r="G117" s="550" t="str">
        <f>IFERROR(__xludf.DUMMYFUNCTION("""COMPUTED_VALUE"""),"ボタンお直し (購入＋つけ直し)（対応NG：生地破損がおきているもの）")</f>
        <v>ボタンお直し (購入＋つけ直し)（対応NG：生地破損がおきているもの）</v>
      </c>
      <c r="H117" s="536"/>
      <c r="I117" s="537" t="str">
        <f>IFERROR(__xludf.DUMMYFUNCTION("""COMPUTED_VALUE"""),"店舗/CS")</f>
        <v>店舗/CS</v>
      </c>
      <c r="J117" s="538"/>
      <c r="K117" s="538" t="str">
        <f>IFERROR(__xludf.DUMMYFUNCTION("""COMPUTED_VALUE"""),"約2週間")</f>
        <v>約2週間</v>
      </c>
      <c r="L117" s="539"/>
      <c r="M117" s="540"/>
      <c r="N117" s="539">
        <f>IFERROR(__xludf.DUMMYFUNCTION("""COMPUTED_VALUE"""),1650.0)</f>
        <v>1650</v>
      </c>
      <c r="O117" s="593">
        <f>IFERROR(__xludf.DUMMYFUNCTION("""COMPUTED_VALUE"""),1500.0)</f>
        <v>1500</v>
      </c>
      <c r="P117" s="594">
        <f>IFERROR(__xludf.DUMMYFUNCTION("""COMPUTED_VALUE"""),800.0)</f>
        <v>800</v>
      </c>
      <c r="Q117" s="183"/>
      <c r="R117" s="544"/>
      <c r="S117" s="544"/>
      <c r="T117" s="544"/>
      <c r="U117" s="544"/>
      <c r="V117" s="544"/>
      <c r="W117" s="544"/>
      <c r="X117" s="544"/>
      <c r="Y117" s="544"/>
      <c r="Z117" s="544"/>
      <c r="AA117" s="544"/>
      <c r="AB117" s="544"/>
      <c r="AC117" s="544"/>
      <c r="AD117" s="544"/>
      <c r="AE117" s="183"/>
      <c r="AF117" s="183"/>
      <c r="AG117" s="183"/>
      <c r="AH117" s="183"/>
      <c r="AI117" s="183"/>
      <c r="AJ117" s="183"/>
      <c r="AK117" s="183"/>
      <c r="AL117" s="183"/>
      <c r="AM117" s="183"/>
    </row>
    <row r="118" hidden="1">
      <c r="A118" s="531" t="str">
        <f>IFERROR(__xludf.DUMMYFUNCTION("""COMPUTED_VALUE"""),"縫製")</f>
        <v>縫製</v>
      </c>
      <c r="B118" s="531" t="str">
        <f>IFERROR(__xludf.DUMMYFUNCTION("""COMPUTED_VALUE"""),"ジャケット / ジャコット")</f>
        <v>ジャケット / ジャコット</v>
      </c>
      <c r="C118" s="531" t="str">
        <f>IFERROR(__xludf.DUMMYFUNCTION("""COMPUTED_VALUE"""),"緩くなったボタンの付け直し")</f>
        <v>緩くなったボタンの付け直し</v>
      </c>
      <c r="D118" s="550"/>
      <c r="E118" s="533"/>
      <c r="F118" s="534" t="str">
        <f>IFERROR(__xludf.DUMMYFUNCTION("""COMPUTED_VALUE"""),"緩くなったボタンの付け直し")</f>
        <v>緩くなったボタンの付け直し</v>
      </c>
      <c r="G118" s="550" t="str">
        <f>IFERROR(__xludf.DUMMYFUNCTION("""COMPUTED_VALUE"""),"緩くなったボタンの付け直し")</f>
        <v>緩くなったボタンの付け直し</v>
      </c>
      <c r="H118" s="536"/>
      <c r="I118" s="537" t="str">
        <f>IFERROR(__xludf.DUMMYFUNCTION("""COMPUTED_VALUE"""),"店舗/CS")</f>
        <v>店舗/CS</v>
      </c>
      <c r="J118" s="538"/>
      <c r="K118" s="538" t="str">
        <f>IFERROR(__xludf.DUMMYFUNCTION("""COMPUTED_VALUE"""),"約2週間")</f>
        <v>約2週間</v>
      </c>
      <c r="L118" s="539"/>
      <c r="M118" s="540"/>
      <c r="N118" s="539">
        <f>IFERROR(__xludf.DUMMYFUNCTION("""COMPUTED_VALUE"""),660.0)</f>
        <v>660</v>
      </c>
      <c r="O118" s="593">
        <f>IFERROR(__xludf.DUMMYFUNCTION("""COMPUTED_VALUE"""),600.0)</f>
        <v>600</v>
      </c>
      <c r="P118" s="594">
        <f>IFERROR(__xludf.DUMMYFUNCTION("""COMPUTED_VALUE"""),120.0)</f>
        <v>120</v>
      </c>
      <c r="Q118" s="183"/>
      <c r="R118" s="544"/>
      <c r="S118" s="544"/>
      <c r="T118" s="544"/>
      <c r="U118" s="544"/>
      <c r="V118" s="544"/>
      <c r="W118" s="544"/>
      <c r="X118" s="544"/>
      <c r="Y118" s="544"/>
      <c r="Z118" s="544"/>
      <c r="AA118" s="544"/>
      <c r="AB118" s="544"/>
      <c r="AC118" s="544"/>
      <c r="AD118" s="544"/>
      <c r="AE118" s="183"/>
      <c r="AF118" s="183"/>
      <c r="AG118" s="183"/>
      <c r="AH118" s="183"/>
      <c r="AI118" s="183"/>
      <c r="AJ118" s="183"/>
      <c r="AK118" s="183"/>
      <c r="AL118" s="183"/>
      <c r="AM118" s="183"/>
    </row>
    <row r="119" hidden="1">
      <c r="A119" s="531" t="str">
        <f>IFERROR(__xludf.DUMMYFUNCTION("""COMPUTED_VALUE"""),"縫製")</f>
        <v>縫製</v>
      </c>
      <c r="B119" s="531" t="str">
        <f>IFERROR(__xludf.DUMMYFUNCTION("""COMPUTED_VALUE"""),"ジャケット / ジャコット")</f>
        <v>ジャケット / ジャコット</v>
      </c>
      <c r="C119" s="531" t="str">
        <f>IFERROR(__xludf.DUMMYFUNCTION("""COMPUTED_VALUE"""),"地糸切れ (パンク) 縫いなおし")</f>
        <v>地糸切れ (パンク) 縫いなおし</v>
      </c>
      <c r="D119" s="550"/>
      <c r="E119" s="533" t="str">
        <f>IFERROR(__xludf.DUMMYFUNCTION("""COMPUTED_VALUE"""),"※表地・裏地ともに破れなしの場合のみ対応可
対応NG：生地自体に破損がある場合")</f>
        <v>※表地・裏地ともに破れなしの場合のみ対応可
対応NG：生地自体に破損がある場合</v>
      </c>
      <c r="F119" s="534" t="str">
        <f>IFERROR(__xludf.DUMMYFUNCTION("""COMPUTED_VALUE"""),"地糸切れ (パンク) 縫いなおし")</f>
        <v>地糸切れ (パンク) 縫いなおし</v>
      </c>
      <c r="G119" s="550" t="str">
        <f>IFERROR(__xludf.DUMMYFUNCTION("""COMPUTED_VALUE"""),"地糸切れ (パンク) 縫いなおし（※表地・裏地ともに破れなしの場合のみ対応可
対応NG：生地自体に破損がある場合）")</f>
        <v>地糸切れ (パンク) 縫いなおし（※表地・裏地ともに破れなしの場合のみ対応可
対応NG：生地自体に破損がある場合）</v>
      </c>
      <c r="H119" s="536"/>
      <c r="I119" s="537" t="str">
        <f>IFERROR(__xludf.DUMMYFUNCTION("""COMPUTED_VALUE"""),"店舗/CS")</f>
        <v>店舗/CS</v>
      </c>
      <c r="J119" s="538"/>
      <c r="K119" s="538" t="str">
        <f>IFERROR(__xludf.DUMMYFUNCTION("""COMPUTED_VALUE"""),"約4週間")</f>
        <v>約4週間</v>
      </c>
      <c r="L119" s="539"/>
      <c r="M119" s="540"/>
      <c r="N119" s="539">
        <f>IFERROR(__xludf.DUMMYFUNCTION("""COMPUTED_VALUE"""),2530.0)</f>
        <v>2530</v>
      </c>
      <c r="O119" s="593">
        <f>IFERROR(__xludf.DUMMYFUNCTION("""COMPUTED_VALUE"""),2300.0)</f>
        <v>2300</v>
      </c>
      <c r="P119" s="594">
        <f>IFERROR(__xludf.DUMMYFUNCTION("""COMPUTED_VALUE"""),1500.0)</f>
        <v>1500</v>
      </c>
      <c r="Q119" s="183"/>
      <c r="R119" s="544"/>
      <c r="S119" s="544"/>
      <c r="T119" s="544"/>
      <c r="U119" s="544"/>
      <c r="V119" s="544"/>
      <c r="W119" s="544"/>
      <c r="X119" s="544"/>
      <c r="Y119" s="544"/>
      <c r="Z119" s="544"/>
      <c r="AA119" s="544"/>
      <c r="AB119" s="544"/>
      <c r="AC119" s="544"/>
      <c r="AD119" s="544"/>
      <c r="AE119" s="183"/>
      <c r="AF119" s="183"/>
      <c r="AG119" s="183"/>
      <c r="AH119" s="183"/>
      <c r="AI119" s="183"/>
      <c r="AJ119" s="183"/>
      <c r="AK119" s="183"/>
      <c r="AL119" s="183"/>
      <c r="AM119" s="183"/>
    </row>
    <row r="120" hidden="1">
      <c r="A120" s="531" t="str">
        <f>IFERROR(__xludf.DUMMYFUNCTION("""COMPUTED_VALUE"""),"縫製")</f>
        <v>縫製</v>
      </c>
      <c r="B120" s="531" t="str">
        <f>IFERROR(__xludf.DUMMYFUNCTION("""COMPUTED_VALUE"""),"ジャケット / ジャコット")</f>
        <v>ジャケット / ジャコット</v>
      </c>
      <c r="C120" s="531" t="str">
        <f>IFERROR(__xludf.DUMMYFUNCTION("""COMPUTED_VALUE"""),"すそまつり直し (裾・裏地)")</f>
        <v>すそまつり直し (裾・裏地)</v>
      </c>
      <c r="D120" s="550"/>
      <c r="E120" s="533" t="str">
        <f>IFERROR(__xludf.DUMMYFUNCTION("""COMPUTED_VALUE"""),"対応NG：生地破損がおきているもの")</f>
        <v>対応NG：生地破損がおきているもの</v>
      </c>
      <c r="F120" s="534" t="str">
        <f>IFERROR(__xludf.DUMMYFUNCTION("""COMPUTED_VALUE"""),"すそまつり直し (裾・裏地)")</f>
        <v>すそまつり直し (裾・裏地)</v>
      </c>
      <c r="G120" s="550" t="str">
        <f>IFERROR(__xludf.DUMMYFUNCTION("""COMPUTED_VALUE"""),"すそまつり直し (裾・裏地)（対応NG：生地破損がおきているもの）")</f>
        <v>すそまつり直し (裾・裏地)（対応NG：生地破損がおきているもの）</v>
      </c>
      <c r="H120" s="536"/>
      <c r="I120" s="537" t="str">
        <f>IFERROR(__xludf.DUMMYFUNCTION("""COMPUTED_VALUE"""),"店舗/CS")</f>
        <v>店舗/CS</v>
      </c>
      <c r="J120" s="538">
        <f>IFERROR(__xludf.DUMMYFUNCTION("""COMPUTED_VALUE"""),20.0)</f>
        <v>20</v>
      </c>
      <c r="K120" s="537">
        <f>IFERROR(__xludf.DUMMYFUNCTION("""COMPUTED_VALUE"""),46030.0)</f>
        <v>46030</v>
      </c>
      <c r="L120" s="539"/>
      <c r="M120" s="540"/>
      <c r="N120" s="539">
        <f>IFERROR(__xludf.DUMMYFUNCTION("""COMPUTED_VALUE"""),2530.0)</f>
        <v>2530</v>
      </c>
      <c r="O120" s="593">
        <f>IFERROR(__xludf.DUMMYFUNCTION("""COMPUTED_VALUE"""),2300.0)</f>
        <v>2300</v>
      </c>
      <c r="P120" s="594">
        <f>IFERROR(__xludf.DUMMYFUNCTION("""COMPUTED_VALUE"""),1500.0)</f>
        <v>1500</v>
      </c>
      <c r="Q120" s="183"/>
      <c r="R120" s="544"/>
      <c r="S120" s="544"/>
      <c r="T120" s="544"/>
      <c r="U120" s="544"/>
      <c r="V120" s="544"/>
      <c r="W120" s="544"/>
      <c r="X120" s="544"/>
      <c r="Y120" s="544"/>
      <c r="Z120" s="544"/>
      <c r="AA120" s="544"/>
      <c r="AB120" s="544"/>
      <c r="AC120" s="544"/>
      <c r="AD120" s="544"/>
      <c r="AE120" s="183"/>
      <c r="AF120" s="183"/>
      <c r="AG120" s="183"/>
      <c r="AH120" s="183"/>
      <c r="AI120" s="183"/>
      <c r="AJ120" s="183"/>
      <c r="AK120" s="183"/>
      <c r="AL120" s="183"/>
      <c r="AM120" s="183"/>
    </row>
    <row r="121" hidden="1">
      <c r="A121" s="531" t="str">
        <f>IFERROR(__xludf.DUMMYFUNCTION("""COMPUTED_VALUE"""),"縫製")</f>
        <v>縫製</v>
      </c>
      <c r="B121" s="531" t="str">
        <f>IFERROR(__xludf.DUMMYFUNCTION("""COMPUTED_VALUE"""),"ジャケット / ジャコット")</f>
        <v>ジャケット / ジャコット</v>
      </c>
      <c r="C121" s="531" t="str">
        <f>IFERROR(__xludf.DUMMYFUNCTION("""COMPUTED_VALUE"""),"かけはぎ　縦横5㎝×5cm以内")</f>
        <v>かけはぎ　縦横5㎝×5cm以内</v>
      </c>
      <c r="D121" s="550"/>
      <c r="E121" s="533" t="str">
        <f>IFERROR(__xludf.DUMMYFUNCTION("""COMPUTED_VALUE"""),"※ 共布必要
対応NG：股ずれ等、元の生地が摩耗している場合 (繊維をつむぐことが出来ないため)")</f>
        <v>※ 共布必要
対応NG：股ずれ等、元の生地が摩耗している場合 (繊維をつむぐことが出来ないため)</v>
      </c>
      <c r="F121" s="534" t="str">
        <f>IFERROR(__xludf.DUMMYFUNCTION("""COMPUTED_VALUE"""),"かけはぎ　縦横5㎝×5cm以内")</f>
        <v>かけはぎ　縦横5㎝×5cm以内</v>
      </c>
      <c r="G121" s="550" t="str">
        <f>IFERROR(__xludf.DUMMYFUNCTION("""COMPUTED_VALUE"""),"かけはぎ　縦横5㎝×5cm以内（※ 共布必要
対応NG：股ずれ等、元の生地が摩耗している場合 (繊維をつむぐことが出来ないため)）")</f>
        <v>かけはぎ　縦横5㎝×5cm以内（※ 共布必要
対応NG：股ずれ等、元の生地が摩耗している場合 (繊維をつむぐことが出来ないため)）</v>
      </c>
      <c r="H121" s="536"/>
      <c r="I121" s="537" t="str">
        <f>IFERROR(__xludf.DUMMYFUNCTION("""COMPUTED_VALUE"""),"店舗/CS")</f>
        <v>店舗/CS</v>
      </c>
      <c r="J121" s="538"/>
      <c r="K121" s="538" t="str">
        <f>IFERROR(__xludf.DUMMYFUNCTION("""COMPUTED_VALUE"""),"約4週間")</f>
        <v>約4週間</v>
      </c>
      <c r="L121" s="539"/>
      <c r="M121" s="540"/>
      <c r="N121" s="539">
        <f>IFERROR(__xludf.DUMMYFUNCTION("""COMPUTED_VALUE"""),22440.0)</f>
        <v>22440</v>
      </c>
      <c r="O121" s="593">
        <f>IFERROR(__xludf.DUMMYFUNCTION("""COMPUTED_VALUE"""),20400.0)</f>
        <v>20400</v>
      </c>
      <c r="P121" s="594">
        <f>IFERROR(__xludf.DUMMYFUNCTION("""COMPUTED_VALUE"""),15000.0)</f>
        <v>15000</v>
      </c>
      <c r="Q121" s="183"/>
      <c r="R121" s="544"/>
      <c r="S121" s="544"/>
      <c r="T121" s="544"/>
      <c r="U121" s="544"/>
      <c r="V121" s="544"/>
      <c r="W121" s="544"/>
      <c r="X121" s="544"/>
      <c r="Y121" s="544"/>
      <c r="Z121" s="544"/>
      <c r="AA121" s="544"/>
      <c r="AB121" s="544"/>
      <c r="AC121" s="544"/>
      <c r="AD121" s="544"/>
      <c r="AE121" s="183"/>
      <c r="AF121" s="183"/>
      <c r="AG121" s="183"/>
      <c r="AH121" s="183"/>
      <c r="AI121" s="183"/>
      <c r="AJ121" s="183"/>
      <c r="AK121" s="183"/>
      <c r="AL121" s="183"/>
      <c r="AM121" s="183"/>
    </row>
    <row r="122" hidden="1">
      <c r="A122" s="531" t="str">
        <f>IFERROR(__xludf.DUMMYFUNCTION("""COMPUTED_VALUE"""),"縫製")</f>
        <v>縫製</v>
      </c>
      <c r="B122" s="531" t="str">
        <f>IFERROR(__xludf.DUMMYFUNCTION("""COMPUTED_VALUE"""),"ジャケット / ジャコット")</f>
        <v>ジャケット / ジャコット</v>
      </c>
      <c r="C122" s="531" t="str">
        <f>IFERROR(__xludf.DUMMYFUNCTION("""COMPUTED_VALUE"""),"タタキ (小) 4cm四方以内")</f>
        <v>タタキ (小) 4cm四方以内</v>
      </c>
      <c r="D122" s="550"/>
      <c r="E122" s="533" t="str">
        <f>IFERROR(__xludf.DUMMYFUNCTION("""COMPUTED_VALUE"""),"※補修布必要。似寄り生地で対応可
対応NG：アームホール、肩周り、衿周り周辺。縫い目から破けている破損。裏地のお直し。")</f>
        <v>※補修布必要。似寄り生地で対応可
対応NG：アームホール、肩周り、衿周り周辺。縫い目から破けている破損。裏地のお直し。</v>
      </c>
      <c r="F122" s="534" t="str">
        <f>IFERROR(__xludf.DUMMYFUNCTION("""COMPUTED_VALUE"""),"タタキ (小) 4cm四方以内")</f>
        <v>タタキ (小) 4cm四方以内</v>
      </c>
      <c r="G122" s="550" t="str">
        <f>IFERROR(__xludf.DUMMYFUNCTION("""COMPUTED_VALUE"""),"タタキ (小) 4cm四方以内（※補修布必要。似寄り生地で対応可
対応NG：アームホール、肩周り、衿周り周辺。縫い目から破けている破損。裏地のお直し。）")</f>
        <v>タタキ (小) 4cm四方以内（※補修布必要。似寄り生地で対応可
対応NG：アームホール、肩周り、衿周り周辺。縫い目から破けている破損。裏地のお直し。）</v>
      </c>
      <c r="H122" s="536"/>
      <c r="I122" s="537" t="str">
        <f>IFERROR(__xludf.DUMMYFUNCTION("""COMPUTED_VALUE"""),"店舗/CS")</f>
        <v>店舗/CS</v>
      </c>
      <c r="J122" s="538">
        <f>IFERROR(__xludf.DUMMYFUNCTION("""COMPUTED_VALUE"""),7.0)</f>
        <v>7</v>
      </c>
      <c r="K122" s="537">
        <f>IFERROR(__xludf.DUMMYFUNCTION("""COMPUTED_VALUE"""),46000.0)</f>
        <v>46000</v>
      </c>
      <c r="L122" s="539"/>
      <c r="M122" s="540"/>
      <c r="N122" s="539">
        <f>IFERROR(__xludf.DUMMYFUNCTION("""COMPUTED_VALUE"""),1320.0)</f>
        <v>1320</v>
      </c>
      <c r="O122" s="593">
        <f>IFERROR(__xludf.DUMMYFUNCTION("""COMPUTED_VALUE"""),1200.0)</f>
        <v>1200</v>
      </c>
      <c r="P122" s="594">
        <f>IFERROR(__xludf.DUMMYFUNCTION("""COMPUTED_VALUE"""),800.0)</f>
        <v>800</v>
      </c>
      <c r="Q122" s="183"/>
      <c r="R122" s="544"/>
      <c r="S122" s="544"/>
      <c r="T122" s="544"/>
      <c r="U122" s="544"/>
      <c r="V122" s="544"/>
      <c r="W122" s="544"/>
      <c r="X122" s="544"/>
      <c r="Y122" s="544"/>
      <c r="Z122" s="544"/>
      <c r="AA122" s="544"/>
      <c r="AB122" s="544"/>
      <c r="AC122" s="544"/>
      <c r="AD122" s="544"/>
      <c r="AE122" s="183"/>
      <c r="AF122" s="183"/>
      <c r="AG122" s="183"/>
      <c r="AH122" s="183"/>
      <c r="AI122" s="183"/>
      <c r="AJ122" s="183"/>
      <c r="AK122" s="183"/>
      <c r="AL122" s="183"/>
      <c r="AM122" s="183"/>
    </row>
    <row r="123" hidden="1">
      <c r="A123" s="531" t="str">
        <f>IFERROR(__xludf.DUMMYFUNCTION("""COMPUTED_VALUE"""),"縫製")</f>
        <v>縫製</v>
      </c>
      <c r="B123" s="531" t="str">
        <f>IFERROR(__xludf.DUMMYFUNCTION("""COMPUTED_VALUE"""),"ジャケット / ジャコット")</f>
        <v>ジャケット / ジャコット</v>
      </c>
      <c r="C123" s="531" t="str">
        <f>IFERROR(__xludf.DUMMYFUNCTION("""COMPUTED_VALUE"""),"タタキ (大) 4㎝四方以上")</f>
        <v>タタキ (大) 4㎝四方以上</v>
      </c>
      <c r="D123" s="550"/>
      <c r="E123" s="533" t="str">
        <f>IFERROR(__xludf.DUMMYFUNCTION("""COMPUTED_VALUE"""),"※技術的には10cm四方以上も修繕できるが、5cm×5cm以上は見た目としても、耐久性としても品質担保ができない
対応NG：アームホール、肩周り、衿周り周辺。縫い目から破けている破損。裏地のお直し。")</f>
        <v>※技術的には10cm四方以上も修繕できるが、5cm×5cm以上は見た目としても、耐久性としても品質担保ができない
対応NG：アームホール、肩周り、衿周り周辺。縫い目から破けている破損。裏地のお直し。</v>
      </c>
      <c r="F123" s="534" t="str">
        <f>IFERROR(__xludf.DUMMYFUNCTION("""COMPUTED_VALUE"""),"タタキ (大) 4㎝四方以上")</f>
        <v>タタキ (大) 4㎝四方以上</v>
      </c>
      <c r="G123" s="550" t="str">
        <f>IFERROR(__xludf.DUMMYFUNCTION("""COMPUTED_VALUE"""),"タタキ (大) 4㎝四方以上（※技術的には10cm四方以上も修繕できるが、5cm×5cm以上は見た目としても、耐久性としても品質担保ができない
対応NG：アームホール、肩周り、衿周り周辺。縫い目から破けている破損。裏地のお直し。）")</f>
        <v>タタキ (大) 4㎝四方以上（※技術的には10cm四方以上も修繕できるが、5cm×5cm以上は見た目としても、耐久性としても品質担保ができない
対応NG：アームホール、肩周り、衿周り周辺。縫い目から破けている破損。裏地のお直し。）</v>
      </c>
      <c r="H123" s="536"/>
      <c r="I123" s="537" t="str">
        <f>IFERROR(__xludf.DUMMYFUNCTION("""COMPUTED_VALUE"""),"SCM⇄TB")</f>
        <v>SCM⇄TB</v>
      </c>
      <c r="J123" s="538">
        <f>IFERROR(__xludf.DUMMYFUNCTION("""COMPUTED_VALUE"""),7.0)</f>
        <v>7</v>
      </c>
      <c r="K123" s="537">
        <f>IFERROR(__xludf.DUMMYFUNCTION("""COMPUTED_VALUE"""),46000.0)</f>
        <v>46000</v>
      </c>
      <c r="L123" s="539"/>
      <c r="M123" s="540"/>
      <c r="N123" s="539">
        <f>IFERROR(__xludf.DUMMYFUNCTION("""COMPUTED_VALUE"""),2530.0)</f>
        <v>2530</v>
      </c>
      <c r="O123" s="593">
        <f>IFERROR(__xludf.DUMMYFUNCTION("""COMPUTED_VALUE"""),2300.0)</f>
        <v>2300</v>
      </c>
      <c r="P123" s="594">
        <f>IFERROR(__xludf.DUMMYFUNCTION("""COMPUTED_VALUE"""),1400.0)</f>
        <v>1400</v>
      </c>
      <c r="Q123" s="183"/>
      <c r="R123" s="544"/>
      <c r="S123" s="544"/>
      <c r="T123" s="544"/>
      <c r="U123" s="544"/>
      <c r="V123" s="544"/>
      <c r="W123" s="544"/>
      <c r="X123" s="544"/>
      <c r="Y123" s="544"/>
      <c r="Z123" s="544"/>
      <c r="AA123" s="544"/>
      <c r="AB123" s="544"/>
      <c r="AC123" s="544"/>
      <c r="AD123" s="544"/>
      <c r="AE123" s="183"/>
      <c r="AF123" s="183"/>
      <c r="AG123" s="183"/>
      <c r="AH123" s="183"/>
      <c r="AI123" s="183"/>
      <c r="AJ123" s="183"/>
      <c r="AK123" s="183"/>
      <c r="AL123" s="183"/>
      <c r="AM123" s="183"/>
    </row>
    <row r="124" hidden="1">
      <c r="A124" s="531" t="str">
        <f>IFERROR(__xludf.DUMMYFUNCTION("""COMPUTED_VALUE"""),"サイズ - ウィメンズ")</f>
        <v>サイズ - ウィメンズ</v>
      </c>
      <c r="B124" s="531" t="str">
        <f>IFERROR(__xludf.DUMMYFUNCTION("""COMPUTED_VALUE"""),"ジャケット / ジャコット")</f>
        <v>ジャケット / ジャコット</v>
      </c>
      <c r="C124" s="531" t="str">
        <f>IFERROR(__xludf.DUMMYFUNCTION("""COMPUTED_VALUE"""),"バスト")</f>
        <v>バスト</v>
      </c>
      <c r="D124" s="550"/>
      <c r="E124" s="533"/>
      <c r="F124" s="534" t="str">
        <f>IFERROR(__xludf.DUMMYFUNCTION("""COMPUTED_VALUE"""),"バスト")</f>
        <v>バスト</v>
      </c>
      <c r="G124" s="550" t="str">
        <f>IFERROR(__xludf.DUMMYFUNCTION("""COMPUTED_VALUE"""),"バスト")</f>
        <v>バスト</v>
      </c>
      <c r="H124" s="572" t="str">
        <f>IFERROR(__xludf.DUMMYFUNCTION("""COMPUTED_VALUE"""),"-4")</f>
        <v>-4</v>
      </c>
      <c r="I124" s="537"/>
      <c r="J124" s="538">
        <f>IFERROR(__xludf.DUMMYFUNCTION("""COMPUTED_VALUE"""),7.0)</f>
        <v>7</v>
      </c>
      <c r="K124" s="537">
        <f>IFERROR(__xludf.DUMMYFUNCTION("""COMPUTED_VALUE"""),46000.0)</f>
        <v>46000</v>
      </c>
      <c r="L124" s="539">
        <f>IFERROR(__xludf.DUMMYFUNCTION("""COMPUTED_VALUE"""),46003.0)</f>
        <v>46003</v>
      </c>
      <c r="M124" s="540">
        <f>IFERROR(__xludf.DUMMYFUNCTION("""COMPUTED_VALUE"""),46008.0)</f>
        <v>46008</v>
      </c>
      <c r="N124" s="539">
        <f>IFERROR(__xludf.DUMMYFUNCTION("""COMPUTED_VALUE"""),4950.0)</f>
        <v>4950</v>
      </c>
      <c r="O124" s="593">
        <f>IFERROR(__xludf.DUMMYFUNCTION("""COMPUTED_VALUE"""),4500.0)</f>
        <v>4500</v>
      </c>
      <c r="P124" s="594">
        <f>IFERROR(__xludf.DUMMYFUNCTION("""COMPUTED_VALUE"""),3000.0)</f>
        <v>3000</v>
      </c>
      <c r="Q124" s="183"/>
      <c r="R124" s="544"/>
      <c r="S124" s="544"/>
      <c r="T124" s="544"/>
      <c r="U124" s="544"/>
      <c r="V124" s="544"/>
      <c r="W124" s="544"/>
      <c r="X124" s="544"/>
      <c r="Y124" s="544"/>
      <c r="Z124" s="544"/>
      <c r="AA124" s="544"/>
      <c r="AB124" s="544"/>
      <c r="AC124" s="544"/>
      <c r="AD124" s="544"/>
      <c r="AE124" s="183"/>
      <c r="AF124" s="183"/>
      <c r="AG124" s="183"/>
      <c r="AH124" s="183"/>
      <c r="AI124" s="183"/>
      <c r="AJ124" s="183"/>
      <c r="AK124" s="183"/>
      <c r="AL124" s="183"/>
      <c r="AM124" s="183"/>
    </row>
    <row r="125" hidden="1">
      <c r="A125" s="531" t="str">
        <f>IFERROR(__xludf.DUMMYFUNCTION("""COMPUTED_VALUE"""),"サイズ - ウィメンズ")</f>
        <v>サイズ - ウィメンズ</v>
      </c>
      <c r="B125" s="531" t="str">
        <f>IFERROR(__xludf.DUMMYFUNCTION("""COMPUTED_VALUE"""),"ジャケット / ジャコット")</f>
        <v>ジャケット / ジャコット</v>
      </c>
      <c r="C125" s="531" t="str">
        <f>IFERROR(__xludf.DUMMYFUNCTION("""COMPUTED_VALUE"""),"バスト")</f>
        <v>バスト</v>
      </c>
      <c r="D125" s="550"/>
      <c r="E125" s="533"/>
      <c r="F125" s="534" t="str">
        <f>IFERROR(__xludf.DUMMYFUNCTION("""COMPUTED_VALUE"""),"バスト")</f>
        <v>バスト</v>
      </c>
      <c r="G125" s="550" t="str">
        <f>IFERROR(__xludf.DUMMYFUNCTION("""COMPUTED_VALUE"""),"バスト")</f>
        <v>バスト</v>
      </c>
      <c r="H125" s="572" t="str">
        <f>IFERROR(__xludf.DUMMYFUNCTION("""COMPUTED_VALUE"""),"-3")</f>
        <v>-3</v>
      </c>
      <c r="I125" s="537"/>
      <c r="J125" s="538">
        <f>IFERROR(__xludf.DUMMYFUNCTION("""COMPUTED_VALUE"""),7.0)</f>
        <v>7</v>
      </c>
      <c r="K125" s="537">
        <f>IFERROR(__xludf.DUMMYFUNCTION("""COMPUTED_VALUE"""),46000.0)</f>
        <v>46000</v>
      </c>
      <c r="L125" s="539">
        <f>IFERROR(__xludf.DUMMYFUNCTION("""COMPUTED_VALUE"""),46003.0)</f>
        <v>46003</v>
      </c>
      <c r="M125" s="540">
        <f>IFERROR(__xludf.DUMMYFUNCTION("""COMPUTED_VALUE"""),46008.0)</f>
        <v>46008</v>
      </c>
      <c r="N125" s="539">
        <f>IFERROR(__xludf.DUMMYFUNCTION("""COMPUTED_VALUE"""),4950.0)</f>
        <v>4950</v>
      </c>
      <c r="O125" s="593">
        <f>IFERROR(__xludf.DUMMYFUNCTION("""COMPUTED_VALUE"""),4500.0)</f>
        <v>4500</v>
      </c>
      <c r="P125" s="594">
        <f>IFERROR(__xludf.DUMMYFUNCTION("""COMPUTED_VALUE"""),3000.0)</f>
        <v>3000</v>
      </c>
      <c r="Q125" s="183"/>
      <c r="R125" s="544"/>
      <c r="S125" s="544"/>
      <c r="T125" s="544"/>
      <c r="U125" s="544"/>
      <c r="V125" s="544"/>
      <c r="W125" s="544"/>
      <c r="X125" s="544"/>
      <c r="Y125" s="544"/>
      <c r="Z125" s="544"/>
      <c r="AA125" s="544"/>
      <c r="AB125" s="544"/>
      <c r="AC125" s="544"/>
      <c r="AD125" s="544"/>
      <c r="AE125" s="183"/>
      <c r="AF125" s="183"/>
      <c r="AG125" s="183"/>
      <c r="AH125" s="183"/>
      <c r="AI125" s="183"/>
      <c r="AJ125" s="183"/>
      <c r="AK125" s="183"/>
      <c r="AL125" s="183"/>
      <c r="AM125" s="183"/>
    </row>
    <row r="126" hidden="1">
      <c r="A126" s="531" t="str">
        <f>IFERROR(__xludf.DUMMYFUNCTION("""COMPUTED_VALUE"""),"サイズ - ウィメンズ")</f>
        <v>サイズ - ウィメンズ</v>
      </c>
      <c r="B126" s="531" t="str">
        <f>IFERROR(__xludf.DUMMYFUNCTION("""COMPUTED_VALUE"""),"ジャケット / ジャコット")</f>
        <v>ジャケット / ジャコット</v>
      </c>
      <c r="C126" s="531" t="str">
        <f>IFERROR(__xludf.DUMMYFUNCTION("""COMPUTED_VALUE"""),"バスト")</f>
        <v>バスト</v>
      </c>
      <c r="D126" s="550"/>
      <c r="E126" s="533"/>
      <c r="F126" s="534" t="str">
        <f>IFERROR(__xludf.DUMMYFUNCTION("""COMPUTED_VALUE"""),"バスト")</f>
        <v>バスト</v>
      </c>
      <c r="G126" s="550" t="str">
        <f>IFERROR(__xludf.DUMMYFUNCTION("""COMPUTED_VALUE"""),"バスト")</f>
        <v>バスト</v>
      </c>
      <c r="H126" s="572" t="str">
        <f>IFERROR(__xludf.DUMMYFUNCTION("""COMPUTED_VALUE"""),"-2")</f>
        <v>-2</v>
      </c>
      <c r="I126" s="537"/>
      <c r="J126" s="538">
        <f>IFERROR(__xludf.DUMMYFUNCTION("""COMPUTED_VALUE"""),7.0)</f>
        <v>7</v>
      </c>
      <c r="K126" s="537">
        <f>IFERROR(__xludf.DUMMYFUNCTION("""COMPUTED_VALUE"""),46000.0)</f>
        <v>46000</v>
      </c>
      <c r="L126" s="539">
        <f>IFERROR(__xludf.DUMMYFUNCTION("""COMPUTED_VALUE"""),46003.0)</f>
        <v>46003</v>
      </c>
      <c r="M126" s="540">
        <f>IFERROR(__xludf.DUMMYFUNCTION("""COMPUTED_VALUE"""),46008.0)</f>
        <v>46008</v>
      </c>
      <c r="N126" s="539">
        <f>IFERROR(__xludf.DUMMYFUNCTION("""COMPUTED_VALUE"""),4950.0)</f>
        <v>4950</v>
      </c>
      <c r="O126" s="593">
        <f>IFERROR(__xludf.DUMMYFUNCTION("""COMPUTED_VALUE"""),4500.0)</f>
        <v>4500</v>
      </c>
      <c r="P126" s="594">
        <f>IFERROR(__xludf.DUMMYFUNCTION("""COMPUTED_VALUE"""),3000.0)</f>
        <v>3000</v>
      </c>
      <c r="Q126" s="183"/>
      <c r="R126" s="544"/>
      <c r="S126" s="544"/>
      <c r="T126" s="544"/>
      <c r="U126" s="544"/>
      <c r="V126" s="544"/>
      <c r="W126" s="544"/>
      <c r="X126" s="544"/>
      <c r="Y126" s="544"/>
      <c r="Z126" s="544"/>
      <c r="AA126" s="544"/>
      <c r="AB126" s="544"/>
      <c r="AC126" s="544"/>
      <c r="AD126" s="544"/>
      <c r="AE126" s="183"/>
      <c r="AF126" s="183"/>
      <c r="AG126" s="183"/>
      <c r="AH126" s="183"/>
      <c r="AI126" s="183"/>
      <c r="AJ126" s="183"/>
      <c r="AK126" s="183"/>
      <c r="AL126" s="183"/>
      <c r="AM126" s="183"/>
    </row>
    <row r="127" hidden="1">
      <c r="A127" s="531" t="str">
        <f>IFERROR(__xludf.DUMMYFUNCTION("""COMPUTED_VALUE"""),"サイズ - ウィメンズ")</f>
        <v>サイズ - ウィメンズ</v>
      </c>
      <c r="B127" s="531" t="str">
        <f>IFERROR(__xludf.DUMMYFUNCTION("""COMPUTED_VALUE"""),"ジャケット / ジャコット")</f>
        <v>ジャケット / ジャコット</v>
      </c>
      <c r="C127" s="531" t="str">
        <f>IFERROR(__xludf.DUMMYFUNCTION("""COMPUTED_VALUE"""),"バスト")</f>
        <v>バスト</v>
      </c>
      <c r="D127" s="550"/>
      <c r="E127" s="533"/>
      <c r="F127" s="534" t="str">
        <f>IFERROR(__xludf.DUMMYFUNCTION("""COMPUTED_VALUE"""),"バスト")</f>
        <v>バスト</v>
      </c>
      <c r="G127" s="550" t="str">
        <f>IFERROR(__xludf.DUMMYFUNCTION("""COMPUTED_VALUE"""),"バスト")</f>
        <v>バスト</v>
      </c>
      <c r="H127" s="572" t="str">
        <f>IFERROR(__xludf.DUMMYFUNCTION("""COMPUTED_VALUE"""),"-1")</f>
        <v>-1</v>
      </c>
      <c r="I127" s="537"/>
      <c r="J127" s="538">
        <f>IFERROR(__xludf.DUMMYFUNCTION("""COMPUTED_VALUE"""),7.0)</f>
        <v>7</v>
      </c>
      <c r="K127" s="537">
        <f>IFERROR(__xludf.DUMMYFUNCTION("""COMPUTED_VALUE"""),46000.0)</f>
        <v>46000</v>
      </c>
      <c r="L127" s="539">
        <f>IFERROR(__xludf.DUMMYFUNCTION("""COMPUTED_VALUE"""),46003.0)</f>
        <v>46003</v>
      </c>
      <c r="M127" s="540">
        <f>IFERROR(__xludf.DUMMYFUNCTION("""COMPUTED_VALUE"""),46008.0)</f>
        <v>46008</v>
      </c>
      <c r="N127" s="539">
        <f>IFERROR(__xludf.DUMMYFUNCTION("""COMPUTED_VALUE"""),4950.0)</f>
        <v>4950</v>
      </c>
      <c r="O127" s="593">
        <f>IFERROR(__xludf.DUMMYFUNCTION("""COMPUTED_VALUE"""),4500.0)</f>
        <v>4500</v>
      </c>
      <c r="P127" s="594">
        <f>IFERROR(__xludf.DUMMYFUNCTION("""COMPUTED_VALUE"""),3000.0)</f>
        <v>3000</v>
      </c>
      <c r="Q127" s="183"/>
      <c r="R127" s="544"/>
      <c r="S127" s="544"/>
      <c r="T127" s="544"/>
      <c r="U127" s="544"/>
      <c r="V127" s="544"/>
      <c r="W127" s="544"/>
      <c r="X127" s="544"/>
      <c r="Y127" s="544"/>
      <c r="Z127" s="544"/>
      <c r="AA127" s="544"/>
      <c r="AB127" s="544"/>
      <c r="AC127" s="544"/>
      <c r="AD127" s="544"/>
      <c r="AE127" s="183"/>
      <c r="AF127" s="183"/>
      <c r="AG127" s="183"/>
      <c r="AH127" s="183"/>
      <c r="AI127" s="183"/>
      <c r="AJ127" s="183"/>
      <c r="AK127" s="183"/>
      <c r="AL127" s="183"/>
      <c r="AM127" s="183"/>
    </row>
    <row r="128" hidden="1">
      <c r="A128" s="531" t="str">
        <f>IFERROR(__xludf.DUMMYFUNCTION("""COMPUTED_VALUE"""),"サイズ - ウィメンズ")</f>
        <v>サイズ - ウィメンズ</v>
      </c>
      <c r="B128" s="531" t="str">
        <f>IFERROR(__xludf.DUMMYFUNCTION("""COMPUTED_VALUE"""),"ジャケット / ジャコット")</f>
        <v>ジャケット / ジャコット</v>
      </c>
      <c r="C128" s="531" t="str">
        <f>IFERROR(__xludf.DUMMYFUNCTION("""COMPUTED_VALUE"""),"バスト")</f>
        <v>バスト</v>
      </c>
      <c r="D128" s="550"/>
      <c r="E128" s="533"/>
      <c r="F128" s="534" t="str">
        <f>IFERROR(__xludf.DUMMYFUNCTION("""COMPUTED_VALUE"""),"バスト")</f>
        <v>バスト</v>
      </c>
      <c r="G128" s="550" t="str">
        <f>IFERROR(__xludf.DUMMYFUNCTION("""COMPUTED_VALUE"""),"バスト")</f>
        <v>バスト</v>
      </c>
      <c r="H128" s="572" t="str">
        <f>IFERROR(__xludf.DUMMYFUNCTION("""COMPUTED_VALUE"""),"1")</f>
        <v>1</v>
      </c>
      <c r="I128" s="537"/>
      <c r="J128" s="538">
        <f>IFERROR(__xludf.DUMMYFUNCTION("""COMPUTED_VALUE"""),7.0)</f>
        <v>7</v>
      </c>
      <c r="K128" s="537">
        <f>IFERROR(__xludf.DUMMYFUNCTION("""COMPUTED_VALUE"""),46000.0)</f>
        <v>46000</v>
      </c>
      <c r="L128" s="539">
        <f>IFERROR(__xludf.DUMMYFUNCTION("""COMPUTED_VALUE"""),46003.0)</f>
        <v>46003</v>
      </c>
      <c r="M128" s="540">
        <f>IFERROR(__xludf.DUMMYFUNCTION("""COMPUTED_VALUE"""),46008.0)</f>
        <v>46008</v>
      </c>
      <c r="N128" s="539">
        <f>IFERROR(__xludf.DUMMYFUNCTION("""COMPUTED_VALUE"""),4950.0)</f>
        <v>4950</v>
      </c>
      <c r="O128" s="593">
        <f>IFERROR(__xludf.DUMMYFUNCTION("""COMPUTED_VALUE"""),4500.0)</f>
        <v>4500</v>
      </c>
      <c r="P128" s="594">
        <f>IFERROR(__xludf.DUMMYFUNCTION("""COMPUTED_VALUE"""),3000.0)</f>
        <v>3000</v>
      </c>
      <c r="Q128" s="183"/>
      <c r="R128" s="544"/>
      <c r="S128" s="544"/>
      <c r="T128" s="544"/>
      <c r="U128" s="544"/>
      <c r="V128" s="544"/>
      <c r="W128" s="544"/>
      <c r="X128" s="544"/>
      <c r="Y128" s="544"/>
      <c r="Z128" s="544"/>
      <c r="AA128" s="544"/>
      <c r="AB128" s="544"/>
      <c r="AC128" s="544"/>
      <c r="AD128" s="544"/>
      <c r="AE128" s="183"/>
      <c r="AF128" s="183"/>
      <c r="AG128" s="183"/>
      <c r="AH128" s="183"/>
      <c r="AI128" s="183"/>
      <c r="AJ128" s="183"/>
      <c r="AK128" s="183"/>
      <c r="AL128" s="183"/>
      <c r="AM128" s="183"/>
    </row>
    <row r="129" hidden="1">
      <c r="A129" s="531" t="str">
        <f>IFERROR(__xludf.DUMMYFUNCTION("""COMPUTED_VALUE"""),"サイズ - ウィメンズ")</f>
        <v>サイズ - ウィメンズ</v>
      </c>
      <c r="B129" s="531" t="str">
        <f>IFERROR(__xludf.DUMMYFUNCTION("""COMPUTED_VALUE"""),"ジャケット / ジャコット")</f>
        <v>ジャケット / ジャコット</v>
      </c>
      <c r="C129" s="531" t="str">
        <f>IFERROR(__xludf.DUMMYFUNCTION("""COMPUTED_VALUE"""),"バスト")</f>
        <v>バスト</v>
      </c>
      <c r="D129" s="610"/>
      <c r="E129" s="533"/>
      <c r="F129" s="534" t="str">
        <f>IFERROR(__xludf.DUMMYFUNCTION("""COMPUTED_VALUE"""),"バスト")</f>
        <v>バスト</v>
      </c>
      <c r="G129" s="550" t="str">
        <f>IFERROR(__xludf.DUMMYFUNCTION("""COMPUTED_VALUE"""),"バスト")</f>
        <v>バスト</v>
      </c>
      <c r="H129" s="572" t="str">
        <f>IFERROR(__xludf.DUMMYFUNCTION("""COMPUTED_VALUE"""),"2")</f>
        <v>2</v>
      </c>
      <c r="I129" s="537"/>
      <c r="J129" s="538">
        <f>IFERROR(__xludf.DUMMYFUNCTION("""COMPUTED_VALUE"""),7.0)</f>
        <v>7</v>
      </c>
      <c r="K129" s="537">
        <f>IFERROR(__xludf.DUMMYFUNCTION("""COMPUTED_VALUE"""),46000.0)</f>
        <v>46000</v>
      </c>
      <c r="L129" s="539">
        <f>IFERROR(__xludf.DUMMYFUNCTION("""COMPUTED_VALUE"""),46003.0)</f>
        <v>46003</v>
      </c>
      <c r="M129" s="540">
        <f>IFERROR(__xludf.DUMMYFUNCTION("""COMPUTED_VALUE"""),46008.0)</f>
        <v>46008</v>
      </c>
      <c r="N129" s="539">
        <f>IFERROR(__xludf.DUMMYFUNCTION("""COMPUTED_VALUE"""),4950.0)</f>
        <v>4950</v>
      </c>
      <c r="O129" s="593">
        <f>IFERROR(__xludf.DUMMYFUNCTION("""COMPUTED_VALUE"""),4500.0)</f>
        <v>4500</v>
      </c>
      <c r="P129" s="594">
        <f>IFERROR(__xludf.DUMMYFUNCTION("""COMPUTED_VALUE"""),3000.0)</f>
        <v>3000</v>
      </c>
      <c r="Q129" s="183"/>
      <c r="R129" s="544"/>
      <c r="S129" s="544"/>
      <c r="T129" s="544"/>
      <c r="U129" s="544"/>
      <c r="V129" s="544"/>
      <c r="W129" s="544"/>
      <c r="X129" s="544"/>
      <c r="Y129" s="544"/>
      <c r="Z129" s="544"/>
      <c r="AA129" s="544"/>
      <c r="AB129" s="544"/>
      <c r="AC129" s="544"/>
      <c r="AD129" s="544"/>
      <c r="AE129" s="183"/>
      <c r="AF129" s="183"/>
      <c r="AG129" s="183"/>
      <c r="AH129" s="183"/>
      <c r="AI129" s="183"/>
      <c r="AJ129" s="183"/>
      <c r="AK129" s="183"/>
      <c r="AL129" s="183"/>
      <c r="AM129" s="183"/>
    </row>
    <row r="130" hidden="1">
      <c r="A130" s="531" t="str">
        <f>IFERROR(__xludf.DUMMYFUNCTION("""COMPUTED_VALUE"""),"サイズ - ウィメンズ")</f>
        <v>サイズ - ウィメンズ</v>
      </c>
      <c r="B130" s="531" t="str">
        <f>IFERROR(__xludf.DUMMYFUNCTION("""COMPUTED_VALUE"""),"ジャケット / ジャコット")</f>
        <v>ジャケット / ジャコット</v>
      </c>
      <c r="C130" s="531" t="str">
        <f>IFERROR(__xludf.DUMMYFUNCTION("""COMPUTED_VALUE"""),"バスト")</f>
        <v>バスト</v>
      </c>
      <c r="D130" s="610"/>
      <c r="E130" s="533"/>
      <c r="F130" s="534" t="str">
        <f>IFERROR(__xludf.DUMMYFUNCTION("""COMPUTED_VALUE"""),"バスト")</f>
        <v>バスト</v>
      </c>
      <c r="G130" s="550" t="str">
        <f>IFERROR(__xludf.DUMMYFUNCTION("""COMPUTED_VALUE"""),"バスト")</f>
        <v>バスト</v>
      </c>
      <c r="H130" s="572" t="str">
        <f>IFERROR(__xludf.DUMMYFUNCTION("""COMPUTED_VALUE"""),"3")</f>
        <v>3</v>
      </c>
      <c r="I130" s="537"/>
      <c r="J130" s="538">
        <f>IFERROR(__xludf.DUMMYFUNCTION("""COMPUTED_VALUE"""),7.0)</f>
        <v>7</v>
      </c>
      <c r="K130" s="537">
        <f>IFERROR(__xludf.DUMMYFUNCTION("""COMPUTED_VALUE"""),46000.0)</f>
        <v>46000</v>
      </c>
      <c r="L130" s="539">
        <f>IFERROR(__xludf.DUMMYFUNCTION("""COMPUTED_VALUE"""),46003.0)</f>
        <v>46003</v>
      </c>
      <c r="M130" s="540">
        <f>IFERROR(__xludf.DUMMYFUNCTION("""COMPUTED_VALUE"""),46008.0)</f>
        <v>46008</v>
      </c>
      <c r="N130" s="539">
        <f>IFERROR(__xludf.DUMMYFUNCTION("""COMPUTED_VALUE"""),4950.0)</f>
        <v>4950</v>
      </c>
      <c r="O130" s="593">
        <f>IFERROR(__xludf.DUMMYFUNCTION("""COMPUTED_VALUE"""),4500.0)</f>
        <v>4500</v>
      </c>
      <c r="P130" s="594">
        <f>IFERROR(__xludf.DUMMYFUNCTION("""COMPUTED_VALUE"""),3000.0)</f>
        <v>3000</v>
      </c>
      <c r="Q130" s="183"/>
      <c r="R130" s="544"/>
      <c r="S130" s="544"/>
      <c r="T130" s="544"/>
      <c r="U130" s="544"/>
      <c r="V130" s="544"/>
      <c r="W130" s="544"/>
      <c r="X130" s="544"/>
      <c r="Y130" s="544"/>
      <c r="Z130" s="544"/>
      <c r="AA130" s="544"/>
      <c r="AB130" s="544"/>
      <c r="AC130" s="544"/>
      <c r="AD130" s="544"/>
      <c r="AE130" s="183"/>
      <c r="AF130" s="183"/>
      <c r="AG130" s="183"/>
      <c r="AH130" s="183"/>
      <c r="AI130" s="183"/>
      <c r="AJ130" s="183"/>
      <c r="AK130" s="183"/>
      <c r="AL130" s="183"/>
      <c r="AM130" s="183"/>
    </row>
    <row r="131" hidden="1">
      <c r="A131" s="531" t="str">
        <f>IFERROR(__xludf.DUMMYFUNCTION("""COMPUTED_VALUE"""),"サイズ")</f>
        <v>サイズ</v>
      </c>
      <c r="B131" s="531" t="str">
        <f>IFERROR(__xludf.DUMMYFUNCTION("""COMPUTED_VALUE"""),"ジャケット / ジャコット")</f>
        <v>ジャケット / ジャコット</v>
      </c>
      <c r="C131" s="531" t="str">
        <f>IFERROR(__xludf.DUMMYFUNCTION("""COMPUTED_VALUE"""),"肩パッド")</f>
        <v>肩パッド</v>
      </c>
      <c r="D131" s="610"/>
      <c r="E131" s="533"/>
      <c r="F131" s="534" t="str">
        <f>IFERROR(__xludf.DUMMYFUNCTION("""COMPUTED_VALUE"""),"肩パッド")</f>
        <v>肩パッド</v>
      </c>
      <c r="G131" s="550" t="str">
        <f>IFERROR(__xludf.DUMMYFUNCTION("""COMPUTED_VALUE"""),"肩パッド")</f>
        <v>肩パッド</v>
      </c>
      <c r="H131" s="572" t="str">
        <f>IFERROR(__xludf.DUMMYFUNCTION("""COMPUTED_VALUE"""),"0.2")</f>
        <v>0.2</v>
      </c>
      <c r="I131" s="537"/>
      <c r="J131" s="538" t="str">
        <f>IFERROR(__xludf.DUMMYFUNCTION("""COMPUTED_VALUE"""),"再製作")</f>
        <v>再製作</v>
      </c>
      <c r="K131" s="538" t="str">
        <f>IFERROR(__xludf.DUMMYFUNCTION("""COMPUTED_VALUE"""),"再製作")</f>
        <v>再製作</v>
      </c>
      <c r="L131" s="539" t="str">
        <f>IFERROR(__xludf.DUMMYFUNCTION("""COMPUTED_VALUE"""),"再製作")</f>
        <v>再製作</v>
      </c>
      <c r="M131" s="540" t="str">
        <f>IFERROR(__xludf.DUMMYFUNCTION("""COMPUTED_VALUE"""),"再製作")</f>
        <v>再製作</v>
      </c>
      <c r="N131" s="538" t="str">
        <f>IFERROR(__xludf.DUMMYFUNCTION("""COMPUTED_VALUE"""),"再製作")</f>
        <v>再製作</v>
      </c>
      <c r="O131" s="183" t="str">
        <f>IFERROR(__xludf.DUMMYFUNCTION("""COMPUTED_VALUE"""),"再製作")</f>
        <v>再製作</v>
      </c>
      <c r="P131" s="183"/>
      <c r="Q131" s="183"/>
      <c r="R131" s="544"/>
      <c r="S131" s="544"/>
      <c r="T131" s="544"/>
      <c r="U131" s="544"/>
      <c r="V131" s="544"/>
      <c r="W131" s="544"/>
      <c r="X131" s="544"/>
      <c r="Y131" s="544"/>
      <c r="Z131" s="544"/>
      <c r="AA131" s="544"/>
      <c r="AB131" s="544"/>
      <c r="AC131" s="544"/>
      <c r="AD131" s="544"/>
      <c r="AE131" s="183"/>
      <c r="AF131" s="183"/>
      <c r="AG131" s="183"/>
      <c r="AH131" s="183"/>
      <c r="AI131" s="183"/>
      <c r="AJ131" s="183"/>
      <c r="AK131" s="183"/>
      <c r="AL131" s="183"/>
      <c r="AM131" s="183"/>
    </row>
    <row r="132" hidden="1">
      <c r="A132" s="531" t="str">
        <f>IFERROR(__xludf.DUMMYFUNCTION("""COMPUTED_VALUE"""),"サイズ")</f>
        <v>サイズ</v>
      </c>
      <c r="B132" s="531" t="str">
        <f>IFERROR(__xludf.DUMMYFUNCTION("""COMPUTED_VALUE"""),"ジャケット / ジャコット")</f>
        <v>ジャケット / ジャコット</v>
      </c>
      <c r="C132" s="531" t="str">
        <f>IFERROR(__xludf.DUMMYFUNCTION("""COMPUTED_VALUE"""),"肩パッド")</f>
        <v>肩パッド</v>
      </c>
      <c r="D132" s="610"/>
      <c r="E132" s="533"/>
      <c r="F132" s="534" t="str">
        <f>IFERROR(__xludf.DUMMYFUNCTION("""COMPUTED_VALUE"""),"肩パッド")</f>
        <v>肩パッド</v>
      </c>
      <c r="G132" s="550" t="str">
        <f>IFERROR(__xludf.DUMMYFUNCTION("""COMPUTED_VALUE"""),"肩パッド")</f>
        <v>肩パッド</v>
      </c>
      <c r="H132" s="572" t="str">
        <f>IFERROR(__xludf.DUMMYFUNCTION("""COMPUTED_VALUE"""),"0.5")</f>
        <v>0.5</v>
      </c>
      <c r="I132" s="537"/>
      <c r="J132" s="538" t="str">
        <f>IFERROR(__xludf.DUMMYFUNCTION("""COMPUTED_VALUE"""),"再製作")</f>
        <v>再製作</v>
      </c>
      <c r="K132" s="538" t="str">
        <f>IFERROR(__xludf.DUMMYFUNCTION("""COMPUTED_VALUE"""),"再製作")</f>
        <v>再製作</v>
      </c>
      <c r="L132" s="539" t="str">
        <f>IFERROR(__xludf.DUMMYFUNCTION("""COMPUTED_VALUE"""),"再製作")</f>
        <v>再製作</v>
      </c>
      <c r="M132" s="540" t="str">
        <f>IFERROR(__xludf.DUMMYFUNCTION("""COMPUTED_VALUE"""),"再製作")</f>
        <v>再製作</v>
      </c>
      <c r="N132" s="538" t="str">
        <f>IFERROR(__xludf.DUMMYFUNCTION("""COMPUTED_VALUE"""),"再製作")</f>
        <v>再製作</v>
      </c>
      <c r="O132" s="183" t="str">
        <f>IFERROR(__xludf.DUMMYFUNCTION("""COMPUTED_VALUE"""),"再製作")</f>
        <v>再製作</v>
      </c>
      <c r="P132" s="183"/>
      <c r="Q132" s="183"/>
      <c r="R132" s="544"/>
      <c r="S132" s="544"/>
      <c r="T132" s="544"/>
      <c r="U132" s="544"/>
      <c r="V132" s="544"/>
      <c r="W132" s="544"/>
      <c r="X132" s="544"/>
      <c r="Y132" s="544"/>
      <c r="Z132" s="544"/>
      <c r="AA132" s="544"/>
      <c r="AB132" s="544"/>
      <c r="AC132" s="544"/>
      <c r="AD132" s="544"/>
      <c r="AE132" s="183"/>
      <c r="AF132" s="183"/>
      <c r="AG132" s="183"/>
      <c r="AH132" s="183"/>
      <c r="AI132" s="183"/>
      <c r="AJ132" s="183"/>
      <c r="AK132" s="183"/>
      <c r="AL132" s="183"/>
      <c r="AM132" s="183"/>
    </row>
    <row r="133" hidden="1">
      <c r="A133" s="531" t="str">
        <f>IFERROR(__xludf.DUMMYFUNCTION("""COMPUTED_VALUE"""),"サイズ")</f>
        <v>サイズ</v>
      </c>
      <c r="B133" s="531" t="str">
        <f>IFERROR(__xludf.DUMMYFUNCTION("""COMPUTED_VALUE"""),"ジャケット / ジャコット")</f>
        <v>ジャケット / ジャコット</v>
      </c>
      <c r="C133" s="531" t="str">
        <f>IFERROR(__xludf.DUMMYFUNCTION("""COMPUTED_VALUE"""),"肩パッド")</f>
        <v>肩パッド</v>
      </c>
      <c r="D133" s="610"/>
      <c r="E133" s="533"/>
      <c r="F133" s="534" t="str">
        <f>IFERROR(__xludf.DUMMYFUNCTION("""COMPUTED_VALUE"""),"肩パッド")</f>
        <v>肩パッド</v>
      </c>
      <c r="G133" s="550" t="str">
        <f>IFERROR(__xludf.DUMMYFUNCTION("""COMPUTED_VALUE"""),"肩パッド")</f>
        <v>肩パッド</v>
      </c>
      <c r="H133" s="572" t="str">
        <f>IFERROR(__xludf.DUMMYFUNCTION("""COMPUTED_VALUE"""),"1")</f>
        <v>1</v>
      </c>
      <c r="I133" s="537"/>
      <c r="J133" s="538" t="str">
        <f>IFERROR(__xludf.DUMMYFUNCTION("""COMPUTED_VALUE"""),"再製作")</f>
        <v>再製作</v>
      </c>
      <c r="K133" s="538" t="str">
        <f>IFERROR(__xludf.DUMMYFUNCTION("""COMPUTED_VALUE"""),"再製作")</f>
        <v>再製作</v>
      </c>
      <c r="L133" s="539" t="str">
        <f>IFERROR(__xludf.DUMMYFUNCTION("""COMPUTED_VALUE"""),"再製作")</f>
        <v>再製作</v>
      </c>
      <c r="M133" s="540" t="str">
        <f>IFERROR(__xludf.DUMMYFUNCTION("""COMPUTED_VALUE"""),"再製作")</f>
        <v>再製作</v>
      </c>
      <c r="N133" s="538" t="str">
        <f>IFERROR(__xludf.DUMMYFUNCTION("""COMPUTED_VALUE"""),"再製作")</f>
        <v>再製作</v>
      </c>
      <c r="O133" s="183" t="str">
        <f>IFERROR(__xludf.DUMMYFUNCTION("""COMPUTED_VALUE"""),"再製作")</f>
        <v>再製作</v>
      </c>
      <c r="P133" s="183"/>
      <c r="Q133" s="183"/>
      <c r="R133" s="544"/>
      <c r="S133" s="544"/>
      <c r="T133" s="544"/>
      <c r="U133" s="544"/>
      <c r="V133" s="544"/>
      <c r="W133" s="544"/>
      <c r="X133" s="544"/>
      <c r="Y133" s="544"/>
      <c r="Z133" s="544"/>
      <c r="AA133" s="544"/>
      <c r="AB133" s="544"/>
      <c r="AC133" s="544"/>
      <c r="AD133" s="544"/>
      <c r="AE133" s="183"/>
      <c r="AF133" s="183"/>
      <c r="AG133" s="183"/>
      <c r="AH133" s="183"/>
      <c r="AI133" s="183"/>
      <c r="AJ133" s="183"/>
      <c r="AK133" s="183"/>
      <c r="AL133" s="183"/>
      <c r="AM133" s="183"/>
    </row>
    <row r="134" hidden="1">
      <c r="A134" s="531" t="str">
        <f>IFERROR(__xludf.DUMMYFUNCTION("""COMPUTED_VALUE"""),"サイズ")</f>
        <v>サイズ</v>
      </c>
      <c r="B134" s="531" t="str">
        <f>IFERROR(__xludf.DUMMYFUNCTION("""COMPUTED_VALUE"""),"ジャケット / ジャコット")</f>
        <v>ジャケット / ジャコット</v>
      </c>
      <c r="C134" s="531" t="str">
        <f>IFERROR(__xludf.DUMMYFUNCTION("""COMPUTED_VALUE"""),"肩パッド")</f>
        <v>肩パッド</v>
      </c>
      <c r="D134" s="610"/>
      <c r="E134" s="533"/>
      <c r="F134" s="534" t="str">
        <f>IFERROR(__xludf.DUMMYFUNCTION("""COMPUTED_VALUE"""),"肩パッド")</f>
        <v>肩パッド</v>
      </c>
      <c r="G134" s="550" t="str">
        <f>IFERROR(__xludf.DUMMYFUNCTION("""COMPUTED_VALUE"""),"肩パッド")</f>
        <v>肩パッド</v>
      </c>
      <c r="H134" s="572" t="str">
        <f>IFERROR(__xludf.DUMMYFUNCTION("""COMPUTED_VALUE"""),"1.5")</f>
        <v>1.5</v>
      </c>
      <c r="I134" s="537"/>
      <c r="J134" s="538" t="str">
        <f>IFERROR(__xludf.DUMMYFUNCTION("""COMPUTED_VALUE"""),"再製作")</f>
        <v>再製作</v>
      </c>
      <c r="K134" s="538" t="str">
        <f>IFERROR(__xludf.DUMMYFUNCTION("""COMPUTED_VALUE"""),"再製作")</f>
        <v>再製作</v>
      </c>
      <c r="L134" s="539" t="str">
        <f>IFERROR(__xludf.DUMMYFUNCTION("""COMPUTED_VALUE"""),"再製作")</f>
        <v>再製作</v>
      </c>
      <c r="M134" s="540" t="str">
        <f>IFERROR(__xludf.DUMMYFUNCTION("""COMPUTED_VALUE"""),"再製作")</f>
        <v>再製作</v>
      </c>
      <c r="N134" s="538" t="str">
        <f>IFERROR(__xludf.DUMMYFUNCTION("""COMPUTED_VALUE"""),"再製作")</f>
        <v>再製作</v>
      </c>
      <c r="O134" s="183" t="str">
        <f>IFERROR(__xludf.DUMMYFUNCTION("""COMPUTED_VALUE"""),"再製作")</f>
        <v>再製作</v>
      </c>
      <c r="P134" s="183"/>
      <c r="Q134" s="183"/>
      <c r="R134" s="544"/>
      <c r="S134" s="544"/>
      <c r="T134" s="544"/>
      <c r="U134" s="544"/>
      <c r="V134" s="544"/>
      <c r="W134" s="544"/>
      <c r="X134" s="544"/>
      <c r="Y134" s="544"/>
      <c r="Z134" s="544"/>
      <c r="AA134" s="544"/>
      <c r="AB134" s="544"/>
      <c r="AC134" s="544"/>
      <c r="AD134" s="544"/>
      <c r="AE134" s="183"/>
      <c r="AF134" s="183"/>
      <c r="AG134" s="183"/>
      <c r="AH134" s="183"/>
      <c r="AI134" s="183"/>
      <c r="AJ134" s="183"/>
      <c r="AK134" s="183"/>
      <c r="AL134" s="183"/>
      <c r="AM134" s="183"/>
    </row>
    <row r="135" hidden="1">
      <c r="A135" s="531" t="str">
        <f>IFERROR(__xludf.DUMMYFUNCTION("""COMPUTED_VALUE"""),"サイズ")</f>
        <v>サイズ</v>
      </c>
      <c r="B135" s="531" t="str">
        <f>IFERROR(__xludf.DUMMYFUNCTION("""COMPUTED_VALUE"""),"ジャケット / ジャコット")</f>
        <v>ジャケット / ジャコット</v>
      </c>
      <c r="C135" s="531" t="str">
        <f>IFERROR(__xludf.DUMMYFUNCTION("""COMPUTED_VALUE"""),"なで肩")</f>
        <v>なで肩</v>
      </c>
      <c r="D135" s="610"/>
      <c r="E135" s="533"/>
      <c r="F135" s="534" t="str">
        <f>IFERROR(__xludf.DUMMYFUNCTION("""COMPUTED_VALUE"""),"なで肩")</f>
        <v>なで肩</v>
      </c>
      <c r="G135" s="550" t="str">
        <f>IFERROR(__xludf.DUMMYFUNCTION("""COMPUTED_VALUE"""),"なで肩")</f>
        <v>なで肩</v>
      </c>
      <c r="H135" s="572" t="str">
        <f>IFERROR(__xludf.DUMMYFUNCTION("""COMPUTED_VALUE"""),"1")</f>
        <v>1</v>
      </c>
      <c r="I135" s="537"/>
      <c r="J135" s="538" t="str">
        <f>IFERROR(__xludf.DUMMYFUNCTION("""COMPUTED_VALUE"""),"再製作")</f>
        <v>再製作</v>
      </c>
      <c r="K135" s="538" t="str">
        <f>IFERROR(__xludf.DUMMYFUNCTION("""COMPUTED_VALUE"""),"再製作")</f>
        <v>再製作</v>
      </c>
      <c r="L135" s="539" t="str">
        <f>IFERROR(__xludf.DUMMYFUNCTION("""COMPUTED_VALUE"""),"再製作")</f>
        <v>再製作</v>
      </c>
      <c r="M135" s="540" t="str">
        <f>IFERROR(__xludf.DUMMYFUNCTION("""COMPUTED_VALUE"""),"再製作")</f>
        <v>再製作</v>
      </c>
      <c r="N135" s="538" t="str">
        <f>IFERROR(__xludf.DUMMYFUNCTION("""COMPUTED_VALUE"""),"再製作")</f>
        <v>再製作</v>
      </c>
      <c r="O135" s="183" t="str">
        <f>IFERROR(__xludf.DUMMYFUNCTION("""COMPUTED_VALUE"""),"再製作")</f>
        <v>再製作</v>
      </c>
      <c r="P135" s="183"/>
      <c r="Q135" s="183"/>
      <c r="R135" s="544"/>
      <c r="S135" s="544"/>
      <c r="T135" s="544"/>
      <c r="U135" s="544"/>
      <c r="V135" s="544"/>
      <c r="W135" s="544"/>
      <c r="X135" s="544"/>
      <c r="Y135" s="544"/>
      <c r="Z135" s="544"/>
      <c r="AA135" s="544"/>
      <c r="AB135" s="544"/>
      <c r="AC135" s="544"/>
      <c r="AD135" s="544"/>
      <c r="AE135" s="183"/>
      <c r="AF135" s="183"/>
      <c r="AG135" s="183"/>
      <c r="AH135" s="183"/>
      <c r="AI135" s="183"/>
      <c r="AJ135" s="183"/>
      <c r="AK135" s="183"/>
      <c r="AL135" s="183"/>
      <c r="AM135" s="183"/>
    </row>
    <row r="136">
      <c r="A136" s="611" t="str">
        <f>IFERROR(__xludf.DUMMYFUNCTION("""COMPUTED_VALUE"""),"サイズ")</f>
        <v>サイズ</v>
      </c>
      <c r="B136" s="612" t="str">
        <f>IFERROR(__xludf.DUMMYFUNCTION("""COMPUTED_VALUE"""),"ジャケット / ジャコット")</f>
        <v>ジャケット / ジャコット</v>
      </c>
      <c r="C136" s="612" t="str">
        <f>IFERROR(__xludf.DUMMYFUNCTION("""COMPUTED_VALUE"""),"怒り肩")</f>
        <v>怒り肩</v>
      </c>
      <c r="D136" s="613"/>
      <c r="E136" s="614"/>
      <c r="F136" s="615" t="str">
        <f>IFERROR(__xludf.DUMMYFUNCTION("""COMPUTED_VALUE"""),"怒り肩")</f>
        <v>怒り肩</v>
      </c>
      <c r="G136" s="616" t="str">
        <f>IFERROR(__xludf.DUMMYFUNCTION("""COMPUTED_VALUE"""),"怒り肩")</f>
        <v>怒り肩</v>
      </c>
      <c r="H136" s="617" t="str">
        <f>IFERROR(__xludf.DUMMYFUNCTION("""COMPUTED_VALUE"""),"1")</f>
        <v>1</v>
      </c>
      <c r="I136" s="618"/>
      <c r="J136" s="619" t="str">
        <f>IFERROR(__xludf.DUMMYFUNCTION("""COMPUTED_VALUE"""),"再製作")</f>
        <v>再製作</v>
      </c>
      <c r="K136" s="620" t="str">
        <f>IFERROR(__xludf.DUMMYFUNCTION("""COMPUTED_VALUE"""),"再製作")</f>
        <v>再製作</v>
      </c>
      <c r="L136" s="621" t="str">
        <f>IFERROR(__xludf.DUMMYFUNCTION("""COMPUTED_VALUE"""),"再製作")</f>
        <v>再製作</v>
      </c>
      <c r="M136" s="621" t="str">
        <f>IFERROR(__xludf.DUMMYFUNCTION("""COMPUTED_VALUE"""),"再製作")</f>
        <v>再製作</v>
      </c>
      <c r="N136" s="622" t="str">
        <f>IFERROR(__xludf.DUMMYFUNCTION("""COMPUTED_VALUE"""),"再製作")</f>
        <v>再製作</v>
      </c>
      <c r="O136" s="183" t="str">
        <f>IFERROR(__xludf.DUMMYFUNCTION("""COMPUTED_VALUE"""),"再製作")</f>
        <v>再製作</v>
      </c>
      <c r="P136" s="183"/>
      <c r="Q136" s="183"/>
      <c r="R136" s="544"/>
      <c r="S136" s="544"/>
      <c r="T136" s="544"/>
      <c r="U136" s="544"/>
      <c r="V136" s="544"/>
      <c r="W136" s="544"/>
      <c r="X136" s="544"/>
      <c r="Y136" s="544"/>
      <c r="Z136" s="544"/>
      <c r="AA136" s="544"/>
      <c r="AB136" s="544"/>
      <c r="AC136" s="544"/>
      <c r="AD136" s="544"/>
      <c r="AE136" s="183"/>
      <c r="AF136" s="183"/>
      <c r="AG136" s="183"/>
      <c r="AH136" s="183"/>
      <c r="AI136" s="183"/>
      <c r="AJ136" s="183"/>
      <c r="AK136" s="183"/>
      <c r="AL136" s="183"/>
      <c r="AM136" s="183"/>
    </row>
    <row r="137">
      <c r="A137" s="531" t="str">
        <f>IFERROR(__xludf.DUMMYFUNCTION("""COMPUTED_VALUE"""),"サイズ")</f>
        <v>サイズ</v>
      </c>
      <c r="B137" s="531" t="str">
        <f>IFERROR(__xludf.DUMMYFUNCTION("""COMPUTED_VALUE"""),"ジャケット / ジャコット")</f>
        <v>ジャケット / ジャコット</v>
      </c>
      <c r="C137" s="531" t="str">
        <f>IFERROR(__xludf.DUMMYFUNCTION("""COMPUTED_VALUE"""),"反身")</f>
        <v>反身</v>
      </c>
      <c r="D137" s="610"/>
      <c r="E137" s="533"/>
      <c r="F137" s="534" t="str">
        <f>IFERROR(__xludf.DUMMYFUNCTION("""COMPUTED_VALUE"""),"反身")</f>
        <v>反身</v>
      </c>
      <c r="G137" s="550" t="str">
        <f>IFERROR(__xludf.DUMMYFUNCTION("""COMPUTED_VALUE"""),"反身")</f>
        <v>反身</v>
      </c>
      <c r="H137" s="572" t="str">
        <f>IFERROR(__xludf.DUMMYFUNCTION("""COMPUTED_VALUE"""),"1")</f>
        <v>1</v>
      </c>
      <c r="I137" s="537"/>
      <c r="J137" s="538" t="str">
        <f>IFERROR(__xludf.DUMMYFUNCTION("""COMPUTED_VALUE"""),"再製作")</f>
        <v>再製作</v>
      </c>
      <c r="K137" s="538" t="str">
        <f>IFERROR(__xludf.DUMMYFUNCTION("""COMPUTED_VALUE"""),"再製作")</f>
        <v>再製作</v>
      </c>
      <c r="L137" s="539" t="str">
        <f>IFERROR(__xludf.DUMMYFUNCTION("""COMPUTED_VALUE"""),"再製作")</f>
        <v>再製作</v>
      </c>
      <c r="M137" s="540" t="str">
        <f>IFERROR(__xludf.DUMMYFUNCTION("""COMPUTED_VALUE"""),"再製作")</f>
        <v>再製作</v>
      </c>
      <c r="N137" s="538" t="str">
        <f>IFERROR(__xludf.DUMMYFUNCTION("""COMPUTED_VALUE"""),"再製作")</f>
        <v>再製作</v>
      </c>
      <c r="O137" s="183" t="str">
        <f>IFERROR(__xludf.DUMMYFUNCTION("""COMPUTED_VALUE"""),"再製作")</f>
        <v>再製作</v>
      </c>
      <c r="P137" s="183"/>
      <c r="Q137" s="183"/>
      <c r="R137" s="544"/>
      <c r="S137" s="544"/>
      <c r="T137" s="544"/>
      <c r="U137" s="544"/>
      <c r="V137" s="544"/>
      <c r="W137" s="544"/>
      <c r="X137" s="544"/>
      <c r="Y137" s="544"/>
      <c r="Z137" s="544"/>
      <c r="AA137" s="544"/>
      <c r="AB137" s="544"/>
      <c r="AC137" s="544"/>
      <c r="AD137" s="544"/>
      <c r="AE137" s="183"/>
      <c r="AF137" s="183"/>
      <c r="AG137" s="183"/>
      <c r="AH137" s="183"/>
      <c r="AI137" s="183"/>
      <c r="AJ137" s="183"/>
      <c r="AK137" s="183"/>
      <c r="AL137" s="183"/>
      <c r="AM137" s="183"/>
    </row>
    <row r="138">
      <c r="A138" s="531" t="str">
        <f>IFERROR(__xludf.DUMMYFUNCTION("""COMPUTED_VALUE"""),"サイズ")</f>
        <v>サイズ</v>
      </c>
      <c r="B138" s="531" t="str">
        <f>IFERROR(__xludf.DUMMYFUNCTION("""COMPUTED_VALUE"""),"ジャケット / ジャコット")</f>
        <v>ジャケット / ジャコット</v>
      </c>
      <c r="C138" s="531" t="str">
        <f>IFERROR(__xludf.DUMMYFUNCTION("""COMPUTED_VALUE"""),"反身")</f>
        <v>反身</v>
      </c>
      <c r="D138" s="610"/>
      <c r="E138" s="533"/>
      <c r="F138" s="534" t="str">
        <f>IFERROR(__xludf.DUMMYFUNCTION("""COMPUTED_VALUE"""),"反身")</f>
        <v>反身</v>
      </c>
      <c r="G138" s="550" t="str">
        <f>IFERROR(__xludf.DUMMYFUNCTION("""COMPUTED_VALUE"""),"反身")</f>
        <v>反身</v>
      </c>
      <c r="H138" s="572" t="str">
        <f>IFERROR(__xludf.DUMMYFUNCTION("""COMPUTED_VALUE"""),"1.5")</f>
        <v>1.5</v>
      </c>
      <c r="I138" s="537"/>
      <c r="J138" s="538" t="str">
        <f>IFERROR(__xludf.DUMMYFUNCTION("""COMPUTED_VALUE"""),"再製作")</f>
        <v>再製作</v>
      </c>
      <c r="K138" s="538" t="str">
        <f>IFERROR(__xludf.DUMMYFUNCTION("""COMPUTED_VALUE"""),"再製作")</f>
        <v>再製作</v>
      </c>
      <c r="L138" s="539" t="str">
        <f>IFERROR(__xludf.DUMMYFUNCTION("""COMPUTED_VALUE"""),"再製作")</f>
        <v>再製作</v>
      </c>
      <c r="M138" s="540" t="str">
        <f>IFERROR(__xludf.DUMMYFUNCTION("""COMPUTED_VALUE"""),"再製作")</f>
        <v>再製作</v>
      </c>
      <c r="N138" s="538" t="str">
        <f>IFERROR(__xludf.DUMMYFUNCTION("""COMPUTED_VALUE"""),"再製作")</f>
        <v>再製作</v>
      </c>
      <c r="O138" s="183" t="str">
        <f>IFERROR(__xludf.DUMMYFUNCTION("""COMPUTED_VALUE"""),"再製作")</f>
        <v>再製作</v>
      </c>
      <c r="P138" s="183"/>
      <c r="Q138" s="183"/>
      <c r="R138" s="544"/>
      <c r="S138" s="544"/>
      <c r="T138" s="544"/>
      <c r="U138" s="544"/>
      <c r="V138" s="544"/>
      <c r="W138" s="544"/>
      <c r="X138" s="544"/>
      <c r="Y138" s="544"/>
      <c r="Z138" s="544"/>
      <c r="AA138" s="544"/>
      <c r="AB138" s="544"/>
      <c r="AC138" s="544"/>
      <c r="AD138" s="544"/>
      <c r="AE138" s="183"/>
      <c r="AF138" s="183"/>
      <c r="AG138" s="183"/>
      <c r="AH138" s="183"/>
      <c r="AI138" s="183"/>
      <c r="AJ138" s="183"/>
      <c r="AK138" s="183"/>
      <c r="AL138" s="183"/>
      <c r="AM138" s="183"/>
    </row>
    <row r="139">
      <c r="A139" s="531" t="str">
        <f>IFERROR(__xludf.DUMMYFUNCTION("""COMPUTED_VALUE"""),"サイズ")</f>
        <v>サイズ</v>
      </c>
      <c r="B139" s="531" t="str">
        <f>IFERROR(__xludf.DUMMYFUNCTION("""COMPUTED_VALUE"""),"ジャケット / ジャコット")</f>
        <v>ジャケット / ジャコット</v>
      </c>
      <c r="C139" s="531" t="str">
        <f>IFERROR(__xludf.DUMMYFUNCTION("""COMPUTED_VALUE"""),"屈身")</f>
        <v>屈身</v>
      </c>
      <c r="D139" s="610"/>
      <c r="E139" s="533"/>
      <c r="F139" s="534" t="str">
        <f>IFERROR(__xludf.DUMMYFUNCTION("""COMPUTED_VALUE"""),"屈身")</f>
        <v>屈身</v>
      </c>
      <c r="G139" s="550" t="str">
        <f>IFERROR(__xludf.DUMMYFUNCTION("""COMPUTED_VALUE"""),"屈身")</f>
        <v>屈身</v>
      </c>
      <c r="H139" s="572" t="str">
        <f>IFERROR(__xludf.DUMMYFUNCTION("""COMPUTED_VALUE"""),"1")</f>
        <v>1</v>
      </c>
      <c r="I139" s="537"/>
      <c r="J139" s="538" t="str">
        <f>IFERROR(__xludf.DUMMYFUNCTION("""COMPUTED_VALUE"""),"再製作")</f>
        <v>再製作</v>
      </c>
      <c r="K139" s="538" t="str">
        <f>IFERROR(__xludf.DUMMYFUNCTION("""COMPUTED_VALUE"""),"再製作")</f>
        <v>再製作</v>
      </c>
      <c r="L139" s="539" t="str">
        <f>IFERROR(__xludf.DUMMYFUNCTION("""COMPUTED_VALUE"""),"再製作")</f>
        <v>再製作</v>
      </c>
      <c r="M139" s="540" t="str">
        <f>IFERROR(__xludf.DUMMYFUNCTION("""COMPUTED_VALUE"""),"再製作")</f>
        <v>再製作</v>
      </c>
      <c r="N139" s="538" t="str">
        <f>IFERROR(__xludf.DUMMYFUNCTION("""COMPUTED_VALUE"""),"再製作")</f>
        <v>再製作</v>
      </c>
      <c r="O139" s="183" t="str">
        <f>IFERROR(__xludf.DUMMYFUNCTION("""COMPUTED_VALUE"""),"再製作")</f>
        <v>再製作</v>
      </c>
      <c r="P139" s="183"/>
      <c r="Q139" s="183"/>
      <c r="R139" s="544"/>
      <c r="S139" s="544"/>
      <c r="T139" s="544"/>
      <c r="U139" s="544"/>
      <c r="V139" s="544"/>
      <c r="W139" s="544"/>
      <c r="X139" s="544"/>
      <c r="Y139" s="544"/>
      <c r="Z139" s="544"/>
      <c r="AA139" s="544"/>
      <c r="AB139" s="544"/>
      <c r="AC139" s="544"/>
      <c r="AD139" s="544"/>
      <c r="AE139" s="183"/>
      <c r="AF139" s="183"/>
      <c r="AG139" s="183"/>
      <c r="AH139" s="183"/>
      <c r="AI139" s="183"/>
      <c r="AJ139" s="183"/>
      <c r="AK139" s="183"/>
      <c r="AL139" s="183"/>
      <c r="AM139" s="183"/>
    </row>
    <row r="140">
      <c r="A140" s="531" t="str">
        <f>IFERROR(__xludf.DUMMYFUNCTION("""COMPUTED_VALUE"""),"サイズ")</f>
        <v>サイズ</v>
      </c>
      <c r="B140" s="531" t="str">
        <f>IFERROR(__xludf.DUMMYFUNCTION("""COMPUTED_VALUE"""),"ジャケット / ジャコット")</f>
        <v>ジャケット / ジャコット</v>
      </c>
      <c r="C140" s="531" t="str">
        <f>IFERROR(__xludf.DUMMYFUNCTION("""COMPUTED_VALUE"""),"屈身")</f>
        <v>屈身</v>
      </c>
      <c r="D140" s="610"/>
      <c r="E140" s="533"/>
      <c r="F140" s="534" t="str">
        <f>IFERROR(__xludf.DUMMYFUNCTION("""COMPUTED_VALUE"""),"屈身")</f>
        <v>屈身</v>
      </c>
      <c r="G140" s="550" t="str">
        <f>IFERROR(__xludf.DUMMYFUNCTION("""COMPUTED_VALUE"""),"屈身")</f>
        <v>屈身</v>
      </c>
      <c r="H140" s="572" t="str">
        <f>IFERROR(__xludf.DUMMYFUNCTION("""COMPUTED_VALUE"""),"1.5")</f>
        <v>1.5</v>
      </c>
      <c r="I140" s="537"/>
      <c r="J140" s="538" t="str">
        <f>IFERROR(__xludf.DUMMYFUNCTION("""COMPUTED_VALUE"""),"再製作")</f>
        <v>再製作</v>
      </c>
      <c r="K140" s="538" t="str">
        <f>IFERROR(__xludf.DUMMYFUNCTION("""COMPUTED_VALUE"""),"再製作")</f>
        <v>再製作</v>
      </c>
      <c r="L140" s="539" t="str">
        <f>IFERROR(__xludf.DUMMYFUNCTION("""COMPUTED_VALUE"""),"再製作")</f>
        <v>再製作</v>
      </c>
      <c r="M140" s="540" t="str">
        <f>IFERROR(__xludf.DUMMYFUNCTION("""COMPUTED_VALUE"""),"再製作")</f>
        <v>再製作</v>
      </c>
      <c r="N140" s="538" t="str">
        <f>IFERROR(__xludf.DUMMYFUNCTION("""COMPUTED_VALUE"""),"再製作")</f>
        <v>再製作</v>
      </c>
      <c r="O140" s="183" t="str">
        <f>IFERROR(__xludf.DUMMYFUNCTION("""COMPUTED_VALUE"""),"再製作")</f>
        <v>再製作</v>
      </c>
      <c r="P140" s="183"/>
      <c r="Q140" s="183"/>
      <c r="R140" s="544"/>
      <c r="S140" s="544"/>
      <c r="T140" s="544"/>
      <c r="U140" s="544"/>
      <c r="V140" s="544"/>
      <c r="W140" s="544"/>
      <c r="X140" s="544"/>
      <c r="Y140" s="544"/>
      <c r="Z140" s="544"/>
      <c r="AA140" s="544"/>
      <c r="AB140" s="544"/>
      <c r="AC140" s="544"/>
      <c r="AD140" s="544"/>
      <c r="AE140" s="183"/>
      <c r="AF140" s="183"/>
      <c r="AG140" s="183"/>
      <c r="AH140" s="183"/>
      <c r="AI140" s="183"/>
      <c r="AJ140" s="183"/>
      <c r="AK140" s="183"/>
      <c r="AL140" s="183"/>
      <c r="AM140" s="183"/>
    </row>
    <row r="141">
      <c r="A141" s="531" t="str">
        <f>IFERROR(__xludf.DUMMYFUNCTION("""COMPUTED_VALUE"""),"サイズ")</f>
        <v>サイズ</v>
      </c>
      <c r="B141" s="531" t="str">
        <f>IFERROR(__xludf.DUMMYFUNCTION("""COMPUTED_VALUE"""),"ジャケット / ジャコット")</f>
        <v>ジャケット / ジャコット</v>
      </c>
      <c r="C141" s="531" t="str">
        <f>IFERROR(__xludf.DUMMYFUNCTION("""COMPUTED_VALUE"""),"衿ミツ出し")</f>
        <v>衿ミツ出し</v>
      </c>
      <c r="D141" s="610"/>
      <c r="E141" s="533"/>
      <c r="F141" s="534" t="str">
        <f>IFERROR(__xludf.DUMMYFUNCTION("""COMPUTED_VALUE"""),"衿ミツ出し")</f>
        <v>衿ミツ出し</v>
      </c>
      <c r="G141" s="550" t="str">
        <f>IFERROR(__xludf.DUMMYFUNCTION("""COMPUTED_VALUE"""),"衿ミツ出し")</f>
        <v>衿ミツ出し</v>
      </c>
      <c r="H141" s="572" t="str">
        <f>IFERROR(__xludf.DUMMYFUNCTION("""COMPUTED_VALUE"""),"0.5")</f>
        <v>0.5</v>
      </c>
      <c r="I141" s="537"/>
      <c r="J141" s="538" t="str">
        <f>IFERROR(__xludf.DUMMYFUNCTION("""COMPUTED_VALUE"""),"再製作")</f>
        <v>再製作</v>
      </c>
      <c r="K141" s="538" t="str">
        <f>IFERROR(__xludf.DUMMYFUNCTION("""COMPUTED_VALUE"""),"再製作")</f>
        <v>再製作</v>
      </c>
      <c r="L141" s="539" t="str">
        <f>IFERROR(__xludf.DUMMYFUNCTION("""COMPUTED_VALUE"""),"再製作")</f>
        <v>再製作</v>
      </c>
      <c r="M141" s="540" t="str">
        <f>IFERROR(__xludf.DUMMYFUNCTION("""COMPUTED_VALUE"""),"再製作")</f>
        <v>再製作</v>
      </c>
      <c r="N141" s="538" t="str">
        <f>IFERROR(__xludf.DUMMYFUNCTION("""COMPUTED_VALUE"""),"再製作")</f>
        <v>再製作</v>
      </c>
      <c r="O141" s="183" t="str">
        <f>IFERROR(__xludf.DUMMYFUNCTION("""COMPUTED_VALUE"""),"再製作")</f>
        <v>再製作</v>
      </c>
      <c r="P141" s="183"/>
      <c r="Q141" s="183"/>
      <c r="R141" s="544"/>
      <c r="S141" s="544"/>
      <c r="T141" s="544"/>
      <c r="U141" s="544"/>
      <c r="V141" s="544"/>
      <c r="W141" s="544"/>
      <c r="X141" s="544"/>
      <c r="Y141" s="544"/>
      <c r="Z141" s="544"/>
      <c r="AA141" s="544"/>
      <c r="AB141" s="544"/>
      <c r="AC141" s="544"/>
      <c r="AD141" s="544"/>
      <c r="AE141" s="183"/>
      <c r="AF141" s="183"/>
      <c r="AG141" s="183"/>
      <c r="AH141" s="183"/>
      <c r="AI141" s="183"/>
      <c r="AJ141" s="183"/>
      <c r="AK141" s="183"/>
      <c r="AL141" s="183"/>
      <c r="AM141" s="183"/>
    </row>
    <row r="142">
      <c r="A142" s="531" t="str">
        <f>IFERROR(__xludf.DUMMYFUNCTION("""COMPUTED_VALUE"""),"サイズ")</f>
        <v>サイズ</v>
      </c>
      <c r="B142" s="531" t="str">
        <f>IFERROR(__xludf.DUMMYFUNCTION("""COMPUTED_VALUE"""),"ジャケット / ジャコット")</f>
        <v>ジャケット / ジャコット</v>
      </c>
      <c r="C142" s="531" t="str">
        <f>IFERROR(__xludf.DUMMYFUNCTION("""COMPUTED_VALUE"""),"衿ミツ入れ")</f>
        <v>衿ミツ入れ</v>
      </c>
      <c r="D142" s="610"/>
      <c r="E142" s="533"/>
      <c r="F142" s="534" t="str">
        <f>IFERROR(__xludf.DUMMYFUNCTION("""COMPUTED_VALUE"""),"衿ミツ入れ")</f>
        <v>衿ミツ入れ</v>
      </c>
      <c r="G142" s="550" t="str">
        <f>IFERROR(__xludf.DUMMYFUNCTION("""COMPUTED_VALUE"""),"衿ミツ入れ")</f>
        <v>衿ミツ入れ</v>
      </c>
      <c r="H142" s="572" t="str">
        <f>IFERROR(__xludf.DUMMYFUNCTION("""COMPUTED_VALUE"""),"-0.5")</f>
        <v>-0.5</v>
      </c>
      <c r="I142" s="537"/>
      <c r="J142" s="538" t="str">
        <f>IFERROR(__xludf.DUMMYFUNCTION("""COMPUTED_VALUE"""),"再製作")</f>
        <v>再製作</v>
      </c>
      <c r="K142" s="538" t="str">
        <f>IFERROR(__xludf.DUMMYFUNCTION("""COMPUTED_VALUE"""),"再製作")</f>
        <v>再製作</v>
      </c>
      <c r="L142" s="539" t="str">
        <f>IFERROR(__xludf.DUMMYFUNCTION("""COMPUTED_VALUE"""),"再製作")</f>
        <v>再製作</v>
      </c>
      <c r="M142" s="540" t="str">
        <f>IFERROR(__xludf.DUMMYFUNCTION("""COMPUTED_VALUE"""),"再製作")</f>
        <v>再製作</v>
      </c>
      <c r="N142" s="538" t="str">
        <f>IFERROR(__xludf.DUMMYFUNCTION("""COMPUTED_VALUE"""),"再製作")</f>
        <v>再製作</v>
      </c>
      <c r="O142" s="183" t="str">
        <f>IFERROR(__xludf.DUMMYFUNCTION("""COMPUTED_VALUE"""),"再製作")</f>
        <v>再製作</v>
      </c>
      <c r="P142" s="183"/>
      <c r="Q142" s="183"/>
      <c r="R142" s="544"/>
      <c r="S142" s="544"/>
      <c r="T142" s="544"/>
      <c r="U142" s="544"/>
      <c r="V142" s="544"/>
      <c r="W142" s="544"/>
      <c r="X142" s="544"/>
      <c r="Y142" s="544"/>
      <c r="Z142" s="544"/>
      <c r="AA142" s="544"/>
      <c r="AB142" s="544"/>
      <c r="AC142" s="544"/>
      <c r="AD142" s="544"/>
      <c r="AE142" s="183"/>
      <c r="AF142" s="183"/>
      <c r="AG142" s="183"/>
      <c r="AH142" s="183"/>
      <c r="AI142" s="183"/>
      <c r="AJ142" s="183"/>
      <c r="AK142" s="183"/>
      <c r="AL142" s="183"/>
      <c r="AM142" s="183"/>
    </row>
    <row r="143" hidden="1">
      <c r="A143" s="531" t="str">
        <f>IFERROR(__xludf.DUMMYFUNCTION("""COMPUTED_VALUE"""),"サイズ")</f>
        <v>サイズ</v>
      </c>
      <c r="B143" s="531" t="str">
        <f>IFERROR(__xludf.DUMMYFUNCTION("""COMPUTED_VALUE"""),"ジャケット / ジャコット")</f>
        <v>ジャケット / ジャコット</v>
      </c>
      <c r="C143" s="531" t="str">
        <f>IFERROR(__xludf.DUMMYFUNCTION("""COMPUTED_VALUE"""),"背巾")</f>
        <v>背巾</v>
      </c>
      <c r="D143" s="610"/>
      <c r="E143" s="533"/>
      <c r="F143" s="534" t="str">
        <f>IFERROR(__xludf.DUMMYFUNCTION("""COMPUTED_VALUE"""),"背巾")</f>
        <v>背巾</v>
      </c>
      <c r="G143" s="550" t="str">
        <f>IFERROR(__xludf.DUMMYFUNCTION("""COMPUTED_VALUE"""),"背巾")</f>
        <v>背巾</v>
      </c>
      <c r="H143" s="572" t="str">
        <f>IFERROR(__xludf.DUMMYFUNCTION("""COMPUTED_VALUE"""),"-0.7")</f>
        <v>-0.7</v>
      </c>
      <c r="I143" s="537"/>
      <c r="J143" s="538" t="str">
        <f>IFERROR(__xludf.DUMMYFUNCTION("""COMPUTED_VALUE"""),"再製作")</f>
        <v>再製作</v>
      </c>
      <c r="K143" s="538" t="str">
        <f>IFERROR(__xludf.DUMMYFUNCTION("""COMPUTED_VALUE"""),"再製作")</f>
        <v>再製作</v>
      </c>
      <c r="L143" s="539" t="str">
        <f>IFERROR(__xludf.DUMMYFUNCTION("""COMPUTED_VALUE"""),"再製作")</f>
        <v>再製作</v>
      </c>
      <c r="M143" s="540" t="str">
        <f>IFERROR(__xludf.DUMMYFUNCTION("""COMPUTED_VALUE"""),"再製作")</f>
        <v>再製作</v>
      </c>
      <c r="N143" s="538" t="str">
        <f>IFERROR(__xludf.DUMMYFUNCTION("""COMPUTED_VALUE"""),"再製作")</f>
        <v>再製作</v>
      </c>
      <c r="O143" s="183" t="str">
        <f>IFERROR(__xludf.DUMMYFUNCTION("""COMPUTED_VALUE"""),"再製作")</f>
        <v>再製作</v>
      </c>
      <c r="P143" s="183"/>
      <c r="Q143" s="183"/>
      <c r="R143" s="544"/>
      <c r="S143" s="544"/>
      <c r="T143" s="544"/>
      <c r="U143" s="544"/>
      <c r="V143" s="544"/>
      <c r="W143" s="544"/>
      <c r="X143" s="544"/>
      <c r="Y143" s="544"/>
      <c r="Z143" s="544"/>
      <c r="AA143" s="544"/>
      <c r="AB143" s="544"/>
      <c r="AC143" s="544"/>
      <c r="AD143" s="544"/>
      <c r="AE143" s="183"/>
      <c r="AF143" s="183"/>
      <c r="AG143" s="183"/>
      <c r="AH143" s="183"/>
      <c r="AI143" s="183"/>
      <c r="AJ143" s="183"/>
      <c r="AK143" s="183"/>
      <c r="AL143" s="183"/>
      <c r="AM143" s="183"/>
    </row>
    <row r="144">
      <c r="A144" s="531" t="str">
        <f>IFERROR(__xludf.DUMMYFUNCTION("""COMPUTED_VALUE"""),"サイズ")</f>
        <v>サイズ</v>
      </c>
      <c r="B144" s="531" t="str">
        <f>IFERROR(__xludf.DUMMYFUNCTION("""COMPUTED_VALUE"""),"ジャケット / ジャコット")</f>
        <v>ジャケット / ジャコット</v>
      </c>
      <c r="C144" s="531" t="str">
        <f>IFERROR(__xludf.DUMMYFUNCTION("""COMPUTED_VALUE"""),"背巾")</f>
        <v>背巾</v>
      </c>
      <c r="D144" s="610"/>
      <c r="E144" s="533"/>
      <c r="F144" s="534" t="str">
        <f>IFERROR(__xludf.DUMMYFUNCTION("""COMPUTED_VALUE"""),"背巾")</f>
        <v>背巾</v>
      </c>
      <c r="G144" s="550" t="str">
        <f>IFERROR(__xludf.DUMMYFUNCTION("""COMPUTED_VALUE"""),"背巾")</f>
        <v>背巾</v>
      </c>
      <c r="H144" s="572" t="str">
        <f>IFERROR(__xludf.DUMMYFUNCTION("""COMPUTED_VALUE"""),"0.7")</f>
        <v>0.7</v>
      </c>
      <c r="I144" s="537"/>
      <c r="J144" s="538" t="str">
        <f>IFERROR(__xludf.DUMMYFUNCTION("""COMPUTED_VALUE"""),"再製作")</f>
        <v>再製作</v>
      </c>
      <c r="K144" s="538" t="str">
        <f>IFERROR(__xludf.DUMMYFUNCTION("""COMPUTED_VALUE"""),"再製作")</f>
        <v>再製作</v>
      </c>
      <c r="L144" s="539" t="str">
        <f>IFERROR(__xludf.DUMMYFUNCTION("""COMPUTED_VALUE"""),"再製作")</f>
        <v>再製作</v>
      </c>
      <c r="M144" s="540" t="str">
        <f>IFERROR(__xludf.DUMMYFUNCTION("""COMPUTED_VALUE"""),"再製作")</f>
        <v>再製作</v>
      </c>
      <c r="N144" s="538" t="str">
        <f>IFERROR(__xludf.DUMMYFUNCTION("""COMPUTED_VALUE"""),"再製作")</f>
        <v>再製作</v>
      </c>
      <c r="O144" s="183" t="str">
        <f>IFERROR(__xludf.DUMMYFUNCTION("""COMPUTED_VALUE"""),"再製作")</f>
        <v>再製作</v>
      </c>
      <c r="P144" s="183"/>
      <c r="Q144" s="183"/>
      <c r="R144" s="544"/>
      <c r="S144" s="544"/>
      <c r="T144" s="544"/>
      <c r="U144" s="544"/>
      <c r="V144" s="544"/>
      <c r="W144" s="544"/>
      <c r="X144" s="544"/>
      <c r="Y144" s="544"/>
      <c r="Z144" s="544"/>
      <c r="AA144" s="544"/>
      <c r="AB144" s="544"/>
      <c r="AC144" s="544"/>
      <c r="AD144" s="544"/>
      <c r="AE144" s="183"/>
      <c r="AF144" s="183"/>
      <c r="AG144" s="183"/>
      <c r="AH144" s="183"/>
      <c r="AI144" s="183"/>
      <c r="AJ144" s="183"/>
      <c r="AK144" s="183"/>
      <c r="AL144" s="183"/>
      <c r="AM144" s="183"/>
    </row>
    <row r="145">
      <c r="A145" s="531" t="str">
        <f>IFERROR(__xludf.DUMMYFUNCTION("""COMPUTED_VALUE"""),"サイズ")</f>
        <v>サイズ</v>
      </c>
      <c r="B145" s="531" t="str">
        <f>IFERROR(__xludf.DUMMYFUNCTION("""COMPUTED_VALUE"""),"ジャケット / ジャコット")</f>
        <v>ジャケット / ジャコット</v>
      </c>
      <c r="C145" s="531" t="str">
        <f>IFERROR(__xludf.DUMMYFUNCTION("""COMPUTED_VALUE"""),"けまわし")</f>
        <v>けまわし</v>
      </c>
      <c r="D145" s="610"/>
      <c r="E145" s="550" t="str">
        <f>IFERROR(__xludf.DUMMYFUNCTION("""COMPUTED_VALUE"""),"※逆補正を含む、補正が入っていない時のみ、お直し可")</f>
        <v>※逆補正を含む、補正が入っていない時のみ、お直し可</v>
      </c>
      <c r="F145" s="534" t="str">
        <f>IFERROR(__xludf.DUMMYFUNCTION("""COMPUTED_VALUE"""),"けまわし")</f>
        <v>けまわし</v>
      </c>
      <c r="G145" s="550" t="str">
        <f>IFERROR(__xludf.DUMMYFUNCTION("""COMPUTED_VALUE"""),"けまわし（※逆補正を含む、補正が入っていない時のみ、お直し可）")</f>
        <v>けまわし（※逆補正を含む、補正が入っていない時のみ、お直し可）</v>
      </c>
      <c r="H145" s="572" t="str">
        <f>IFERROR(__xludf.DUMMYFUNCTION("""COMPUTED_VALUE"""),"-1")</f>
        <v>-1</v>
      </c>
      <c r="I145" s="537"/>
      <c r="J145" s="538">
        <f>IFERROR(__xludf.DUMMYFUNCTION("""COMPUTED_VALUE"""),10.0)</f>
        <v>10</v>
      </c>
      <c r="K145" s="537">
        <f>IFERROR(__xludf.DUMMYFUNCTION("""COMPUTED_VALUE"""),46003.0)</f>
        <v>46003</v>
      </c>
      <c r="L145" s="539">
        <f>IFERROR(__xludf.DUMMYFUNCTION("""COMPUTED_VALUE"""),46003.0)</f>
        <v>46003</v>
      </c>
      <c r="M145" s="540">
        <f>IFERROR(__xludf.DUMMYFUNCTION("""COMPUTED_VALUE"""),46008.0)</f>
        <v>46008</v>
      </c>
      <c r="N145" s="539">
        <f>IFERROR(__xludf.DUMMYFUNCTION("""COMPUTED_VALUE"""),4950.0)</f>
        <v>4950</v>
      </c>
      <c r="O145" s="593">
        <f>IFERROR(__xludf.DUMMYFUNCTION("""COMPUTED_VALUE"""),4500.0)</f>
        <v>4500</v>
      </c>
      <c r="P145" s="594">
        <f>IFERROR(__xludf.DUMMYFUNCTION("""COMPUTED_VALUE"""),3000.0)</f>
        <v>3000</v>
      </c>
      <c r="Q145" s="183"/>
      <c r="R145" s="544"/>
      <c r="S145" s="544"/>
      <c r="T145" s="544"/>
      <c r="U145" s="544"/>
      <c r="V145" s="544"/>
      <c r="W145" s="544"/>
      <c r="X145" s="544"/>
      <c r="Y145" s="544"/>
      <c r="Z145" s="544"/>
      <c r="AA145" s="544"/>
      <c r="AB145" s="544"/>
      <c r="AC145" s="544"/>
      <c r="AD145" s="544"/>
      <c r="AE145" s="183"/>
      <c r="AF145" s="183"/>
      <c r="AG145" s="183"/>
      <c r="AH145" s="183"/>
      <c r="AI145" s="183"/>
      <c r="AJ145" s="183"/>
      <c r="AK145" s="183"/>
      <c r="AL145" s="183"/>
      <c r="AM145" s="183"/>
    </row>
    <row r="146">
      <c r="A146" s="531" t="str">
        <f>IFERROR(__xludf.DUMMYFUNCTION("""COMPUTED_VALUE"""),"サイズ")</f>
        <v>サイズ</v>
      </c>
      <c r="B146" s="531" t="str">
        <f>IFERROR(__xludf.DUMMYFUNCTION("""COMPUTED_VALUE"""),"ジャケット / ジャコット")</f>
        <v>ジャケット / ジャコット</v>
      </c>
      <c r="C146" s="531" t="str">
        <f>IFERROR(__xludf.DUMMYFUNCTION("""COMPUTED_VALUE"""),"けまわし")</f>
        <v>けまわし</v>
      </c>
      <c r="D146" s="610"/>
      <c r="E146" s="550" t="str">
        <f>IFERROR(__xludf.DUMMYFUNCTION("""COMPUTED_VALUE"""),"※逆補正を含む、補正が入っていない時のみ、お直し可")</f>
        <v>※逆補正を含む、補正が入っていない時のみ、お直し可</v>
      </c>
      <c r="F146" s="534" t="str">
        <f>IFERROR(__xludf.DUMMYFUNCTION("""COMPUTED_VALUE"""),"けまわし")</f>
        <v>けまわし</v>
      </c>
      <c r="G146" s="550" t="str">
        <f>IFERROR(__xludf.DUMMYFUNCTION("""COMPUTED_VALUE"""),"けまわし（※逆補正を含む、補正が入っていない時のみ、お直し可）")</f>
        <v>けまわし（※逆補正を含む、補正が入っていない時のみ、お直し可）</v>
      </c>
      <c r="H146" s="572" t="str">
        <f>IFERROR(__xludf.DUMMYFUNCTION("""COMPUTED_VALUE"""),"-0.5")</f>
        <v>-0.5</v>
      </c>
      <c r="I146" s="537"/>
      <c r="J146" s="538">
        <f>IFERROR(__xludf.DUMMYFUNCTION("""COMPUTED_VALUE"""),10.0)</f>
        <v>10</v>
      </c>
      <c r="K146" s="537">
        <f>IFERROR(__xludf.DUMMYFUNCTION("""COMPUTED_VALUE"""),46003.0)</f>
        <v>46003</v>
      </c>
      <c r="L146" s="539">
        <f>IFERROR(__xludf.DUMMYFUNCTION("""COMPUTED_VALUE"""),46003.0)</f>
        <v>46003</v>
      </c>
      <c r="M146" s="540">
        <f>IFERROR(__xludf.DUMMYFUNCTION("""COMPUTED_VALUE"""),46008.0)</f>
        <v>46008</v>
      </c>
      <c r="N146" s="539">
        <f>IFERROR(__xludf.DUMMYFUNCTION("""COMPUTED_VALUE"""),4950.0)</f>
        <v>4950</v>
      </c>
      <c r="O146" s="593">
        <f>IFERROR(__xludf.DUMMYFUNCTION("""COMPUTED_VALUE"""),4500.0)</f>
        <v>4500</v>
      </c>
      <c r="P146" s="594">
        <f>IFERROR(__xludf.DUMMYFUNCTION("""COMPUTED_VALUE"""),3000.0)</f>
        <v>3000</v>
      </c>
      <c r="Q146" s="183"/>
      <c r="R146" s="544"/>
      <c r="S146" s="544"/>
      <c r="T146" s="544"/>
      <c r="U146" s="544"/>
      <c r="V146" s="544"/>
      <c r="W146" s="544"/>
      <c r="X146" s="544"/>
      <c r="Y146" s="544"/>
      <c r="Z146" s="544"/>
      <c r="AA146" s="544"/>
      <c r="AB146" s="544"/>
      <c r="AC146" s="544"/>
      <c r="AD146" s="544"/>
      <c r="AE146" s="183"/>
      <c r="AF146" s="183"/>
      <c r="AG146" s="183"/>
      <c r="AH146" s="183"/>
      <c r="AI146" s="183"/>
      <c r="AJ146" s="183"/>
      <c r="AK146" s="183"/>
      <c r="AL146" s="183"/>
      <c r="AM146" s="183"/>
    </row>
    <row r="147">
      <c r="A147" s="531" t="str">
        <f>IFERROR(__xludf.DUMMYFUNCTION("""COMPUTED_VALUE"""),"サイズ")</f>
        <v>サイズ</v>
      </c>
      <c r="B147" s="531" t="str">
        <f>IFERROR(__xludf.DUMMYFUNCTION("""COMPUTED_VALUE"""),"ジャケット / ジャコット")</f>
        <v>ジャケット / ジャコット</v>
      </c>
      <c r="C147" s="531" t="str">
        <f>IFERROR(__xludf.DUMMYFUNCTION("""COMPUTED_VALUE"""),"けまわし")</f>
        <v>けまわし</v>
      </c>
      <c r="D147" s="610"/>
      <c r="E147" s="550" t="str">
        <f>IFERROR(__xludf.DUMMYFUNCTION("""COMPUTED_VALUE"""),"※逆補正を含む、補正が入っていない時のみ、お直し可")</f>
        <v>※逆補正を含む、補正が入っていない時のみ、お直し可</v>
      </c>
      <c r="F147" s="534" t="str">
        <f>IFERROR(__xludf.DUMMYFUNCTION("""COMPUTED_VALUE"""),"けまわし")</f>
        <v>けまわし</v>
      </c>
      <c r="G147" s="550" t="str">
        <f>IFERROR(__xludf.DUMMYFUNCTION("""COMPUTED_VALUE"""),"けまわし（※逆補正を含む、補正が入っていない時のみ、お直し可）")</f>
        <v>けまわし（※逆補正を含む、補正が入っていない時のみ、お直し可）</v>
      </c>
      <c r="H147" s="572" t="str">
        <f>IFERROR(__xludf.DUMMYFUNCTION("""COMPUTED_VALUE"""),"0.5")</f>
        <v>0.5</v>
      </c>
      <c r="I147" s="537"/>
      <c r="J147" s="538" t="str">
        <f>IFERROR(__xludf.DUMMYFUNCTION("""COMPUTED_VALUE"""),"再製作")</f>
        <v>再製作</v>
      </c>
      <c r="K147" s="538" t="str">
        <f>IFERROR(__xludf.DUMMYFUNCTION("""COMPUTED_VALUE"""),"再製作")</f>
        <v>再製作</v>
      </c>
      <c r="L147" s="539" t="str">
        <f>IFERROR(__xludf.DUMMYFUNCTION("""COMPUTED_VALUE"""),"再製作")</f>
        <v>再製作</v>
      </c>
      <c r="M147" s="540" t="str">
        <f>IFERROR(__xludf.DUMMYFUNCTION("""COMPUTED_VALUE"""),"再製作")</f>
        <v>再製作</v>
      </c>
      <c r="N147" s="538" t="str">
        <f>IFERROR(__xludf.DUMMYFUNCTION("""COMPUTED_VALUE"""),"再製作")</f>
        <v>再製作</v>
      </c>
      <c r="O147" s="183"/>
      <c r="P147" s="183"/>
      <c r="Q147" s="183"/>
      <c r="R147" s="544"/>
      <c r="S147" s="544"/>
      <c r="T147" s="544"/>
      <c r="U147" s="544"/>
      <c r="V147" s="544"/>
      <c r="W147" s="544"/>
      <c r="X147" s="544"/>
      <c r="Y147" s="544"/>
      <c r="Z147" s="544"/>
      <c r="AA147" s="544"/>
      <c r="AB147" s="544"/>
      <c r="AC147" s="544"/>
      <c r="AD147" s="544"/>
      <c r="AE147" s="183"/>
      <c r="AF147" s="183"/>
      <c r="AG147" s="183"/>
      <c r="AH147" s="183"/>
      <c r="AI147" s="183"/>
      <c r="AJ147" s="183"/>
      <c r="AK147" s="183"/>
      <c r="AL147" s="183"/>
      <c r="AM147" s="183"/>
    </row>
    <row r="148">
      <c r="A148" s="531" t="str">
        <f>IFERROR(__xludf.DUMMYFUNCTION("""COMPUTED_VALUE"""),"サイズ")</f>
        <v>サイズ</v>
      </c>
      <c r="B148" s="531" t="str">
        <f>IFERROR(__xludf.DUMMYFUNCTION("""COMPUTED_VALUE"""),"ジャケット / ジャコット")</f>
        <v>ジャケット / ジャコット</v>
      </c>
      <c r="C148" s="532" t="str">
        <f>IFERROR(__xludf.DUMMYFUNCTION("""COMPUTED_VALUE"""),"けまわし")</f>
        <v>けまわし</v>
      </c>
      <c r="D148" s="610"/>
      <c r="E148" s="550" t="str">
        <f>IFERROR(__xludf.DUMMYFUNCTION("""COMPUTED_VALUE"""),"※逆補正を含む、補正が入っていない時のみ、お直し可")</f>
        <v>※逆補正を含む、補正が入っていない時のみ、お直し可</v>
      </c>
      <c r="F148" s="534" t="str">
        <f>IFERROR(__xludf.DUMMYFUNCTION("""COMPUTED_VALUE"""),"けまわし")</f>
        <v>けまわし</v>
      </c>
      <c r="G148" s="550" t="str">
        <f>IFERROR(__xludf.DUMMYFUNCTION("""COMPUTED_VALUE"""),"けまわし（※逆補正を含む、補正が入っていない時のみ、お直し可）")</f>
        <v>けまわし（※逆補正を含む、補正が入っていない時のみ、お直し可）</v>
      </c>
      <c r="H148" s="572" t="str">
        <f>IFERROR(__xludf.DUMMYFUNCTION("""COMPUTED_VALUE"""),"1")</f>
        <v>1</v>
      </c>
      <c r="I148" s="537"/>
      <c r="J148" s="538" t="str">
        <f>IFERROR(__xludf.DUMMYFUNCTION("""COMPUTED_VALUE"""),"再製作")</f>
        <v>再製作</v>
      </c>
      <c r="K148" s="538" t="str">
        <f>IFERROR(__xludf.DUMMYFUNCTION("""COMPUTED_VALUE"""),"再製作")</f>
        <v>再製作</v>
      </c>
      <c r="L148" s="539" t="str">
        <f>IFERROR(__xludf.DUMMYFUNCTION("""COMPUTED_VALUE"""),"再製作")</f>
        <v>再製作</v>
      </c>
      <c r="M148" s="540" t="str">
        <f>IFERROR(__xludf.DUMMYFUNCTION("""COMPUTED_VALUE"""),"再製作")</f>
        <v>再製作</v>
      </c>
      <c r="N148" s="538" t="str">
        <f>IFERROR(__xludf.DUMMYFUNCTION("""COMPUTED_VALUE"""),"再製作")</f>
        <v>再製作</v>
      </c>
      <c r="O148" s="183"/>
      <c r="P148" s="183"/>
      <c r="Q148" s="183"/>
      <c r="R148" s="544"/>
      <c r="S148" s="544"/>
      <c r="T148" s="544"/>
      <c r="U148" s="544"/>
      <c r="V148" s="544"/>
      <c r="W148" s="544"/>
      <c r="X148" s="544"/>
      <c r="Y148" s="544"/>
      <c r="Z148" s="544"/>
      <c r="AA148" s="544"/>
      <c r="AB148" s="544"/>
      <c r="AC148" s="544"/>
      <c r="AD148" s="544"/>
      <c r="AE148" s="183"/>
      <c r="AF148" s="183"/>
      <c r="AG148" s="183"/>
      <c r="AH148" s="183"/>
      <c r="AI148" s="183"/>
      <c r="AJ148" s="183"/>
      <c r="AK148" s="183"/>
      <c r="AL148" s="183"/>
      <c r="AM148" s="183"/>
    </row>
    <row r="149">
      <c r="A149" s="531" t="str">
        <f>IFERROR(__xludf.DUMMYFUNCTION("""COMPUTED_VALUE"""),"サイズ")</f>
        <v>サイズ</v>
      </c>
      <c r="B149" s="531" t="str">
        <f>IFERROR(__xludf.DUMMYFUNCTION("""COMPUTED_VALUE"""),"ジャケット / ジャコット")</f>
        <v>ジャケット / ジャコット</v>
      </c>
      <c r="C149" s="531" t="str">
        <f>IFERROR(__xludf.DUMMYFUNCTION("""COMPUTED_VALUE"""),"袖逃し")</f>
        <v>袖逃し</v>
      </c>
      <c r="D149" s="610"/>
      <c r="E149" s="533"/>
      <c r="F149" s="534" t="str">
        <f>IFERROR(__xludf.DUMMYFUNCTION("""COMPUTED_VALUE"""),"袖逃し")</f>
        <v>袖逃し</v>
      </c>
      <c r="G149" s="550" t="str">
        <f>IFERROR(__xludf.DUMMYFUNCTION("""COMPUTED_VALUE"""),"袖逃し")</f>
        <v>袖逃し</v>
      </c>
      <c r="H149" s="572" t="str">
        <f>IFERROR(__xludf.DUMMYFUNCTION("""COMPUTED_VALUE"""),"1")</f>
        <v>1</v>
      </c>
      <c r="I149" s="537"/>
      <c r="J149" s="538" t="str">
        <f>IFERROR(__xludf.DUMMYFUNCTION("""COMPUTED_VALUE"""),"再製作")</f>
        <v>再製作</v>
      </c>
      <c r="K149" s="538" t="str">
        <f>IFERROR(__xludf.DUMMYFUNCTION("""COMPUTED_VALUE"""),"再製作")</f>
        <v>再製作</v>
      </c>
      <c r="L149" s="539" t="str">
        <f>IFERROR(__xludf.DUMMYFUNCTION("""COMPUTED_VALUE"""),"再製作")</f>
        <v>再製作</v>
      </c>
      <c r="M149" s="540" t="str">
        <f>IFERROR(__xludf.DUMMYFUNCTION("""COMPUTED_VALUE"""),"再製作")</f>
        <v>再製作</v>
      </c>
      <c r="N149" s="538" t="str">
        <f>IFERROR(__xludf.DUMMYFUNCTION("""COMPUTED_VALUE"""),"再製作")</f>
        <v>再製作</v>
      </c>
      <c r="O149" s="183" t="str">
        <f>IFERROR(__xludf.DUMMYFUNCTION("""COMPUTED_VALUE"""),"再製作")</f>
        <v>再製作</v>
      </c>
      <c r="P149" s="183"/>
      <c r="Q149" s="183"/>
      <c r="R149" s="544"/>
      <c r="S149" s="544"/>
      <c r="T149" s="544"/>
      <c r="U149" s="544"/>
      <c r="V149" s="544"/>
      <c r="W149" s="544"/>
      <c r="X149" s="544"/>
      <c r="Y149" s="544"/>
      <c r="Z149" s="544"/>
      <c r="AA149" s="544"/>
      <c r="AB149" s="544"/>
      <c r="AC149" s="544"/>
      <c r="AD149" s="544"/>
      <c r="AE149" s="183"/>
      <c r="AF149" s="183"/>
      <c r="AG149" s="183"/>
      <c r="AH149" s="183"/>
      <c r="AI149" s="183"/>
      <c r="AJ149" s="183"/>
      <c r="AK149" s="183"/>
      <c r="AL149" s="183"/>
      <c r="AM149" s="183"/>
    </row>
    <row r="150">
      <c r="A150" s="531" t="str">
        <f>IFERROR(__xludf.DUMMYFUNCTION("""COMPUTED_VALUE"""),"サイズ")</f>
        <v>サイズ</v>
      </c>
      <c r="B150" s="531" t="str">
        <f>IFERROR(__xludf.DUMMYFUNCTION("""COMPUTED_VALUE"""),"ジャケット / ジャコット")</f>
        <v>ジャケット / ジャコット</v>
      </c>
      <c r="C150" s="531" t="str">
        <f>IFERROR(__xludf.DUMMYFUNCTION("""COMPUTED_VALUE"""),"打ち合いだし")</f>
        <v>打ち合いだし</v>
      </c>
      <c r="D150" s="610"/>
      <c r="E150" s="533"/>
      <c r="F150" s="534" t="str">
        <f>IFERROR(__xludf.DUMMYFUNCTION("""COMPUTED_VALUE"""),"打ち合いだし")</f>
        <v>打ち合いだし</v>
      </c>
      <c r="G150" s="550" t="str">
        <f>IFERROR(__xludf.DUMMYFUNCTION("""COMPUTED_VALUE"""),"打ち合いだし")</f>
        <v>打ち合いだし</v>
      </c>
      <c r="H150" s="572" t="str">
        <f>IFERROR(__xludf.DUMMYFUNCTION("""COMPUTED_VALUE"""),"0.5")</f>
        <v>0.5</v>
      </c>
      <c r="I150" s="537"/>
      <c r="J150" s="538" t="str">
        <f>IFERROR(__xludf.DUMMYFUNCTION("""COMPUTED_VALUE"""),"再製作")</f>
        <v>再製作</v>
      </c>
      <c r="K150" s="538" t="str">
        <f>IFERROR(__xludf.DUMMYFUNCTION("""COMPUTED_VALUE"""),"再製作")</f>
        <v>再製作</v>
      </c>
      <c r="L150" s="539" t="str">
        <f>IFERROR(__xludf.DUMMYFUNCTION("""COMPUTED_VALUE"""),"再製作")</f>
        <v>再製作</v>
      </c>
      <c r="M150" s="540" t="str">
        <f>IFERROR(__xludf.DUMMYFUNCTION("""COMPUTED_VALUE"""),"再製作")</f>
        <v>再製作</v>
      </c>
      <c r="N150" s="538" t="str">
        <f>IFERROR(__xludf.DUMMYFUNCTION("""COMPUTED_VALUE"""),"再製作")</f>
        <v>再製作</v>
      </c>
      <c r="O150" s="183" t="str">
        <f>IFERROR(__xludf.DUMMYFUNCTION("""COMPUTED_VALUE"""),"再製作")</f>
        <v>再製作</v>
      </c>
      <c r="P150" s="183"/>
      <c r="Q150" s="183"/>
      <c r="R150" s="544"/>
      <c r="S150" s="544"/>
      <c r="T150" s="544"/>
      <c r="U150" s="544"/>
      <c r="V150" s="544"/>
      <c r="W150" s="544"/>
      <c r="X150" s="544"/>
      <c r="Y150" s="544"/>
      <c r="Z150" s="544"/>
      <c r="AA150" s="544"/>
      <c r="AB150" s="544"/>
      <c r="AC150" s="544"/>
      <c r="AD150" s="544"/>
      <c r="AE150" s="183"/>
      <c r="AF150" s="183"/>
      <c r="AG150" s="183"/>
      <c r="AH150" s="183"/>
      <c r="AI150" s="183"/>
      <c r="AJ150" s="183"/>
      <c r="AK150" s="183"/>
      <c r="AL150" s="183"/>
      <c r="AM150" s="183"/>
    </row>
    <row r="151">
      <c r="A151" s="531" t="str">
        <f>IFERROR(__xludf.DUMMYFUNCTION("""COMPUTED_VALUE"""),"サイズ")</f>
        <v>サイズ</v>
      </c>
      <c r="B151" s="531" t="str">
        <f>IFERROR(__xludf.DUMMYFUNCTION("""COMPUTED_VALUE"""),"ジャケット / ジャコット")</f>
        <v>ジャケット / ジャコット</v>
      </c>
      <c r="C151" s="531" t="str">
        <f>IFERROR(__xludf.DUMMYFUNCTION("""COMPUTED_VALUE"""),"打ち合いだし")</f>
        <v>打ち合いだし</v>
      </c>
      <c r="D151" s="550"/>
      <c r="E151" s="533"/>
      <c r="F151" s="534" t="str">
        <f>IFERROR(__xludf.DUMMYFUNCTION("""COMPUTED_VALUE"""),"打ち合いだし")</f>
        <v>打ち合いだし</v>
      </c>
      <c r="G151" s="550" t="str">
        <f>IFERROR(__xludf.DUMMYFUNCTION("""COMPUTED_VALUE"""),"打ち合いだし")</f>
        <v>打ち合いだし</v>
      </c>
      <c r="H151" s="572" t="str">
        <f>IFERROR(__xludf.DUMMYFUNCTION("""COMPUTED_VALUE"""),"1")</f>
        <v>1</v>
      </c>
      <c r="I151" s="537"/>
      <c r="J151" s="538" t="str">
        <f>IFERROR(__xludf.DUMMYFUNCTION("""COMPUTED_VALUE"""),"再製作")</f>
        <v>再製作</v>
      </c>
      <c r="K151" s="538" t="str">
        <f>IFERROR(__xludf.DUMMYFUNCTION("""COMPUTED_VALUE"""),"再製作")</f>
        <v>再製作</v>
      </c>
      <c r="L151" s="539" t="str">
        <f>IFERROR(__xludf.DUMMYFUNCTION("""COMPUTED_VALUE"""),"再製作")</f>
        <v>再製作</v>
      </c>
      <c r="M151" s="540" t="str">
        <f>IFERROR(__xludf.DUMMYFUNCTION("""COMPUTED_VALUE"""),"再製作")</f>
        <v>再製作</v>
      </c>
      <c r="N151" s="538" t="str">
        <f>IFERROR(__xludf.DUMMYFUNCTION("""COMPUTED_VALUE"""),"再製作")</f>
        <v>再製作</v>
      </c>
      <c r="O151" s="11" t="str">
        <f>IFERROR(__xludf.DUMMYFUNCTION("""COMPUTED_VALUE"""),"再製作")</f>
        <v>再製作</v>
      </c>
      <c r="P151" s="11"/>
      <c r="Q151" s="11"/>
      <c r="R151" s="623"/>
      <c r="S151" s="623"/>
      <c r="T151" s="623"/>
      <c r="U151" s="623"/>
      <c r="V151" s="623"/>
      <c r="W151" s="623"/>
      <c r="X151" s="623"/>
      <c r="Y151" s="623"/>
      <c r="Z151" s="623"/>
      <c r="AA151" s="623"/>
      <c r="AB151" s="623"/>
      <c r="AC151" s="623"/>
      <c r="AD151" s="623"/>
      <c r="AE151" s="11"/>
      <c r="AF151" s="11"/>
      <c r="AG151" s="11"/>
      <c r="AH151" s="11"/>
      <c r="AI151" s="11"/>
      <c r="AJ151" s="11"/>
      <c r="AK151" s="11"/>
      <c r="AL151" s="11"/>
      <c r="AM151" s="11"/>
    </row>
    <row r="152">
      <c r="A152" s="531" t="str">
        <f>IFERROR(__xludf.DUMMYFUNCTION("""COMPUTED_VALUE"""),"サイズ")</f>
        <v>サイズ</v>
      </c>
      <c r="B152" s="531" t="str">
        <f>IFERROR(__xludf.DUMMYFUNCTION("""COMPUTED_VALUE"""),"ジャケット / ジャコット")</f>
        <v>ジャケット / ジャコット</v>
      </c>
      <c r="C152" s="531" t="str">
        <f>IFERROR(__xludf.DUMMYFUNCTION("""COMPUTED_VALUE"""),"打ち合いだし")</f>
        <v>打ち合いだし</v>
      </c>
      <c r="D152" s="550"/>
      <c r="E152" s="533"/>
      <c r="F152" s="534" t="str">
        <f>IFERROR(__xludf.DUMMYFUNCTION("""COMPUTED_VALUE"""),"打ち合いだし")</f>
        <v>打ち合いだし</v>
      </c>
      <c r="G152" s="550" t="str">
        <f>IFERROR(__xludf.DUMMYFUNCTION("""COMPUTED_VALUE"""),"打ち合いだし")</f>
        <v>打ち合いだし</v>
      </c>
      <c r="H152" s="572" t="str">
        <f>IFERROR(__xludf.DUMMYFUNCTION("""COMPUTED_VALUE"""),"1.5")</f>
        <v>1.5</v>
      </c>
      <c r="I152" s="537"/>
      <c r="J152" s="538" t="str">
        <f>IFERROR(__xludf.DUMMYFUNCTION("""COMPUTED_VALUE"""),"再製作")</f>
        <v>再製作</v>
      </c>
      <c r="K152" s="538" t="str">
        <f>IFERROR(__xludf.DUMMYFUNCTION("""COMPUTED_VALUE"""),"再製作")</f>
        <v>再製作</v>
      </c>
      <c r="L152" s="539" t="str">
        <f>IFERROR(__xludf.DUMMYFUNCTION("""COMPUTED_VALUE"""),"再製作")</f>
        <v>再製作</v>
      </c>
      <c r="M152" s="540" t="str">
        <f>IFERROR(__xludf.DUMMYFUNCTION("""COMPUTED_VALUE"""),"再製作")</f>
        <v>再製作</v>
      </c>
      <c r="N152" s="538" t="str">
        <f>IFERROR(__xludf.DUMMYFUNCTION("""COMPUTED_VALUE"""),"再製作")</f>
        <v>再製作</v>
      </c>
      <c r="O152" s="183" t="str">
        <f>IFERROR(__xludf.DUMMYFUNCTION("""COMPUTED_VALUE"""),"再製作")</f>
        <v>再製作</v>
      </c>
      <c r="P152" s="183"/>
      <c r="Q152" s="183"/>
      <c r="R152" s="544"/>
      <c r="S152" s="544"/>
      <c r="T152" s="544"/>
      <c r="U152" s="544"/>
      <c r="V152" s="544"/>
      <c r="W152" s="544"/>
      <c r="X152" s="544"/>
      <c r="Y152" s="544"/>
      <c r="Z152" s="544"/>
      <c r="AA152" s="544"/>
      <c r="AB152" s="544"/>
      <c r="AC152" s="544"/>
      <c r="AD152" s="544"/>
      <c r="AE152" s="183"/>
      <c r="AF152" s="183"/>
      <c r="AG152" s="183"/>
      <c r="AH152" s="183"/>
      <c r="AI152" s="183"/>
      <c r="AJ152" s="183"/>
      <c r="AK152" s="183"/>
      <c r="AL152" s="183"/>
      <c r="AM152" s="183"/>
    </row>
    <row r="153">
      <c r="A153" s="531" t="str">
        <f>IFERROR(__xludf.DUMMYFUNCTION("""COMPUTED_VALUE"""),"サイズ")</f>
        <v>サイズ</v>
      </c>
      <c r="B153" s="531" t="str">
        <f>IFERROR(__xludf.DUMMYFUNCTION("""COMPUTED_VALUE"""),"ジャケット / ジャコット")</f>
        <v>ジャケット / ジャコット</v>
      </c>
      <c r="C153" s="531" t="str">
        <f>IFERROR(__xludf.DUMMYFUNCTION("""COMPUTED_VALUE"""),"アーム前クリ")</f>
        <v>アーム前クリ</v>
      </c>
      <c r="D153" s="550"/>
      <c r="E153" s="533"/>
      <c r="F153" s="534" t="str">
        <f>IFERROR(__xludf.DUMMYFUNCTION("""COMPUTED_VALUE"""),"アーム前クリ")</f>
        <v>アーム前クリ</v>
      </c>
      <c r="G153" s="550" t="str">
        <f>IFERROR(__xludf.DUMMYFUNCTION("""COMPUTED_VALUE"""),"アーム前クリ")</f>
        <v>アーム前クリ</v>
      </c>
      <c r="H153" s="572" t="str">
        <f>IFERROR(__xludf.DUMMYFUNCTION("""COMPUTED_VALUE"""),"0.7")</f>
        <v>0.7</v>
      </c>
      <c r="I153" s="537"/>
      <c r="J153" s="538" t="str">
        <f>IFERROR(__xludf.DUMMYFUNCTION("""COMPUTED_VALUE"""),"再製作")</f>
        <v>再製作</v>
      </c>
      <c r="K153" s="538" t="str">
        <f>IFERROR(__xludf.DUMMYFUNCTION("""COMPUTED_VALUE"""),"再製作")</f>
        <v>再製作</v>
      </c>
      <c r="L153" s="539" t="str">
        <f>IFERROR(__xludf.DUMMYFUNCTION("""COMPUTED_VALUE"""),"再製作")</f>
        <v>再製作</v>
      </c>
      <c r="M153" s="540" t="str">
        <f>IFERROR(__xludf.DUMMYFUNCTION("""COMPUTED_VALUE"""),"再製作")</f>
        <v>再製作</v>
      </c>
      <c r="N153" s="538" t="str">
        <f>IFERROR(__xludf.DUMMYFUNCTION("""COMPUTED_VALUE"""),"再製作")</f>
        <v>再製作</v>
      </c>
      <c r="O153" s="183" t="str">
        <f>IFERROR(__xludf.DUMMYFUNCTION("""COMPUTED_VALUE"""),"再製作")</f>
        <v>再製作</v>
      </c>
      <c r="P153" s="183"/>
      <c r="Q153" s="183"/>
      <c r="R153" s="544"/>
      <c r="S153" s="544"/>
      <c r="T153" s="544"/>
      <c r="U153" s="544"/>
      <c r="V153" s="544"/>
      <c r="W153" s="544"/>
      <c r="X153" s="544"/>
      <c r="Y153" s="544"/>
      <c r="Z153" s="544"/>
      <c r="AA153" s="544"/>
      <c r="AB153" s="544"/>
      <c r="AC153" s="544"/>
      <c r="AD153" s="544"/>
      <c r="AE153" s="183"/>
      <c r="AF153" s="183"/>
      <c r="AG153" s="183"/>
      <c r="AH153" s="183"/>
      <c r="AI153" s="183"/>
      <c r="AJ153" s="183"/>
      <c r="AK153" s="183"/>
      <c r="AL153" s="183"/>
      <c r="AM153" s="183"/>
    </row>
    <row r="154">
      <c r="A154" s="531" t="str">
        <f>IFERROR(__xludf.DUMMYFUNCTION("""COMPUTED_VALUE"""),"サイズ")</f>
        <v>サイズ</v>
      </c>
      <c r="B154" s="531" t="str">
        <f>IFERROR(__xludf.DUMMYFUNCTION("""COMPUTED_VALUE"""),"ジャケット / ジャコット")</f>
        <v>ジャケット / ジャコット</v>
      </c>
      <c r="C154" s="531" t="str">
        <f>IFERROR(__xludf.DUMMYFUNCTION("""COMPUTED_VALUE"""),"鎌下げ（深）")</f>
        <v>鎌下げ（深）</v>
      </c>
      <c r="D154" s="550"/>
      <c r="E154" s="533"/>
      <c r="F154" s="534" t="str">
        <f>IFERROR(__xludf.DUMMYFUNCTION("""COMPUTED_VALUE"""),"鎌下げ（深）")</f>
        <v>鎌下げ（深）</v>
      </c>
      <c r="G154" s="550" t="str">
        <f>IFERROR(__xludf.DUMMYFUNCTION("""COMPUTED_VALUE"""),"鎌下げ（深）")</f>
        <v>鎌下げ（深）</v>
      </c>
      <c r="H154" s="572" t="str">
        <f>IFERROR(__xludf.DUMMYFUNCTION("""COMPUTED_VALUE"""),"0.5")</f>
        <v>0.5</v>
      </c>
      <c r="I154" s="537"/>
      <c r="J154" s="538" t="str">
        <f>IFERROR(__xludf.DUMMYFUNCTION("""COMPUTED_VALUE"""),"再製作")</f>
        <v>再製作</v>
      </c>
      <c r="K154" s="538" t="str">
        <f>IFERROR(__xludf.DUMMYFUNCTION("""COMPUTED_VALUE"""),"再製作")</f>
        <v>再製作</v>
      </c>
      <c r="L154" s="539" t="str">
        <f>IFERROR(__xludf.DUMMYFUNCTION("""COMPUTED_VALUE"""),"再製作")</f>
        <v>再製作</v>
      </c>
      <c r="M154" s="540" t="str">
        <f>IFERROR(__xludf.DUMMYFUNCTION("""COMPUTED_VALUE"""),"再製作")</f>
        <v>再製作</v>
      </c>
      <c r="N154" s="538" t="str">
        <f>IFERROR(__xludf.DUMMYFUNCTION("""COMPUTED_VALUE"""),"再製作")</f>
        <v>再製作</v>
      </c>
      <c r="O154" s="183" t="str">
        <f>IFERROR(__xludf.DUMMYFUNCTION("""COMPUTED_VALUE"""),"再製作")</f>
        <v>再製作</v>
      </c>
      <c r="P154" s="183"/>
      <c r="Q154" s="183"/>
      <c r="R154" s="544"/>
      <c r="S154" s="544"/>
      <c r="T154" s="544"/>
      <c r="U154" s="544"/>
      <c r="V154" s="544"/>
      <c r="W154" s="544"/>
      <c r="X154" s="544"/>
      <c r="Y154" s="544"/>
      <c r="Z154" s="544"/>
      <c r="AA154" s="544"/>
      <c r="AB154" s="544"/>
      <c r="AC154" s="544"/>
      <c r="AD154" s="544"/>
      <c r="AE154" s="183"/>
      <c r="AF154" s="183"/>
      <c r="AG154" s="183"/>
      <c r="AH154" s="183"/>
      <c r="AI154" s="183"/>
      <c r="AJ154" s="183"/>
      <c r="AK154" s="183"/>
      <c r="AL154" s="183"/>
      <c r="AM154" s="183"/>
    </row>
    <row r="155">
      <c r="A155" s="531" t="str">
        <f>IFERROR(__xludf.DUMMYFUNCTION("""COMPUTED_VALUE"""),"サイズ")</f>
        <v>サイズ</v>
      </c>
      <c r="B155" s="531" t="str">
        <f>IFERROR(__xludf.DUMMYFUNCTION("""COMPUTED_VALUE"""),"ジャケット / ジャコット")</f>
        <v>ジャケット / ジャコット</v>
      </c>
      <c r="C155" s="531" t="str">
        <f>IFERROR(__xludf.DUMMYFUNCTION("""COMPUTED_VALUE"""),"鎌下げ（深）")</f>
        <v>鎌下げ（深）</v>
      </c>
      <c r="D155" s="550"/>
      <c r="E155" s="533"/>
      <c r="F155" s="534" t="str">
        <f>IFERROR(__xludf.DUMMYFUNCTION("""COMPUTED_VALUE"""),"鎌下げ（深）")</f>
        <v>鎌下げ（深）</v>
      </c>
      <c r="G155" s="550" t="str">
        <f>IFERROR(__xludf.DUMMYFUNCTION("""COMPUTED_VALUE"""),"鎌下げ（深）")</f>
        <v>鎌下げ（深）</v>
      </c>
      <c r="H155" s="572" t="str">
        <f>IFERROR(__xludf.DUMMYFUNCTION("""COMPUTED_VALUE"""),"1")</f>
        <v>1</v>
      </c>
      <c r="I155" s="537"/>
      <c r="J155" s="538" t="str">
        <f>IFERROR(__xludf.DUMMYFUNCTION("""COMPUTED_VALUE"""),"再製作")</f>
        <v>再製作</v>
      </c>
      <c r="K155" s="538" t="str">
        <f>IFERROR(__xludf.DUMMYFUNCTION("""COMPUTED_VALUE"""),"再製作")</f>
        <v>再製作</v>
      </c>
      <c r="L155" s="539" t="str">
        <f>IFERROR(__xludf.DUMMYFUNCTION("""COMPUTED_VALUE"""),"再製作")</f>
        <v>再製作</v>
      </c>
      <c r="M155" s="540" t="str">
        <f>IFERROR(__xludf.DUMMYFUNCTION("""COMPUTED_VALUE"""),"再製作")</f>
        <v>再製作</v>
      </c>
      <c r="N155" s="538" t="str">
        <f>IFERROR(__xludf.DUMMYFUNCTION("""COMPUTED_VALUE"""),"再製作")</f>
        <v>再製作</v>
      </c>
      <c r="O155" s="183" t="str">
        <f>IFERROR(__xludf.DUMMYFUNCTION("""COMPUTED_VALUE"""),"再製作")</f>
        <v>再製作</v>
      </c>
      <c r="P155" s="183"/>
      <c r="Q155" s="183"/>
      <c r="R155" s="544"/>
      <c r="S155" s="544"/>
      <c r="T155" s="544"/>
      <c r="U155" s="544"/>
      <c r="V155" s="544"/>
      <c r="W155" s="544"/>
      <c r="X155" s="544"/>
      <c r="Y155" s="544"/>
      <c r="Z155" s="544"/>
      <c r="AA155" s="544"/>
      <c r="AB155" s="544"/>
      <c r="AC155" s="544"/>
      <c r="AD155" s="544"/>
      <c r="AE155" s="183"/>
      <c r="AF155" s="183"/>
      <c r="AG155" s="183"/>
      <c r="AH155" s="183"/>
      <c r="AI155" s="183"/>
      <c r="AJ155" s="183"/>
      <c r="AK155" s="183"/>
      <c r="AL155" s="183"/>
      <c r="AM155" s="183"/>
    </row>
    <row r="156">
      <c r="A156" s="531" t="str">
        <f>IFERROR(__xludf.DUMMYFUNCTION("""COMPUTED_VALUE"""),"サイズ - ウィメンズ")</f>
        <v>サイズ - ウィメンズ</v>
      </c>
      <c r="B156" s="531" t="str">
        <f>IFERROR(__xludf.DUMMYFUNCTION("""COMPUTED_VALUE"""),"ジャケット / ジャコット")</f>
        <v>ジャケット / ジャコット</v>
      </c>
      <c r="C156" s="531" t="str">
        <f>IFERROR(__xludf.DUMMYFUNCTION("""COMPUTED_VALUE"""),"ウエスト")</f>
        <v>ウエスト</v>
      </c>
      <c r="D156" s="550" t="str">
        <f>IFERROR(__xludf.DUMMYFUNCTION("""COMPUTED_VALUE"""),"センターベント")</f>
        <v>センターベント</v>
      </c>
      <c r="E156" s="533"/>
      <c r="F156" s="534" t="str">
        <f>IFERROR(__xludf.DUMMYFUNCTION("""COMPUTED_VALUE"""),"ウエスト / センターベント")</f>
        <v>ウエスト / センターベント</v>
      </c>
      <c r="G156" s="550" t="str">
        <f>IFERROR(__xludf.DUMMYFUNCTION("""COMPUTED_VALUE"""),"ウエスト / センターベント")</f>
        <v>ウエスト / センターベント</v>
      </c>
      <c r="H156" s="572" t="str">
        <f>IFERROR(__xludf.DUMMYFUNCTION("""COMPUTED_VALUE"""),"-4")</f>
        <v>-4</v>
      </c>
      <c r="I156" s="537"/>
      <c r="J156" s="538">
        <f>IFERROR(__xludf.DUMMYFUNCTION("""COMPUTED_VALUE"""),7.0)</f>
        <v>7</v>
      </c>
      <c r="K156" s="537">
        <f>IFERROR(__xludf.DUMMYFUNCTION("""COMPUTED_VALUE"""),46000.0)</f>
        <v>46000</v>
      </c>
      <c r="L156" s="539">
        <f>IFERROR(__xludf.DUMMYFUNCTION("""COMPUTED_VALUE"""),46003.0)</f>
        <v>46003</v>
      </c>
      <c r="M156" s="540">
        <f>IFERROR(__xludf.DUMMYFUNCTION("""COMPUTED_VALUE"""),46008.0)</f>
        <v>46008</v>
      </c>
      <c r="N156" s="539">
        <f>IFERROR(__xludf.DUMMYFUNCTION("""COMPUTED_VALUE"""),7370.0)</f>
        <v>7370</v>
      </c>
      <c r="O156" s="593">
        <f>IFERROR(__xludf.DUMMYFUNCTION("""COMPUTED_VALUE"""),6700.0)</f>
        <v>6700</v>
      </c>
      <c r="P156" s="594">
        <f>IFERROR(__xludf.DUMMYFUNCTION("""COMPUTED_VALUE"""),4500.0)</f>
        <v>4500</v>
      </c>
      <c r="Q156" s="183"/>
      <c r="R156" s="544"/>
      <c r="S156" s="544"/>
      <c r="T156" s="544"/>
      <c r="U156" s="544"/>
      <c r="V156" s="544"/>
      <c r="W156" s="544"/>
      <c r="X156" s="544"/>
      <c r="Y156" s="544"/>
      <c r="Z156" s="544"/>
      <c r="AA156" s="544"/>
      <c r="AB156" s="544"/>
      <c r="AC156" s="544"/>
      <c r="AD156" s="544"/>
      <c r="AE156" s="183"/>
      <c r="AF156" s="183"/>
      <c r="AG156" s="183"/>
      <c r="AH156" s="183"/>
      <c r="AI156" s="183"/>
      <c r="AJ156" s="183"/>
      <c r="AK156" s="183"/>
      <c r="AL156" s="183"/>
      <c r="AM156" s="183"/>
    </row>
    <row r="157">
      <c r="A157" s="531" t="str">
        <f>IFERROR(__xludf.DUMMYFUNCTION("""COMPUTED_VALUE"""),"サイズ - ウィメンズ")</f>
        <v>サイズ - ウィメンズ</v>
      </c>
      <c r="B157" s="531" t="str">
        <f>IFERROR(__xludf.DUMMYFUNCTION("""COMPUTED_VALUE"""),"ジャケット / ジャコット")</f>
        <v>ジャケット / ジャコット</v>
      </c>
      <c r="C157" s="531" t="str">
        <f>IFERROR(__xludf.DUMMYFUNCTION("""COMPUTED_VALUE"""),"ウエスト")</f>
        <v>ウエスト</v>
      </c>
      <c r="D157" s="550" t="str">
        <f>IFERROR(__xludf.DUMMYFUNCTION("""COMPUTED_VALUE"""),"センターベント")</f>
        <v>センターベント</v>
      </c>
      <c r="E157" s="533"/>
      <c r="F157" s="534" t="str">
        <f>IFERROR(__xludf.DUMMYFUNCTION("""COMPUTED_VALUE"""),"ウエスト / センターベント")</f>
        <v>ウエスト / センターベント</v>
      </c>
      <c r="G157" s="550" t="str">
        <f>IFERROR(__xludf.DUMMYFUNCTION("""COMPUTED_VALUE"""),"ウエスト / センターベント")</f>
        <v>ウエスト / センターベント</v>
      </c>
      <c r="H157" s="572" t="str">
        <f>IFERROR(__xludf.DUMMYFUNCTION("""COMPUTED_VALUE"""),"-3")</f>
        <v>-3</v>
      </c>
      <c r="I157" s="537"/>
      <c r="J157" s="538">
        <f>IFERROR(__xludf.DUMMYFUNCTION("""COMPUTED_VALUE"""),7.0)</f>
        <v>7</v>
      </c>
      <c r="K157" s="537">
        <f>IFERROR(__xludf.DUMMYFUNCTION("""COMPUTED_VALUE"""),46000.0)</f>
        <v>46000</v>
      </c>
      <c r="L157" s="539">
        <f>IFERROR(__xludf.DUMMYFUNCTION("""COMPUTED_VALUE"""),46003.0)</f>
        <v>46003</v>
      </c>
      <c r="M157" s="540">
        <f>IFERROR(__xludf.DUMMYFUNCTION("""COMPUTED_VALUE"""),46008.0)</f>
        <v>46008</v>
      </c>
      <c r="N157" s="539">
        <f>IFERROR(__xludf.DUMMYFUNCTION("""COMPUTED_VALUE"""),7370.0)</f>
        <v>7370</v>
      </c>
      <c r="O157" s="593">
        <f>IFERROR(__xludf.DUMMYFUNCTION("""COMPUTED_VALUE"""),6700.0)</f>
        <v>6700</v>
      </c>
      <c r="P157" s="594">
        <f>IFERROR(__xludf.DUMMYFUNCTION("""COMPUTED_VALUE"""),4500.0)</f>
        <v>4500</v>
      </c>
      <c r="Q157" s="183"/>
      <c r="R157" s="544"/>
      <c r="S157" s="544"/>
      <c r="T157" s="544"/>
      <c r="U157" s="544"/>
      <c r="V157" s="544"/>
      <c r="W157" s="544"/>
      <c r="X157" s="544"/>
      <c r="Y157" s="544"/>
      <c r="Z157" s="544"/>
      <c r="AA157" s="544"/>
      <c r="AB157" s="544"/>
      <c r="AC157" s="544"/>
      <c r="AD157" s="544"/>
      <c r="AE157" s="183"/>
      <c r="AF157" s="183"/>
      <c r="AG157" s="183"/>
      <c r="AH157" s="183"/>
      <c r="AI157" s="183"/>
      <c r="AJ157" s="183"/>
      <c r="AK157" s="183"/>
      <c r="AL157" s="183"/>
      <c r="AM157" s="183"/>
    </row>
    <row r="158">
      <c r="A158" s="531" t="str">
        <f>IFERROR(__xludf.DUMMYFUNCTION("""COMPUTED_VALUE"""),"サイズ - ウィメンズ")</f>
        <v>サイズ - ウィメンズ</v>
      </c>
      <c r="B158" s="531" t="str">
        <f>IFERROR(__xludf.DUMMYFUNCTION("""COMPUTED_VALUE"""),"ジャケット / ジャコット")</f>
        <v>ジャケット / ジャコット</v>
      </c>
      <c r="C158" s="531" t="str">
        <f>IFERROR(__xludf.DUMMYFUNCTION("""COMPUTED_VALUE"""),"ウエスト")</f>
        <v>ウエスト</v>
      </c>
      <c r="D158" s="550" t="str">
        <f>IFERROR(__xludf.DUMMYFUNCTION("""COMPUTED_VALUE"""),"センターベント")</f>
        <v>センターベント</v>
      </c>
      <c r="E158" s="533"/>
      <c r="F158" s="534" t="str">
        <f>IFERROR(__xludf.DUMMYFUNCTION("""COMPUTED_VALUE"""),"ウエスト / センターベント")</f>
        <v>ウエスト / センターベント</v>
      </c>
      <c r="G158" s="550" t="str">
        <f>IFERROR(__xludf.DUMMYFUNCTION("""COMPUTED_VALUE"""),"ウエスト / センターベント")</f>
        <v>ウエスト / センターベント</v>
      </c>
      <c r="H158" s="572" t="str">
        <f>IFERROR(__xludf.DUMMYFUNCTION("""COMPUTED_VALUE"""),"-2")</f>
        <v>-2</v>
      </c>
      <c r="I158" s="537"/>
      <c r="J158" s="538">
        <f>IFERROR(__xludf.DUMMYFUNCTION("""COMPUTED_VALUE"""),7.0)</f>
        <v>7</v>
      </c>
      <c r="K158" s="537">
        <f>IFERROR(__xludf.DUMMYFUNCTION("""COMPUTED_VALUE"""),46000.0)</f>
        <v>46000</v>
      </c>
      <c r="L158" s="539">
        <f>IFERROR(__xludf.DUMMYFUNCTION("""COMPUTED_VALUE"""),46003.0)</f>
        <v>46003</v>
      </c>
      <c r="M158" s="540">
        <f>IFERROR(__xludf.DUMMYFUNCTION("""COMPUTED_VALUE"""),46008.0)</f>
        <v>46008</v>
      </c>
      <c r="N158" s="539">
        <f>IFERROR(__xludf.DUMMYFUNCTION("""COMPUTED_VALUE"""),7370.0)</f>
        <v>7370</v>
      </c>
      <c r="O158" s="593">
        <f>IFERROR(__xludf.DUMMYFUNCTION("""COMPUTED_VALUE"""),6700.0)</f>
        <v>6700</v>
      </c>
      <c r="P158" s="594">
        <f>IFERROR(__xludf.DUMMYFUNCTION("""COMPUTED_VALUE"""),4500.0)</f>
        <v>4500</v>
      </c>
      <c r="Q158" s="183"/>
      <c r="R158" s="544"/>
      <c r="S158" s="544"/>
      <c r="T158" s="544"/>
      <c r="U158" s="544"/>
      <c r="V158" s="544"/>
      <c r="W158" s="544"/>
      <c r="X158" s="544"/>
      <c r="Y158" s="544"/>
      <c r="Z158" s="544"/>
      <c r="AA158" s="544"/>
      <c r="AB158" s="544"/>
      <c r="AC158" s="544"/>
      <c r="AD158" s="544"/>
      <c r="AE158" s="183"/>
      <c r="AF158" s="183"/>
      <c r="AG158" s="183"/>
      <c r="AH158" s="183"/>
      <c r="AI158" s="183"/>
      <c r="AJ158" s="183"/>
      <c r="AK158" s="183"/>
      <c r="AL158" s="183"/>
      <c r="AM158" s="183"/>
    </row>
    <row r="159">
      <c r="A159" s="531" t="str">
        <f>IFERROR(__xludf.DUMMYFUNCTION("""COMPUTED_VALUE"""),"サイズ - ウィメンズ")</f>
        <v>サイズ - ウィメンズ</v>
      </c>
      <c r="B159" s="531" t="str">
        <f>IFERROR(__xludf.DUMMYFUNCTION("""COMPUTED_VALUE"""),"ジャケット / ジャコット")</f>
        <v>ジャケット / ジャコット</v>
      </c>
      <c r="C159" s="531" t="str">
        <f>IFERROR(__xludf.DUMMYFUNCTION("""COMPUTED_VALUE"""),"ウエスト")</f>
        <v>ウエスト</v>
      </c>
      <c r="D159" s="550" t="str">
        <f>IFERROR(__xludf.DUMMYFUNCTION("""COMPUTED_VALUE"""),"センターベント")</f>
        <v>センターベント</v>
      </c>
      <c r="E159" s="533"/>
      <c r="F159" s="534" t="str">
        <f>IFERROR(__xludf.DUMMYFUNCTION("""COMPUTED_VALUE"""),"ウエスト / センターベント")</f>
        <v>ウエスト / センターベント</v>
      </c>
      <c r="G159" s="550" t="str">
        <f>IFERROR(__xludf.DUMMYFUNCTION("""COMPUTED_VALUE"""),"ウエスト / センターベント")</f>
        <v>ウエスト / センターベント</v>
      </c>
      <c r="H159" s="572" t="str">
        <f>IFERROR(__xludf.DUMMYFUNCTION("""COMPUTED_VALUE"""),"-1")</f>
        <v>-1</v>
      </c>
      <c r="I159" s="537"/>
      <c r="J159" s="538">
        <f>IFERROR(__xludf.DUMMYFUNCTION("""COMPUTED_VALUE"""),7.0)</f>
        <v>7</v>
      </c>
      <c r="K159" s="537">
        <f>IFERROR(__xludf.DUMMYFUNCTION("""COMPUTED_VALUE"""),46000.0)</f>
        <v>46000</v>
      </c>
      <c r="L159" s="539">
        <f>IFERROR(__xludf.DUMMYFUNCTION("""COMPUTED_VALUE"""),46003.0)</f>
        <v>46003</v>
      </c>
      <c r="M159" s="540">
        <f>IFERROR(__xludf.DUMMYFUNCTION("""COMPUTED_VALUE"""),46008.0)</f>
        <v>46008</v>
      </c>
      <c r="N159" s="539">
        <f>IFERROR(__xludf.DUMMYFUNCTION("""COMPUTED_VALUE"""),7370.0)</f>
        <v>7370</v>
      </c>
      <c r="O159" s="593">
        <f>IFERROR(__xludf.DUMMYFUNCTION("""COMPUTED_VALUE"""),6700.0)</f>
        <v>6700</v>
      </c>
      <c r="P159" s="594">
        <f>IFERROR(__xludf.DUMMYFUNCTION("""COMPUTED_VALUE"""),4500.0)</f>
        <v>4500</v>
      </c>
      <c r="Q159" s="183"/>
      <c r="R159" s="544"/>
      <c r="S159" s="544"/>
      <c r="T159" s="544"/>
      <c r="U159" s="544"/>
      <c r="V159" s="544"/>
      <c r="W159" s="544"/>
      <c r="X159" s="544"/>
      <c r="Y159" s="544"/>
      <c r="Z159" s="544"/>
      <c r="AA159" s="544"/>
      <c r="AB159" s="544"/>
      <c r="AC159" s="544"/>
      <c r="AD159" s="544"/>
      <c r="AE159" s="183"/>
      <c r="AF159" s="183"/>
      <c r="AG159" s="183"/>
      <c r="AH159" s="183"/>
      <c r="AI159" s="183"/>
      <c r="AJ159" s="183"/>
      <c r="AK159" s="183"/>
      <c r="AL159" s="183"/>
      <c r="AM159" s="183"/>
    </row>
    <row r="160">
      <c r="A160" s="531" t="str">
        <f>IFERROR(__xludf.DUMMYFUNCTION("""COMPUTED_VALUE"""),"サイズ - ウィメンズ")</f>
        <v>サイズ - ウィメンズ</v>
      </c>
      <c r="B160" s="531" t="str">
        <f>IFERROR(__xludf.DUMMYFUNCTION("""COMPUTED_VALUE"""),"ジャケット / ジャコット")</f>
        <v>ジャケット / ジャコット</v>
      </c>
      <c r="C160" s="531" t="str">
        <f>IFERROR(__xludf.DUMMYFUNCTION("""COMPUTED_VALUE"""),"ウエスト")</f>
        <v>ウエスト</v>
      </c>
      <c r="D160" s="550" t="str">
        <f>IFERROR(__xludf.DUMMYFUNCTION("""COMPUTED_VALUE"""),"センターベント")</f>
        <v>センターベント</v>
      </c>
      <c r="E160" s="533"/>
      <c r="F160" s="534" t="str">
        <f>IFERROR(__xludf.DUMMYFUNCTION("""COMPUTED_VALUE"""),"ウエスト / センターベント")</f>
        <v>ウエスト / センターベント</v>
      </c>
      <c r="G160" s="550" t="str">
        <f>IFERROR(__xludf.DUMMYFUNCTION("""COMPUTED_VALUE"""),"ウエスト / センターベント")</f>
        <v>ウエスト / センターベント</v>
      </c>
      <c r="H160" s="572" t="str">
        <f>IFERROR(__xludf.DUMMYFUNCTION("""COMPUTED_VALUE"""),"1")</f>
        <v>1</v>
      </c>
      <c r="I160" s="537"/>
      <c r="J160" s="538">
        <f>IFERROR(__xludf.DUMMYFUNCTION("""COMPUTED_VALUE"""),7.0)</f>
        <v>7</v>
      </c>
      <c r="K160" s="537">
        <f>IFERROR(__xludf.DUMMYFUNCTION("""COMPUTED_VALUE"""),46000.0)</f>
        <v>46000</v>
      </c>
      <c r="L160" s="539">
        <f>IFERROR(__xludf.DUMMYFUNCTION("""COMPUTED_VALUE"""),46003.0)</f>
        <v>46003</v>
      </c>
      <c r="M160" s="540">
        <f>IFERROR(__xludf.DUMMYFUNCTION("""COMPUTED_VALUE"""),46008.0)</f>
        <v>46008</v>
      </c>
      <c r="N160" s="539">
        <f>IFERROR(__xludf.DUMMYFUNCTION("""COMPUTED_VALUE"""),4950.0)</f>
        <v>4950</v>
      </c>
      <c r="O160" s="593">
        <f>IFERROR(__xludf.DUMMYFUNCTION("""COMPUTED_VALUE"""),4500.0)</f>
        <v>4500</v>
      </c>
      <c r="P160" s="594">
        <f>IFERROR(__xludf.DUMMYFUNCTION("""COMPUTED_VALUE"""),3000.0)</f>
        <v>3000</v>
      </c>
      <c r="Q160" s="183"/>
      <c r="R160" s="544"/>
      <c r="S160" s="544"/>
      <c r="T160" s="544"/>
      <c r="U160" s="544"/>
      <c r="V160" s="544"/>
      <c r="W160" s="544"/>
      <c r="X160" s="544"/>
      <c r="Y160" s="544"/>
      <c r="Z160" s="544"/>
      <c r="AA160" s="544"/>
      <c r="AB160" s="544"/>
      <c r="AC160" s="544"/>
      <c r="AD160" s="544"/>
      <c r="AE160" s="183"/>
      <c r="AF160" s="183"/>
      <c r="AG160" s="183"/>
      <c r="AH160" s="183"/>
      <c r="AI160" s="183"/>
      <c r="AJ160" s="183"/>
      <c r="AK160" s="183"/>
      <c r="AL160" s="183"/>
      <c r="AM160" s="183"/>
    </row>
    <row r="161">
      <c r="A161" s="531" t="str">
        <f>IFERROR(__xludf.DUMMYFUNCTION("""COMPUTED_VALUE"""),"サイズ - ウィメンズ")</f>
        <v>サイズ - ウィメンズ</v>
      </c>
      <c r="B161" s="531" t="str">
        <f>IFERROR(__xludf.DUMMYFUNCTION("""COMPUTED_VALUE"""),"ジャケット / ジャコット")</f>
        <v>ジャケット / ジャコット</v>
      </c>
      <c r="C161" s="531" t="str">
        <f>IFERROR(__xludf.DUMMYFUNCTION("""COMPUTED_VALUE"""),"ウエスト")</f>
        <v>ウエスト</v>
      </c>
      <c r="D161" s="550" t="str">
        <f>IFERROR(__xludf.DUMMYFUNCTION("""COMPUTED_VALUE"""),"センターベント")</f>
        <v>センターベント</v>
      </c>
      <c r="E161" s="533"/>
      <c r="F161" s="534" t="str">
        <f>IFERROR(__xludf.DUMMYFUNCTION("""COMPUTED_VALUE"""),"ウエスト / センターベント")</f>
        <v>ウエスト / センターベント</v>
      </c>
      <c r="G161" s="550" t="str">
        <f>IFERROR(__xludf.DUMMYFUNCTION("""COMPUTED_VALUE"""),"ウエスト / センターベント")</f>
        <v>ウエスト / センターベント</v>
      </c>
      <c r="H161" s="572" t="str">
        <f>IFERROR(__xludf.DUMMYFUNCTION("""COMPUTED_VALUE"""),"2")</f>
        <v>2</v>
      </c>
      <c r="I161" s="536"/>
      <c r="J161" s="538">
        <f>IFERROR(__xludf.DUMMYFUNCTION("""COMPUTED_VALUE"""),7.0)</f>
        <v>7</v>
      </c>
      <c r="K161" s="537">
        <f>IFERROR(__xludf.DUMMYFUNCTION("""COMPUTED_VALUE"""),46000.0)</f>
        <v>46000</v>
      </c>
      <c r="L161" s="539">
        <f>IFERROR(__xludf.DUMMYFUNCTION("""COMPUTED_VALUE"""),46003.0)</f>
        <v>46003</v>
      </c>
      <c r="M161" s="540">
        <f>IFERROR(__xludf.DUMMYFUNCTION("""COMPUTED_VALUE"""),46008.0)</f>
        <v>46008</v>
      </c>
      <c r="N161" s="539">
        <f>IFERROR(__xludf.DUMMYFUNCTION("""COMPUTED_VALUE"""),4950.0)</f>
        <v>4950</v>
      </c>
      <c r="O161" s="593">
        <f>IFERROR(__xludf.DUMMYFUNCTION("""COMPUTED_VALUE"""),4500.0)</f>
        <v>4500</v>
      </c>
      <c r="P161" s="594">
        <f>IFERROR(__xludf.DUMMYFUNCTION("""COMPUTED_VALUE"""),3000.0)</f>
        <v>3000</v>
      </c>
      <c r="Q161" s="183"/>
      <c r="R161" s="544"/>
      <c r="S161" s="544"/>
      <c r="T161" s="544"/>
      <c r="U161" s="544"/>
      <c r="V161" s="544"/>
      <c r="W161" s="544"/>
      <c r="X161" s="544"/>
      <c r="Y161" s="544"/>
      <c r="Z161" s="544"/>
      <c r="AA161" s="544"/>
      <c r="AB161" s="544"/>
      <c r="AC161" s="544"/>
      <c r="AD161" s="544"/>
      <c r="AE161" s="183"/>
      <c r="AF161" s="183"/>
      <c r="AG161" s="183"/>
      <c r="AH161" s="183"/>
      <c r="AI161" s="183"/>
      <c r="AJ161" s="183"/>
      <c r="AK161" s="183"/>
      <c r="AL161" s="183"/>
      <c r="AM161" s="183"/>
    </row>
    <row r="162">
      <c r="A162" s="531" t="str">
        <f>IFERROR(__xludf.DUMMYFUNCTION("""COMPUTED_VALUE"""),"サイズ - ウィメンズ")</f>
        <v>サイズ - ウィメンズ</v>
      </c>
      <c r="B162" s="531" t="str">
        <f>IFERROR(__xludf.DUMMYFUNCTION("""COMPUTED_VALUE"""),"ジャケット / ジャコット")</f>
        <v>ジャケット / ジャコット</v>
      </c>
      <c r="C162" s="531" t="str">
        <f>IFERROR(__xludf.DUMMYFUNCTION("""COMPUTED_VALUE"""),"ウエスト")</f>
        <v>ウエスト</v>
      </c>
      <c r="D162" s="550" t="str">
        <f>IFERROR(__xludf.DUMMYFUNCTION("""COMPUTED_VALUE"""),"センターベント")</f>
        <v>センターベント</v>
      </c>
      <c r="E162" s="533"/>
      <c r="F162" s="534" t="str">
        <f>IFERROR(__xludf.DUMMYFUNCTION("""COMPUTED_VALUE"""),"ウエスト / センターベント")</f>
        <v>ウエスト / センターベント</v>
      </c>
      <c r="G162" s="550" t="str">
        <f>IFERROR(__xludf.DUMMYFUNCTION("""COMPUTED_VALUE"""),"ウエスト / センターベント")</f>
        <v>ウエスト / センターベント</v>
      </c>
      <c r="H162" s="572" t="str">
        <f>IFERROR(__xludf.DUMMYFUNCTION("""COMPUTED_VALUE"""),"3")</f>
        <v>3</v>
      </c>
      <c r="I162" s="536"/>
      <c r="J162" s="538">
        <f>IFERROR(__xludf.DUMMYFUNCTION("""COMPUTED_VALUE"""),7.0)</f>
        <v>7</v>
      </c>
      <c r="K162" s="537">
        <f>IFERROR(__xludf.DUMMYFUNCTION("""COMPUTED_VALUE"""),46000.0)</f>
        <v>46000</v>
      </c>
      <c r="L162" s="539">
        <f>IFERROR(__xludf.DUMMYFUNCTION("""COMPUTED_VALUE"""),46003.0)</f>
        <v>46003</v>
      </c>
      <c r="M162" s="540">
        <f>IFERROR(__xludf.DUMMYFUNCTION("""COMPUTED_VALUE"""),46008.0)</f>
        <v>46008</v>
      </c>
      <c r="N162" s="539">
        <f>IFERROR(__xludf.DUMMYFUNCTION("""COMPUTED_VALUE"""),4950.0)</f>
        <v>4950</v>
      </c>
      <c r="O162" s="593">
        <f>IFERROR(__xludf.DUMMYFUNCTION("""COMPUTED_VALUE"""),4500.0)</f>
        <v>4500</v>
      </c>
      <c r="P162" s="594">
        <f>IFERROR(__xludf.DUMMYFUNCTION("""COMPUTED_VALUE"""),3000.0)</f>
        <v>3000</v>
      </c>
      <c r="Q162" s="183"/>
      <c r="R162" s="544"/>
      <c r="S162" s="544"/>
      <c r="T162" s="544"/>
      <c r="U162" s="544"/>
      <c r="V162" s="544"/>
      <c r="W162" s="544"/>
      <c r="X162" s="544"/>
      <c r="Y162" s="544"/>
      <c r="Z162" s="544"/>
      <c r="AA162" s="544"/>
      <c r="AB162" s="544"/>
      <c r="AC162" s="544"/>
      <c r="AD162" s="544"/>
      <c r="AE162" s="183"/>
      <c r="AF162" s="183"/>
      <c r="AG162" s="183"/>
      <c r="AH162" s="183"/>
      <c r="AI162" s="183"/>
      <c r="AJ162" s="183"/>
      <c r="AK162" s="183"/>
      <c r="AL162" s="183"/>
      <c r="AM162" s="183"/>
    </row>
    <row r="163">
      <c r="A163" s="531" t="str">
        <f>IFERROR(__xludf.DUMMYFUNCTION("""COMPUTED_VALUE"""),"サイズ")</f>
        <v>サイズ</v>
      </c>
      <c r="B163" s="531" t="str">
        <f>IFERROR(__xludf.DUMMYFUNCTION("""COMPUTED_VALUE"""),"ジャケット / ジャコット")</f>
        <v>ジャケット / ジャコット</v>
      </c>
      <c r="C163" s="531" t="str">
        <f>IFERROR(__xludf.DUMMYFUNCTION("""COMPUTED_VALUE"""),"鎌下げ（浅）")</f>
        <v>鎌下げ（浅）</v>
      </c>
      <c r="D163" s="550"/>
      <c r="E163" s="550" t="str">
        <f>IFERROR(__xludf.DUMMYFUNCTION("""COMPUTED_VALUE"""),"※逆補正を含む、補正が入っていない時のみ、お直し可")</f>
        <v>※逆補正を含む、補正が入っていない時のみ、お直し可</v>
      </c>
      <c r="F163" s="534" t="str">
        <f>IFERROR(__xludf.DUMMYFUNCTION("""COMPUTED_VALUE"""),"鎌下げ（浅）")</f>
        <v>鎌下げ（浅）</v>
      </c>
      <c r="G163" s="550" t="str">
        <f>IFERROR(__xludf.DUMMYFUNCTION("""COMPUTED_VALUE"""),"鎌下げ（浅）（※逆補正を含む、補正が入っていない時のみ、お直し可）")</f>
        <v>鎌下げ（浅）（※逆補正を含む、補正が入っていない時のみ、お直し可）</v>
      </c>
      <c r="H163" s="572" t="str">
        <f>IFERROR(__xludf.DUMMYFUNCTION("""COMPUTED_VALUE"""),"-0.5")</f>
        <v>-0.5</v>
      </c>
      <c r="I163" s="536"/>
      <c r="J163" s="538">
        <f>IFERROR(__xludf.DUMMYFUNCTION("""COMPUTED_VALUE"""),10.0)</f>
        <v>10</v>
      </c>
      <c r="K163" s="537">
        <f>IFERROR(__xludf.DUMMYFUNCTION("""COMPUTED_VALUE"""),46003.0)</f>
        <v>46003</v>
      </c>
      <c r="L163" s="539">
        <f>IFERROR(__xludf.DUMMYFUNCTION("""COMPUTED_VALUE"""),46003.0)</f>
        <v>46003</v>
      </c>
      <c r="M163" s="540">
        <f>IFERROR(__xludf.DUMMYFUNCTION("""COMPUTED_VALUE"""),46008.0)</f>
        <v>46008</v>
      </c>
      <c r="N163" s="539">
        <f>IFERROR(__xludf.DUMMYFUNCTION("""COMPUTED_VALUE"""),6600.0)</f>
        <v>6600</v>
      </c>
      <c r="O163" s="593">
        <f>IFERROR(__xludf.DUMMYFUNCTION("""COMPUTED_VALUE"""),6000.0)</f>
        <v>6000</v>
      </c>
      <c r="P163" s="594">
        <f>IFERROR(__xludf.DUMMYFUNCTION("""COMPUTED_VALUE"""),4000.0)</f>
        <v>4000</v>
      </c>
      <c r="Q163" s="183"/>
      <c r="R163" s="544"/>
      <c r="S163" s="544"/>
      <c r="T163" s="544"/>
      <c r="U163" s="544"/>
      <c r="V163" s="544"/>
      <c r="W163" s="544"/>
      <c r="X163" s="544"/>
      <c r="Y163" s="544"/>
      <c r="Z163" s="544"/>
      <c r="AA163" s="544"/>
      <c r="AB163" s="544"/>
      <c r="AC163" s="544"/>
      <c r="AD163" s="544"/>
      <c r="AE163" s="183"/>
      <c r="AF163" s="183"/>
      <c r="AG163" s="183"/>
      <c r="AH163" s="183"/>
      <c r="AI163" s="183"/>
      <c r="AJ163" s="183"/>
      <c r="AK163" s="183"/>
      <c r="AL163" s="183"/>
      <c r="AM163" s="183"/>
    </row>
    <row r="164">
      <c r="A164" s="531" t="str">
        <f>IFERROR(__xludf.DUMMYFUNCTION("""COMPUTED_VALUE"""),"サイズ - ウィメンズ")</f>
        <v>サイズ - ウィメンズ</v>
      </c>
      <c r="B164" s="531" t="str">
        <f>IFERROR(__xludf.DUMMYFUNCTION("""COMPUTED_VALUE"""),"ジャケット / ジャコット")</f>
        <v>ジャケット / ジャコット</v>
      </c>
      <c r="C164" s="531" t="str">
        <f>IFERROR(__xludf.DUMMYFUNCTION("""COMPUTED_VALUE"""),"袖丈")</f>
        <v>袖丈</v>
      </c>
      <c r="D164" s="550" t="str">
        <f>IFERROR(__xludf.DUMMYFUNCTION("""COMPUTED_VALUE"""),"スリット仕様")</f>
        <v>スリット仕様</v>
      </c>
      <c r="E164" s="533"/>
      <c r="F164" s="534" t="str">
        <f>IFERROR(__xludf.DUMMYFUNCTION("""COMPUTED_VALUE"""),"袖丈 / スリット仕様")</f>
        <v>袖丈 / スリット仕様</v>
      </c>
      <c r="G164" s="550" t="str">
        <f>IFERROR(__xludf.DUMMYFUNCTION("""COMPUTED_VALUE"""),"袖丈 / スリット仕様")</f>
        <v>袖丈 / スリット仕様</v>
      </c>
      <c r="H164" s="572" t="str">
        <f>IFERROR(__xludf.DUMMYFUNCTION("""COMPUTED_VALUE"""),"-4")</f>
        <v>-4</v>
      </c>
      <c r="I164" s="536"/>
      <c r="J164" s="538">
        <f>IFERROR(__xludf.DUMMYFUNCTION("""COMPUTED_VALUE"""),8.0)</f>
        <v>8</v>
      </c>
      <c r="K164" s="537">
        <f>IFERROR(__xludf.DUMMYFUNCTION("""COMPUTED_VALUE"""),46001.0)</f>
        <v>46001</v>
      </c>
      <c r="L164" s="539">
        <f>IFERROR(__xludf.DUMMYFUNCTION("""COMPUTED_VALUE"""),46003.0)</f>
        <v>46003</v>
      </c>
      <c r="M164" s="540">
        <f>IFERROR(__xludf.DUMMYFUNCTION("""COMPUTED_VALUE"""),46008.0)</f>
        <v>46008</v>
      </c>
      <c r="N164" s="539">
        <f>IFERROR(__xludf.DUMMYFUNCTION("""COMPUTED_VALUE"""),7590.0)</f>
        <v>7590</v>
      </c>
      <c r="O164" s="593">
        <f>IFERROR(__xludf.DUMMYFUNCTION("""COMPUTED_VALUE"""),6900.0)</f>
        <v>6900</v>
      </c>
      <c r="P164" s="594">
        <f>IFERROR(__xludf.DUMMYFUNCTION("""COMPUTED_VALUE"""),4600.0)</f>
        <v>4600</v>
      </c>
      <c r="Q164" s="183"/>
      <c r="R164" s="544"/>
      <c r="S164" s="544"/>
      <c r="T164" s="544"/>
      <c r="U164" s="544"/>
      <c r="V164" s="544"/>
      <c r="W164" s="544"/>
      <c r="X164" s="544"/>
      <c r="Y164" s="544"/>
      <c r="Z164" s="544"/>
      <c r="AA164" s="544"/>
      <c r="AB164" s="544"/>
      <c r="AC164" s="544"/>
      <c r="AD164" s="544"/>
      <c r="AE164" s="183"/>
      <c r="AF164" s="183"/>
      <c r="AG164" s="183"/>
      <c r="AH164" s="183"/>
      <c r="AI164" s="183"/>
      <c r="AJ164" s="183"/>
      <c r="AK164" s="183"/>
      <c r="AL164" s="183"/>
      <c r="AM164" s="183"/>
    </row>
    <row r="165">
      <c r="A165" s="531" t="str">
        <f>IFERROR(__xludf.DUMMYFUNCTION("""COMPUTED_VALUE"""),"サイズ - ウィメンズ")</f>
        <v>サイズ - ウィメンズ</v>
      </c>
      <c r="B165" s="531" t="str">
        <f>IFERROR(__xludf.DUMMYFUNCTION("""COMPUTED_VALUE"""),"ジャケット / ジャコット")</f>
        <v>ジャケット / ジャコット</v>
      </c>
      <c r="C165" s="531" t="str">
        <f>IFERROR(__xludf.DUMMYFUNCTION("""COMPUTED_VALUE"""),"袖丈")</f>
        <v>袖丈</v>
      </c>
      <c r="D165" s="550" t="str">
        <f>IFERROR(__xludf.DUMMYFUNCTION("""COMPUTED_VALUE"""),"スリット仕様")</f>
        <v>スリット仕様</v>
      </c>
      <c r="E165" s="533"/>
      <c r="F165" s="534" t="str">
        <f>IFERROR(__xludf.DUMMYFUNCTION("""COMPUTED_VALUE"""),"袖丈 / スリット仕様")</f>
        <v>袖丈 / スリット仕様</v>
      </c>
      <c r="G165" s="550" t="str">
        <f>IFERROR(__xludf.DUMMYFUNCTION("""COMPUTED_VALUE"""),"袖丈 / スリット仕様")</f>
        <v>袖丈 / スリット仕様</v>
      </c>
      <c r="H165" s="572" t="str">
        <f>IFERROR(__xludf.DUMMYFUNCTION("""COMPUTED_VALUE"""),"-3.5")</f>
        <v>-3.5</v>
      </c>
      <c r="I165" s="536"/>
      <c r="J165" s="538">
        <f>IFERROR(__xludf.DUMMYFUNCTION("""COMPUTED_VALUE"""),8.0)</f>
        <v>8</v>
      </c>
      <c r="K165" s="537">
        <f>IFERROR(__xludf.DUMMYFUNCTION("""COMPUTED_VALUE"""),46001.0)</f>
        <v>46001</v>
      </c>
      <c r="L165" s="539">
        <f>IFERROR(__xludf.DUMMYFUNCTION("""COMPUTED_VALUE"""),46003.0)</f>
        <v>46003</v>
      </c>
      <c r="M165" s="540">
        <f>IFERROR(__xludf.DUMMYFUNCTION("""COMPUTED_VALUE"""),46008.0)</f>
        <v>46008</v>
      </c>
      <c r="N165" s="539">
        <f>IFERROR(__xludf.DUMMYFUNCTION("""COMPUTED_VALUE"""),7590.0)</f>
        <v>7590</v>
      </c>
      <c r="O165" s="593">
        <f>IFERROR(__xludf.DUMMYFUNCTION("""COMPUTED_VALUE"""),6900.0)</f>
        <v>6900</v>
      </c>
      <c r="P165" s="594">
        <f>IFERROR(__xludf.DUMMYFUNCTION("""COMPUTED_VALUE"""),4600.0)</f>
        <v>4600</v>
      </c>
      <c r="Q165" s="183"/>
      <c r="R165" s="544"/>
      <c r="S165" s="544"/>
      <c r="T165" s="544"/>
      <c r="U165" s="544"/>
      <c r="V165" s="544"/>
      <c r="W165" s="544"/>
      <c r="X165" s="544"/>
      <c r="Y165" s="544"/>
      <c r="Z165" s="544"/>
      <c r="AA165" s="544"/>
      <c r="AB165" s="544"/>
      <c r="AC165" s="544"/>
      <c r="AD165" s="544"/>
      <c r="AE165" s="183"/>
      <c r="AF165" s="183"/>
      <c r="AG165" s="183"/>
      <c r="AH165" s="183"/>
      <c r="AI165" s="183"/>
      <c r="AJ165" s="183"/>
      <c r="AK165" s="183"/>
      <c r="AL165" s="183"/>
      <c r="AM165" s="183"/>
    </row>
    <row r="166">
      <c r="A166" s="531" t="str">
        <f>IFERROR(__xludf.DUMMYFUNCTION("""COMPUTED_VALUE"""),"サイズ - ウィメンズ")</f>
        <v>サイズ - ウィメンズ</v>
      </c>
      <c r="B166" s="531" t="str">
        <f>IFERROR(__xludf.DUMMYFUNCTION("""COMPUTED_VALUE"""),"ジャケット / ジャコット")</f>
        <v>ジャケット / ジャコット</v>
      </c>
      <c r="C166" s="531" t="str">
        <f>IFERROR(__xludf.DUMMYFUNCTION("""COMPUTED_VALUE"""),"袖丈")</f>
        <v>袖丈</v>
      </c>
      <c r="D166" s="550" t="str">
        <f>IFERROR(__xludf.DUMMYFUNCTION("""COMPUTED_VALUE"""),"スリット仕様")</f>
        <v>スリット仕様</v>
      </c>
      <c r="E166" s="533"/>
      <c r="F166" s="534" t="str">
        <f>IFERROR(__xludf.DUMMYFUNCTION("""COMPUTED_VALUE"""),"袖丈 / スリット仕様")</f>
        <v>袖丈 / スリット仕様</v>
      </c>
      <c r="G166" s="550" t="str">
        <f>IFERROR(__xludf.DUMMYFUNCTION("""COMPUTED_VALUE"""),"袖丈 / スリット仕様")</f>
        <v>袖丈 / スリット仕様</v>
      </c>
      <c r="H166" s="572" t="str">
        <f>IFERROR(__xludf.DUMMYFUNCTION("""COMPUTED_VALUE"""),"-3")</f>
        <v>-3</v>
      </c>
      <c r="I166" s="536"/>
      <c r="J166" s="538">
        <f>IFERROR(__xludf.DUMMYFUNCTION("""COMPUTED_VALUE"""),8.0)</f>
        <v>8</v>
      </c>
      <c r="K166" s="537">
        <f>IFERROR(__xludf.DUMMYFUNCTION("""COMPUTED_VALUE"""),46001.0)</f>
        <v>46001</v>
      </c>
      <c r="L166" s="539">
        <f>IFERROR(__xludf.DUMMYFUNCTION("""COMPUTED_VALUE"""),46003.0)</f>
        <v>46003</v>
      </c>
      <c r="M166" s="540">
        <f>IFERROR(__xludf.DUMMYFUNCTION("""COMPUTED_VALUE"""),46008.0)</f>
        <v>46008</v>
      </c>
      <c r="N166" s="539">
        <f>IFERROR(__xludf.DUMMYFUNCTION("""COMPUTED_VALUE"""),7590.0)</f>
        <v>7590</v>
      </c>
      <c r="O166" s="593">
        <f>IFERROR(__xludf.DUMMYFUNCTION("""COMPUTED_VALUE"""),6900.0)</f>
        <v>6900</v>
      </c>
      <c r="P166" s="594">
        <f>IFERROR(__xludf.DUMMYFUNCTION("""COMPUTED_VALUE"""),4600.0)</f>
        <v>4600</v>
      </c>
      <c r="Q166" s="183"/>
      <c r="R166" s="544"/>
      <c r="S166" s="544"/>
      <c r="T166" s="544"/>
      <c r="U166" s="544"/>
      <c r="V166" s="544"/>
      <c r="W166" s="544"/>
      <c r="X166" s="544"/>
      <c r="Y166" s="544"/>
      <c r="Z166" s="544"/>
      <c r="AA166" s="544"/>
      <c r="AB166" s="544"/>
      <c r="AC166" s="544"/>
      <c r="AD166" s="544"/>
      <c r="AE166" s="183"/>
      <c r="AF166" s="183"/>
      <c r="AG166" s="183"/>
      <c r="AH166" s="183"/>
      <c r="AI166" s="183"/>
      <c r="AJ166" s="183"/>
      <c r="AK166" s="183"/>
      <c r="AL166" s="183"/>
      <c r="AM166" s="183"/>
    </row>
    <row r="167">
      <c r="A167" s="531" t="str">
        <f>IFERROR(__xludf.DUMMYFUNCTION("""COMPUTED_VALUE"""),"サイズ - ウィメンズ")</f>
        <v>サイズ - ウィメンズ</v>
      </c>
      <c r="B167" s="531" t="str">
        <f>IFERROR(__xludf.DUMMYFUNCTION("""COMPUTED_VALUE"""),"ジャケット / ジャコット")</f>
        <v>ジャケット / ジャコット</v>
      </c>
      <c r="C167" s="531" t="str">
        <f>IFERROR(__xludf.DUMMYFUNCTION("""COMPUTED_VALUE"""),"袖丈")</f>
        <v>袖丈</v>
      </c>
      <c r="D167" s="550" t="str">
        <f>IFERROR(__xludf.DUMMYFUNCTION("""COMPUTED_VALUE"""),"スリット仕様")</f>
        <v>スリット仕様</v>
      </c>
      <c r="E167" s="533"/>
      <c r="F167" s="534" t="str">
        <f>IFERROR(__xludf.DUMMYFUNCTION("""COMPUTED_VALUE"""),"袖丈 / スリット仕様")</f>
        <v>袖丈 / スリット仕様</v>
      </c>
      <c r="G167" s="550" t="str">
        <f>IFERROR(__xludf.DUMMYFUNCTION("""COMPUTED_VALUE"""),"袖丈 / スリット仕様")</f>
        <v>袖丈 / スリット仕様</v>
      </c>
      <c r="H167" s="572" t="str">
        <f>IFERROR(__xludf.DUMMYFUNCTION("""COMPUTED_VALUE"""),"-2.5")</f>
        <v>-2.5</v>
      </c>
      <c r="I167" s="536"/>
      <c r="J167" s="538">
        <f>IFERROR(__xludf.DUMMYFUNCTION("""COMPUTED_VALUE"""),8.0)</f>
        <v>8</v>
      </c>
      <c r="K167" s="537">
        <f>IFERROR(__xludf.DUMMYFUNCTION("""COMPUTED_VALUE"""),46001.0)</f>
        <v>46001</v>
      </c>
      <c r="L167" s="539">
        <f>IFERROR(__xludf.DUMMYFUNCTION("""COMPUTED_VALUE"""),46003.0)</f>
        <v>46003</v>
      </c>
      <c r="M167" s="540">
        <f>IFERROR(__xludf.DUMMYFUNCTION("""COMPUTED_VALUE"""),46008.0)</f>
        <v>46008</v>
      </c>
      <c r="N167" s="539">
        <f>IFERROR(__xludf.DUMMYFUNCTION("""COMPUTED_VALUE"""),7590.0)</f>
        <v>7590</v>
      </c>
      <c r="O167" s="593">
        <f>IFERROR(__xludf.DUMMYFUNCTION("""COMPUTED_VALUE"""),6900.0)</f>
        <v>6900</v>
      </c>
      <c r="P167" s="594">
        <f>IFERROR(__xludf.DUMMYFUNCTION("""COMPUTED_VALUE"""),4600.0)</f>
        <v>4600</v>
      </c>
      <c r="Q167" s="183"/>
      <c r="R167" s="544"/>
      <c r="S167" s="544"/>
      <c r="T167" s="544"/>
      <c r="U167" s="544"/>
      <c r="V167" s="544"/>
      <c r="W167" s="544"/>
      <c r="X167" s="544"/>
      <c r="Y167" s="544"/>
      <c r="Z167" s="544"/>
      <c r="AA167" s="544"/>
      <c r="AB167" s="544"/>
      <c r="AC167" s="544"/>
      <c r="AD167" s="544"/>
      <c r="AE167" s="183"/>
      <c r="AF167" s="183"/>
      <c r="AG167" s="183"/>
      <c r="AH167" s="183"/>
      <c r="AI167" s="183"/>
      <c r="AJ167" s="183"/>
      <c r="AK167" s="183"/>
      <c r="AL167" s="183"/>
      <c r="AM167" s="183"/>
    </row>
    <row r="168">
      <c r="A168" s="624" t="str">
        <f>IFERROR(__xludf.DUMMYFUNCTION("""COMPUTED_VALUE"""),"サイズ - ウィメンズ")</f>
        <v>サイズ - ウィメンズ</v>
      </c>
      <c r="B168" s="625" t="str">
        <f>IFERROR(__xludf.DUMMYFUNCTION("""COMPUTED_VALUE"""),"ジャケット / ジャコット")</f>
        <v>ジャケット / ジャコット</v>
      </c>
      <c r="C168" s="626" t="str">
        <f>IFERROR(__xludf.DUMMYFUNCTION("""COMPUTED_VALUE"""),"袖丈")</f>
        <v>袖丈</v>
      </c>
      <c r="D168" s="627" t="str">
        <f>IFERROR(__xludf.DUMMYFUNCTION("""COMPUTED_VALUE"""),"スリット仕様")</f>
        <v>スリット仕様</v>
      </c>
      <c r="E168" s="533"/>
      <c r="F168" s="628" t="str">
        <f>IFERROR(__xludf.DUMMYFUNCTION("""COMPUTED_VALUE"""),"袖丈 / スリット仕様")</f>
        <v>袖丈 / スリット仕様</v>
      </c>
      <c r="G168" s="627" t="str">
        <f>IFERROR(__xludf.DUMMYFUNCTION("""COMPUTED_VALUE"""),"袖丈 / スリット仕様")</f>
        <v>袖丈 / スリット仕様</v>
      </c>
      <c r="H168" s="572" t="str">
        <f>IFERROR(__xludf.DUMMYFUNCTION("""COMPUTED_VALUE"""),"-2")</f>
        <v>-2</v>
      </c>
      <c r="I168" s="536"/>
      <c r="J168" s="629">
        <f>IFERROR(__xludf.DUMMYFUNCTION("""COMPUTED_VALUE"""),7.0)</f>
        <v>7</v>
      </c>
      <c r="K168" s="629">
        <f>IFERROR(__xludf.DUMMYFUNCTION("""COMPUTED_VALUE"""),46000.0)</f>
        <v>46000</v>
      </c>
      <c r="L168" s="630">
        <f>IFERROR(__xludf.DUMMYFUNCTION("""COMPUTED_VALUE"""),46003.0)</f>
        <v>46003</v>
      </c>
      <c r="M168" s="540">
        <f>IFERROR(__xludf.DUMMYFUNCTION("""COMPUTED_VALUE"""),46008.0)</f>
        <v>46008</v>
      </c>
      <c r="N168" s="631">
        <f>IFERROR(__xludf.DUMMYFUNCTION("""COMPUTED_VALUE"""),4130.0)</f>
        <v>4130</v>
      </c>
      <c r="O168" s="593">
        <f>IFERROR(__xludf.DUMMYFUNCTION("""COMPUTED_VALUE"""),3750.0)</f>
        <v>3750</v>
      </c>
      <c r="P168" s="594">
        <f>IFERROR(__xludf.DUMMYFUNCTION("""COMPUTED_VALUE"""),2500.0)</f>
        <v>2500</v>
      </c>
      <c r="Q168" s="183"/>
      <c r="R168" s="544"/>
      <c r="S168" s="544"/>
      <c r="T168" s="544"/>
      <c r="U168" s="544"/>
      <c r="V168" s="544"/>
      <c r="W168" s="544"/>
      <c r="X168" s="544"/>
      <c r="Y168" s="544"/>
      <c r="Z168" s="544"/>
      <c r="AA168" s="544"/>
      <c r="AB168" s="544"/>
      <c r="AC168" s="544"/>
      <c r="AD168" s="544"/>
      <c r="AE168" s="183"/>
      <c r="AF168" s="183"/>
      <c r="AG168" s="183"/>
      <c r="AH168" s="183"/>
      <c r="AI168" s="183"/>
      <c r="AJ168" s="183"/>
      <c r="AK168" s="183"/>
      <c r="AL168" s="183"/>
      <c r="AM168" s="183"/>
    </row>
    <row r="169">
      <c r="A169" s="531" t="str">
        <f>IFERROR(__xludf.DUMMYFUNCTION("""COMPUTED_VALUE"""),"サイズ - ウィメンズ")</f>
        <v>サイズ - ウィメンズ</v>
      </c>
      <c r="B169" s="531" t="str">
        <f>IFERROR(__xludf.DUMMYFUNCTION("""COMPUTED_VALUE"""),"ジャケット / ジャコット")</f>
        <v>ジャケット / ジャコット</v>
      </c>
      <c r="C169" s="531" t="str">
        <f>IFERROR(__xludf.DUMMYFUNCTION("""COMPUTED_VALUE"""),"袖丈")</f>
        <v>袖丈</v>
      </c>
      <c r="D169" s="550" t="str">
        <f>IFERROR(__xludf.DUMMYFUNCTION("""COMPUTED_VALUE"""),"スリット仕様")</f>
        <v>スリット仕様</v>
      </c>
      <c r="E169" s="533"/>
      <c r="F169" s="534" t="str">
        <f>IFERROR(__xludf.DUMMYFUNCTION("""COMPUTED_VALUE"""),"袖丈 / スリット仕様")</f>
        <v>袖丈 / スリット仕様</v>
      </c>
      <c r="G169" s="550" t="str">
        <f>IFERROR(__xludf.DUMMYFUNCTION("""COMPUTED_VALUE"""),"袖丈 / スリット仕様")</f>
        <v>袖丈 / スリット仕様</v>
      </c>
      <c r="H169" s="572" t="str">
        <f>IFERROR(__xludf.DUMMYFUNCTION("""COMPUTED_VALUE"""),"-1.5")</f>
        <v>-1.5</v>
      </c>
      <c r="I169" s="536"/>
      <c r="J169" s="538">
        <f>IFERROR(__xludf.DUMMYFUNCTION("""COMPUTED_VALUE"""),7.0)</f>
        <v>7</v>
      </c>
      <c r="K169" s="537">
        <f>IFERROR(__xludf.DUMMYFUNCTION("""COMPUTED_VALUE"""),46000.0)</f>
        <v>46000</v>
      </c>
      <c r="L169" s="539">
        <f>IFERROR(__xludf.DUMMYFUNCTION("""COMPUTED_VALUE"""),46003.0)</f>
        <v>46003</v>
      </c>
      <c r="M169" s="540">
        <f>IFERROR(__xludf.DUMMYFUNCTION("""COMPUTED_VALUE"""),46008.0)</f>
        <v>46008</v>
      </c>
      <c r="N169" s="539">
        <f>IFERROR(__xludf.DUMMYFUNCTION("""COMPUTED_VALUE"""),4130.0)</f>
        <v>4130</v>
      </c>
      <c r="O169" s="593">
        <f>IFERROR(__xludf.DUMMYFUNCTION("""COMPUTED_VALUE"""),3750.0)</f>
        <v>3750</v>
      </c>
      <c r="P169" s="594">
        <f>IFERROR(__xludf.DUMMYFUNCTION("""COMPUTED_VALUE"""),2500.0)</f>
        <v>2500</v>
      </c>
      <c r="Q169" s="183"/>
      <c r="R169" s="544"/>
      <c r="S169" s="544"/>
      <c r="T169" s="544"/>
      <c r="U169" s="544"/>
      <c r="V169" s="544"/>
      <c r="W169" s="544"/>
      <c r="X169" s="544"/>
      <c r="Y169" s="544"/>
      <c r="Z169" s="544"/>
      <c r="AA169" s="544"/>
      <c r="AB169" s="544"/>
      <c r="AC169" s="544"/>
      <c r="AD169" s="544"/>
      <c r="AE169" s="183"/>
      <c r="AF169" s="183"/>
      <c r="AG169" s="183"/>
      <c r="AH169" s="183"/>
      <c r="AI169" s="183"/>
      <c r="AJ169" s="183"/>
      <c r="AK169" s="183"/>
      <c r="AL169" s="183"/>
      <c r="AM169" s="183"/>
    </row>
    <row r="170">
      <c r="A170" s="531" t="str">
        <f>IFERROR(__xludf.DUMMYFUNCTION("""COMPUTED_VALUE"""),"サイズ - ウィメンズ")</f>
        <v>サイズ - ウィメンズ</v>
      </c>
      <c r="B170" s="531" t="str">
        <f>IFERROR(__xludf.DUMMYFUNCTION("""COMPUTED_VALUE"""),"ジャケット / ジャコット")</f>
        <v>ジャケット / ジャコット</v>
      </c>
      <c r="C170" s="531" t="str">
        <f>IFERROR(__xludf.DUMMYFUNCTION("""COMPUTED_VALUE"""),"袖丈")</f>
        <v>袖丈</v>
      </c>
      <c r="D170" s="550" t="str">
        <f>IFERROR(__xludf.DUMMYFUNCTION("""COMPUTED_VALUE"""),"スリット仕様")</f>
        <v>スリット仕様</v>
      </c>
      <c r="E170" s="533"/>
      <c r="F170" s="534" t="str">
        <f>IFERROR(__xludf.DUMMYFUNCTION("""COMPUTED_VALUE"""),"袖丈 / スリット仕様")</f>
        <v>袖丈 / スリット仕様</v>
      </c>
      <c r="G170" s="550" t="str">
        <f>IFERROR(__xludf.DUMMYFUNCTION("""COMPUTED_VALUE"""),"袖丈 / スリット仕様")</f>
        <v>袖丈 / スリット仕様</v>
      </c>
      <c r="H170" s="572" t="str">
        <f>IFERROR(__xludf.DUMMYFUNCTION("""COMPUTED_VALUE"""),"-1")</f>
        <v>-1</v>
      </c>
      <c r="I170" s="536"/>
      <c r="J170" s="538">
        <f>IFERROR(__xludf.DUMMYFUNCTION("""COMPUTED_VALUE"""),7.0)</f>
        <v>7</v>
      </c>
      <c r="K170" s="537">
        <f>IFERROR(__xludf.DUMMYFUNCTION("""COMPUTED_VALUE"""),46000.0)</f>
        <v>46000</v>
      </c>
      <c r="L170" s="539">
        <f>IFERROR(__xludf.DUMMYFUNCTION("""COMPUTED_VALUE"""),46003.0)</f>
        <v>46003</v>
      </c>
      <c r="M170" s="540">
        <f>IFERROR(__xludf.DUMMYFUNCTION("""COMPUTED_VALUE"""),46008.0)</f>
        <v>46008</v>
      </c>
      <c r="N170" s="539">
        <f>IFERROR(__xludf.DUMMYFUNCTION("""COMPUTED_VALUE"""),4130.0)</f>
        <v>4130</v>
      </c>
      <c r="O170" s="593">
        <f>IFERROR(__xludf.DUMMYFUNCTION("""COMPUTED_VALUE"""),3750.0)</f>
        <v>3750</v>
      </c>
      <c r="P170" s="594">
        <f>IFERROR(__xludf.DUMMYFUNCTION("""COMPUTED_VALUE"""),2500.0)</f>
        <v>2500</v>
      </c>
      <c r="Q170" s="183"/>
      <c r="R170" s="544"/>
      <c r="S170" s="544"/>
      <c r="T170" s="544"/>
      <c r="U170" s="544"/>
      <c r="V170" s="544"/>
      <c r="W170" s="544"/>
      <c r="X170" s="544"/>
      <c r="Y170" s="544"/>
      <c r="Z170" s="544"/>
      <c r="AA170" s="544"/>
      <c r="AB170" s="544"/>
      <c r="AC170" s="544"/>
      <c r="AD170" s="544"/>
      <c r="AE170" s="183"/>
      <c r="AF170" s="183"/>
      <c r="AG170" s="183"/>
      <c r="AH170" s="183"/>
      <c r="AI170" s="183"/>
      <c r="AJ170" s="183"/>
      <c r="AK170" s="183"/>
      <c r="AL170" s="183"/>
      <c r="AM170" s="183"/>
    </row>
    <row r="171">
      <c r="A171" s="531" t="str">
        <f>IFERROR(__xludf.DUMMYFUNCTION("""COMPUTED_VALUE"""),"サイズ - ウィメンズ")</f>
        <v>サイズ - ウィメンズ</v>
      </c>
      <c r="B171" s="531" t="str">
        <f>IFERROR(__xludf.DUMMYFUNCTION("""COMPUTED_VALUE"""),"ジャケット / ジャコット")</f>
        <v>ジャケット / ジャコット</v>
      </c>
      <c r="C171" s="531" t="str">
        <f>IFERROR(__xludf.DUMMYFUNCTION("""COMPUTED_VALUE"""),"袖丈")</f>
        <v>袖丈</v>
      </c>
      <c r="D171" s="550" t="str">
        <f>IFERROR(__xludf.DUMMYFUNCTION("""COMPUTED_VALUE"""),"スリット仕様")</f>
        <v>スリット仕様</v>
      </c>
      <c r="E171" s="533"/>
      <c r="F171" s="534" t="str">
        <f>IFERROR(__xludf.DUMMYFUNCTION("""COMPUTED_VALUE"""),"袖丈 / スリット仕様")</f>
        <v>袖丈 / スリット仕様</v>
      </c>
      <c r="G171" s="550" t="str">
        <f>IFERROR(__xludf.DUMMYFUNCTION("""COMPUTED_VALUE"""),"袖丈 / スリット仕様")</f>
        <v>袖丈 / スリット仕様</v>
      </c>
      <c r="H171" s="572" t="str">
        <f>IFERROR(__xludf.DUMMYFUNCTION("""COMPUTED_VALUE"""),"-0.5")</f>
        <v>-0.5</v>
      </c>
      <c r="I171" s="536"/>
      <c r="J171" s="538">
        <f>IFERROR(__xludf.DUMMYFUNCTION("""COMPUTED_VALUE"""),7.0)</f>
        <v>7</v>
      </c>
      <c r="K171" s="537">
        <f>IFERROR(__xludf.DUMMYFUNCTION("""COMPUTED_VALUE"""),46000.0)</f>
        <v>46000</v>
      </c>
      <c r="L171" s="539">
        <f>IFERROR(__xludf.DUMMYFUNCTION("""COMPUTED_VALUE"""),46003.0)</f>
        <v>46003</v>
      </c>
      <c r="M171" s="540">
        <f>IFERROR(__xludf.DUMMYFUNCTION("""COMPUTED_VALUE"""),46008.0)</f>
        <v>46008</v>
      </c>
      <c r="N171" s="539">
        <f>IFERROR(__xludf.DUMMYFUNCTION("""COMPUTED_VALUE"""),4130.0)</f>
        <v>4130</v>
      </c>
      <c r="O171" s="593">
        <f>IFERROR(__xludf.DUMMYFUNCTION("""COMPUTED_VALUE"""),3750.0)</f>
        <v>3750</v>
      </c>
      <c r="P171" s="594">
        <f>IFERROR(__xludf.DUMMYFUNCTION("""COMPUTED_VALUE"""),2500.0)</f>
        <v>2500</v>
      </c>
      <c r="Q171" s="183"/>
      <c r="R171" s="544"/>
      <c r="S171" s="544"/>
      <c r="T171" s="544"/>
      <c r="U171" s="544"/>
      <c r="V171" s="544"/>
      <c r="W171" s="544"/>
      <c r="X171" s="544"/>
      <c r="Y171" s="544"/>
      <c r="Z171" s="544"/>
      <c r="AA171" s="544"/>
      <c r="AB171" s="544"/>
      <c r="AC171" s="544"/>
      <c r="AD171" s="544"/>
      <c r="AE171" s="183"/>
      <c r="AF171" s="183"/>
      <c r="AG171" s="183"/>
      <c r="AH171" s="183"/>
      <c r="AI171" s="183"/>
      <c r="AJ171" s="183"/>
      <c r="AK171" s="183"/>
      <c r="AL171" s="183"/>
      <c r="AM171" s="183"/>
    </row>
    <row r="172">
      <c r="A172" s="531" t="str">
        <f>IFERROR(__xludf.DUMMYFUNCTION("""COMPUTED_VALUE"""),"サイズ - ウィメンズ")</f>
        <v>サイズ - ウィメンズ</v>
      </c>
      <c r="B172" s="531" t="str">
        <f>IFERROR(__xludf.DUMMYFUNCTION("""COMPUTED_VALUE"""),"ジャケット / ジャコット")</f>
        <v>ジャケット / ジャコット</v>
      </c>
      <c r="C172" s="531" t="str">
        <f>IFERROR(__xludf.DUMMYFUNCTION("""COMPUTED_VALUE"""),"袖丈")</f>
        <v>袖丈</v>
      </c>
      <c r="D172" s="550" t="str">
        <f>IFERROR(__xludf.DUMMYFUNCTION("""COMPUTED_VALUE"""),"本切羽無し")</f>
        <v>本切羽無し</v>
      </c>
      <c r="E172" s="550" t="str">
        <f>IFERROR(__xludf.DUMMYFUNCTION("""COMPUTED_VALUE"""),"±1.1以上の場合は、ボタン位置の調整ありなので素材に注意")</f>
        <v>±1.1以上の場合は、ボタン位置の調整ありなので素材に注意</v>
      </c>
      <c r="F172" s="534" t="str">
        <f>IFERROR(__xludf.DUMMYFUNCTION("""COMPUTED_VALUE"""),"袖丈 / 本切羽無し")</f>
        <v>袖丈 / 本切羽無し</v>
      </c>
      <c r="G172" s="550" t="str">
        <f>IFERROR(__xludf.DUMMYFUNCTION("""COMPUTED_VALUE"""),"袖丈 / 本切羽無し（±1.1以上の場合は、ボタン位置の調整ありなので素材に注意）")</f>
        <v>袖丈 / 本切羽無し（±1.1以上の場合は、ボタン位置の調整ありなので素材に注意）</v>
      </c>
      <c r="H172" s="572" t="str">
        <f>IFERROR(__xludf.DUMMYFUNCTION("""COMPUTED_VALUE"""),"-4")</f>
        <v>-4</v>
      </c>
      <c r="I172" s="536"/>
      <c r="J172" s="538">
        <f>IFERROR(__xludf.DUMMYFUNCTION("""COMPUTED_VALUE"""),7.0)</f>
        <v>7</v>
      </c>
      <c r="K172" s="537">
        <f>IFERROR(__xludf.DUMMYFUNCTION("""COMPUTED_VALUE"""),46000.0)</f>
        <v>46000</v>
      </c>
      <c r="L172" s="539">
        <f>IFERROR(__xludf.DUMMYFUNCTION("""COMPUTED_VALUE"""),46003.0)</f>
        <v>46003</v>
      </c>
      <c r="M172" s="540">
        <f>IFERROR(__xludf.DUMMYFUNCTION("""COMPUTED_VALUE"""),46008.0)</f>
        <v>46008</v>
      </c>
      <c r="N172" s="539">
        <f>IFERROR(__xludf.DUMMYFUNCTION("""COMPUTED_VALUE"""),2150.0)</f>
        <v>2150</v>
      </c>
      <c r="O172" s="593">
        <f>IFERROR(__xludf.DUMMYFUNCTION("""COMPUTED_VALUE"""),1950.0)</f>
        <v>1950</v>
      </c>
      <c r="P172" s="594">
        <f>IFERROR(__xludf.DUMMYFUNCTION("""COMPUTED_VALUE"""),1300.0)</f>
        <v>1300</v>
      </c>
      <c r="Q172" s="183"/>
      <c r="R172" s="544"/>
      <c r="S172" s="544"/>
      <c r="T172" s="544"/>
      <c r="U172" s="544"/>
      <c r="V172" s="544"/>
      <c r="W172" s="544"/>
      <c r="X172" s="544"/>
      <c r="Y172" s="544"/>
      <c r="Z172" s="544"/>
      <c r="AA172" s="544"/>
      <c r="AB172" s="544"/>
      <c r="AC172" s="544"/>
      <c r="AD172" s="544"/>
      <c r="AE172" s="183"/>
      <c r="AF172" s="183"/>
      <c r="AG172" s="183"/>
      <c r="AH172" s="183"/>
      <c r="AI172" s="183"/>
      <c r="AJ172" s="183"/>
      <c r="AK172" s="183"/>
      <c r="AL172" s="183"/>
      <c r="AM172" s="183"/>
    </row>
    <row r="173">
      <c r="A173" s="531" t="str">
        <f>IFERROR(__xludf.DUMMYFUNCTION("""COMPUTED_VALUE"""),"サイズ - ウィメンズ")</f>
        <v>サイズ - ウィメンズ</v>
      </c>
      <c r="B173" s="531" t="str">
        <f>IFERROR(__xludf.DUMMYFUNCTION("""COMPUTED_VALUE"""),"ジャケット / ジャコット")</f>
        <v>ジャケット / ジャコット</v>
      </c>
      <c r="C173" s="531" t="str">
        <f>IFERROR(__xludf.DUMMYFUNCTION("""COMPUTED_VALUE"""),"袖丈")</f>
        <v>袖丈</v>
      </c>
      <c r="D173" s="550" t="str">
        <f>IFERROR(__xludf.DUMMYFUNCTION("""COMPUTED_VALUE"""),"本切羽無し")</f>
        <v>本切羽無し</v>
      </c>
      <c r="E173" s="550" t="str">
        <f>IFERROR(__xludf.DUMMYFUNCTION("""COMPUTED_VALUE"""),"±1.1以上の場合は、ボタン位置の調整ありなので素材に注意")</f>
        <v>±1.1以上の場合は、ボタン位置の調整ありなので素材に注意</v>
      </c>
      <c r="F173" s="534" t="str">
        <f>IFERROR(__xludf.DUMMYFUNCTION("""COMPUTED_VALUE"""),"袖丈 / 本切羽無し")</f>
        <v>袖丈 / 本切羽無し</v>
      </c>
      <c r="G173" s="550" t="str">
        <f>IFERROR(__xludf.DUMMYFUNCTION("""COMPUTED_VALUE"""),"袖丈 / 本切羽無し（±1.1以上の場合は、ボタン位置の調整ありなので素材に注意）")</f>
        <v>袖丈 / 本切羽無し（±1.1以上の場合は、ボタン位置の調整ありなので素材に注意）</v>
      </c>
      <c r="H173" s="572" t="str">
        <f>IFERROR(__xludf.DUMMYFUNCTION("""COMPUTED_VALUE"""),"-3.5")</f>
        <v>-3.5</v>
      </c>
      <c r="I173" s="536"/>
      <c r="J173" s="538">
        <f>IFERROR(__xludf.DUMMYFUNCTION("""COMPUTED_VALUE"""),7.0)</f>
        <v>7</v>
      </c>
      <c r="K173" s="537">
        <f>IFERROR(__xludf.DUMMYFUNCTION("""COMPUTED_VALUE"""),46000.0)</f>
        <v>46000</v>
      </c>
      <c r="L173" s="539">
        <f>IFERROR(__xludf.DUMMYFUNCTION("""COMPUTED_VALUE"""),46003.0)</f>
        <v>46003</v>
      </c>
      <c r="M173" s="540">
        <f>IFERROR(__xludf.DUMMYFUNCTION("""COMPUTED_VALUE"""),46008.0)</f>
        <v>46008</v>
      </c>
      <c r="N173" s="539">
        <f>IFERROR(__xludf.DUMMYFUNCTION("""COMPUTED_VALUE"""),2150.0)</f>
        <v>2150</v>
      </c>
      <c r="O173" s="593">
        <f>IFERROR(__xludf.DUMMYFUNCTION("""COMPUTED_VALUE"""),1950.0)</f>
        <v>1950</v>
      </c>
      <c r="P173" s="594">
        <f>IFERROR(__xludf.DUMMYFUNCTION("""COMPUTED_VALUE"""),1300.0)</f>
        <v>1300</v>
      </c>
      <c r="Q173" s="183"/>
      <c r="R173" s="544"/>
      <c r="S173" s="544"/>
      <c r="T173" s="544"/>
      <c r="U173" s="544"/>
      <c r="V173" s="544"/>
      <c r="W173" s="544"/>
      <c r="X173" s="544"/>
      <c r="Y173" s="544"/>
      <c r="Z173" s="544"/>
      <c r="AA173" s="544"/>
      <c r="AB173" s="544"/>
      <c r="AC173" s="544"/>
      <c r="AD173" s="544"/>
      <c r="AE173" s="183"/>
      <c r="AF173" s="183"/>
      <c r="AG173" s="183"/>
      <c r="AH173" s="183"/>
      <c r="AI173" s="183"/>
      <c r="AJ173" s="183"/>
      <c r="AK173" s="183"/>
      <c r="AL173" s="183"/>
      <c r="AM173" s="183"/>
    </row>
    <row r="174" hidden="1">
      <c r="A174" s="531" t="str">
        <f>IFERROR(__xludf.DUMMYFUNCTION("""COMPUTED_VALUE"""),"サイズ - ウィメンズ")</f>
        <v>サイズ - ウィメンズ</v>
      </c>
      <c r="B174" s="531" t="str">
        <f>IFERROR(__xludf.DUMMYFUNCTION("""COMPUTED_VALUE"""),"ジャケット / ジャコット")</f>
        <v>ジャケット / ジャコット</v>
      </c>
      <c r="C174" s="531" t="str">
        <f>IFERROR(__xludf.DUMMYFUNCTION("""COMPUTED_VALUE"""),"袖丈")</f>
        <v>袖丈</v>
      </c>
      <c r="D174" s="550" t="str">
        <f>IFERROR(__xludf.DUMMYFUNCTION("""COMPUTED_VALUE"""),"本切羽無し")</f>
        <v>本切羽無し</v>
      </c>
      <c r="E174" s="550" t="str">
        <f>IFERROR(__xludf.DUMMYFUNCTION("""COMPUTED_VALUE"""),"±1.1以上の場合は、ボタン位置の調整ありなので素材に注意")</f>
        <v>±1.1以上の場合は、ボタン位置の調整ありなので素材に注意</v>
      </c>
      <c r="F174" s="534" t="str">
        <f>IFERROR(__xludf.DUMMYFUNCTION("""COMPUTED_VALUE"""),"袖丈 / 本切羽無し")</f>
        <v>袖丈 / 本切羽無し</v>
      </c>
      <c r="G174" s="550" t="str">
        <f>IFERROR(__xludf.DUMMYFUNCTION("""COMPUTED_VALUE"""),"袖丈 / 本切羽無し（±1.1以上の場合は、ボタン位置の調整ありなので素材に注意）")</f>
        <v>袖丈 / 本切羽無し（±1.1以上の場合は、ボタン位置の調整ありなので素材に注意）</v>
      </c>
      <c r="H174" s="572" t="str">
        <f>IFERROR(__xludf.DUMMYFUNCTION("""COMPUTED_VALUE"""),"-3")</f>
        <v>-3</v>
      </c>
      <c r="I174" s="536"/>
      <c r="J174" s="538">
        <f>IFERROR(__xludf.DUMMYFUNCTION("""COMPUTED_VALUE"""),7.0)</f>
        <v>7</v>
      </c>
      <c r="K174" s="537">
        <f>IFERROR(__xludf.DUMMYFUNCTION("""COMPUTED_VALUE"""),46000.0)</f>
        <v>46000</v>
      </c>
      <c r="L174" s="539">
        <f>IFERROR(__xludf.DUMMYFUNCTION("""COMPUTED_VALUE"""),46003.0)</f>
        <v>46003</v>
      </c>
      <c r="M174" s="540">
        <f>IFERROR(__xludf.DUMMYFUNCTION("""COMPUTED_VALUE"""),46008.0)</f>
        <v>46008</v>
      </c>
      <c r="N174" s="539">
        <f>IFERROR(__xludf.DUMMYFUNCTION("""COMPUTED_VALUE"""),2150.0)</f>
        <v>2150</v>
      </c>
      <c r="O174" s="593">
        <f>IFERROR(__xludf.DUMMYFUNCTION("""COMPUTED_VALUE"""),1950.0)</f>
        <v>1950</v>
      </c>
      <c r="P174" s="594">
        <f>IFERROR(__xludf.DUMMYFUNCTION("""COMPUTED_VALUE"""),1300.0)</f>
        <v>1300</v>
      </c>
      <c r="Q174" s="183"/>
      <c r="R174" s="544"/>
      <c r="S174" s="544"/>
      <c r="T174" s="544"/>
      <c r="U174" s="544"/>
      <c r="V174" s="544"/>
      <c r="W174" s="544"/>
      <c r="X174" s="544"/>
      <c r="Y174" s="544"/>
      <c r="Z174" s="544"/>
      <c r="AA174" s="544"/>
      <c r="AB174" s="544"/>
      <c r="AC174" s="544"/>
      <c r="AD174" s="544"/>
      <c r="AE174" s="183"/>
      <c r="AF174" s="183"/>
      <c r="AG174" s="183"/>
      <c r="AH174" s="183"/>
      <c r="AI174" s="183"/>
      <c r="AJ174" s="183"/>
      <c r="AK174" s="183"/>
      <c r="AL174" s="183"/>
      <c r="AM174" s="183"/>
    </row>
    <row r="175" hidden="1">
      <c r="A175" s="531" t="str">
        <f>IFERROR(__xludf.DUMMYFUNCTION("""COMPUTED_VALUE"""),"サイズ - ウィメンズ")</f>
        <v>サイズ - ウィメンズ</v>
      </c>
      <c r="B175" s="531" t="str">
        <f>IFERROR(__xludf.DUMMYFUNCTION("""COMPUTED_VALUE"""),"ジャケット / ジャコット")</f>
        <v>ジャケット / ジャコット</v>
      </c>
      <c r="C175" s="531" t="str">
        <f>IFERROR(__xludf.DUMMYFUNCTION("""COMPUTED_VALUE"""),"袖丈")</f>
        <v>袖丈</v>
      </c>
      <c r="D175" s="550" t="str">
        <f>IFERROR(__xludf.DUMMYFUNCTION("""COMPUTED_VALUE"""),"本切羽無し")</f>
        <v>本切羽無し</v>
      </c>
      <c r="E175" s="550" t="str">
        <f>IFERROR(__xludf.DUMMYFUNCTION("""COMPUTED_VALUE"""),"±1.1以上の場合は、ボタン位置の調整ありなので素材に注意")</f>
        <v>±1.1以上の場合は、ボタン位置の調整ありなので素材に注意</v>
      </c>
      <c r="F175" s="534" t="str">
        <f>IFERROR(__xludf.DUMMYFUNCTION("""COMPUTED_VALUE"""),"袖丈 / 本切羽無し")</f>
        <v>袖丈 / 本切羽無し</v>
      </c>
      <c r="G175" s="550" t="str">
        <f>IFERROR(__xludf.DUMMYFUNCTION("""COMPUTED_VALUE"""),"袖丈 / 本切羽無し（±1.1以上の場合は、ボタン位置の調整ありなので素材に注意）")</f>
        <v>袖丈 / 本切羽無し（±1.1以上の場合は、ボタン位置の調整ありなので素材に注意）</v>
      </c>
      <c r="H175" s="572" t="str">
        <f>IFERROR(__xludf.DUMMYFUNCTION("""COMPUTED_VALUE"""),"-2.5")</f>
        <v>-2.5</v>
      </c>
      <c r="I175" s="536"/>
      <c r="J175" s="538">
        <f>IFERROR(__xludf.DUMMYFUNCTION("""COMPUTED_VALUE"""),7.0)</f>
        <v>7</v>
      </c>
      <c r="K175" s="537">
        <f>IFERROR(__xludf.DUMMYFUNCTION("""COMPUTED_VALUE"""),46000.0)</f>
        <v>46000</v>
      </c>
      <c r="L175" s="539">
        <f>IFERROR(__xludf.DUMMYFUNCTION("""COMPUTED_VALUE"""),46003.0)</f>
        <v>46003</v>
      </c>
      <c r="M175" s="540">
        <f>IFERROR(__xludf.DUMMYFUNCTION("""COMPUTED_VALUE"""),46008.0)</f>
        <v>46008</v>
      </c>
      <c r="N175" s="539">
        <f>IFERROR(__xludf.DUMMYFUNCTION("""COMPUTED_VALUE"""),2150.0)</f>
        <v>2150</v>
      </c>
      <c r="O175" s="593">
        <f>IFERROR(__xludf.DUMMYFUNCTION("""COMPUTED_VALUE"""),1950.0)</f>
        <v>1950</v>
      </c>
      <c r="P175" s="594">
        <f>IFERROR(__xludf.DUMMYFUNCTION("""COMPUTED_VALUE"""),1300.0)</f>
        <v>1300</v>
      </c>
      <c r="Q175" s="183"/>
      <c r="R175" s="544"/>
      <c r="S175" s="544"/>
      <c r="T175" s="544"/>
      <c r="U175" s="544"/>
      <c r="V175" s="544"/>
      <c r="W175" s="544"/>
      <c r="X175" s="544"/>
      <c r="Y175" s="544"/>
      <c r="Z175" s="544"/>
      <c r="AA175" s="544"/>
      <c r="AB175" s="544"/>
      <c r="AC175" s="544"/>
      <c r="AD175" s="544"/>
      <c r="AE175" s="183"/>
      <c r="AF175" s="183"/>
      <c r="AG175" s="183"/>
      <c r="AH175" s="183"/>
      <c r="AI175" s="183"/>
      <c r="AJ175" s="183"/>
      <c r="AK175" s="183"/>
      <c r="AL175" s="183"/>
      <c r="AM175" s="183"/>
    </row>
    <row r="176" hidden="1">
      <c r="A176" s="531" t="str">
        <f>IFERROR(__xludf.DUMMYFUNCTION("""COMPUTED_VALUE"""),"サイズ - ウィメンズ")</f>
        <v>サイズ - ウィメンズ</v>
      </c>
      <c r="B176" s="531" t="str">
        <f>IFERROR(__xludf.DUMMYFUNCTION("""COMPUTED_VALUE"""),"ジャケット / ジャコット")</f>
        <v>ジャケット / ジャコット</v>
      </c>
      <c r="C176" s="531" t="str">
        <f>IFERROR(__xludf.DUMMYFUNCTION("""COMPUTED_VALUE"""),"袖丈")</f>
        <v>袖丈</v>
      </c>
      <c r="D176" s="550" t="str">
        <f>IFERROR(__xludf.DUMMYFUNCTION("""COMPUTED_VALUE"""),"本切羽無し")</f>
        <v>本切羽無し</v>
      </c>
      <c r="E176" s="550" t="str">
        <f>IFERROR(__xludf.DUMMYFUNCTION("""COMPUTED_VALUE"""),"±1.1以上の場合は、ボタン位置の調整ありなので素材に注意")</f>
        <v>±1.1以上の場合は、ボタン位置の調整ありなので素材に注意</v>
      </c>
      <c r="F176" s="534" t="str">
        <f>IFERROR(__xludf.DUMMYFUNCTION("""COMPUTED_VALUE"""),"袖丈 / 本切羽無し")</f>
        <v>袖丈 / 本切羽無し</v>
      </c>
      <c r="G176" s="550" t="str">
        <f>IFERROR(__xludf.DUMMYFUNCTION("""COMPUTED_VALUE"""),"袖丈 / 本切羽無し（±1.1以上の場合は、ボタン位置の調整ありなので素材に注意）")</f>
        <v>袖丈 / 本切羽無し（±1.1以上の場合は、ボタン位置の調整ありなので素材に注意）</v>
      </c>
      <c r="H176" s="572" t="str">
        <f>IFERROR(__xludf.DUMMYFUNCTION("""COMPUTED_VALUE"""),"-2")</f>
        <v>-2</v>
      </c>
      <c r="I176" s="536"/>
      <c r="J176" s="538">
        <f>IFERROR(__xludf.DUMMYFUNCTION("""COMPUTED_VALUE"""),7.0)</f>
        <v>7</v>
      </c>
      <c r="K176" s="537">
        <f>IFERROR(__xludf.DUMMYFUNCTION("""COMPUTED_VALUE"""),46000.0)</f>
        <v>46000</v>
      </c>
      <c r="L176" s="539">
        <f>IFERROR(__xludf.DUMMYFUNCTION("""COMPUTED_VALUE"""),46003.0)</f>
        <v>46003</v>
      </c>
      <c r="M176" s="540">
        <f>IFERROR(__xludf.DUMMYFUNCTION("""COMPUTED_VALUE"""),46008.0)</f>
        <v>46008</v>
      </c>
      <c r="N176" s="539">
        <f>IFERROR(__xludf.DUMMYFUNCTION("""COMPUTED_VALUE"""),2150.0)</f>
        <v>2150</v>
      </c>
      <c r="O176" s="593">
        <f>IFERROR(__xludf.DUMMYFUNCTION("""COMPUTED_VALUE"""),1950.0)</f>
        <v>1950</v>
      </c>
      <c r="P176" s="594">
        <f>IFERROR(__xludf.DUMMYFUNCTION("""COMPUTED_VALUE"""),1300.0)</f>
        <v>1300</v>
      </c>
      <c r="Q176" s="183"/>
      <c r="R176" s="544"/>
      <c r="S176" s="544"/>
      <c r="T176" s="544"/>
      <c r="U176" s="544"/>
      <c r="V176" s="544"/>
      <c r="W176" s="544"/>
      <c r="X176" s="544"/>
      <c r="Y176" s="544"/>
      <c r="Z176" s="544"/>
      <c r="AA176" s="544"/>
      <c r="AB176" s="544"/>
      <c r="AC176" s="544"/>
      <c r="AD176" s="544"/>
      <c r="AE176" s="183"/>
      <c r="AF176" s="183"/>
      <c r="AG176" s="183"/>
      <c r="AH176" s="183"/>
      <c r="AI176" s="183"/>
      <c r="AJ176" s="183"/>
      <c r="AK176" s="183"/>
      <c r="AL176" s="183"/>
      <c r="AM176" s="183"/>
    </row>
    <row r="177" hidden="1">
      <c r="A177" s="531" t="str">
        <f>IFERROR(__xludf.DUMMYFUNCTION("""COMPUTED_VALUE"""),"サイズ - ウィメンズ")</f>
        <v>サイズ - ウィメンズ</v>
      </c>
      <c r="B177" s="531" t="str">
        <f>IFERROR(__xludf.DUMMYFUNCTION("""COMPUTED_VALUE"""),"ジャケット / ジャコット")</f>
        <v>ジャケット / ジャコット</v>
      </c>
      <c r="C177" s="531" t="str">
        <f>IFERROR(__xludf.DUMMYFUNCTION("""COMPUTED_VALUE"""),"袖丈")</f>
        <v>袖丈</v>
      </c>
      <c r="D177" s="550" t="str">
        <f>IFERROR(__xludf.DUMMYFUNCTION("""COMPUTED_VALUE"""),"本切羽無し")</f>
        <v>本切羽無し</v>
      </c>
      <c r="E177" s="550" t="str">
        <f>IFERROR(__xludf.DUMMYFUNCTION("""COMPUTED_VALUE"""),"±1.1以上の場合は、ボタン位置の調整ありなので素材に注意")</f>
        <v>±1.1以上の場合は、ボタン位置の調整ありなので素材に注意</v>
      </c>
      <c r="F177" s="534" t="str">
        <f>IFERROR(__xludf.DUMMYFUNCTION("""COMPUTED_VALUE"""),"袖丈 / 本切羽無し")</f>
        <v>袖丈 / 本切羽無し</v>
      </c>
      <c r="G177" s="550" t="str">
        <f>IFERROR(__xludf.DUMMYFUNCTION("""COMPUTED_VALUE"""),"袖丈 / 本切羽無し（±1.1以上の場合は、ボタン位置の調整ありなので素材に注意）")</f>
        <v>袖丈 / 本切羽無し（±1.1以上の場合は、ボタン位置の調整ありなので素材に注意）</v>
      </c>
      <c r="H177" s="572" t="str">
        <f>IFERROR(__xludf.DUMMYFUNCTION("""COMPUTED_VALUE"""),"-1.5")</f>
        <v>-1.5</v>
      </c>
      <c r="I177" s="536"/>
      <c r="J177" s="538">
        <f>IFERROR(__xludf.DUMMYFUNCTION("""COMPUTED_VALUE"""),7.0)</f>
        <v>7</v>
      </c>
      <c r="K177" s="537">
        <f>IFERROR(__xludf.DUMMYFUNCTION("""COMPUTED_VALUE"""),46000.0)</f>
        <v>46000</v>
      </c>
      <c r="L177" s="539">
        <f>IFERROR(__xludf.DUMMYFUNCTION("""COMPUTED_VALUE"""),46003.0)</f>
        <v>46003</v>
      </c>
      <c r="M177" s="540">
        <f>IFERROR(__xludf.DUMMYFUNCTION("""COMPUTED_VALUE"""),46008.0)</f>
        <v>46008</v>
      </c>
      <c r="N177" s="539">
        <f>IFERROR(__xludf.DUMMYFUNCTION("""COMPUTED_VALUE"""),2150.0)</f>
        <v>2150</v>
      </c>
      <c r="O177" s="593">
        <f>IFERROR(__xludf.DUMMYFUNCTION("""COMPUTED_VALUE"""),1950.0)</f>
        <v>1950</v>
      </c>
      <c r="P177" s="594">
        <f>IFERROR(__xludf.DUMMYFUNCTION("""COMPUTED_VALUE"""),1300.0)</f>
        <v>1300</v>
      </c>
      <c r="Q177" s="183"/>
      <c r="R177" s="544"/>
      <c r="S177" s="544"/>
      <c r="T177" s="544"/>
      <c r="U177" s="544"/>
      <c r="V177" s="544"/>
      <c r="W177" s="544"/>
      <c r="X177" s="544"/>
      <c r="Y177" s="544"/>
      <c r="Z177" s="544"/>
      <c r="AA177" s="544"/>
      <c r="AB177" s="544"/>
      <c r="AC177" s="544"/>
      <c r="AD177" s="544"/>
      <c r="AE177" s="183"/>
      <c r="AF177" s="183"/>
      <c r="AG177" s="183"/>
      <c r="AH177" s="183"/>
      <c r="AI177" s="183"/>
      <c r="AJ177" s="183"/>
      <c r="AK177" s="183"/>
      <c r="AL177" s="183"/>
      <c r="AM177" s="183"/>
    </row>
    <row r="178">
      <c r="A178" s="531" t="str">
        <f>IFERROR(__xludf.DUMMYFUNCTION("""COMPUTED_VALUE"""),"サイズ - ウィメンズ")</f>
        <v>サイズ - ウィメンズ</v>
      </c>
      <c r="B178" s="531" t="str">
        <f>IFERROR(__xludf.DUMMYFUNCTION("""COMPUTED_VALUE"""),"ジャケット / ジャコット")</f>
        <v>ジャケット / ジャコット</v>
      </c>
      <c r="C178" s="531" t="str">
        <f>IFERROR(__xludf.DUMMYFUNCTION("""COMPUTED_VALUE"""),"袖丈")</f>
        <v>袖丈</v>
      </c>
      <c r="D178" s="550" t="str">
        <f>IFERROR(__xludf.DUMMYFUNCTION("""COMPUTED_VALUE"""),"本切羽無し")</f>
        <v>本切羽無し</v>
      </c>
      <c r="E178" s="550" t="str">
        <f>IFERROR(__xludf.DUMMYFUNCTION("""COMPUTED_VALUE"""),"±1.1以上の場合は、ボタン位置の調整ありなので素材に注意")</f>
        <v>±1.1以上の場合は、ボタン位置の調整ありなので素材に注意</v>
      </c>
      <c r="F178" s="534" t="str">
        <f>IFERROR(__xludf.DUMMYFUNCTION("""COMPUTED_VALUE"""),"袖丈 / 本切羽無し")</f>
        <v>袖丈 / 本切羽無し</v>
      </c>
      <c r="G178" s="550" t="str">
        <f>IFERROR(__xludf.DUMMYFUNCTION("""COMPUTED_VALUE"""),"袖丈 / 本切羽無し（±1.1以上の場合は、ボタン位置の調整ありなので素材に注意）")</f>
        <v>袖丈 / 本切羽無し（±1.1以上の場合は、ボタン位置の調整ありなので素材に注意）</v>
      </c>
      <c r="H178" s="572" t="str">
        <f>IFERROR(__xludf.DUMMYFUNCTION("""COMPUTED_VALUE"""),"-1")</f>
        <v>-1</v>
      </c>
      <c r="I178" s="536"/>
      <c r="J178" s="538">
        <f>IFERROR(__xludf.DUMMYFUNCTION("""COMPUTED_VALUE"""),7.0)</f>
        <v>7</v>
      </c>
      <c r="K178" s="537">
        <f>IFERROR(__xludf.DUMMYFUNCTION("""COMPUTED_VALUE"""),46000.0)</f>
        <v>46000</v>
      </c>
      <c r="L178" s="539">
        <f>IFERROR(__xludf.DUMMYFUNCTION("""COMPUTED_VALUE"""),46003.0)</f>
        <v>46003</v>
      </c>
      <c r="M178" s="540">
        <f>IFERROR(__xludf.DUMMYFUNCTION("""COMPUTED_VALUE"""),46008.0)</f>
        <v>46008</v>
      </c>
      <c r="N178" s="539">
        <f>IFERROR(__xludf.DUMMYFUNCTION("""COMPUTED_VALUE"""),2150.0)</f>
        <v>2150</v>
      </c>
      <c r="O178" s="593">
        <f>IFERROR(__xludf.DUMMYFUNCTION("""COMPUTED_VALUE"""),1950.0)</f>
        <v>1950</v>
      </c>
      <c r="P178" s="594">
        <f>IFERROR(__xludf.DUMMYFUNCTION("""COMPUTED_VALUE"""),1300.0)</f>
        <v>1300</v>
      </c>
      <c r="Q178" s="183"/>
      <c r="R178" s="544"/>
      <c r="S178" s="544"/>
      <c r="T178" s="544"/>
      <c r="U178" s="544"/>
      <c r="V178" s="544"/>
      <c r="W178" s="544"/>
      <c r="X178" s="544"/>
      <c r="Y178" s="544"/>
      <c r="Z178" s="544"/>
      <c r="AA178" s="544"/>
      <c r="AB178" s="544"/>
      <c r="AC178" s="544"/>
      <c r="AD178" s="544"/>
      <c r="AE178" s="183"/>
      <c r="AF178" s="183"/>
      <c r="AG178" s="183"/>
      <c r="AH178" s="183"/>
      <c r="AI178" s="183"/>
      <c r="AJ178" s="183"/>
      <c r="AK178" s="183"/>
      <c r="AL178" s="183"/>
      <c r="AM178" s="183"/>
    </row>
    <row r="179">
      <c r="A179" s="531" t="str">
        <f>IFERROR(__xludf.DUMMYFUNCTION("""COMPUTED_VALUE"""),"サイズ - ウィメンズ")</f>
        <v>サイズ - ウィメンズ</v>
      </c>
      <c r="B179" s="531" t="str">
        <f>IFERROR(__xludf.DUMMYFUNCTION("""COMPUTED_VALUE"""),"ジャケット / ジャコット")</f>
        <v>ジャケット / ジャコット</v>
      </c>
      <c r="C179" s="531" t="str">
        <f>IFERROR(__xludf.DUMMYFUNCTION("""COMPUTED_VALUE"""),"袖丈")</f>
        <v>袖丈</v>
      </c>
      <c r="D179" s="550" t="str">
        <f>IFERROR(__xludf.DUMMYFUNCTION("""COMPUTED_VALUE"""),"本切羽無し")</f>
        <v>本切羽無し</v>
      </c>
      <c r="E179" s="550" t="str">
        <f>IFERROR(__xludf.DUMMYFUNCTION("""COMPUTED_VALUE"""),"±1.1以上の場合は、ボタン位置の調整ありなので素材に注意")</f>
        <v>±1.1以上の場合は、ボタン位置の調整ありなので素材に注意</v>
      </c>
      <c r="F179" s="534" t="str">
        <f>IFERROR(__xludf.DUMMYFUNCTION("""COMPUTED_VALUE"""),"袖丈 / 本切羽無し")</f>
        <v>袖丈 / 本切羽無し</v>
      </c>
      <c r="G179" s="550" t="str">
        <f>IFERROR(__xludf.DUMMYFUNCTION("""COMPUTED_VALUE"""),"袖丈 / 本切羽無し（±1.1以上の場合は、ボタン位置の調整ありなので素材に注意）")</f>
        <v>袖丈 / 本切羽無し（±1.1以上の場合は、ボタン位置の調整ありなので素材に注意）</v>
      </c>
      <c r="H179" s="572" t="str">
        <f>IFERROR(__xludf.DUMMYFUNCTION("""COMPUTED_VALUE"""),"-0.5")</f>
        <v>-0.5</v>
      </c>
      <c r="I179" s="536"/>
      <c r="J179" s="538">
        <f>IFERROR(__xludf.DUMMYFUNCTION("""COMPUTED_VALUE"""),7.0)</f>
        <v>7</v>
      </c>
      <c r="K179" s="537">
        <f>IFERROR(__xludf.DUMMYFUNCTION("""COMPUTED_VALUE"""),46000.0)</f>
        <v>46000</v>
      </c>
      <c r="L179" s="539">
        <f>IFERROR(__xludf.DUMMYFUNCTION("""COMPUTED_VALUE"""),46003.0)</f>
        <v>46003</v>
      </c>
      <c r="M179" s="540">
        <f>IFERROR(__xludf.DUMMYFUNCTION("""COMPUTED_VALUE"""),46008.0)</f>
        <v>46008</v>
      </c>
      <c r="N179" s="539">
        <f>IFERROR(__xludf.DUMMYFUNCTION("""COMPUTED_VALUE"""),2150.0)</f>
        <v>2150</v>
      </c>
      <c r="O179" s="593">
        <f>IFERROR(__xludf.DUMMYFUNCTION("""COMPUTED_VALUE"""),1950.0)</f>
        <v>1950</v>
      </c>
      <c r="P179" s="594">
        <f>IFERROR(__xludf.DUMMYFUNCTION("""COMPUTED_VALUE"""),1300.0)</f>
        <v>1300</v>
      </c>
      <c r="Q179" s="183"/>
      <c r="R179" s="544"/>
      <c r="S179" s="544"/>
      <c r="T179" s="544"/>
      <c r="U179" s="544"/>
      <c r="V179" s="544"/>
      <c r="W179" s="544"/>
      <c r="X179" s="544"/>
      <c r="Y179" s="544"/>
      <c r="Z179" s="544"/>
      <c r="AA179" s="544"/>
      <c r="AB179" s="544"/>
      <c r="AC179" s="544"/>
      <c r="AD179" s="544"/>
      <c r="AE179" s="183"/>
      <c r="AF179" s="183"/>
      <c r="AG179" s="183"/>
      <c r="AH179" s="183"/>
      <c r="AI179" s="183"/>
      <c r="AJ179" s="183"/>
      <c r="AK179" s="183"/>
      <c r="AL179" s="183"/>
      <c r="AM179" s="183"/>
    </row>
    <row r="180">
      <c r="A180" s="531" t="str">
        <f>IFERROR(__xludf.DUMMYFUNCTION("""COMPUTED_VALUE"""),"サイズ - ウィメンズ")</f>
        <v>サイズ - ウィメンズ</v>
      </c>
      <c r="B180" s="531" t="str">
        <f>IFERROR(__xludf.DUMMYFUNCTION("""COMPUTED_VALUE"""),"ジャケット / ジャコット")</f>
        <v>ジャケット / ジャコット</v>
      </c>
      <c r="C180" s="531" t="str">
        <f>IFERROR(__xludf.DUMMYFUNCTION("""COMPUTED_VALUE"""),"袖丈")</f>
        <v>袖丈</v>
      </c>
      <c r="D180" s="550" t="str">
        <f>IFERROR(__xludf.DUMMYFUNCTION("""COMPUTED_VALUE"""),"本切羽無し")</f>
        <v>本切羽無し</v>
      </c>
      <c r="E180" s="550" t="str">
        <f>IFERROR(__xludf.DUMMYFUNCTION("""COMPUTED_VALUE"""),"±1.1以上の場合は、ボタン位置の調整ありなので素材に注意")</f>
        <v>±1.1以上の場合は、ボタン位置の調整ありなので素材に注意</v>
      </c>
      <c r="F180" s="534" t="str">
        <f>IFERROR(__xludf.DUMMYFUNCTION("""COMPUTED_VALUE"""),"袖丈 / 本切羽無し")</f>
        <v>袖丈 / 本切羽無し</v>
      </c>
      <c r="G180" s="550" t="str">
        <f>IFERROR(__xludf.DUMMYFUNCTION("""COMPUTED_VALUE"""),"袖丈 / 本切羽無し（±1.1以上の場合は、ボタン位置の調整ありなので素材に注意）")</f>
        <v>袖丈 / 本切羽無し（±1.1以上の場合は、ボタン位置の調整ありなので素材に注意）</v>
      </c>
      <c r="H180" s="572" t="str">
        <f>IFERROR(__xludf.DUMMYFUNCTION("""COMPUTED_VALUE"""),"0.5")</f>
        <v>0.5</v>
      </c>
      <c r="I180" s="536"/>
      <c r="J180" s="538">
        <f>IFERROR(__xludf.DUMMYFUNCTION("""COMPUTED_VALUE"""),7.0)</f>
        <v>7</v>
      </c>
      <c r="K180" s="537">
        <f>IFERROR(__xludf.DUMMYFUNCTION("""COMPUTED_VALUE"""),46000.0)</f>
        <v>46000</v>
      </c>
      <c r="L180" s="539">
        <f>IFERROR(__xludf.DUMMYFUNCTION("""COMPUTED_VALUE"""),46003.0)</f>
        <v>46003</v>
      </c>
      <c r="M180" s="540">
        <f>IFERROR(__xludf.DUMMYFUNCTION("""COMPUTED_VALUE"""),46008.0)</f>
        <v>46008</v>
      </c>
      <c r="N180" s="539">
        <f>IFERROR(__xludf.DUMMYFUNCTION("""COMPUTED_VALUE"""),2150.0)</f>
        <v>2150</v>
      </c>
      <c r="O180" s="593">
        <f>IFERROR(__xludf.DUMMYFUNCTION("""COMPUTED_VALUE"""),1950.0)</f>
        <v>1950</v>
      </c>
      <c r="P180" s="594">
        <f>IFERROR(__xludf.DUMMYFUNCTION("""COMPUTED_VALUE"""),1300.0)</f>
        <v>1300</v>
      </c>
      <c r="Q180" s="183"/>
      <c r="R180" s="544"/>
      <c r="S180" s="544"/>
      <c r="T180" s="544"/>
      <c r="U180" s="544"/>
      <c r="V180" s="544"/>
      <c r="W180" s="544"/>
      <c r="X180" s="544"/>
      <c r="Y180" s="544"/>
      <c r="Z180" s="544"/>
      <c r="AA180" s="544"/>
      <c r="AB180" s="544"/>
      <c r="AC180" s="544"/>
      <c r="AD180" s="544"/>
      <c r="AE180" s="183"/>
      <c r="AF180" s="183"/>
      <c r="AG180" s="183"/>
      <c r="AH180" s="183"/>
      <c r="AI180" s="183"/>
      <c r="AJ180" s="183"/>
      <c r="AK180" s="183"/>
      <c r="AL180" s="183"/>
      <c r="AM180" s="183"/>
    </row>
    <row r="181">
      <c r="A181" s="531" t="str">
        <f>IFERROR(__xludf.DUMMYFUNCTION("""COMPUTED_VALUE"""),"サイズ - ウィメンズ")</f>
        <v>サイズ - ウィメンズ</v>
      </c>
      <c r="B181" s="531" t="str">
        <f>IFERROR(__xludf.DUMMYFUNCTION("""COMPUTED_VALUE"""),"ジャケット / ジャコット")</f>
        <v>ジャケット / ジャコット</v>
      </c>
      <c r="C181" s="531" t="str">
        <f>IFERROR(__xludf.DUMMYFUNCTION("""COMPUTED_VALUE"""),"袖丈")</f>
        <v>袖丈</v>
      </c>
      <c r="D181" s="550" t="str">
        <f>IFERROR(__xludf.DUMMYFUNCTION("""COMPUTED_VALUE"""),"本切羽無し")</f>
        <v>本切羽無し</v>
      </c>
      <c r="E181" s="550" t="str">
        <f>IFERROR(__xludf.DUMMYFUNCTION("""COMPUTED_VALUE"""),"±1.1以上の場合は、ボタン位置の調整ありなので素材に注意")</f>
        <v>±1.1以上の場合は、ボタン位置の調整ありなので素材に注意</v>
      </c>
      <c r="F181" s="534" t="str">
        <f>IFERROR(__xludf.DUMMYFUNCTION("""COMPUTED_VALUE"""),"袖丈 / 本切羽無し")</f>
        <v>袖丈 / 本切羽無し</v>
      </c>
      <c r="G181" s="550" t="str">
        <f>IFERROR(__xludf.DUMMYFUNCTION("""COMPUTED_VALUE"""),"袖丈 / 本切羽無し（±1.1以上の場合は、ボタン位置の調整ありなので素材に注意）")</f>
        <v>袖丈 / 本切羽無し（±1.1以上の場合は、ボタン位置の調整ありなので素材に注意）</v>
      </c>
      <c r="H181" s="572" t="str">
        <f>IFERROR(__xludf.DUMMYFUNCTION("""COMPUTED_VALUE"""),"1")</f>
        <v>1</v>
      </c>
      <c r="I181" s="536"/>
      <c r="J181" s="538">
        <f>IFERROR(__xludf.DUMMYFUNCTION("""COMPUTED_VALUE"""),7.0)</f>
        <v>7</v>
      </c>
      <c r="K181" s="537">
        <f>IFERROR(__xludf.DUMMYFUNCTION("""COMPUTED_VALUE"""),46000.0)</f>
        <v>46000</v>
      </c>
      <c r="L181" s="539">
        <f>IFERROR(__xludf.DUMMYFUNCTION("""COMPUTED_VALUE"""),46003.0)</f>
        <v>46003</v>
      </c>
      <c r="M181" s="540">
        <f>IFERROR(__xludf.DUMMYFUNCTION("""COMPUTED_VALUE"""),46008.0)</f>
        <v>46008</v>
      </c>
      <c r="N181" s="539">
        <f>IFERROR(__xludf.DUMMYFUNCTION("""COMPUTED_VALUE"""),2150.0)</f>
        <v>2150</v>
      </c>
      <c r="O181" s="593">
        <f>IFERROR(__xludf.DUMMYFUNCTION("""COMPUTED_VALUE"""),1950.0)</f>
        <v>1950</v>
      </c>
      <c r="P181" s="594">
        <f>IFERROR(__xludf.DUMMYFUNCTION("""COMPUTED_VALUE"""),1300.0)</f>
        <v>1300</v>
      </c>
      <c r="Q181" s="183"/>
      <c r="R181" s="544"/>
      <c r="S181" s="544"/>
      <c r="T181" s="544"/>
      <c r="U181" s="544"/>
      <c r="V181" s="544"/>
      <c r="W181" s="544"/>
      <c r="X181" s="544"/>
      <c r="Y181" s="544"/>
      <c r="Z181" s="544"/>
      <c r="AA181" s="544"/>
      <c r="AB181" s="544"/>
      <c r="AC181" s="544"/>
      <c r="AD181" s="544"/>
      <c r="AE181" s="183"/>
      <c r="AF181" s="183"/>
      <c r="AG181" s="183"/>
      <c r="AH181" s="183"/>
      <c r="AI181" s="183"/>
      <c r="AJ181" s="183"/>
      <c r="AK181" s="183"/>
      <c r="AL181" s="183"/>
      <c r="AM181" s="183"/>
    </row>
    <row r="182">
      <c r="A182" s="531" t="str">
        <f>IFERROR(__xludf.DUMMYFUNCTION("""COMPUTED_VALUE"""),"サイズ - ウィメンズ")</f>
        <v>サイズ - ウィメンズ</v>
      </c>
      <c r="B182" s="531" t="str">
        <f>IFERROR(__xludf.DUMMYFUNCTION("""COMPUTED_VALUE"""),"ジャケット / ジャコット")</f>
        <v>ジャケット / ジャコット</v>
      </c>
      <c r="C182" s="531" t="str">
        <f>IFERROR(__xludf.DUMMYFUNCTION("""COMPUTED_VALUE"""),"袖丈")</f>
        <v>袖丈</v>
      </c>
      <c r="D182" s="550" t="str">
        <f>IFERROR(__xludf.DUMMYFUNCTION("""COMPUTED_VALUE"""),"本切羽無し")</f>
        <v>本切羽無し</v>
      </c>
      <c r="E182" s="550" t="str">
        <f>IFERROR(__xludf.DUMMYFUNCTION("""COMPUTED_VALUE"""),"±1.1以上の場合は、ボタン位置の調整ありなので素材に注意")</f>
        <v>±1.1以上の場合は、ボタン位置の調整ありなので素材に注意</v>
      </c>
      <c r="F182" s="534" t="str">
        <f>IFERROR(__xludf.DUMMYFUNCTION("""COMPUTED_VALUE"""),"袖丈 / 本切羽無し")</f>
        <v>袖丈 / 本切羽無し</v>
      </c>
      <c r="G182" s="550" t="str">
        <f>IFERROR(__xludf.DUMMYFUNCTION("""COMPUTED_VALUE"""),"袖丈 / 本切羽無し（±1.1以上の場合は、ボタン位置の調整ありなので素材に注意）")</f>
        <v>袖丈 / 本切羽無し（±1.1以上の場合は、ボタン位置の調整ありなので素材に注意）</v>
      </c>
      <c r="H182" s="572" t="str">
        <f>IFERROR(__xludf.DUMMYFUNCTION("""COMPUTED_VALUE"""),"1.5")</f>
        <v>1.5</v>
      </c>
      <c r="I182" s="536"/>
      <c r="J182" s="538">
        <f>IFERROR(__xludf.DUMMYFUNCTION("""COMPUTED_VALUE"""),7.0)</f>
        <v>7</v>
      </c>
      <c r="K182" s="537">
        <f>IFERROR(__xludf.DUMMYFUNCTION("""COMPUTED_VALUE"""),46000.0)</f>
        <v>46000</v>
      </c>
      <c r="L182" s="539">
        <f>IFERROR(__xludf.DUMMYFUNCTION("""COMPUTED_VALUE"""),46003.0)</f>
        <v>46003</v>
      </c>
      <c r="M182" s="540">
        <f>IFERROR(__xludf.DUMMYFUNCTION("""COMPUTED_VALUE"""),46008.0)</f>
        <v>46008</v>
      </c>
      <c r="N182" s="539">
        <f>IFERROR(__xludf.DUMMYFUNCTION("""COMPUTED_VALUE"""),2150.0)</f>
        <v>2150</v>
      </c>
      <c r="O182" s="593">
        <f>IFERROR(__xludf.DUMMYFUNCTION("""COMPUTED_VALUE"""),1950.0)</f>
        <v>1950</v>
      </c>
      <c r="P182" s="594">
        <f>IFERROR(__xludf.DUMMYFUNCTION("""COMPUTED_VALUE"""),1300.0)</f>
        <v>1300</v>
      </c>
      <c r="Q182" s="183"/>
      <c r="R182" s="544"/>
      <c r="S182" s="544"/>
      <c r="T182" s="544"/>
      <c r="U182" s="544"/>
      <c r="V182" s="544"/>
      <c r="W182" s="544"/>
      <c r="X182" s="544"/>
      <c r="Y182" s="544"/>
      <c r="Z182" s="544"/>
      <c r="AA182" s="544"/>
      <c r="AB182" s="544"/>
      <c r="AC182" s="544"/>
      <c r="AD182" s="544"/>
      <c r="AE182" s="183"/>
      <c r="AF182" s="183"/>
      <c r="AG182" s="183"/>
      <c r="AH182" s="183"/>
      <c r="AI182" s="183"/>
      <c r="AJ182" s="183"/>
      <c r="AK182" s="183"/>
      <c r="AL182" s="183"/>
      <c r="AM182" s="183"/>
    </row>
    <row r="183">
      <c r="A183" s="531" t="str">
        <f>IFERROR(__xludf.DUMMYFUNCTION("""COMPUTED_VALUE"""),"サイズ - ウィメンズ")</f>
        <v>サイズ - ウィメンズ</v>
      </c>
      <c r="B183" s="531" t="str">
        <f>IFERROR(__xludf.DUMMYFUNCTION("""COMPUTED_VALUE"""),"ジャケット / ジャコット")</f>
        <v>ジャケット / ジャコット</v>
      </c>
      <c r="C183" s="531" t="str">
        <f>IFERROR(__xludf.DUMMYFUNCTION("""COMPUTED_VALUE"""),"袖丈")</f>
        <v>袖丈</v>
      </c>
      <c r="D183" s="550" t="str">
        <f>IFERROR(__xludf.DUMMYFUNCTION("""COMPUTED_VALUE"""),"本切羽無し")</f>
        <v>本切羽無し</v>
      </c>
      <c r="E183" s="550" t="str">
        <f>IFERROR(__xludf.DUMMYFUNCTION("""COMPUTED_VALUE"""),"±1.1以上の場合は、ボタン位置の調整ありなので素材に注意")</f>
        <v>±1.1以上の場合は、ボタン位置の調整ありなので素材に注意</v>
      </c>
      <c r="F183" s="534" t="str">
        <f>IFERROR(__xludf.DUMMYFUNCTION("""COMPUTED_VALUE"""),"袖丈 / 本切羽無し")</f>
        <v>袖丈 / 本切羽無し</v>
      </c>
      <c r="G183" s="550" t="str">
        <f>IFERROR(__xludf.DUMMYFUNCTION("""COMPUTED_VALUE"""),"袖丈 / 本切羽無し（±1.1以上の場合は、ボタン位置の調整ありなので素材に注意）")</f>
        <v>袖丈 / 本切羽無し（±1.1以上の場合は、ボタン位置の調整ありなので素材に注意）</v>
      </c>
      <c r="H183" s="572" t="str">
        <f>IFERROR(__xludf.DUMMYFUNCTION("""COMPUTED_VALUE"""),"2")</f>
        <v>2</v>
      </c>
      <c r="I183" s="536"/>
      <c r="J183" s="538">
        <f>IFERROR(__xludf.DUMMYFUNCTION("""COMPUTED_VALUE"""),7.0)</f>
        <v>7</v>
      </c>
      <c r="K183" s="537">
        <f>IFERROR(__xludf.DUMMYFUNCTION("""COMPUTED_VALUE"""),46000.0)</f>
        <v>46000</v>
      </c>
      <c r="L183" s="539">
        <f>IFERROR(__xludf.DUMMYFUNCTION("""COMPUTED_VALUE"""),46003.0)</f>
        <v>46003</v>
      </c>
      <c r="M183" s="540">
        <f>IFERROR(__xludf.DUMMYFUNCTION("""COMPUTED_VALUE"""),46008.0)</f>
        <v>46008</v>
      </c>
      <c r="N183" s="539">
        <f>IFERROR(__xludf.DUMMYFUNCTION("""COMPUTED_VALUE"""),2150.0)</f>
        <v>2150</v>
      </c>
      <c r="O183" s="593">
        <f>IFERROR(__xludf.DUMMYFUNCTION("""COMPUTED_VALUE"""),1950.0)</f>
        <v>1950</v>
      </c>
      <c r="P183" s="594">
        <f>IFERROR(__xludf.DUMMYFUNCTION("""COMPUTED_VALUE"""),1300.0)</f>
        <v>1300</v>
      </c>
      <c r="Q183" s="183"/>
      <c r="R183" s="544"/>
      <c r="S183" s="544"/>
      <c r="T183" s="544"/>
      <c r="U183" s="544"/>
      <c r="V183" s="544"/>
      <c r="W183" s="544"/>
      <c r="X183" s="544"/>
      <c r="Y183" s="544"/>
      <c r="Z183" s="544"/>
      <c r="AA183" s="544"/>
      <c r="AB183" s="544"/>
      <c r="AC183" s="544"/>
      <c r="AD183" s="544"/>
      <c r="AE183" s="183"/>
      <c r="AF183" s="183"/>
      <c r="AG183" s="183"/>
      <c r="AH183" s="183"/>
      <c r="AI183" s="183"/>
      <c r="AJ183" s="183"/>
      <c r="AK183" s="183"/>
      <c r="AL183" s="183"/>
      <c r="AM183" s="183"/>
    </row>
    <row r="184">
      <c r="A184" s="531" t="str">
        <f>IFERROR(__xludf.DUMMYFUNCTION("""COMPUTED_VALUE"""),"サイズ - ウィメンズ")</f>
        <v>サイズ - ウィメンズ</v>
      </c>
      <c r="B184" s="531" t="str">
        <f>IFERROR(__xludf.DUMMYFUNCTION("""COMPUTED_VALUE"""),"ジャケット / ジャコット")</f>
        <v>ジャケット / ジャコット</v>
      </c>
      <c r="C184" s="531" t="str">
        <f>IFERROR(__xludf.DUMMYFUNCTION("""COMPUTED_VALUE"""),"袖丈")</f>
        <v>袖丈</v>
      </c>
      <c r="D184" s="550" t="str">
        <f>IFERROR(__xludf.DUMMYFUNCTION("""COMPUTED_VALUE"""),"本切羽無し")</f>
        <v>本切羽無し</v>
      </c>
      <c r="E184" s="550" t="str">
        <f>IFERROR(__xludf.DUMMYFUNCTION("""COMPUTED_VALUE"""),"±1.1以上の場合は、ボタン位置の調整ありなので素材に注意")</f>
        <v>±1.1以上の場合は、ボタン位置の調整ありなので素材に注意</v>
      </c>
      <c r="F184" s="534" t="str">
        <f>IFERROR(__xludf.DUMMYFUNCTION("""COMPUTED_VALUE"""),"袖丈 / 本切羽無し")</f>
        <v>袖丈 / 本切羽無し</v>
      </c>
      <c r="G184" s="550" t="str">
        <f>IFERROR(__xludf.DUMMYFUNCTION("""COMPUTED_VALUE"""),"袖丈 / 本切羽無し（±1.1以上の場合は、ボタン位置の調整ありなので素材に注意）")</f>
        <v>袖丈 / 本切羽無し（±1.1以上の場合は、ボタン位置の調整ありなので素材に注意）</v>
      </c>
      <c r="H184" s="572" t="str">
        <f>IFERROR(__xludf.DUMMYFUNCTION("""COMPUTED_VALUE"""),"2.5")</f>
        <v>2.5</v>
      </c>
      <c r="I184" s="536"/>
      <c r="J184" s="538">
        <f>IFERROR(__xludf.DUMMYFUNCTION("""COMPUTED_VALUE"""),7.0)</f>
        <v>7</v>
      </c>
      <c r="K184" s="537">
        <f>IFERROR(__xludf.DUMMYFUNCTION("""COMPUTED_VALUE"""),46000.0)</f>
        <v>46000</v>
      </c>
      <c r="L184" s="539">
        <f>IFERROR(__xludf.DUMMYFUNCTION("""COMPUTED_VALUE"""),46003.0)</f>
        <v>46003</v>
      </c>
      <c r="M184" s="540">
        <f>IFERROR(__xludf.DUMMYFUNCTION("""COMPUTED_VALUE"""),46008.0)</f>
        <v>46008</v>
      </c>
      <c r="N184" s="539">
        <f>IFERROR(__xludf.DUMMYFUNCTION("""COMPUTED_VALUE"""),2150.0)</f>
        <v>2150</v>
      </c>
      <c r="O184" s="593">
        <f>IFERROR(__xludf.DUMMYFUNCTION("""COMPUTED_VALUE"""),1950.0)</f>
        <v>1950</v>
      </c>
      <c r="P184" s="594">
        <f>IFERROR(__xludf.DUMMYFUNCTION("""COMPUTED_VALUE"""),1300.0)</f>
        <v>1300</v>
      </c>
      <c r="Q184" s="183"/>
      <c r="R184" s="544"/>
      <c r="S184" s="544"/>
      <c r="T184" s="544"/>
      <c r="U184" s="544"/>
      <c r="V184" s="544"/>
      <c r="W184" s="544"/>
      <c r="X184" s="544"/>
      <c r="Y184" s="544"/>
      <c r="Z184" s="544"/>
      <c r="AA184" s="544"/>
      <c r="AB184" s="544"/>
      <c r="AC184" s="544"/>
      <c r="AD184" s="544"/>
      <c r="AE184" s="183"/>
      <c r="AF184" s="183"/>
      <c r="AG184" s="183"/>
      <c r="AH184" s="183"/>
      <c r="AI184" s="183"/>
      <c r="AJ184" s="183"/>
      <c r="AK184" s="183"/>
      <c r="AL184" s="183"/>
      <c r="AM184" s="183"/>
    </row>
    <row r="185">
      <c r="A185" s="531" t="str">
        <f>IFERROR(__xludf.DUMMYFUNCTION("""COMPUTED_VALUE"""),"サイズ - ウィメンズ")</f>
        <v>サイズ - ウィメンズ</v>
      </c>
      <c r="B185" s="531" t="str">
        <f>IFERROR(__xludf.DUMMYFUNCTION("""COMPUTED_VALUE"""),"ジャケット / ジャコット")</f>
        <v>ジャケット / ジャコット</v>
      </c>
      <c r="C185" s="531" t="str">
        <f>IFERROR(__xludf.DUMMYFUNCTION("""COMPUTED_VALUE"""),"袖丈")</f>
        <v>袖丈</v>
      </c>
      <c r="D185" s="550" t="str">
        <f>IFERROR(__xludf.DUMMYFUNCTION("""COMPUTED_VALUE"""),"本切羽有り")</f>
        <v>本切羽有り</v>
      </c>
      <c r="E185" s="533"/>
      <c r="F185" s="534" t="str">
        <f>IFERROR(__xludf.DUMMYFUNCTION("""COMPUTED_VALUE"""),"袖丈 / 本切羽有り")</f>
        <v>袖丈 / 本切羽有り</v>
      </c>
      <c r="G185" s="550" t="str">
        <f>IFERROR(__xludf.DUMMYFUNCTION("""COMPUTED_VALUE"""),"袖丈 / 本切羽有り")</f>
        <v>袖丈 / 本切羽有り</v>
      </c>
      <c r="H185" s="572" t="str">
        <f>IFERROR(__xludf.DUMMYFUNCTION("""COMPUTED_VALUE"""),"-4")</f>
        <v>-4</v>
      </c>
      <c r="I185" s="536"/>
      <c r="J185" s="538">
        <f>IFERROR(__xludf.DUMMYFUNCTION("""COMPUTED_VALUE"""),8.0)</f>
        <v>8</v>
      </c>
      <c r="K185" s="537">
        <f>IFERROR(__xludf.DUMMYFUNCTION("""COMPUTED_VALUE"""),46001.0)</f>
        <v>46001</v>
      </c>
      <c r="L185" s="539">
        <f>IFERROR(__xludf.DUMMYFUNCTION("""COMPUTED_VALUE"""),46003.0)</f>
        <v>46003</v>
      </c>
      <c r="M185" s="540">
        <f>IFERROR(__xludf.DUMMYFUNCTION("""COMPUTED_VALUE"""),46008.0)</f>
        <v>46008</v>
      </c>
      <c r="N185" s="539">
        <f>IFERROR(__xludf.DUMMYFUNCTION("""COMPUTED_VALUE"""),7590.0)</f>
        <v>7590</v>
      </c>
      <c r="O185" s="593">
        <f>IFERROR(__xludf.DUMMYFUNCTION("""COMPUTED_VALUE"""),6900.0)</f>
        <v>6900</v>
      </c>
      <c r="P185" s="594">
        <f>IFERROR(__xludf.DUMMYFUNCTION("""COMPUTED_VALUE"""),4600.0)</f>
        <v>4600</v>
      </c>
      <c r="Q185" s="183"/>
      <c r="R185" s="544"/>
      <c r="S185" s="544"/>
      <c r="T185" s="544"/>
      <c r="U185" s="544"/>
      <c r="V185" s="544"/>
      <c r="W185" s="544"/>
      <c r="X185" s="544"/>
      <c r="Y185" s="544"/>
      <c r="Z185" s="544"/>
      <c r="AA185" s="544"/>
      <c r="AB185" s="544"/>
      <c r="AC185" s="544"/>
      <c r="AD185" s="544"/>
      <c r="AE185" s="183"/>
      <c r="AF185" s="183"/>
      <c r="AG185" s="183"/>
      <c r="AH185" s="183"/>
      <c r="AI185" s="183"/>
      <c r="AJ185" s="183"/>
      <c r="AK185" s="183"/>
      <c r="AL185" s="183"/>
      <c r="AM185" s="183"/>
    </row>
    <row r="186" hidden="1">
      <c r="A186" s="531" t="str">
        <f>IFERROR(__xludf.DUMMYFUNCTION("""COMPUTED_VALUE"""),"サイズ - ウィメンズ")</f>
        <v>サイズ - ウィメンズ</v>
      </c>
      <c r="B186" s="531" t="str">
        <f>IFERROR(__xludf.DUMMYFUNCTION("""COMPUTED_VALUE"""),"ジャケット / ジャコット")</f>
        <v>ジャケット / ジャコット</v>
      </c>
      <c r="C186" s="531" t="str">
        <f>IFERROR(__xludf.DUMMYFUNCTION("""COMPUTED_VALUE"""),"袖丈")</f>
        <v>袖丈</v>
      </c>
      <c r="D186" s="533" t="str">
        <f>IFERROR(__xludf.DUMMYFUNCTION("""COMPUTED_VALUE"""),"本切羽有り")</f>
        <v>本切羽有り</v>
      </c>
      <c r="E186" s="533"/>
      <c r="F186" s="607" t="str">
        <f>IFERROR(__xludf.DUMMYFUNCTION("""COMPUTED_VALUE"""),"袖丈 / 本切羽有り")</f>
        <v>袖丈 / 本切羽有り</v>
      </c>
      <c r="G186" s="533" t="str">
        <f>IFERROR(__xludf.DUMMYFUNCTION("""COMPUTED_VALUE"""),"袖丈 / 本切羽有り")</f>
        <v>袖丈 / 本切羽有り</v>
      </c>
      <c r="H186" s="551" t="str">
        <f>IFERROR(__xludf.DUMMYFUNCTION("""COMPUTED_VALUE"""),"-3.5")</f>
        <v>-3.5</v>
      </c>
      <c r="I186" s="551"/>
      <c r="J186" s="551">
        <f>IFERROR(__xludf.DUMMYFUNCTION("""COMPUTED_VALUE"""),8.0)</f>
        <v>8</v>
      </c>
      <c r="K186" s="551">
        <f>IFERROR(__xludf.DUMMYFUNCTION("""COMPUTED_VALUE"""),46001.0)</f>
        <v>46001</v>
      </c>
      <c r="L186" s="551">
        <f>IFERROR(__xludf.DUMMYFUNCTION("""COMPUTED_VALUE"""),46003.0)</f>
        <v>46003</v>
      </c>
      <c r="M186" s="551">
        <f>IFERROR(__xludf.DUMMYFUNCTION("""COMPUTED_VALUE"""),46008.0)</f>
        <v>46008</v>
      </c>
      <c r="N186" s="539">
        <f>IFERROR(__xludf.DUMMYFUNCTION("""COMPUTED_VALUE"""),7590.0)</f>
        <v>7590</v>
      </c>
      <c r="O186" s="593">
        <f>IFERROR(__xludf.DUMMYFUNCTION("""COMPUTED_VALUE"""),6900.0)</f>
        <v>6900</v>
      </c>
      <c r="P186" s="594">
        <f>IFERROR(__xludf.DUMMYFUNCTION("""COMPUTED_VALUE"""),4600.0)</f>
        <v>4600</v>
      </c>
      <c r="Q186" s="183"/>
      <c r="R186" s="544"/>
      <c r="S186" s="544"/>
      <c r="T186" s="544"/>
      <c r="U186" s="544"/>
      <c r="V186" s="544"/>
      <c r="W186" s="544"/>
      <c r="X186" s="544"/>
      <c r="Y186" s="544"/>
      <c r="Z186" s="544"/>
      <c r="AA186" s="544"/>
      <c r="AB186" s="544"/>
      <c r="AC186" s="544"/>
      <c r="AD186" s="544"/>
      <c r="AE186" s="183"/>
      <c r="AF186" s="183"/>
      <c r="AG186" s="183"/>
      <c r="AH186" s="183"/>
      <c r="AI186" s="183"/>
      <c r="AJ186" s="183"/>
      <c r="AK186" s="183"/>
      <c r="AL186" s="183"/>
      <c r="AM186" s="183"/>
    </row>
    <row r="187" hidden="1">
      <c r="A187" s="531" t="str">
        <f>IFERROR(__xludf.DUMMYFUNCTION("""COMPUTED_VALUE"""),"サイズ - ウィメンズ")</f>
        <v>サイズ - ウィメンズ</v>
      </c>
      <c r="B187" s="531" t="str">
        <f>IFERROR(__xludf.DUMMYFUNCTION("""COMPUTED_VALUE"""),"ジャケット / ジャコット")</f>
        <v>ジャケット / ジャコット</v>
      </c>
      <c r="C187" s="531" t="str">
        <f>IFERROR(__xludf.DUMMYFUNCTION("""COMPUTED_VALUE"""),"袖丈")</f>
        <v>袖丈</v>
      </c>
      <c r="D187" s="533" t="str">
        <f>IFERROR(__xludf.DUMMYFUNCTION("""COMPUTED_VALUE"""),"本切羽有り")</f>
        <v>本切羽有り</v>
      </c>
      <c r="E187" s="533"/>
      <c r="F187" s="607" t="str">
        <f>IFERROR(__xludf.DUMMYFUNCTION("""COMPUTED_VALUE"""),"袖丈 / 本切羽有り")</f>
        <v>袖丈 / 本切羽有り</v>
      </c>
      <c r="G187" s="533" t="str">
        <f>IFERROR(__xludf.DUMMYFUNCTION("""COMPUTED_VALUE"""),"袖丈 / 本切羽有り")</f>
        <v>袖丈 / 本切羽有り</v>
      </c>
      <c r="H187" s="551" t="str">
        <f>IFERROR(__xludf.DUMMYFUNCTION("""COMPUTED_VALUE"""),"-3")</f>
        <v>-3</v>
      </c>
      <c r="I187" s="551"/>
      <c r="J187" s="551">
        <f>IFERROR(__xludf.DUMMYFUNCTION("""COMPUTED_VALUE"""),8.0)</f>
        <v>8</v>
      </c>
      <c r="K187" s="551">
        <f>IFERROR(__xludf.DUMMYFUNCTION("""COMPUTED_VALUE"""),46001.0)</f>
        <v>46001</v>
      </c>
      <c r="L187" s="551">
        <f>IFERROR(__xludf.DUMMYFUNCTION("""COMPUTED_VALUE"""),46003.0)</f>
        <v>46003</v>
      </c>
      <c r="M187" s="551">
        <f>IFERROR(__xludf.DUMMYFUNCTION("""COMPUTED_VALUE"""),46008.0)</f>
        <v>46008</v>
      </c>
      <c r="N187" s="539">
        <f>IFERROR(__xludf.DUMMYFUNCTION("""COMPUTED_VALUE"""),7590.0)</f>
        <v>7590</v>
      </c>
      <c r="O187" s="593">
        <f>IFERROR(__xludf.DUMMYFUNCTION("""COMPUTED_VALUE"""),6900.0)</f>
        <v>6900</v>
      </c>
      <c r="P187" s="594">
        <f>IFERROR(__xludf.DUMMYFUNCTION("""COMPUTED_VALUE"""),4600.0)</f>
        <v>4600</v>
      </c>
      <c r="Q187" s="183"/>
      <c r="R187" s="544"/>
      <c r="S187" s="544"/>
      <c r="T187" s="544"/>
      <c r="U187" s="544"/>
      <c r="V187" s="544"/>
      <c r="W187" s="544"/>
      <c r="X187" s="544"/>
      <c r="Y187" s="544"/>
      <c r="Z187" s="544"/>
      <c r="AA187" s="544"/>
      <c r="AB187" s="544"/>
      <c r="AC187" s="544"/>
      <c r="AD187" s="544"/>
      <c r="AE187" s="183"/>
      <c r="AF187" s="183"/>
      <c r="AG187" s="183"/>
      <c r="AH187" s="183"/>
      <c r="AI187" s="183"/>
      <c r="AJ187" s="183"/>
      <c r="AK187" s="183"/>
      <c r="AL187" s="183"/>
      <c r="AM187" s="183"/>
    </row>
    <row r="188" hidden="1">
      <c r="A188" s="531" t="str">
        <f>IFERROR(__xludf.DUMMYFUNCTION("""COMPUTED_VALUE"""),"サイズ - ウィメンズ")</f>
        <v>サイズ - ウィメンズ</v>
      </c>
      <c r="B188" s="531" t="str">
        <f>IFERROR(__xludf.DUMMYFUNCTION("""COMPUTED_VALUE"""),"ジャケット / ジャコット")</f>
        <v>ジャケット / ジャコット</v>
      </c>
      <c r="C188" s="531" t="str">
        <f>IFERROR(__xludf.DUMMYFUNCTION("""COMPUTED_VALUE"""),"袖丈")</f>
        <v>袖丈</v>
      </c>
      <c r="D188" s="533" t="str">
        <f>IFERROR(__xludf.DUMMYFUNCTION("""COMPUTED_VALUE"""),"本切羽有り")</f>
        <v>本切羽有り</v>
      </c>
      <c r="E188" s="533"/>
      <c r="F188" s="534" t="str">
        <f>IFERROR(__xludf.DUMMYFUNCTION("""COMPUTED_VALUE"""),"袖丈 / 本切羽有り")</f>
        <v>袖丈 / 本切羽有り</v>
      </c>
      <c r="G188" s="533" t="str">
        <f>IFERROR(__xludf.DUMMYFUNCTION("""COMPUTED_VALUE"""),"袖丈 / 本切羽有り")</f>
        <v>袖丈 / 本切羽有り</v>
      </c>
      <c r="H188" s="572" t="str">
        <f>IFERROR(__xludf.DUMMYFUNCTION("""COMPUTED_VALUE"""),"-2.5")</f>
        <v>-2.5</v>
      </c>
      <c r="I188" s="537"/>
      <c r="J188" s="538">
        <f>IFERROR(__xludf.DUMMYFUNCTION("""COMPUTED_VALUE"""),8.0)</f>
        <v>8</v>
      </c>
      <c r="K188" s="537">
        <f>IFERROR(__xludf.DUMMYFUNCTION("""COMPUTED_VALUE"""),46001.0)</f>
        <v>46001</v>
      </c>
      <c r="L188" s="539">
        <f>IFERROR(__xludf.DUMMYFUNCTION("""COMPUTED_VALUE"""),46003.0)</f>
        <v>46003</v>
      </c>
      <c r="M188" s="540">
        <f>IFERROR(__xludf.DUMMYFUNCTION("""COMPUTED_VALUE"""),46008.0)</f>
        <v>46008</v>
      </c>
      <c r="N188" s="539">
        <f>IFERROR(__xludf.DUMMYFUNCTION("""COMPUTED_VALUE"""),7590.0)</f>
        <v>7590</v>
      </c>
      <c r="O188" s="593">
        <f>IFERROR(__xludf.DUMMYFUNCTION("""COMPUTED_VALUE"""),6900.0)</f>
        <v>6900</v>
      </c>
      <c r="P188" s="594">
        <f>IFERROR(__xludf.DUMMYFUNCTION("""COMPUTED_VALUE"""),4600.0)</f>
        <v>4600</v>
      </c>
      <c r="Q188" s="183"/>
      <c r="R188" s="544"/>
      <c r="S188" s="544"/>
      <c r="T188" s="544"/>
      <c r="U188" s="544"/>
      <c r="V188" s="544"/>
      <c r="W188" s="544"/>
      <c r="X188" s="544"/>
      <c r="Y188" s="544"/>
      <c r="Z188" s="544"/>
      <c r="AA188" s="544"/>
      <c r="AB188" s="544"/>
      <c r="AC188" s="544"/>
      <c r="AD188" s="544"/>
      <c r="AE188" s="183"/>
      <c r="AF188" s="183"/>
      <c r="AG188" s="183"/>
      <c r="AH188" s="183"/>
      <c r="AI188" s="183"/>
      <c r="AJ188" s="183"/>
      <c r="AK188" s="183"/>
      <c r="AL188" s="183"/>
      <c r="AM188" s="183"/>
    </row>
    <row r="189" hidden="1">
      <c r="A189" s="531" t="str">
        <f>IFERROR(__xludf.DUMMYFUNCTION("""COMPUTED_VALUE"""),"サイズ - ウィメンズ")</f>
        <v>サイズ - ウィメンズ</v>
      </c>
      <c r="B189" s="531" t="str">
        <f>IFERROR(__xludf.DUMMYFUNCTION("""COMPUTED_VALUE"""),"ジャケット / ジャコット")</f>
        <v>ジャケット / ジャコット</v>
      </c>
      <c r="C189" s="531" t="str">
        <f>IFERROR(__xludf.DUMMYFUNCTION("""COMPUTED_VALUE"""),"袖丈")</f>
        <v>袖丈</v>
      </c>
      <c r="D189" s="533" t="str">
        <f>IFERROR(__xludf.DUMMYFUNCTION("""COMPUTED_VALUE"""),"本切羽有り")</f>
        <v>本切羽有り</v>
      </c>
      <c r="E189" s="533"/>
      <c r="F189" s="534" t="str">
        <f>IFERROR(__xludf.DUMMYFUNCTION("""COMPUTED_VALUE"""),"袖丈 / 本切羽有り")</f>
        <v>袖丈 / 本切羽有り</v>
      </c>
      <c r="G189" s="533" t="str">
        <f>IFERROR(__xludf.DUMMYFUNCTION("""COMPUTED_VALUE"""),"袖丈 / 本切羽有り")</f>
        <v>袖丈 / 本切羽有り</v>
      </c>
      <c r="H189" s="572" t="str">
        <f>IFERROR(__xludf.DUMMYFUNCTION("""COMPUTED_VALUE"""),"-2")</f>
        <v>-2</v>
      </c>
      <c r="I189" s="537"/>
      <c r="J189" s="538">
        <f>IFERROR(__xludf.DUMMYFUNCTION("""COMPUTED_VALUE"""),8.0)</f>
        <v>8</v>
      </c>
      <c r="K189" s="537">
        <f>IFERROR(__xludf.DUMMYFUNCTION("""COMPUTED_VALUE"""),46001.0)</f>
        <v>46001</v>
      </c>
      <c r="L189" s="539">
        <f>IFERROR(__xludf.DUMMYFUNCTION("""COMPUTED_VALUE"""),46003.0)</f>
        <v>46003</v>
      </c>
      <c r="M189" s="540">
        <f>IFERROR(__xludf.DUMMYFUNCTION("""COMPUTED_VALUE"""),46008.0)</f>
        <v>46008</v>
      </c>
      <c r="N189" s="539">
        <f>IFERROR(__xludf.DUMMYFUNCTION("""COMPUTED_VALUE"""),7590.0)</f>
        <v>7590</v>
      </c>
      <c r="O189" s="593">
        <f>IFERROR(__xludf.DUMMYFUNCTION("""COMPUTED_VALUE"""),6900.0)</f>
        <v>6900</v>
      </c>
      <c r="P189" s="594">
        <f>IFERROR(__xludf.DUMMYFUNCTION("""COMPUTED_VALUE"""),4600.0)</f>
        <v>4600</v>
      </c>
      <c r="Q189" s="183"/>
      <c r="R189" s="544"/>
      <c r="S189" s="544"/>
      <c r="T189" s="544"/>
      <c r="U189" s="544"/>
      <c r="V189" s="544"/>
      <c r="W189" s="544"/>
      <c r="X189" s="544"/>
      <c r="Y189" s="544"/>
      <c r="Z189" s="544"/>
      <c r="AA189" s="544"/>
      <c r="AB189" s="544"/>
      <c r="AC189" s="544"/>
      <c r="AD189" s="544"/>
      <c r="AE189" s="183"/>
      <c r="AF189" s="183"/>
      <c r="AG189" s="183"/>
      <c r="AH189" s="183"/>
      <c r="AI189" s="183"/>
      <c r="AJ189" s="183"/>
      <c r="AK189" s="183"/>
      <c r="AL189" s="183"/>
      <c r="AM189" s="183"/>
    </row>
    <row r="190" hidden="1">
      <c r="A190" s="531" t="str">
        <f>IFERROR(__xludf.DUMMYFUNCTION("""COMPUTED_VALUE"""),"サイズ - ウィメンズ")</f>
        <v>サイズ - ウィメンズ</v>
      </c>
      <c r="B190" s="531" t="str">
        <f>IFERROR(__xludf.DUMMYFUNCTION("""COMPUTED_VALUE"""),"ジャケット / ジャコット")</f>
        <v>ジャケット / ジャコット</v>
      </c>
      <c r="C190" s="531" t="str">
        <f>IFERROR(__xludf.DUMMYFUNCTION("""COMPUTED_VALUE"""),"袖丈")</f>
        <v>袖丈</v>
      </c>
      <c r="D190" s="533" t="str">
        <f>IFERROR(__xludf.DUMMYFUNCTION("""COMPUTED_VALUE"""),"本切羽有り")</f>
        <v>本切羽有り</v>
      </c>
      <c r="E190" s="533"/>
      <c r="F190" s="534" t="str">
        <f>IFERROR(__xludf.DUMMYFUNCTION("""COMPUTED_VALUE"""),"袖丈 / 本切羽有り")</f>
        <v>袖丈 / 本切羽有り</v>
      </c>
      <c r="G190" s="533" t="str">
        <f>IFERROR(__xludf.DUMMYFUNCTION("""COMPUTED_VALUE"""),"袖丈 / 本切羽有り")</f>
        <v>袖丈 / 本切羽有り</v>
      </c>
      <c r="H190" s="572" t="str">
        <f>IFERROR(__xludf.DUMMYFUNCTION("""COMPUTED_VALUE"""),"-1.5")</f>
        <v>-1.5</v>
      </c>
      <c r="I190" s="537"/>
      <c r="J190" s="538">
        <f>IFERROR(__xludf.DUMMYFUNCTION("""COMPUTED_VALUE"""),8.0)</f>
        <v>8</v>
      </c>
      <c r="K190" s="537">
        <f>IFERROR(__xludf.DUMMYFUNCTION("""COMPUTED_VALUE"""),46001.0)</f>
        <v>46001</v>
      </c>
      <c r="L190" s="539">
        <f>IFERROR(__xludf.DUMMYFUNCTION("""COMPUTED_VALUE"""),46003.0)</f>
        <v>46003</v>
      </c>
      <c r="M190" s="540">
        <f>IFERROR(__xludf.DUMMYFUNCTION("""COMPUTED_VALUE"""),46008.0)</f>
        <v>46008</v>
      </c>
      <c r="N190" s="539">
        <f>IFERROR(__xludf.DUMMYFUNCTION("""COMPUTED_VALUE"""),7590.0)</f>
        <v>7590</v>
      </c>
      <c r="O190" s="593">
        <f>IFERROR(__xludf.DUMMYFUNCTION("""COMPUTED_VALUE"""),6900.0)</f>
        <v>6900</v>
      </c>
      <c r="P190" s="594">
        <f>IFERROR(__xludf.DUMMYFUNCTION("""COMPUTED_VALUE"""),4600.0)</f>
        <v>4600</v>
      </c>
      <c r="Q190" s="183"/>
      <c r="R190" s="544"/>
      <c r="S190" s="544"/>
      <c r="T190" s="544"/>
      <c r="U190" s="544"/>
      <c r="V190" s="544"/>
      <c r="W190" s="544"/>
      <c r="X190" s="544"/>
      <c r="Y190" s="544"/>
      <c r="Z190" s="544"/>
      <c r="AA190" s="544"/>
      <c r="AB190" s="544"/>
      <c r="AC190" s="544"/>
      <c r="AD190" s="544"/>
      <c r="AE190" s="183"/>
      <c r="AF190" s="183"/>
      <c r="AG190" s="183"/>
      <c r="AH190" s="183"/>
      <c r="AI190" s="183"/>
      <c r="AJ190" s="183"/>
      <c r="AK190" s="183"/>
      <c r="AL190" s="183"/>
      <c r="AM190" s="183"/>
    </row>
    <row r="191" hidden="1">
      <c r="A191" s="531" t="str">
        <f>IFERROR(__xludf.DUMMYFUNCTION("""COMPUTED_VALUE"""),"サイズ - ウィメンズ")</f>
        <v>サイズ - ウィメンズ</v>
      </c>
      <c r="B191" s="531" t="str">
        <f>IFERROR(__xludf.DUMMYFUNCTION("""COMPUTED_VALUE"""),"ジャケット / ジャコット")</f>
        <v>ジャケット / ジャコット</v>
      </c>
      <c r="C191" s="531" t="str">
        <f>IFERROR(__xludf.DUMMYFUNCTION("""COMPUTED_VALUE"""),"袖丈")</f>
        <v>袖丈</v>
      </c>
      <c r="D191" s="533" t="str">
        <f>IFERROR(__xludf.DUMMYFUNCTION("""COMPUTED_VALUE"""),"本切羽有り")</f>
        <v>本切羽有り</v>
      </c>
      <c r="E191" s="533"/>
      <c r="F191" s="534" t="str">
        <f>IFERROR(__xludf.DUMMYFUNCTION("""COMPUTED_VALUE"""),"袖丈 / 本切羽有り")</f>
        <v>袖丈 / 本切羽有り</v>
      </c>
      <c r="G191" s="533" t="str">
        <f>IFERROR(__xludf.DUMMYFUNCTION("""COMPUTED_VALUE"""),"袖丈 / 本切羽有り")</f>
        <v>袖丈 / 本切羽有り</v>
      </c>
      <c r="H191" s="572" t="str">
        <f>IFERROR(__xludf.DUMMYFUNCTION("""COMPUTED_VALUE"""),"-1")</f>
        <v>-1</v>
      </c>
      <c r="I191" s="537"/>
      <c r="J191" s="538">
        <f>IFERROR(__xludf.DUMMYFUNCTION("""COMPUTED_VALUE"""),8.0)</f>
        <v>8</v>
      </c>
      <c r="K191" s="537">
        <f>IFERROR(__xludf.DUMMYFUNCTION("""COMPUTED_VALUE"""),46001.0)</f>
        <v>46001</v>
      </c>
      <c r="L191" s="539">
        <f>IFERROR(__xludf.DUMMYFUNCTION("""COMPUTED_VALUE"""),46003.0)</f>
        <v>46003</v>
      </c>
      <c r="M191" s="540">
        <f>IFERROR(__xludf.DUMMYFUNCTION("""COMPUTED_VALUE"""),46008.0)</f>
        <v>46008</v>
      </c>
      <c r="N191" s="539">
        <f>IFERROR(__xludf.DUMMYFUNCTION("""COMPUTED_VALUE"""),7590.0)</f>
        <v>7590</v>
      </c>
      <c r="O191" s="593">
        <f>IFERROR(__xludf.DUMMYFUNCTION("""COMPUTED_VALUE"""),6900.0)</f>
        <v>6900</v>
      </c>
      <c r="P191" s="594">
        <f>IFERROR(__xludf.DUMMYFUNCTION("""COMPUTED_VALUE"""),4600.0)</f>
        <v>4600</v>
      </c>
      <c r="Q191" s="183"/>
      <c r="R191" s="544"/>
      <c r="S191" s="544"/>
      <c r="T191" s="544"/>
      <c r="U191" s="544"/>
      <c r="V191" s="544"/>
      <c r="W191" s="544"/>
      <c r="X191" s="544"/>
      <c r="Y191" s="544"/>
      <c r="Z191" s="544"/>
      <c r="AA191" s="544"/>
      <c r="AB191" s="544"/>
      <c r="AC191" s="544"/>
      <c r="AD191" s="544"/>
      <c r="AE191" s="183"/>
      <c r="AF191" s="183"/>
      <c r="AG191" s="183"/>
      <c r="AH191" s="183"/>
      <c r="AI191" s="183"/>
      <c r="AJ191" s="183"/>
      <c r="AK191" s="183"/>
      <c r="AL191" s="183"/>
      <c r="AM191" s="183"/>
    </row>
    <row r="192" hidden="1">
      <c r="A192" s="531" t="str">
        <f>IFERROR(__xludf.DUMMYFUNCTION("""COMPUTED_VALUE"""),"サイズ - ウィメンズ")</f>
        <v>サイズ - ウィメンズ</v>
      </c>
      <c r="B192" s="531" t="str">
        <f>IFERROR(__xludf.DUMMYFUNCTION("""COMPUTED_VALUE"""),"ジャケット / ジャコット")</f>
        <v>ジャケット / ジャコット</v>
      </c>
      <c r="C192" s="531" t="str">
        <f>IFERROR(__xludf.DUMMYFUNCTION("""COMPUTED_VALUE"""),"袖丈")</f>
        <v>袖丈</v>
      </c>
      <c r="D192" s="533" t="str">
        <f>IFERROR(__xludf.DUMMYFUNCTION("""COMPUTED_VALUE"""),"本切羽有り")</f>
        <v>本切羽有り</v>
      </c>
      <c r="E192" s="533"/>
      <c r="F192" s="534" t="str">
        <f>IFERROR(__xludf.DUMMYFUNCTION("""COMPUTED_VALUE"""),"袖丈 / 本切羽有り")</f>
        <v>袖丈 / 本切羽有り</v>
      </c>
      <c r="G192" s="533" t="str">
        <f>IFERROR(__xludf.DUMMYFUNCTION("""COMPUTED_VALUE"""),"袖丈 / 本切羽有り")</f>
        <v>袖丈 / 本切羽有り</v>
      </c>
      <c r="H192" s="572" t="str">
        <f>IFERROR(__xludf.DUMMYFUNCTION("""COMPUTED_VALUE"""),"-0.5")</f>
        <v>-0.5</v>
      </c>
      <c r="I192" s="537"/>
      <c r="J192" s="538">
        <f>IFERROR(__xludf.DUMMYFUNCTION("""COMPUTED_VALUE"""),8.0)</f>
        <v>8</v>
      </c>
      <c r="K192" s="537">
        <f>IFERROR(__xludf.DUMMYFUNCTION("""COMPUTED_VALUE"""),46001.0)</f>
        <v>46001</v>
      </c>
      <c r="L192" s="539">
        <f>IFERROR(__xludf.DUMMYFUNCTION("""COMPUTED_VALUE"""),46003.0)</f>
        <v>46003</v>
      </c>
      <c r="M192" s="540">
        <f>IFERROR(__xludf.DUMMYFUNCTION("""COMPUTED_VALUE"""),46008.0)</f>
        <v>46008</v>
      </c>
      <c r="N192" s="539">
        <f>IFERROR(__xludf.DUMMYFUNCTION("""COMPUTED_VALUE"""),7590.0)</f>
        <v>7590</v>
      </c>
      <c r="O192" s="593">
        <f>IFERROR(__xludf.DUMMYFUNCTION("""COMPUTED_VALUE"""),6900.0)</f>
        <v>6900</v>
      </c>
      <c r="P192" s="594">
        <f>IFERROR(__xludf.DUMMYFUNCTION("""COMPUTED_VALUE"""),4600.0)</f>
        <v>4600</v>
      </c>
      <c r="Q192" s="183"/>
      <c r="R192" s="544"/>
      <c r="S192" s="544"/>
      <c r="T192" s="544"/>
      <c r="U192" s="544"/>
      <c r="V192" s="544"/>
      <c r="W192" s="544"/>
      <c r="X192" s="544"/>
      <c r="Y192" s="544"/>
      <c r="Z192" s="544"/>
      <c r="AA192" s="544"/>
      <c r="AB192" s="544"/>
      <c r="AC192" s="544"/>
      <c r="AD192" s="544"/>
      <c r="AE192" s="183"/>
      <c r="AF192" s="183"/>
      <c r="AG192" s="183"/>
      <c r="AH192" s="183"/>
      <c r="AI192" s="183"/>
      <c r="AJ192" s="183"/>
      <c r="AK192" s="183"/>
      <c r="AL192" s="183"/>
      <c r="AM192" s="183"/>
    </row>
    <row r="193" hidden="1">
      <c r="A193" s="531" t="str">
        <f>IFERROR(__xludf.DUMMYFUNCTION("""COMPUTED_VALUE"""),"サイズ - ウィメンズ")</f>
        <v>サイズ - ウィメンズ</v>
      </c>
      <c r="B193" s="531" t="str">
        <f>IFERROR(__xludf.DUMMYFUNCTION("""COMPUTED_VALUE"""),"ジャケット / ジャコット")</f>
        <v>ジャケット / ジャコット</v>
      </c>
      <c r="C193" s="531" t="str">
        <f>IFERROR(__xludf.DUMMYFUNCTION("""COMPUTED_VALUE"""),"袖丈")</f>
        <v>袖丈</v>
      </c>
      <c r="D193" s="533" t="str">
        <f>IFERROR(__xludf.DUMMYFUNCTION("""COMPUTED_VALUE"""),"本切羽有り")</f>
        <v>本切羽有り</v>
      </c>
      <c r="E193" s="533"/>
      <c r="F193" s="534" t="str">
        <f>IFERROR(__xludf.DUMMYFUNCTION("""COMPUTED_VALUE"""),"袖丈 / 本切羽有り")</f>
        <v>袖丈 / 本切羽有り</v>
      </c>
      <c r="G193" s="533" t="str">
        <f>IFERROR(__xludf.DUMMYFUNCTION("""COMPUTED_VALUE"""),"袖丈 / 本切羽有り")</f>
        <v>袖丈 / 本切羽有り</v>
      </c>
      <c r="H193" s="572" t="str">
        <f>IFERROR(__xludf.DUMMYFUNCTION("""COMPUTED_VALUE"""),"0.5")</f>
        <v>0.5</v>
      </c>
      <c r="I193" s="537"/>
      <c r="J193" s="538">
        <f>IFERROR(__xludf.DUMMYFUNCTION("""COMPUTED_VALUE"""),8.0)</f>
        <v>8</v>
      </c>
      <c r="K193" s="537">
        <f>IFERROR(__xludf.DUMMYFUNCTION("""COMPUTED_VALUE"""),46001.0)</f>
        <v>46001</v>
      </c>
      <c r="L193" s="539">
        <f>IFERROR(__xludf.DUMMYFUNCTION("""COMPUTED_VALUE"""),46003.0)</f>
        <v>46003</v>
      </c>
      <c r="M193" s="540">
        <f>IFERROR(__xludf.DUMMYFUNCTION("""COMPUTED_VALUE"""),46008.0)</f>
        <v>46008</v>
      </c>
      <c r="N193" s="539">
        <f>IFERROR(__xludf.DUMMYFUNCTION("""COMPUTED_VALUE"""),7590.0)</f>
        <v>7590</v>
      </c>
      <c r="O193" s="593">
        <f>IFERROR(__xludf.DUMMYFUNCTION("""COMPUTED_VALUE"""),6900.0)</f>
        <v>6900</v>
      </c>
      <c r="P193" s="594">
        <f>IFERROR(__xludf.DUMMYFUNCTION("""COMPUTED_VALUE"""),4600.0)</f>
        <v>4600</v>
      </c>
      <c r="Q193" s="183"/>
      <c r="R193" s="544"/>
      <c r="S193" s="544"/>
      <c r="T193" s="544"/>
      <c r="U193" s="544"/>
      <c r="V193" s="544"/>
      <c r="W193" s="544"/>
      <c r="X193" s="544"/>
      <c r="Y193" s="544"/>
      <c r="Z193" s="544"/>
      <c r="AA193" s="544"/>
      <c r="AB193" s="544"/>
      <c r="AC193" s="544"/>
      <c r="AD193" s="544"/>
      <c r="AE193" s="183"/>
      <c r="AF193" s="183"/>
      <c r="AG193" s="183"/>
      <c r="AH193" s="183"/>
      <c r="AI193" s="183"/>
      <c r="AJ193" s="183"/>
      <c r="AK193" s="183"/>
      <c r="AL193" s="183"/>
      <c r="AM193" s="183"/>
    </row>
    <row r="194" hidden="1">
      <c r="A194" s="531" t="str">
        <f>IFERROR(__xludf.DUMMYFUNCTION("""COMPUTED_VALUE"""),"サイズ")</f>
        <v>サイズ</v>
      </c>
      <c r="B194" s="531" t="str">
        <f>IFERROR(__xludf.DUMMYFUNCTION("""COMPUTED_VALUE"""),"ジャケット / ジャコット")</f>
        <v>ジャケット / ジャコット</v>
      </c>
      <c r="C194" s="531" t="str">
        <f>IFERROR(__xludf.DUMMYFUNCTION("""COMPUTED_VALUE"""),"鎌上げ（浅）")</f>
        <v>鎌上げ（浅）</v>
      </c>
      <c r="D194" s="533"/>
      <c r="E194" s="550" t="str">
        <f>IFERROR(__xludf.DUMMYFUNCTION("""COMPUTED_VALUE"""),"※逆補正を含む、補正が入っていない時のみ、お直し可")</f>
        <v>※逆補正を含む、補正が入っていない時のみ、お直し可</v>
      </c>
      <c r="F194" s="534" t="str">
        <f>IFERROR(__xludf.DUMMYFUNCTION("""COMPUTED_VALUE"""),"鎌上げ（浅）")</f>
        <v>鎌上げ（浅）</v>
      </c>
      <c r="G194" s="533" t="str">
        <f>IFERROR(__xludf.DUMMYFUNCTION("""COMPUTED_VALUE"""),"鎌上げ（浅）（※逆補正を含む、補正が入っていない時のみ、お直し可）")</f>
        <v>鎌上げ（浅）（※逆補正を含む、補正が入っていない時のみ、お直し可）</v>
      </c>
      <c r="H194" s="572" t="str">
        <f>IFERROR(__xludf.DUMMYFUNCTION("""COMPUTED_VALUE"""),"-1")</f>
        <v>-1</v>
      </c>
      <c r="I194" s="537"/>
      <c r="J194" s="538">
        <f>IFERROR(__xludf.DUMMYFUNCTION("""COMPUTED_VALUE"""),10.0)</f>
        <v>10</v>
      </c>
      <c r="K194" s="537">
        <f>IFERROR(__xludf.DUMMYFUNCTION("""COMPUTED_VALUE"""),46003.0)</f>
        <v>46003</v>
      </c>
      <c r="L194" s="539">
        <f>IFERROR(__xludf.DUMMYFUNCTION("""COMPUTED_VALUE"""),46003.0)</f>
        <v>46003</v>
      </c>
      <c r="M194" s="540">
        <f>IFERROR(__xludf.DUMMYFUNCTION("""COMPUTED_VALUE"""),46008.0)</f>
        <v>46008</v>
      </c>
      <c r="N194" s="539">
        <f>IFERROR(__xludf.DUMMYFUNCTION("""COMPUTED_VALUE"""),6600.0)</f>
        <v>6600</v>
      </c>
      <c r="O194" s="593">
        <f>IFERROR(__xludf.DUMMYFUNCTION("""COMPUTED_VALUE"""),6000.0)</f>
        <v>6000</v>
      </c>
      <c r="P194" s="594">
        <f>IFERROR(__xludf.DUMMYFUNCTION("""COMPUTED_VALUE"""),4000.0)</f>
        <v>4000</v>
      </c>
      <c r="Q194" s="183"/>
      <c r="R194" s="544"/>
      <c r="S194" s="544"/>
      <c r="T194" s="544"/>
      <c r="U194" s="544"/>
      <c r="V194" s="544"/>
      <c r="W194" s="544"/>
      <c r="X194" s="544"/>
      <c r="Y194" s="544"/>
      <c r="Z194" s="544"/>
      <c r="AA194" s="544"/>
      <c r="AB194" s="544"/>
      <c r="AC194" s="544"/>
      <c r="AD194" s="544"/>
      <c r="AE194" s="183"/>
      <c r="AF194" s="183"/>
      <c r="AG194" s="183"/>
      <c r="AH194" s="183"/>
      <c r="AI194" s="183"/>
      <c r="AJ194" s="183"/>
      <c r="AK194" s="183"/>
      <c r="AL194" s="183"/>
      <c r="AM194" s="183"/>
    </row>
    <row r="195" hidden="1">
      <c r="A195" s="531" t="str">
        <f>IFERROR(__xludf.DUMMYFUNCTION("""COMPUTED_VALUE"""),"サイズ")</f>
        <v>サイズ</v>
      </c>
      <c r="B195" s="531" t="str">
        <f>IFERROR(__xludf.DUMMYFUNCTION("""COMPUTED_VALUE"""),"ジャケット / ジャコット")</f>
        <v>ジャケット / ジャコット</v>
      </c>
      <c r="C195" s="531" t="str">
        <f>IFERROR(__xludf.DUMMYFUNCTION("""COMPUTED_VALUE"""),"鳩胸")</f>
        <v>鳩胸</v>
      </c>
      <c r="D195" s="533"/>
      <c r="E195" s="533"/>
      <c r="F195" s="534" t="str">
        <f>IFERROR(__xludf.DUMMYFUNCTION("""COMPUTED_VALUE"""),"鳩胸")</f>
        <v>鳩胸</v>
      </c>
      <c r="G195" s="533" t="str">
        <f>IFERROR(__xludf.DUMMYFUNCTION("""COMPUTED_VALUE"""),"鳩胸")</f>
        <v>鳩胸</v>
      </c>
      <c r="H195" s="572" t="str">
        <f>IFERROR(__xludf.DUMMYFUNCTION("""COMPUTED_VALUE"""),"1")</f>
        <v>1</v>
      </c>
      <c r="I195" s="537"/>
      <c r="J195" s="538" t="str">
        <f>IFERROR(__xludf.DUMMYFUNCTION("""COMPUTED_VALUE"""),"再製作")</f>
        <v>再製作</v>
      </c>
      <c r="K195" s="538" t="str">
        <f>IFERROR(__xludf.DUMMYFUNCTION("""COMPUTED_VALUE"""),"再製作")</f>
        <v>再製作</v>
      </c>
      <c r="L195" s="539" t="str">
        <f>IFERROR(__xludf.DUMMYFUNCTION("""COMPUTED_VALUE"""),"再製作")</f>
        <v>再製作</v>
      </c>
      <c r="M195" s="540" t="str">
        <f>IFERROR(__xludf.DUMMYFUNCTION("""COMPUTED_VALUE"""),"再製作")</f>
        <v>再製作</v>
      </c>
      <c r="N195" s="538" t="str">
        <f>IFERROR(__xludf.DUMMYFUNCTION("""COMPUTED_VALUE"""),"再製作")</f>
        <v>再製作</v>
      </c>
      <c r="O195" s="183" t="str">
        <f>IFERROR(__xludf.DUMMYFUNCTION("""COMPUTED_VALUE"""),"再製作")</f>
        <v>再製作</v>
      </c>
      <c r="P195" s="183"/>
      <c r="Q195" s="183"/>
      <c r="R195" s="544"/>
      <c r="S195" s="544"/>
      <c r="T195" s="544"/>
      <c r="U195" s="544"/>
      <c r="V195" s="544"/>
      <c r="W195" s="544"/>
      <c r="X195" s="544"/>
      <c r="Y195" s="544"/>
      <c r="Z195" s="544"/>
      <c r="AA195" s="544"/>
      <c r="AB195" s="544"/>
      <c r="AC195" s="544"/>
      <c r="AD195" s="544"/>
      <c r="AE195" s="183"/>
      <c r="AF195" s="183"/>
      <c r="AG195" s="183"/>
      <c r="AH195" s="183"/>
      <c r="AI195" s="183"/>
      <c r="AJ195" s="183"/>
      <c r="AK195" s="183"/>
      <c r="AL195" s="183"/>
      <c r="AM195" s="183"/>
    </row>
    <row r="196" hidden="1">
      <c r="A196" s="531" t="str">
        <f>IFERROR(__xludf.DUMMYFUNCTION("""COMPUTED_VALUE"""),"サイズ")</f>
        <v>サイズ</v>
      </c>
      <c r="B196" s="531" t="str">
        <f>IFERROR(__xludf.DUMMYFUNCTION("""COMPUTED_VALUE"""),"ジャケット / ジャコット")</f>
        <v>ジャケット / ジャコット</v>
      </c>
      <c r="C196" s="531" t="str">
        <f>IFERROR(__xludf.DUMMYFUNCTION("""COMPUTED_VALUE"""),"前肩")</f>
        <v>前肩</v>
      </c>
      <c r="D196" s="533"/>
      <c r="E196" s="533"/>
      <c r="F196" s="534" t="str">
        <f>IFERROR(__xludf.DUMMYFUNCTION("""COMPUTED_VALUE"""),"前肩")</f>
        <v>前肩</v>
      </c>
      <c r="G196" s="533" t="str">
        <f>IFERROR(__xludf.DUMMYFUNCTION("""COMPUTED_VALUE"""),"前肩")</f>
        <v>前肩</v>
      </c>
      <c r="H196" s="572" t="str">
        <f>IFERROR(__xludf.DUMMYFUNCTION("""COMPUTED_VALUE"""),"0.5")</f>
        <v>0.5</v>
      </c>
      <c r="I196" s="537"/>
      <c r="J196" s="538" t="str">
        <f>IFERROR(__xludf.DUMMYFUNCTION("""COMPUTED_VALUE"""),"再製作")</f>
        <v>再製作</v>
      </c>
      <c r="K196" s="538" t="str">
        <f>IFERROR(__xludf.DUMMYFUNCTION("""COMPUTED_VALUE"""),"再製作")</f>
        <v>再製作</v>
      </c>
      <c r="L196" s="539" t="str">
        <f>IFERROR(__xludf.DUMMYFUNCTION("""COMPUTED_VALUE"""),"再製作")</f>
        <v>再製作</v>
      </c>
      <c r="M196" s="540" t="str">
        <f>IFERROR(__xludf.DUMMYFUNCTION("""COMPUTED_VALUE"""),"再製作")</f>
        <v>再製作</v>
      </c>
      <c r="N196" s="538" t="str">
        <f>IFERROR(__xludf.DUMMYFUNCTION("""COMPUTED_VALUE"""),"再製作")</f>
        <v>再製作</v>
      </c>
      <c r="O196" s="183" t="str">
        <f>IFERROR(__xludf.DUMMYFUNCTION("""COMPUTED_VALUE"""),"再製作")</f>
        <v>再製作</v>
      </c>
      <c r="P196" s="183"/>
      <c r="Q196" s="183"/>
      <c r="R196" s="544"/>
      <c r="S196" s="544"/>
      <c r="T196" s="544"/>
      <c r="U196" s="544"/>
      <c r="V196" s="544"/>
      <c r="W196" s="544"/>
      <c r="X196" s="544"/>
      <c r="Y196" s="544"/>
      <c r="Z196" s="544"/>
      <c r="AA196" s="544"/>
      <c r="AB196" s="544"/>
      <c r="AC196" s="544"/>
      <c r="AD196" s="544"/>
      <c r="AE196" s="183"/>
      <c r="AF196" s="183"/>
      <c r="AG196" s="183"/>
      <c r="AH196" s="183"/>
      <c r="AI196" s="183"/>
      <c r="AJ196" s="183"/>
      <c r="AK196" s="183"/>
      <c r="AL196" s="183"/>
      <c r="AM196" s="183"/>
    </row>
    <row r="197" hidden="1">
      <c r="A197" s="531" t="str">
        <f>IFERROR(__xludf.DUMMYFUNCTION("""COMPUTED_VALUE"""),"サイズ")</f>
        <v>サイズ</v>
      </c>
      <c r="B197" s="531" t="str">
        <f>IFERROR(__xludf.DUMMYFUNCTION("""COMPUTED_VALUE"""),"ジャケット / ジャコット")</f>
        <v>ジャケット / ジャコット</v>
      </c>
      <c r="C197" s="531" t="str">
        <f>IFERROR(__xludf.DUMMYFUNCTION("""COMPUTED_VALUE"""),"つきとり")</f>
        <v>つきとり</v>
      </c>
      <c r="D197" s="533"/>
      <c r="E197" s="550" t="str">
        <f>IFERROR(__xludf.DUMMYFUNCTION("""COMPUTED_VALUE"""),"※逆補正を含む、補正が入っていない時のみ、お直し可")</f>
        <v>※逆補正を含む、補正が入っていない時のみ、お直し可</v>
      </c>
      <c r="F197" s="534" t="str">
        <f>IFERROR(__xludf.DUMMYFUNCTION("""COMPUTED_VALUE"""),"つきとり")</f>
        <v>つきとり</v>
      </c>
      <c r="G197" s="533" t="str">
        <f>IFERROR(__xludf.DUMMYFUNCTION("""COMPUTED_VALUE"""),"つきとり（※逆補正を含む、補正が入っていない時のみ、お直し可）")</f>
        <v>つきとり（※逆補正を含む、補正が入っていない時のみ、お直し可）</v>
      </c>
      <c r="H197" s="572" t="str">
        <f>IFERROR(__xludf.DUMMYFUNCTION("""COMPUTED_VALUE"""),"0.5")</f>
        <v>0.5</v>
      </c>
      <c r="I197" s="537"/>
      <c r="J197" s="538">
        <f>IFERROR(__xludf.DUMMYFUNCTION("""COMPUTED_VALUE"""),10.0)</f>
        <v>10</v>
      </c>
      <c r="K197" s="537">
        <f>IFERROR(__xludf.DUMMYFUNCTION("""COMPUTED_VALUE"""),46003.0)</f>
        <v>46003</v>
      </c>
      <c r="L197" s="539">
        <f>IFERROR(__xludf.DUMMYFUNCTION("""COMPUTED_VALUE"""),46003.0)</f>
        <v>46003</v>
      </c>
      <c r="M197" s="540">
        <f>IFERROR(__xludf.DUMMYFUNCTION("""COMPUTED_VALUE"""),46008.0)</f>
        <v>46008</v>
      </c>
      <c r="N197" s="539">
        <f>IFERROR(__xludf.DUMMYFUNCTION("""COMPUTED_VALUE"""),6600.0)</f>
        <v>6600</v>
      </c>
      <c r="O197" s="593">
        <f>IFERROR(__xludf.DUMMYFUNCTION("""COMPUTED_VALUE"""),6000.0)</f>
        <v>6000</v>
      </c>
      <c r="P197" s="594">
        <f>IFERROR(__xludf.DUMMYFUNCTION("""COMPUTED_VALUE"""),4000.0)</f>
        <v>4000</v>
      </c>
      <c r="Q197" s="183"/>
      <c r="R197" s="544"/>
      <c r="S197" s="544"/>
      <c r="T197" s="544"/>
      <c r="U197" s="544"/>
      <c r="V197" s="544"/>
      <c r="W197" s="544"/>
      <c r="X197" s="544"/>
      <c r="Y197" s="544"/>
      <c r="Z197" s="544"/>
      <c r="AA197" s="544"/>
      <c r="AB197" s="544"/>
      <c r="AC197" s="544"/>
      <c r="AD197" s="544"/>
      <c r="AE197" s="183"/>
      <c r="AF197" s="183"/>
      <c r="AG197" s="183"/>
      <c r="AH197" s="183"/>
      <c r="AI197" s="183"/>
      <c r="AJ197" s="183"/>
      <c r="AK197" s="183"/>
      <c r="AL197" s="183"/>
      <c r="AM197" s="183"/>
    </row>
    <row r="198" hidden="1">
      <c r="A198" s="531" t="str">
        <f>IFERROR(__xludf.DUMMYFUNCTION("""COMPUTED_VALUE"""),"サイズ")</f>
        <v>サイズ</v>
      </c>
      <c r="B198" s="531" t="str">
        <f>IFERROR(__xludf.DUMMYFUNCTION("""COMPUTED_VALUE"""),"ジャケット / ジャコット")</f>
        <v>ジャケット / ジャコット</v>
      </c>
      <c r="C198" s="531" t="str">
        <f>IFERROR(__xludf.DUMMYFUNCTION("""COMPUTED_VALUE"""),"つきとり")</f>
        <v>つきとり</v>
      </c>
      <c r="D198" s="533"/>
      <c r="E198" s="550" t="str">
        <f>IFERROR(__xludf.DUMMYFUNCTION("""COMPUTED_VALUE"""),"※逆補正を含む、補正が入っていない時のみ、お直し可")</f>
        <v>※逆補正を含む、補正が入っていない時のみ、お直し可</v>
      </c>
      <c r="F198" s="534" t="str">
        <f>IFERROR(__xludf.DUMMYFUNCTION("""COMPUTED_VALUE"""),"つきとり")</f>
        <v>つきとり</v>
      </c>
      <c r="G198" s="533" t="str">
        <f>IFERROR(__xludf.DUMMYFUNCTION("""COMPUTED_VALUE"""),"つきとり（※逆補正を含む、補正が入っていない時のみ、お直し可）")</f>
        <v>つきとり（※逆補正を含む、補正が入っていない時のみ、お直し可）</v>
      </c>
      <c r="H198" s="572" t="str">
        <f>IFERROR(__xludf.DUMMYFUNCTION("""COMPUTED_VALUE"""),"1")</f>
        <v>1</v>
      </c>
      <c r="I198" s="537"/>
      <c r="J198" s="538">
        <f>IFERROR(__xludf.DUMMYFUNCTION("""COMPUTED_VALUE"""),10.0)</f>
        <v>10</v>
      </c>
      <c r="K198" s="537">
        <f>IFERROR(__xludf.DUMMYFUNCTION("""COMPUTED_VALUE"""),46003.0)</f>
        <v>46003</v>
      </c>
      <c r="L198" s="539">
        <f>IFERROR(__xludf.DUMMYFUNCTION("""COMPUTED_VALUE"""),46003.0)</f>
        <v>46003</v>
      </c>
      <c r="M198" s="540">
        <f>IFERROR(__xludf.DUMMYFUNCTION("""COMPUTED_VALUE"""),46008.0)</f>
        <v>46008</v>
      </c>
      <c r="N198" s="539">
        <f>IFERROR(__xludf.DUMMYFUNCTION("""COMPUTED_VALUE"""),6600.0)</f>
        <v>6600</v>
      </c>
      <c r="O198" s="593">
        <f>IFERROR(__xludf.DUMMYFUNCTION("""COMPUTED_VALUE"""),6000.0)</f>
        <v>6000</v>
      </c>
      <c r="P198" s="594">
        <f>IFERROR(__xludf.DUMMYFUNCTION("""COMPUTED_VALUE"""),4000.0)</f>
        <v>4000</v>
      </c>
      <c r="Q198" s="183"/>
      <c r="R198" s="544"/>
      <c r="S198" s="544"/>
      <c r="T198" s="544"/>
      <c r="U198" s="544"/>
      <c r="V198" s="544"/>
      <c r="W198" s="544"/>
      <c r="X198" s="544"/>
      <c r="Y198" s="544"/>
      <c r="Z198" s="544"/>
      <c r="AA198" s="544"/>
      <c r="AB198" s="544"/>
      <c r="AC198" s="544"/>
      <c r="AD198" s="544"/>
      <c r="AE198" s="183"/>
      <c r="AF198" s="183"/>
      <c r="AG198" s="183"/>
      <c r="AH198" s="183"/>
      <c r="AI198" s="183"/>
      <c r="AJ198" s="183"/>
      <c r="AK198" s="183"/>
      <c r="AL198" s="183"/>
      <c r="AM198" s="183"/>
    </row>
    <row r="199" hidden="1">
      <c r="A199" s="531" t="str">
        <f>IFERROR(__xludf.DUMMYFUNCTION("""COMPUTED_VALUE"""),"サイズ - ウィメンズ")</f>
        <v>サイズ - ウィメンズ</v>
      </c>
      <c r="B199" s="531" t="str">
        <f>IFERROR(__xludf.DUMMYFUNCTION("""COMPUTED_VALUE"""),"ジャケット / ジャコット")</f>
        <v>ジャケット / ジャコット</v>
      </c>
      <c r="C199" s="531" t="str">
        <f>IFERROR(__xludf.DUMMYFUNCTION("""COMPUTED_VALUE"""),"着丈")</f>
        <v>着丈</v>
      </c>
      <c r="D199" s="533"/>
      <c r="E199" s="533"/>
      <c r="F199" s="534" t="str">
        <f>IFERROR(__xludf.DUMMYFUNCTION("""COMPUTED_VALUE"""),"着丈")</f>
        <v>着丈</v>
      </c>
      <c r="G199" s="533" t="str">
        <f>IFERROR(__xludf.DUMMYFUNCTION("""COMPUTED_VALUE"""),"着丈")</f>
        <v>着丈</v>
      </c>
      <c r="H199" s="572" t="str">
        <f>IFERROR(__xludf.DUMMYFUNCTION("""COMPUTED_VALUE"""),"-2")</f>
        <v>-2</v>
      </c>
      <c r="I199" s="537"/>
      <c r="J199" s="538">
        <f>IFERROR(__xludf.DUMMYFUNCTION("""COMPUTED_VALUE"""),7.0)</f>
        <v>7</v>
      </c>
      <c r="K199" s="537">
        <f>IFERROR(__xludf.DUMMYFUNCTION("""COMPUTED_VALUE"""),46000.0)</f>
        <v>46000</v>
      </c>
      <c r="L199" s="539">
        <f>IFERROR(__xludf.DUMMYFUNCTION("""COMPUTED_VALUE"""),46003.0)</f>
        <v>46003</v>
      </c>
      <c r="M199" s="540">
        <f>IFERROR(__xludf.DUMMYFUNCTION("""COMPUTED_VALUE"""),46008.0)</f>
        <v>46008</v>
      </c>
      <c r="N199" s="539">
        <f>IFERROR(__xludf.DUMMYFUNCTION("""COMPUTED_VALUE"""),4950.0)</f>
        <v>4950</v>
      </c>
      <c r="O199" s="593">
        <f>IFERROR(__xludf.DUMMYFUNCTION("""COMPUTED_VALUE"""),4500.0)</f>
        <v>4500</v>
      </c>
      <c r="P199" s="594">
        <f>IFERROR(__xludf.DUMMYFUNCTION("""COMPUTED_VALUE"""),3000.0)</f>
        <v>3000</v>
      </c>
      <c r="Q199" s="183"/>
      <c r="R199" s="544"/>
      <c r="S199" s="544"/>
      <c r="T199" s="544"/>
      <c r="U199" s="544"/>
      <c r="V199" s="544"/>
      <c r="W199" s="544"/>
      <c r="X199" s="544"/>
      <c r="Y199" s="544"/>
      <c r="Z199" s="544"/>
      <c r="AA199" s="544"/>
      <c r="AB199" s="544"/>
      <c r="AC199" s="544"/>
      <c r="AD199" s="544"/>
      <c r="AE199" s="183"/>
      <c r="AF199" s="183"/>
      <c r="AG199" s="183"/>
      <c r="AH199" s="183"/>
      <c r="AI199" s="183"/>
      <c r="AJ199" s="183"/>
      <c r="AK199" s="183"/>
      <c r="AL199" s="183"/>
      <c r="AM199" s="183"/>
    </row>
    <row r="200" hidden="1">
      <c r="A200" s="531" t="str">
        <f>IFERROR(__xludf.DUMMYFUNCTION("""COMPUTED_VALUE"""),"サイズ - ウィメンズ")</f>
        <v>サイズ - ウィメンズ</v>
      </c>
      <c r="B200" s="531" t="str">
        <f>IFERROR(__xludf.DUMMYFUNCTION("""COMPUTED_VALUE"""),"ジャケット / ジャコット")</f>
        <v>ジャケット / ジャコット</v>
      </c>
      <c r="C200" s="531" t="str">
        <f>IFERROR(__xludf.DUMMYFUNCTION("""COMPUTED_VALUE"""),"着丈")</f>
        <v>着丈</v>
      </c>
      <c r="D200" s="533"/>
      <c r="E200" s="533"/>
      <c r="F200" s="534" t="str">
        <f>IFERROR(__xludf.DUMMYFUNCTION("""COMPUTED_VALUE"""),"着丈")</f>
        <v>着丈</v>
      </c>
      <c r="G200" s="533" t="str">
        <f>IFERROR(__xludf.DUMMYFUNCTION("""COMPUTED_VALUE"""),"着丈")</f>
        <v>着丈</v>
      </c>
      <c r="H200" s="572" t="str">
        <f>IFERROR(__xludf.DUMMYFUNCTION("""COMPUTED_VALUE"""),"-1.5")</f>
        <v>-1.5</v>
      </c>
      <c r="I200" s="537"/>
      <c r="J200" s="538">
        <f>IFERROR(__xludf.DUMMYFUNCTION("""COMPUTED_VALUE"""),7.0)</f>
        <v>7</v>
      </c>
      <c r="K200" s="537">
        <f>IFERROR(__xludf.DUMMYFUNCTION("""COMPUTED_VALUE"""),46000.0)</f>
        <v>46000</v>
      </c>
      <c r="L200" s="539">
        <f>IFERROR(__xludf.DUMMYFUNCTION("""COMPUTED_VALUE"""),46003.0)</f>
        <v>46003</v>
      </c>
      <c r="M200" s="540">
        <f>IFERROR(__xludf.DUMMYFUNCTION("""COMPUTED_VALUE"""),46008.0)</f>
        <v>46008</v>
      </c>
      <c r="N200" s="539">
        <f>IFERROR(__xludf.DUMMYFUNCTION("""COMPUTED_VALUE"""),4950.0)</f>
        <v>4950</v>
      </c>
      <c r="O200" s="593">
        <f>IFERROR(__xludf.DUMMYFUNCTION("""COMPUTED_VALUE"""),4500.0)</f>
        <v>4500</v>
      </c>
      <c r="P200" s="594">
        <f>IFERROR(__xludf.DUMMYFUNCTION("""COMPUTED_VALUE"""),3000.0)</f>
        <v>3000</v>
      </c>
      <c r="Q200" s="183"/>
      <c r="R200" s="544"/>
      <c r="S200" s="544"/>
      <c r="T200" s="544"/>
      <c r="U200" s="544"/>
      <c r="V200" s="544"/>
      <c r="W200" s="544"/>
      <c r="X200" s="544"/>
      <c r="Y200" s="544"/>
      <c r="Z200" s="544"/>
      <c r="AA200" s="544"/>
      <c r="AB200" s="544"/>
      <c r="AC200" s="544"/>
      <c r="AD200" s="544"/>
      <c r="AE200" s="183"/>
      <c r="AF200" s="183"/>
      <c r="AG200" s="183"/>
      <c r="AH200" s="183"/>
      <c r="AI200" s="183"/>
      <c r="AJ200" s="183"/>
      <c r="AK200" s="183"/>
      <c r="AL200" s="183"/>
      <c r="AM200" s="183"/>
    </row>
    <row r="201" hidden="1">
      <c r="A201" s="531" t="str">
        <f>IFERROR(__xludf.DUMMYFUNCTION("""COMPUTED_VALUE"""),"サイズ - ウィメンズ")</f>
        <v>サイズ - ウィメンズ</v>
      </c>
      <c r="B201" s="531" t="str">
        <f>IFERROR(__xludf.DUMMYFUNCTION("""COMPUTED_VALUE"""),"ジャケット / ジャコット")</f>
        <v>ジャケット / ジャコット</v>
      </c>
      <c r="C201" s="531" t="str">
        <f>IFERROR(__xludf.DUMMYFUNCTION("""COMPUTED_VALUE"""),"着丈")</f>
        <v>着丈</v>
      </c>
      <c r="D201" s="533"/>
      <c r="E201" s="533"/>
      <c r="F201" s="534" t="str">
        <f>IFERROR(__xludf.DUMMYFUNCTION("""COMPUTED_VALUE"""),"着丈")</f>
        <v>着丈</v>
      </c>
      <c r="G201" s="533" t="str">
        <f>IFERROR(__xludf.DUMMYFUNCTION("""COMPUTED_VALUE"""),"着丈")</f>
        <v>着丈</v>
      </c>
      <c r="H201" s="572" t="str">
        <f>IFERROR(__xludf.DUMMYFUNCTION("""COMPUTED_VALUE"""),"-1")</f>
        <v>-1</v>
      </c>
      <c r="I201" s="537"/>
      <c r="J201" s="538">
        <f>IFERROR(__xludf.DUMMYFUNCTION("""COMPUTED_VALUE"""),7.0)</f>
        <v>7</v>
      </c>
      <c r="K201" s="537">
        <f>IFERROR(__xludf.DUMMYFUNCTION("""COMPUTED_VALUE"""),46000.0)</f>
        <v>46000</v>
      </c>
      <c r="L201" s="539">
        <f>IFERROR(__xludf.DUMMYFUNCTION("""COMPUTED_VALUE"""),46003.0)</f>
        <v>46003</v>
      </c>
      <c r="M201" s="540">
        <f>IFERROR(__xludf.DUMMYFUNCTION("""COMPUTED_VALUE"""),46008.0)</f>
        <v>46008</v>
      </c>
      <c r="N201" s="539">
        <f>IFERROR(__xludf.DUMMYFUNCTION("""COMPUTED_VALUE"""),4950.0)</f>
        <v>4950</v>
      </c>
      <c r="O201" s="593">
        <f>IFERROR(__xludf.DUMMYFUNCTION("""COMPUTED_VALUE"""),4500.0)</f>
        <v>4500</v>
      </c>
      <c r="P201" s="594">
        <f>IFERROR(__xludf.DUMMYFUNCTION("""COMPUTED_VALUE"""),3000.0)</f>
        <v>3000</v>
      </c>
      <c r="Q201" s="183"/>
      <c r="R201" s="544"/>
      <c r="S201" s="544"/>
      <c r="T201" s="544"/>
      <c r="U201" s="544"/>
      <c r="V201" s="544"/>
      <c r="W201" s="544"/>
      <c r="X201" s="544"/>
      <c r="Y201" s="544"/>
      <c r="Z201" s="544"/>
      <c r="AA201" s="544"/>
      <c r="AB201" s="544"/>
      <c r="AC201" s="544"/>
      <c r="AD201" s="544"/>
      <c r="AE201" s="183"/>
      <c r="AF201" s="183"/>
      <c r="AG201" s="183"/>
      <c r="AH201" s="183"/>
      <c r="AI201" s="183"/>
      <c r="AJ201" s="183"/>
      <c r="AK201" s="183"/>
      <c r="AL201" s="183"/>
      <c r="AM201" s="183"/>
    </row>
    <row r="202" hidden="1">
      <c r="A202" s="531" t="str">
        <f>IFERROR(__xludf.DUMMYFUNCTION("""COMPUTED_VALUE"""),"サイズ - ウィメンズ")</f>
        <v>サイズ - ウィメンズ</v>
      </c>
      <c r="B202" s="531" t="str">
        <f>IFERROR(__xludf.DUMMYFUNCTION("""COMPUTED_VALUE"""),"ジャケット / ジャコット")</f>
        <v>ジャケット / ジャコット</v>
      </c>
      <c r="C202" s="531" t="str">
        <f>IFERROR(__xludf.DUMMYFUNCTION("""COMPUTED_VALUE"""),"着丈")</f>
        <v>着丈</v>
      </c>
      <c r="D202" s="533"/>
      <c r="E202" s="533"/>
      <c r="F202" s="534" t="str">
        <f>IFERROR(__xludf.DUMMYFUNCTION("""COMPUTED_VALUE"""),"着丈")</f>
        <v>着丈</v>
      </c>
      <c r="G202" s="533" t="str">
        <f>IFERROR(__xludf.DUMMYFUNCTION("""COMPUTED_VALUE"""),"着丈")</f>
        <v>着丈</v>
      </c>
      <c r="H202" s="572" t="str">
        <f>IFERROR(__xludf.DUMMYFUNCTION("""COMPUTED_VALUE"""),"-0.5")</f>
        <v>-0.5</v>
      </c>
      <c r="I202" s="537"/>
      <c r="J202" s="538">
        <f>IFERROR(__xludf.DUMMYFUNCTION("""COMPUTED_VALUE"""),7.0)</f>
        <v>7</v>
      </c>
      <c r="K202" s="537">
        <f>IFERROR(__xludf.DUMMYFUNCTION("""COMPUTED_VALUE"""),46000.0)</f>
        <v>46000</v>
      </c>
      <c r="L202" s="539">
        <f>IFERROR(__xludf.DUMMYFUNCTION("""COMPUTED_VALUE"""),46003.0)</f>
        <v>46003</v>
      </c>
      <c r="M202" s="540">
        <f>IFERROR(__xludf.DUMMYFUNCTION("""COMPUTED_VALUE"""),46008.0)</f>
        <v>46008</v>
      </c>
      <c r="N202" s="539">
        <f>IFERROR(__xludf.DUMMYFUNCTION("""COMPUTED_VALUE"""),4950.0)</f>
        <v>4950</v>
      </c>
      <c r="O202" s="593">
        <f>IFERROR(__xludf.DUMMYFUNCTION("""COMPUTED_VALUE"""),4500.0)</f>
        <v>4500</v>
      </c>
      <c r="P202" s="594">
        <f>IFERROR(__xludf.DUMMYFUNCTION("""COMPUTED_VALUE"""),3000.0)</f>
        <v>3000</v>
      </c>
      <c r="Q202" s="183"/>
      <c r="R202" s="544"/>
      <c r="S202" s="544"/>
      <c r="T202" s="544"/>
      <c r="U202" s="544"/>
      <c r="V202" s="544"/>
      <c r="W202" s="544"/>
      <c r="X202" s="544"/>
      <c r="Y202" s="544"/>
      <c r="Z202" s="544"/>
      <c r="AA202" s="544"/>
      <c r="AB202" s="544"/>
      <c r="AC202" s="544"/>
      <c r="AD202" s="544"/>
      <c r="AE202" s="183"/>
      <c r="AF202" s="183"/>
      <c r="AG202" s="183"/>
      <c r="AH202" s="183"/>
      <c r="AI202" s="183"/>
      <c r="AJ202" s="183"/>
      <c r="AK202" s="183"/>
      <c r="AL202" s="183"/>
      <c r="AM202" s="183"/>
    </row>
    <row r="203" hidden="1">
      <c r="A203" s="531" t="str">
        <f>IFERROR(__xludf.DUMMYFUNCTION("""COMPUTED_VALUE"""),"サイズ - ウィメンズ")</f>
        <v>サイズ - ウィメンズ</v>
      </c>
      <c r="B203" s="531" t="str">
        <f>IFERROR(__xludf.DUMMYFUNCTION("""COMPUTED_VALUE"""),"ジャケット / ジャコット")</f>
        <v>ジャケット / ジャコット</v>
      </c>
      <c r="C203" s="531" t="str">
        <f>IFERROR(__xludf.DUMMYFUNCTION("""COMPUTED_VALUE"""),"着丈")</f>
        <v>着丈</v>
      </c>
      <c r="D203" s="533"/>
      <c r="E203" s="533"/>
      <c r="F203" s="534" t="str">
        <f>IFERROR(__xludf.DUMMYFUNCTION("""COMPUTED_VALUE"""),"着丈")</f>
        <v>着丈</v>
      </c>
      <c r="G203" s="533" t="str">
        <f>IFERROR(__xludf.DUMMYFUNCTION("""COMPUTED_VALUE"""),"着丈")</f>
        <v>着丈</v>
      </c>
      <c r="H203" s="572" t="str">
        <f>IFERROR(__xludf.DUMMYFUNCTION("""COMPUTED_VALUE"""),"0.5")</f>
        <v>0.5</v>
      </c>
      <c r="I203" s="537"/>
      <c r="J203" s="538">
        <f>IFERROR(__xludf.DUMMYFUNCTION("""COMPUTED_VALUE"""),7.0)</f>
        <v>7</v>
      </c>
      <c r="K203" s="537">
        <f>IFERROR(__xludf.DUMMYFUNCTION("""COMPUTED_VALUE"""),46000.0)</f>
        <v>46000</v>
      </c>
      <c r="L203" s="539">
        <f>IFERROR(__xludf.DUMMYFUNCTION("""COMPUTED_VALUE"""),46003.0)</f>
        <v>46003</v>
      </c>
      <c r="M203" s="540">
        <f>IFERROR(__xludf.DUMMYFUNCTION("""COMPUTED_VALUE"""),46008.0)</f>
        <v>46008</v>
      </c>
      <c r="N203" s="539">
        <f>IFERROR(__xludf.DUMMYFUNCTION("""COMPUTED_VALUE"""),4950.0)</f>
        <v>4950</v>
      </c>
      <c r="O203" s="593">
        <f>IFERROR(__xludf.DUMMYFUNCTION("""COMPUTED_VALUE"""),4500.0)</f>
        <v>4500</v>
      </c>
      <c r="P203" s="594">
        <f>IFERROR(__xludf.DUMMYFUNCTION("""COMPUTED_VALUE"""),3000.0)</f>
        <v>3000</v>
      </c>
      <c r="Q203" s="183"/>
      <c r="R203" s="544"/>
      <c r="S203" s="544"/>
      <c r="T203" s="544"/>
      <c r="U203" s="544"/>
      <c r="V203" s="544"/>
      <c r="W203" s="544"/>
      <c r="X203" s="544"/>
      <c r="Y203" s="544"/>
      <c r="Z203" s="544"/>
      <c r="AA203" s="544"/>
      <c r="AB203" s="544"/>
      <c r="AC203" s="544"/>
      <c r="AD203" s="544"/>
      <c r="AE203" s="183"/>
      <c r="AF203" s="183"/>
      <c r="AG203" s="183"/>
      <c r="AH203" s="183"/>
      <c r="AI203" s="183"/>
      <c r="AJ203" s="183"/>
      <c r="AK203" s="183"/>
      <c r="AL203" s="183"/>
      <c r="AM203" s="183"/>
    </row>
    <row r="204" hidden="1">
      <c r="A204" s="531" t="str">
        <f>IFERROR(__xludf.DUMMYFUNCTION("""COMPUTED_VALUE"""),"サイズ - ウィメンズ")</f>
        <v>サイズ - ウィメンズ</v>
      </c>
      <c r="B204" s="531" t="str">
        <f>IFERROR(__xludf.DUMMYFUNCTION("""COMPUTED_VALUE"""),"ジャケット / ジャコット")</f>
        <v>ジャケット / ジャコット</v>
      </c>
      <c r="C204" s="531" t="str">
        <f>IFERROR(__xludf.DUMMYFUNCTION("""COMPUTED_VALUE"""),"着丈")</f>
        <v>着丈</v>
      </c>
      <c r="D204" s="533"/>
      <c r="E204" s="533"/>
      <c r="F204" s="534" t="str">
        <f>IFERROR(__xludf.DUMMYFUNCTION("""COMPUTED_VALUE"""),"着丈")</f>
        <v>着丈</v>
      </c>
      <c r="G204" s="533" t="str">
        <f>IFERROR(__xludf.DUMMYFUNCTION("""COMPUTED_VALUE"""),"着丈")</f>
        <v>着丈</v>
      </c>
      <c r="H204" s="572" t="str">
        <f>IFERROR(__xludf.DUMMYFUNCTION("""COMPUTED_VALUE"""),"1")</f>
        <v>1</v>
      </c>
      <c r="I204" s="537"/>
      <c r="J204" s="538">
        <f>IFERROR(__xludf.DUMMYFUNCTION("""COMPUTED_VALUE"""),7.0)</f>
        <v>7</v>
      </c>
      <c r="K204" s="537">
        <f>IFERROR(__xludf.DUMMYFUNCTION("""COMPUTED_VALUE"""),46000.0)</f>
        <v>46000</v>
      </c>
      <c r="L204" s="539">
        <f>IFERROR(__xludf.DUMMYFUNCTION("""COMPUTED_VALUE"""),46003.0)</f>
        <v>46003</v>
      </c>
      <c r="M204" s="539">
        <f>IFERROR(__xludf.DUMMYFUNCTION("""COMPUTED_VALUE"""),46008.0)</f>
        <v>46008</v>
      </c>
      <c r="N204" s="539">
        <f>IFERROR(__xludf.DUMMYFUNCTION("""COMPUTED_VALUE"""),4950.0)</f>
        <v>4950</v>
      </c>
      <c r="O204" s="593">
        <f>IFERROR(__xludf.DUMMYFUNCTION("""COMPUTED_VALUE"""),4500.0)</f>
        <v>4500</v>
      </c>
      <c r="P204" s="594">
        <f>IFERROR(__xludf.DUMMYFUNCTION("""COMPUTED_VALUE"""),3000.0)</f>
        <v>3000</v>
      </c>
      <c r="Q204" s="183"/>
      <c r="R204" s="544"/>
      <c r="S204" s="544"/>
      <c r="T204" s="544"/>
      <c r="U204" s="544"/>
      <c r="V204" s="544"/>
      <c r="W204" s="544"/>
      <c r="X204" s="544"/>
      <c r="Y204" s="544"/>
      <c r="Z204" s="544"/>
      <c r="AA204" s="544"/>
      <c r="AB204" s="544"/>
      <c r="AC204" s="544"/>
      <c r="AD204" s="544"/>
      <c r="AE204" s="183"/>
      <c r="AF204" s="183"/>
      <c r="AG204" s="183"/>
      <c r="AH204" s="183"/>
      <c r="AI204" s="183"/>
      <c r="AJ204" s="183"/>
      <c r="AK204" s="183"/>
      <c r="AL204" s="183"/>
      <c r="AM204" s="183"/>
    </row>
    <row r="205" hidden="1">
      <c r="A205" s="531" t="str">
        <f>IFERROR(__xludf.DUMMYFUNCTION("""COMPUTED_VALUE"""),"サイズ - ウィメンズ")</f>
        <v>サイズ - ウィメンズ</v>
      </c>
      <c r="B205" s="531" t="str">
        <f>IFERROR(__xludf.DUMMYFUNCTION("""COMPUTED_VALUE"""),"ジャケット / ジャコット")</f>
        <v>ジャケット / ジャコット</v>
      </c>
      <c r="C205" s="531" t="str">
        <f>IFERROR(__xludf.DUMMYFUNCTION("""COMPUTED_VALUE"""),"肩パッド")</f>
        <v>肩パッド</v>
      </c>
      <c r="D205" s="533"/>
      <c r="E205" s="533"/>
      <c r="F205" s="534" t="str">
        <f>IFERROR(__xludf.DUMMYFUNCTION("""COMPUTED_VALUE"""),"肩パッド")</f>
        <v>肩パッド</v>
      </c>
      <c r="G205" s="533" t="str">
        <f>IFERROR(__xludf.DUMMYFUNCTION("""COMPUTED_VALUE"""),"肩パッド")</f>
        <v>肩パッド</v>
      </c>
      <c r="H205" s="572" t="str">
        <f>IFERROR(__xludf.DUMMYFUNCTION("""COMPUTED_VALUE"""),"0.5")</f>
        <v>0.5</v>
      </c>
      <c r="I205" s="537"/>
      <c r="J205" s="538">
        <f>IFERROR(__xludf.DUMMYFUNCTION("""COMPUTED_VALUE"""),8.0)</f>
        <v>8</v>
      </c>
      <c r="K205" s="537">
        <f>IFERROR(__xludf.DUMMYFUNCTION("""COMPUTED_VALUE"""),46001.0)</f>
        <v>46001</v>
      </c>
      <c r="L205" s="539">
        <f>IFERROR(__xludf.DUMMYFUNCTION("""COMPUTED_VALUE"""),46003.0)</f>
        <v>46003</v>
      </c>
      <c r="M205" s="539">
        <f>IFERROR(__xludf.DUMMYFUNCTION("""COMPUTED_VALUE"""),46008.0)</f>
        <v>46008</v>
      </c>
      <c r="N205" s="539">
        <f>IFERROR(__xludf.DUMMYFUNCTION("""COMPUTED_VALUE"""),4950.0)</f>
        <v>4950</v>
      </c>
      <c r="O205" s="593">
        <f>IFERROR(__xludf.DUMMYFUNCTION("""COMPUTED_VALUE"""),4500.0)</f>
        <v>4500</v>
      </c>
      <c r="P205" s="594">
        <f>IFERROR(__xludf.DUMMYFUNCTION("""COMPUTED_VALUE"""),3000.0)</f>
        <v>3000</v>
      </c>
      <c r="Q205" s="183"/>
      <c r="R205" s="544"/>
      <c r="S205" s="544"/>
      <c r="T205" s="544"/>
      <c r="U205" s="544"/>
      <c r="V205" s="544"/>
      <c r="W205" s="544"/>
      <c r="X205" s="544"/>
      <c r="Y205" s="544"/>
      <c r="Z205" s="544"/>
      <c r="AA205" s="544"/>
      <c r="AB205" s="544"/>
      <c r="AC205" s="544"/>
      <c r="AD205" s="544"/>
      <c r="AE205" s="183"/>
      <c r="AF205" s="183"/>
      <c r="AG205" s="183"/>
      <c r="AH205" s="183"/>
      <c r="AI205" s="183"/>
      <c r="AJ205" s="183"/>
      <c r="AK205" s="183"/>
      <c r="AL205" s="183"/>
      <c r="AM205" s="183"/>
    </row>
    <row r="206" hidden="1">
      <c r="A206" s="531" t="str">
        <f>IFERROR(__xludf.DUMMYFUNCTION("""COMPUTED_VALUE"""),"サイズ - ウィメンズ")</f>
        <v>サイズ - ウィメンズ</v>
      </c>
      <c r="B206" s="531" t="str">
        <f>IFERROR(__xludf.DUMMYFUNCTION("""COMPUTED_VALUE"""),"ジャケット / ジャコット")</f>
        <v>ジャケット / ジャコット</v>
      </c>
      <c r="C206" s="531" t="str">
        <f>IFERROR(__xludf.DUMMYFUNCTION("""COMPUTED_VALUE"""),"肩パッド")</f>
        <v>肩パッド</v>
      </c>
      <c r="D206" s="533"/>
      <c r="E206" s="533"/>
      <c r="F206" s="534" t="str">
        <f>IFERROR(__xludf.DUMMYFUNCTION("""COMPUTED_VALUE"""),"肩パッド")</f>
        <v>肩パッド</v>
      </c>
      <c r="G206" s="533" t="str">
        <f>IFERROR(__xludf.DUMMYFUNCTION("""COMPUTED_VALUE"""),"肩パッド")</f>
        <v>肩パッド</v>
      </c>
      <c r="H206" s="572" t="str">
        <f>IFERROR(__xludf.DUMMYFUNCTION("""COMPUTED_VALUE"""),"1")</f>
        <v>1</v>
      </c>
      <c r="I206" s="537"/>
      <c r="J206" s="538">
        <f>IFERROR(__xludf.DUMMYFUNCTION("""COMPUTED_VALUE"""),8.0)</f>
        <v>8</v>
      </c>
      <c r="K206" s="537">
        <f>IFERROR(__xludf.DUMMYFUNCTION("""COMPUTED_VALUE"""),46001.0)</f>
        <v>46001</v>
      </c>
      <c r="L206" s="539">
        <f>IFERROR(__xludf.DUMMYFUNCTION("""COMPUTED_VALUE"""),46003.0)</f>
        <v>46003</v>
      </c>
      <c r="M206" s="539">
        <f>IFERROR(__xludf.DUMMYFUNCTION("""COMPUTED_VALUE"""),46008.0)</f>
        <v>46008</v>
      </c>
      <c r="N206" s="539">
        <f>IFERROR(__xludf.DUMMYFUNCTION("""COMPUTED_VALUE"""),4950.0)</f>
        <v>4950</v>
      </c>
      <c r="O206" s="593">
        <f>IFERROR(__xludf.DUMMYFUNCTION("""COMPUTED_VALUE"""),4500.0)</f>
        <v>4500</v>
      </c>
      <c r="P206" s="594">
        <f>IFERROR(__xludf.DUMMYFUNCTION("""COMPUTED_VALUE"""),3000.0)</f>
        <v>3000</v>
      </c>
      <c r="Q206" s="183"/>
      <c r="R206" s="544"/>
      <c r="S206" s="544"/>
      <c r="T206" s="544"/>
      <c r="U206" s="544"/>
      <c r="V206" s="544"/>
      <c r="W206" s="544"/>
      <c r="X206" s="544"/>
      <c r="Y206" s="544"/>
      <c r="Z206" s="544"/>
      <c r="AA206" s="544"/>
      <c r="AB206" s="544"/>
      <c r="AC206" s="544"/>
      <c r="AD206" s="544"/>
      <c r="AE206" s="183"/>
      <c r="AF206" s="183"/>
      <c r="AG206" s="183"/>
      <c r="AH206" s="183"/>
      <c r="AI206" s="183"/>
      <c r="AJ206" s="183"/>
      <c r="AK206" s="183"/>
      <c r="AL206" s="183"/>
      <c r="AM206" s="183"/>
    </row>
    <row r="207" hidden="1">
      <c r="A207" s="531" t="str">
        <f>IFERROR(__xludf.DUMMYFUNCTION("""COMPUTED_VALUE"""),"サイズ")</f>
        <v>サイズ</v>
      </c>
      <c r="B207" s="531" t="str">
        <f>IFERROR(__xludf.DUMMYFUNCTION("""COMPUTED_VALUE"""),"シャツ (フォーマル / タックアウト)")</f>
        <v>シャツ (フォーマル / タックアウト)</v>
      </c>
      <c r="C207" s="532" t="str">
        <f>IFERROR(__xludf.DUMMYFUNCTION("""COMPUTED_VALUE"""),"仕上げプレス")</f>
        <v>仕上げプレス</v>
      </c>
      <c r="D207" s="533"/>
      <c r="E207" s="533"/>
      <c r="F207" s="534" t="str">
        <f>IFERROR(__xludf.DUMMYFUNCTION("""COMPUTED_VALUE"""),"仕上げプレス")</f>
        <v>仕上げプレス</v>
      </c>
      <c r="G207" s="535" t="str">
        <f>IFERROR(__xludf.DUMMYFUNCTION("""COMPUTED_VALUE"""),"仕上げプレス")</f>
        <v>仕上げプレス</v>
      </c>
      <c r="H207" s="536"/>
      <c r="I207" s="537" t="str">
        <f>IFERROR(__xludf.DUMMYFUNCTION("""COMPUTED_VALUE"""),"店舗/CS")</f>
        <v>店舗/CS</v>
      </c>
      <c r="J207" s="538"/>
      <c r="K207" s="538"/>
      <c r="L207" s="539"/>
      <c r="M207" s="539"/>
      <c r="N207" s="539">
        <f>IFERROR(__xludf.DUMMYFUNCTION("""COMPUTED_VALUE"""),250.0)</f>
        <v>250</v>
      </c>
      <c r="O207" s="593">
        <f>IFERROR(__xludf.DUMMYFUNCTION("""COMPUTED_VALUE"""),227.0)</f>
        <v>227</v>
      </c>
      <c r="P207" s="594">
        <f>IFERROR(__xludf.DUMMYFUNCTION("""COMPUTED_VALUE"""),150.0)</f>
        <v>150</v>
      </c>
      <c r="Q207" s="183"/>
      <c r="R207" s="544"/>
      <c r="S207" s="544"/>
      <c r="T207" s="544"/>
      <c r="U207" s="544"/>
      <c r="V207" s="544"/>
      <c r="W207" s="544"/>
      <c r="X207" s="544"/>
      <c r="Y207" s="544"/>
      <c r="Z207" s="544"/>
      <c r="AA207" s="544"/>
      <c r="AB207" s="544"/>
      <c r="AC207" s="544"/>
      <c r="AD207" s="544"/>
      <c r="AE207" s="183"/>
      <c r="AF207" s="183"/>
      <c r="AG207" s="183"/>
      <c r="AH207" s="183"/>
      <c r="AI207" s="183"/>
      <c r="AJ207" s="183"/>
      <c r="AK207" s="183"/>
      <c r="AL207" s="183"/>
      <c r="AM207" s="183"/>
    </row>
    <row r="208" hidden="1">
      <c r="A208" s="531" t="str">
        <f>IFERROR(__xludf.DUMMYFUNCTION("""COMPUTED_VALUE"""),"縫製")</f>
        <v>縫製</v>
      </c>
      <c r="B208" s="531" t="str">
        <f>IFERROR(__xludf.DUMMYFUNCTION("""COMPUTED_VALUE"""),"シャツ (フォーマル / タックアウト)")</f>
        <v>シャツ (フォーマル / タックアウト)</v>
      </c>
      <c r="C208" s="531" t="str">
        <f>IFERROR(__xludf.DUMMYFUNCTION("""COMPUTED_VALUE"""),"仕上げプレス")</f>
        <v>仕上げプレス</v>
      </c>
      <c r="D208" s="533"/>
      <c r="E208" s="533"/>
      <c r="F208" s="534" t="str">
        <f>IFERROR(__xludf.DUMMYFUNCTION("""COMPUTED_VALUE"""),"仕上げプレス")</f>
        <v>仕上げプレス</v>
      </c>
      <c r="G208" s="533" t="str">
        <f>IFERROR(__xludf.DUMMYFUNCTION("""COMPUTED_VALUE"""),"仕上げプレス")</f>
        <v>仕上げプレス</v>
      </c>
      <c r="H208" s="536"/>
      <c r="I208" s="537" t="str">
        <f>IFERROR(__xludf.DUMMYFUNCTION("""COMPUTED_VALUE"""),"店舗/CS")</f>
        <v>店舗/CS</v>
      </c>
      <c r="J208" s="538"/>
      <c r="K208" s="538"/>
      <c r="L208" s="539"/>
      <c r="M208" s="539"/>
      <c r="N208" s="539">
        <f>IFERROR(__xludf.DUMMYFUNCTION("""COMPUTED_VALUE"""),550.0)</f>
        <v>550</v>
      </c>
      <c r="O208" s="593">
        <f>IFERROR(__xludf.DUMMYFUNCTION("""COMPUTED_VALUE"""),500.0)</f>
        <v>500</v>
      </c>
      <c r="P208" s="594">
        <f>IFERROR(__xludf.DUMMYFUNCTION("""COMPUTED_VALUE"""),150.0)</f>
        <v>150</v>
      </c>
      <c r="Q208" s="183"/>
      <c r="R208" s="544"/>
      <c r="S208" s="544"/>
      <c r="T208" s="544"/>
      <c r="U208" s="544"/>
      <c r="V208" s="544"/>
      <c r="W208" s="544"/>
      <c r="X208" s="544"/>
      <c r="Y208" s="544"/>
      <c r="Z208" s="544"/>
      <c r="AA208" s="544"/>
      <c r="AB208" s="544"/>
      <c r="AC208" s="544"/>
      <c r="AD208" s="544"/>
      <c r="AE208" s="183"/>
      <c r="AF208" s="183"/>
      <c r="AG208" s="183"/>
      <c r="AH208" s="183"/>
      <c r="AI208" s="183"/>
      <c r="AJ208" s="183"/>
      <c r="AK208" s="183"/>
      <c r="AL208" s="183"/>
      <c r="AM208" s="183"/>
    </row>
    <row r="209" hidden="1">
      <c r="A209" s="531" t="str">
        <f>IFERROR(__xludf.DUMMYFUNCTION("""COMPUTED_VALUE"""),"サイズ")</f>
        <v>サイズ</v>
      </c>
      <c r="B209" s="531" t="str">
        <f>IFERROR(__xludf.DUMMYFUNCTION("""COMPUTED_VALUE"""),"シャツ (フォーマル / タックアウト)")</f>
        <v>シャツ (フォーマル / タックアウト)</v>
      </c>
      <c r="C209" s="531" t="str">
        <f>IFERROR(__xludf.DUMMYFUNCTION("""COMPUTED_VALUE"""),"肩巾")</f>
        <v>肩巾</v>
      </c>
      <c r="D209" s="533"/>
      <c r="E209" s="533"/>
      <c r="F209" s="534" t="str">
        <f>IFERROR(__xludf.DUMMYFUNCTION("""COMPUTED_VALUE"""),"肩巾")</f>
        <v>肩巾</v>
      </c>
      <c r="G209" s="533" t="str">
        <f>IFERROR(__xludf.DUMMYFUNCTION("""COMPUTED_VALUE"""),"肩巾")</f>
        <v>肩巾</v>
      </c>
      <c r="H209" s="536"/>
      <c r="I209" s="537"/>
      <c r="J209" s="561" t="str">
        <f>IFERROR(__xludf.DUMMYFUNCTION("""COMPUTED_VALUE"""),"再製作")</f>
        <v>再製作</v>
      </c>
      <c r="K209" s="561" t="str">
        <f>IFERROR(__xludf.DUMMYFUNCTION("""COMPUTED_VALUE"""),"再製作")</f>
        <v>再製作</v>
      </c>
      <c r="L209" s="539" t="str">
        <f>IFERROR(__xludf.DUMMYFUNCTION("""COMPUTED_VALUE"""),"再製作")</f>
        <v>再製作</v>
      </c>
      <c r="M209" s="540" t="str">
        <f>IFERROR(__xludf.DUMMYFUNCTION("""COMPUTED_VALUE"""),"再製作")</f>
        <v>再製作</v>
      </c>
      <c r="N209" s="561" t="str">
        <f>IFERROR(__xludf.DUMMYFUNCTION("""COMPUTED_VALUE"""),"再製作")</f>
        <v>再製作</v>
      </c>
      <c r="O209" s="632" t="str">
        <f>IFERROR(__xludf.DUMMYFUNCTION("""COMPUTED_VALUE"""),"再製作")</f>
        <v>再製作</v>
      </c>
      <c r="P209" s="183"/>
      <c r="Q209" s="183"/>
      <c r="R209" s="544"/>
      <c r="S209" s="544"/>
      <c r="T209" s="544"/>
      <c r="U209" s="544"/>
      <c r="V209" s="544"/>
      <c r="W209" s="544"/>
      <c r="X209" s="544"/>
      <c r="Y209" s="544"/>
      <c r="Z209" s="544"/>
      <c r="AA209" s="544"/>
      <c r="AB209" s="544"/>
      <c r="AC209" s="544"/>
      <c r="AD209" s="544"/>
      <c r="AE209" s="183"/>
      <c r="AF209" s="183"/>
      <c r="AG209" s="183"/>
      <c r="AH209" s="183"/>
      <c r="AI209" s="183"/>
      <c r="AJ209" s="183"/>
      <c r="AK209" s="183"/>
      <c r="AL209" s="183"/>
      <c r="AM209" s="183"/>
    </row>
    <row r="210" hidden="1">
      <c r="A210" s="531" t="str">
        <f>IFERROR(__xludf.DUMMYFUNCTION("""COMPUTED_VALUE"""),"サイズ")</f>
        <v>サイズ</v>
      </c>
      <c r="B210" s="531" t="str">
        <f>IFERROR(__xludf.DUMMYFUNCTION("""COMPUTED_VALUE"""),"シャツ (フォーマル / タックアウト)")</f>
        <v>シャツ (フォーマル / タックアウト)</v>
      </c>
      <c r="C210" s="531" t="str">
        <f>IFERROR(__xludf.DUMMYFUNCTION("""COMPUTED_VALUE"""),"バスト(長袖)")</f>
        <v>バスト(長袖)</v>
      </c>
      <c r="D210" s="533"/>
      <c r="E210" s="533"/>
      <c r="F210" s="534" t="str">
        <f>IFERROR(__xludf.DUMMYFUNCTION("""COMPUTED_VALUE"""),"バスト(長袖)")</f>
        <v>バスト(長袖)</v>
      </c>
      <c r="G210" s="533" t="str">
        <f>IFERROR(__xludf.DUMMYFUNCTION("""COMPUTED_VALUE"""),"バスト(長袖)")</f>
        <v>バスト(長袖)</v>
      </c>
      <c r="H210" s="572" t="str">
        <f>IFERROR(__xludf.DUMMYFUNCTION("""COMPUTED_VALUE"""),"-6")</f>
        <v>-6</v>
      </c>
      <c r="I210" s="537"/>
      <c r="J210" s="538">
        <f>IFERROR(__xludf.DUMMYFUNCTION("""COMPUTED_VALUE"""),7.0)</f>
        <v>7</v>
      </c>
      <c r="K210" s="537">
        <f>IFERROR(__xludf.DUMMYFUNCTION("""COMPUTED_VALUE"""),46000.0)</f>
        <v>46000</v>
      </c>
      <c r="L210" s="539">
        <f>IFERROR(__xludf.DUMMYFUNCTION("""COMPUTED_VALUE"""),46003.0)</f>
        <v>46003</v>
      </c>
      <c r="M210" s="540">
        <f>IFERROR(__xludf.DUMMYFUNCTION("""COMPUTED_VALUE"""),46008.0)</f>
        <v>46008</v>
      </c>
      <c r="N210" s="539">
        <f>IFERROR(__xludf.DUMMYFUNCTION("""COMPUTED_VALUE"""),5780.0)</f>
        <v>5780</v>
      </c>
      <c r="O210" s="593">
        <f>IFERROR(__xludf.DUMMYFUNCTION("""COMPUTED_VALUE"""),5250.0)</f>
        <v>5250</v>
      </c>
      <c r="P210" s="594">
        <f>IFERROR(__xludf.DUMMYFUNCTION("""COMPUTED_VALUE"""),3500.0)</f>
        <v>3500</v>
      </c>
      <c r="Q210" s="183"/>
      <c r="R210" s="544"/>
      <c r="S210" s="544"/>
      <c r="T210" s="544"/>
      <c r="U210" s="544"/>
      <c r="V210" s="544"/>
      <c r="W210" s="544"/>
      <c r="X210" s="544"/>
      <c r="Y210" s="544"/>
      <c r="Z210" s="544"/>
      <c r="AA210" s="544"/>
      <c r="AB210" s="544"/>
      <c r="AC210" s="544"/>
      <c r="AD210" s="544"/>
      <c r="AE210" s="183"/>
      <c r="AF210" s="183"/>
      <c r="AG210" s="183"/>
      <c r="AH210" s="183"/>
      <c r="AI210" s="183"/>
      <c r="AJ210" s="183"/>
      <c r="AK210" s="183"/>
      <c r="AL210" s="183"/>
      <c r="AM210" s="183"/>
    </row>
    <row r="211" hidden="1">
      <c r="A211" s="531" t="str">
        <f>IFERROR(__xludf.DUMMYFUNCTION("""COMPUTED_VALUE"""),"サイズ")</f>
        <v>サイズ</v>
      </c>
      <c r="B211" s="531" t="str">
        <f>IFERROR(__xludf.DUMMYFUNCTION("""COMPUTED_VALUE"""),"シャツ (フォーマル / タックアウト)")</f>
        <v>シャツ (フォーマル / タックアウト)</v>
      </c>
      <c r="C211" s="531" t="str">
        <f>IFERROR(__xludf.DUMMYFUNCTION("""COMPUTED_VALUE"""),"バスト(長袖)")</f>
        <v>バスト(長袖)</v>
      </c>
      <c r="D211" s="533"/>
      <c r="E211" s="533"/>
      <c r="F211" s="534" t="str">
        <f>IFERROR(__xludf.DUMMYFUNCTION("""COMPUTED_VALUE"""),"バスト(長袖)")</f>
        <v>バスト(長袖)</v>
      </c>
      <c r="G211" s="533" t="str">
        <f>IFERROR(__xludf.DUMMYFUNCTION("""COMPUTED_VALUE"""),"バスト(長袖)")</f>
        <v>バスト(長袖)</v>
      </c>
      <c r="H211" s="572" t="str">
        <f>IFERROR(__xludf.DUMMYFUNCTION("""COMPUTED_VALUE"""),"-5")</f>
        <v>-5</v>
      </c>
      <c r="I211" s="537"/>
      <c r="J211" s="538">
        <f>IFERROR(__xludf.DUMMYFUNCTION("""COMPUTED_VALUE"""),7.0)</f>
        <v>7</v>
      </c>
      <c r="K211" s="537">
        <f>IFERROR(__xludf.DUMMYFUNCTION("""COMPUTED_VALUE"""),46000.0)</f>
        <v>46000</v>
      </c>
      <c r="L211" s="539">
        <f>IFERROR(__xludf.DUMMYFUNCTION("""COMPUTED_VALUE"""),46003.0)</f>
        <v>46003</v>
      </c>
      <c r="M211" s="540">
        <f>IFERROR(__xludf.DUMMYFUNCTION("""COMPUTED_VALUE"""),46008.0)</f>
        <v>46008</v>
      </c>
      <c r="N211" s="539">
        <f>IFERROR(__xludf.DUMMYFUNCTION("""COMPUTED_VALUE"""),5780.0)</f>
        <v>5780</v>
      </c>
      <c r="O211" s="593">
        <f>IFERROR(__xludf.DUMMYFUNCTION("""COMPUTED_VALUE"""),5250.0)</f>
        <v>5250</v>
      </c>
      <c r="P211" s="594">
        <f>IFERROR(__xludf.DUMMYFUNCTION("""COMPUTED_VALUE"""),3500.0)</f>
        <v>3500</v>
      </c>
      <c r="Q211" s="183"/>
      <c r="R211" s="544"/>
      <c r="S211" s="544"/>
      <c r="T211" s="544"/>
      <c r="U211" s="544"/>
      <c r="V211" s="544"/>
      <c r="W211" s="544"/>
      <c r="X211" s="544"/>
      <c r="Y211" s="544"/>
      <c r="Z211" s="544"/>
      <c r="AA211" s="544"/>
      <c r="AB211" s="544"/>
      <c r="AC211" s="544"/>
      <c r="AD211" s="544"/>
      <c r="AE211" s="183"/>
      <c r="AF211" s="183"/>
      <c r="AG211" s="183"/>
      <c r="AH211" s="183"/>
      <c r="AI211" s="183"/>
      <c r="AJ211" s="183"/>
      <c r="AK211" s="183"/>
      <c r="AL211" s="183"/>
      <c r="AM211" s="183"/>
    </row>
    <row r="212" hidden="1">
      <c r="A212" s="531" t="str">
        <f>IFERROR(__xludf.DUMMYFUNCTION("""COMPUTED_VALUE"""),"サイズ")</f>
        <v>サイズ</v>
      </c>
      <c r="B212" s="531" t="str">
        <f>IFERROR(__xludf.DUMMYFUNCTION("""COMPUTED_VALUE"""),"シャツ (フォーマル / タックアウト)")</f>
        <v>シャツ (フォーマル / タックアウト)</v>
      </c>
      <c r="C212" s="531" t="str">
        <f>IFERROR(__xludf.DUMMYFUNCTION("""COMPUTED_VALUE"""),"バスト(長袖)")</f>
        <v>バスト(長袖)</v>
      </c>
      <c r="D212" s="533"/>
      <c r="E212" s="533"/>
      <c r="F212" s="534" t="str">
        <f>IFERROR(__xludf.DUMMYFUNCTION("""COMPUTED_VALUE"""),"バスト(長袖)")</f>
        <v>バスト(長袖)</v>
      </c>
      <c r="G212" s="533" t="str">
        <f>IFERROR(__xludf.DUMMYFUNCTION("""COMPUTED_VALUE"""),"バスト(長袖)")</f>
        <v>バスト(長袖)</v>
      </c>
      <c r="H212" s="572" t="str">
        <f>IFERROR(__xludf.DUMMYFUNCTION("""COMPUTED_VALUE"""),"-4")</f>
        <v>-4</v>
      </c>
      <c r="I212" s="537"/>
      <c r="J212" s="538">
        <f>IFERROR(__xludf.DUMMYFUNCTION("""COMPUTED_VALUE"""),7.0)</f>
        <v>7</v>
      </c>
      <c r="K212" s="537">
        <f>IFERROR(__xludf.DUMMYFUNCTION("""COMPUTED_VALUE"""),46000.0)</f>
        <v>46000</v>
      </c>
      <c r="L212" s="539">
        <f>IFERROR(__xludf.DUMMYFUNCTION("""COMPUTED_VALUE"""),46003.0)</f>
        <v>46003</v>
      </c>
      <c r="M212" s="540">
        <f>IFERROR(__xludf.DUMMYFUNCTION("""COMPUTED_VALUE"""),46008.0)</f>
        <v>46008</v>
      </c>
      <c r="N212" s="539">
        <f>IFERROR(__xludf.DUMMYFUNCTION("""COMPUTED_VALUE"""),5780.0)</f>
        <v>5780</v>
      </c>
      <c r="O212" s="593">
        <f>IFERROR(__xludf.DUMMYFUNCTION("""COMPUTED_VALUE"""),5250.0)</f>
        <v>5250</v>
      </c>
      <c r="P212" s="594">
        <f>IFERROR(__xludf.DUMMYFUNCTION("""COMPUTED_VALUE"""),3500.0)</f>
        <v>3500</v>
      </c>
      <c r="Q212" s="183"/>
      <c r="R212" s="544"/>
      <c r="S212" s="544"/>
      <c r="T212" s="544"/>
      <c r="U212" s="544"/>
      <c r="V212" s="544"/>
      <c r="W212" s="544"/>
      <c r="X212" s="544"/>
      <c r="Y212" s="544"/>
      <c r="Z212" s="544"/>
      <c r="AA212" s="544"/>
      <c r="AB212" s="544"/>
      <c r="AC212" s="544"/>
      <c r="AD212" s="544"/>
      <c r="AE212" s="183"/>
      <c r="AF212" s="183"/>
      <c r="AG212" s="183"/>
      <c r="AH212" s="183"/>
      <c r="AI212" s="183"/>
      <c r="AJ212" s="183"/>
      <c r="AK212" s="183"/>
      <c r="AL212" s="183"/>
      <c r="AM212" s="183"/>
    </row>
    <row r="213" hidden="1">
      <c r="A213" s="531" t="str">
        <f>IFERROR(__xludf.DUMMYFUNCTION("""COMPUTED_VALUE"""),"サイズ")</f>
        <v>サイズ</v>
      </c>
      <c r="B213" s="531" t="str">
        <f>IFERROR(__xludf.DUMMYFUNCTION("""COMPUTED_VALUE"""),"シャツ (フォーマル / タックアウト)")</f>
        <v>シャツ (フォーマル / タックアウト)</v>
      </c>
      <c r="C213" s="531" t="str">
        <f>IFERROR(__xludf.DUMMYFUNCTION("""COMPUTED_VALUE"""),"バスト(長袖)")</f>
        <v>バスト(長袖)</v>
      </c>
      <c r="D213" s="550"/>
      <c r="E213" s="533"/>
      <c r="F213" s="534" t="str">
        <f>IFERROR(__xludf.DUMMYFUNCTION("""COMPUTED_VALUE"""),"バスト(長袖)")</f>
        <v>バスト(長袖)</v>
      </c>
      <c r="G213" s="550" t="str">
        <f>IFERROR(__xludf.DUMMYFUNCTION("""COMPUTED_VALUE"""),"バスト(長袖)")</f>
        <v>バスト(長袖)</v>
      </c>
      <c r="H213" s="572" t="str">
        <f>IFERROR(__xludf.DUMMYFUNCTION("""COMPUTED_VALUE"""),"-3")</f>
        <v>-3</v>
      </c>
      <c r="I213" s="537"/>
      <c r="J213" s="538">
        <f>IFERROR(__xludf.DUMMYFUNCTION("""COMPUTED_VALUE"""),7.0)</f>
        <v>7</v>
      </c>
      <c r="K213" s="537">
        <f>IFERROR(__xludf.DUMMYFUNCTION("""COMPUTED_VALUE"""),46000.0)</f>
        <v>46000</v>
      </c>
      <c r="L213" s="539">
        <f>IFERROR(__xludf.DUMMYFUNCTION("""COMPUTED_VALUE"""),46003.0)</f>
        <v>46003</v>
      </c>
      <c r="M213" s="540">
        <f>IFERROR(__xludf.DUMMYFUNCTION("""COMPUTED_VALUE"""),46008.0)</f>
        <v>46008</v>
      </c>
      <c r="N213" s="539">
        <f>IFERROR(__xludf.DUMMYFUNCTION("""COMPUTED_VALUE"""),5780.0)</f>
        <v>5780</v>
      </c>
      <c r="O213" s="593">
        <f>IFERROR(__xludf.DUMMYFUNCTION("""COMPUTED_VALUE"""),5250.0)</f>
        <v>5250</v>
      </c>
      <c r="P213" s="594">
        <f>IFERROR(__xludf.DUMMYFUNCTION("""COMPUTED_VALUE"""),3500.0)</f>
        <v>3500</v>
      </c>
      <c r="Q213" s="183"/>
      <c r="R213" s="544"/>
      <c r="S213" s="544"/>
      <c r="T213" s="544"/>
      <c r="U213" s="544"/>
      <c r="V213" s="544"/>
      <c r="W213" s="544"/>
      <c r="X213" s="544"/>
      <c r="Y213" s="544"/>
      <c r="Z213" s="544"/>
      <c r="AA213" s="544"/>
      <c r="AB213" s="544"/>
      <c r="AC213" s="544"/>
      <c r="AD213" s="544"/>
      <c r="AE213" s="183"/>
      <c r="AF213" s="183"/>
      <c r="AG213" s="183"/>
      <c r="AH213" s="183"/>
      <c r="AI213" s="183"/>
      <c r="AJ213" s="183"/>
      <c r="AK213" s="183"/>
      <c r="AL213" s="183"/>
      <c r="AM213" s="183"/>
    </row>
    <row r="214" hidden="1">
      <c r="A214" s="531" t="str">
        <f>IFERROR(__xludf.DUMMYFUNCTION("""COMPUTED_VALUE"""),"サイズ")</f>
        <v>サイズ</v>
      </c>
      <c r="B214" s="531" t="str">
        <f>IFERROR(__xludf.DUMMYFUNCTION("""COMPUTED_VALUE"""),"シャツ (フォーマル / タックアウト)")</f>
        <v>シャツ (フォーマル / タックアウト)</v>
      </c>
      <c r="C214" s="531" t="str">
        <f>IFERROR(__xludf.DUMMYFUNCTION("""COMPUTED_VALUE"""),"バスト(長袖)")</f>
        <v>バスト(長袖)</v>
      </c>
      <c r="D214" s="550"/>
      <c r="E214" s="533"/>
      <c r="F214" s="534" t="str">
        <f>IFERROR(__xludf.DUMMYFUNCTION("""COMPUTED_VALUE"""),"バスト(長袖)")</f>
        <v>バスト(長袖)</v>
      </c>
      <c r="G214" s="550" t="str">
        <f>IFERROR(__xludf.DUMMYFUNCTION("""COMPUTED_VALUE"""),"バスト(長袖)")</f>
        <v>バスト(長袖)</v>
      </c>
      <c r="H214" s="572" t="str">
        <f>IFERROR(__xludf.DUMMYFUNCTION("""COMPUTED_VALUE"""),"-2")</f>
        <v>-2</v>
      </c>
      <c r="I214" s="537"/>
      <c r="J214" s="538">
        <f>IFERROR(__xludf.DUMMYFUNCTION("""COMPUTED_VALUE"""),7.0)</f>
        <v>7</v>
      </c>
      <c r="K214" s="537">
        <f>IFERROR(__xludf.DUMMYFUNCTION("""COMPUTED_VALUE"""),46000.0)</f>
        <v>46000</v>
      </c>
      <c r="L214" s="539">
        <f>IFERROR(__xludf.DUMMYFUNCTION("""COMPUTED_VALUE"""),46003.0)</f>
        <v>46003</v>
      </c>
      <c r="M214" s="540">
        <f>IFERROR(__xludf.DUMMYFUNCTION("""COMPUTED_VALUE"""),46008.0)</f>
        <v>46008</v>
      </c>
      <c r="N214" s="539">
        <f>IFERROR(__xludf.DUMMYFUNCTION("""COMPUTED_VALUE"""),5780.0)</f>
        <v>5780</v>
      </c>
      <c r="O214" s="593">
        <f>IFERROR(__xludf.DUMMYFUNCTION("""COMPUTED_VALUE"""),5250.0)</f>
        <v>5250</v>
      </c>
      <c r="P214" s="594">
        <f>IFERROR(__xludf.DUMMYFUNCTION("""COMPUTED_VALUE"""),3500.0)</f>
        <v>3500</v>
      </c>
      <c r="Q214" s="183"/>
      <c r="R214" s="544"/>
      <c r="S214" s="544"/>
      <c r="T214" s="544"/>
      <c r="U214" s="544"/>
      <c r="V214" s="544"/>
      <c r="W214" s="544"/>
      <c r="X214" s="544"/>
      <c r="Y214" s="544"/>
      <c r="Z214" s="544"/>
      <c r="AA214" s="544"/>
      <c r="AB214" s="544"/>
      <c r="AC214" s="544"/>
      <c r="AD214" s="544"/>
      <c r="AE214" s="183"/>
      <c r="AF214" s="183"/>
      <c r="AG214" s="183"/>
      <c r="AH214" s="183"/>
      <c r="AI214" s="183"/>
      <c r="AJ214" s="183"/>
      <c r="AK214" s="183"/>
      <c r="AL214" s="183"/>
      <c r="AM214" s="183"/>
    </row>
    <row r="215" hidden="1">
      <c r="A215" s="531" t="str">
        <f>IFERROR(__xludf.DUMMYFUNCTION("""COMPUTED_VALUE"""),"サイズ")</f>
        <v>サイズ</v>
      </c>
      <c r="B215" s="531" t="str">
        <f>IFERROR(__xludf.DUMMYFUNCTION("""COMPUTED_VALUE"""),"シャツ (フォーマル / タックアウト)")</f>
        <v>シャツ (フォーマル / タックアウト)</v>
      </c>
      <c r="C215" s="531" t="str">
        <f>IFERROR(__xludf.DUMMYFUNCTION("""COMPUTED_VALUE"""),"バスト(長袖)")</f>
        <v>バスト(長袖)</v>
      </c>
      <c r="D215" s="550"/>
      <c r="E215" s="533"/>
      <c r="F215" s="534" t="str">
        <f>IFERROR(__xludf.DUMMYFUNCTION("""COMPUTED_VALUE"""),"バスト(長袖)")</f>
        <v>バスト(長袖)</v>
      </c>
      <c r="G215" s="550" t="str">
        <f>IFERROR(__xludf.DUMMYFUNCTION("""COMPUTED_VALUE"""),"バスト(長袖)")</f>
        <v>バスト(長袖)</v>
      </c>
      <c r="H215" s="572" t="str">
        <f>IFERROR(__xludf.DUMMYFUNCTION("""COMPUTED_VALUE"""),"-1")</f>
        <v>-1</v>
      </c>
      <c r="I215" s="537"/>
      <c r="J215" s="538">
        <f>IFERROR(__xludf.DUMMYFUNCTION("""COMPUTED_VALUE"""),7.0)</f>
        <v>7</v>
      </c>
      <c r="K215" s="537">
        <f>IFERROR(__xludf.DUMMYFUNCTION("""COMPUTED_VALUE"""),46000.0)</f>
        <v>46000</v>
      </c>
      <c r="L215" s="539">
        <f>IFERROR(__xludf.DUMMYFUNCTION("""COMPUTED_VALUE"""),46003.0)</f>
        <v>46003</v>
      </c>
      <c r="M215" s="540">
        <f>IFERROR(__xludf.DUMMYFUNCTION("""COMPUTED_VALUE"""),46008.0)</f>
        <v>46008</v>
      </c>
      <c r="N215" s="539">
        <f>IFERROR(__xludf.DUMMYFUNCTION("""COMPUTED_VALUE"""),5780.0)</f>
        <v>5780</v>
      </c>
      <c r="O215" s="593">
        <f>IFERROR(__xludf.DUMMYFUNCTION("""COMPUTED_VALUE"""),5250.0)</f>
        <v>5250</v>
      </c>
      <c r="P215" s="594">
        <f>IFERROR(__xludf.DUMMYFUNCTION("""COMPUTED_VALUE"""),3500.0)</f>
        <v>3500</v>
      </c>
      <c r="Q215" s="183"/>
      <c r="R215" s="544"/>
      <c r="S215" s="544"/>
      <c r="T215" s="544"/>
      <c r="U215" s="544"/>
      <c r="V215" s="544"/>
      <c r="W215" s="544"/>
      <c r="X215" s="544"/>
      <c r="Y215" s="544"/>
      <c r="Z215" s="544"/>
      <c r="AA215" s="544"/>
      <c r="AB215" s="544"/>
      <c r="AC215" s="544"/>
      <c r="AD215" s="544"/>
      <c r="AE215" s="183"/>
      <c r="AF215" s="183"/>
      <c r="AG215" s="183"/>
      <c r="AH215" s="183"/>
      <c r="AI215" s="183"/>
      <c r="AJ215" s="183"/>
      <c r="AK215" s="183"/>
      <c r="AL215" s="183"/>
      <c r="AM215" s="183"/>
    </row>
    <row r="216" hidden="1">
      <c r="A216" s="531" t="str">
        <f>IFERROR(__xludf.DUMMYFUNCTION("""COMPUTED_VALUE"""),"サイズ")</f>
        <v>サイズ</v>
      </c>
      <c r="B216" s="531" t="str">
        <f>IFERROR(__xludf.DUMMYFUNCTION("""COMPUTED_VALUE"""),"シャツ (フォーマル / タックアウト)")</f>
        <v>シャツ (フォーマル / タックアウト)</v>
      </c>
      <c r="C216" s="531" t="str">
        <f>IFERROR(__xludf.DUMMYFUNCTION("""COMPUTED_VALUE"""),"バスト(半袖)")</f>
        <v>バスト(半袖)</v>
      </c>
      <c r="D216" s="550"/>
      <c r="E216" s="533"/>
      <c r="F216" s="534" t="str">
        <f>IFERROR(__xludf.DUMMYFUNCTION("""COMPUTED_VALUE"""),"バスト(半袖)")</f>
        <v>バスト(半袖)</v>
      </c>
      <c r="G216" s="550" t="str">
        <f>IFERROR(__xludf.DUMMYFUNCTION("""COMPUTED_VALUE"""),"バスト(半袖)")</f>
        <v>バスト(半袖)</v>
      </c>
      <c r="H216" s="572" t="str">
        <f>IFERROR(__xludf.DUMMYFUNCTION("""COMPUTED_VALUE"""),"-4")</f>
        <v>-4</v>
      </c>
      <c r="I216" s="537"/>
      <c r="J216" s="538">
        <f>IFERROR(__xludf.DUMMYFUNCTION("""COMPUTED_VALUE"""),7.0)</f>
        <v>7</v>
      </c>
      <c r="K216" s="537">
        <f>IFERROR(__xludf.DUMMYFUNCTION("""COMPUTED_VALUE"""),46000.0)</f>
        <v>46000</v>
      </c>
      <c r="L216" s="539">
        <f>IFERROR(__xludf.DUMMYFUNCTION("""COMPUTED_VALUE"""),46003.0)</f>
        <v>46003</v>
      </c>
      <c r="M216" s="540">
        <f>IFERROR(__xludf.DUMMYFUNCTION("""COMPUTED_VALUE"""),46008.0)</f>
        <v>46008</v>
      </c>
      <c r="N216" s="539">
        <f>IFERROR(__xludf.DUMMYFUNCTION("""COMPUTED_VALUE"""),5780.0)</f>
        <v>5780</v>
      </c>
      <c r="O216" s="593">
        <f>IFERROR(__xludf.DUMMYFUNCTION("""COMPUTED_VALUE"""),5250.0)</f>
        <v>5250</v>
      </c>
      <c r="P216" s="594">
        <f>IFERROR(__xludf.DUMMYFUNCTION("""COMPUTED_VALUE"""),3500.0)</f>
        <v>3500</v>
      </c>
      <c r="Q216" s="183"/>
      <c r="R216" s="544"/>
      <c r="S216" s="544"/>
      <c r="T216" s="544"/>
      <c r="U216" s="544"/>
      <c r="V216" s="544"/>
      <c r="W216" s="544"/>
      <c r="X216" s="544"/>
      <c r="Y216" s="544"/>
      <c r="Z216" s="544"/>
      <c r="AA216" s="544"/>
      <c r="AB216" s="544"/>
      <c r="AC216" s="544"/>
      <c r="AD216" s="544"/>
      <c r="AE216" s="183"/>
      <c r="AF216" s="183"/>
      <c r="AG216" s="183"/>
      <c r="AH216" s="183"/>
      <c r="AI216" s="183"/>
      <c r="AJ216" s="183"/>
      <c r="AK216" s="183"/>
      <c r="AL216" s="183"/>
      <c r="AM216" s="183"/>
    </row>
    <row r="217" hidden="1">
      <c r="A217" s="531" t="str">
        <f>IFERROR(__xludf.DUMMYFUNCTION("""COMPUTED_VALUE"""),"サイズ")</f>
        <v>サイズ</v>
      </c>
      <c r="B217" s="531" t="str">
        <f>IFERROR(__xludf.DUMMYFUNCTION("""COMPUTED_VALUE"""),"シャツ (フォーマル / タックアウト)")</f>
        <v>シャツ (フォーマル / タックアウト)</v>
      </c>
      <c r="C217" s="531" t="str">
        <f>IFERROR(__xludf.DUMMYFUNCTION("""COMPUTED_VALUE"""),"バスト(半袖)")</f>
        <v>バスト(半袖)</v>
      </c>
      <c r="D217" s="550"/>
      <c r="E217" s="533"/>
      <c r="F217" s="534" t="str">
        <f>IFERROR(__xludf.DUMMYFUNCTION("""COMPUTED_VALUE"""),"バスト(半袖)")</f>
        <v>バスト(半袖)</v>
      </c>
      <c r="G217" s="550" t="str">
        <f>IFERROR(__xludf.DUMMYFUNCTION("""COMPUTED_VALUE"""),"バスト(半袖)")</f>
        <v>バスト(半袖)</v>
      </c>
      <c r="H217" s="572" t="str">
        <f>IFERROR(__xludf.DUMMYFUNCTION("""COMPUTED_VALUE"""),"-3")</f>
        <v>-3</v>
      </c>
      <c r="I217" s="537"/>
      <c r="J217" s="538">
        <f>IFERROR(__xludf.DUMMYFUNCTION("""COMPUTED_VALUE"""),7.0)</f>
        <v>7</v>
      </c>
      <c r="K217" s="537">
        <f>IFERROR(__xludf.DUMMYFUNCTION("""COMPUTED_VALUE"""),46000.0)</f>
        <v>46000</v>
      </c>
      <c r="L217" s="539">
        <f>IFERROR(__xludf.DUMMYFUNCTION("""COMPUTED_VALUE"""),46003.0)</f>
        <v>46003</v>
      </c>
      <c r="M217" s="540">
        <f>IFERROR(__xludf.DUMMYFUNCTION("""COMPUTED_VALUE"""),46008.0)</f>
        <v>46008</v>
      </c>
      <c r="N217" s="539">
        <f>IFERROR(__xludf.DUMMYFUNCTION("""COMPUTED_VALUE"""),5780.0)</f>
        <v>5780</v>
      </c>
      <c r="O217" s="593">
        <f>IFERROR(__xludf.DUMMYFUNCTION("""COMPUTED_VALUE"""),5250.0)</f>
        <v>5250</v>
      </c>
      <c r="P217" s="594">
        <f>IFERROR(__xludf.DUMMYFUNCTION("""COMPUTED_VALUE"""),3500.0)</f>
        <v>3500</v>
      </c>
      <c r="Q217" s="183"/>
      <c r="R217" s="544"/>
      <c r="S217" s="544"/>
      <c r="T217" s="544"/>
      <c r="U217" s="544"/>
      <c r="V217" s="544"/>
      <c r="W217" s="544"/>
      <c r="X217" s="544"/>
      <c r="Y217" s="544"/>
      <c r="Z217" s="544"/>
      <c r="AA217" s="544"/>
      <c r="AB217" s="544"/>
      <c r="AC217" s="544"/>
      <c r="AD217" s="544"/>
      <c r="AE217" s="183"/>
      <c r="AF217" s="183"/>
      <c r="AG217" s="183"/>
      <c r="AH217" s="183"/>
      <c r="AI217" s="183"/>
      <c r="AJ217" s="183"/>
      <c r="AK217" s="183"/>
      <c r="AL217" s="183"/>
      <c r="AM217" s="183"/>
    </row>
    <row r="218" hidden="1">
      <c r="A218" s="531" t="str">
        <f>IFERROR(__xludf.DUMMYFUNCTION("""COMPUTED_VALUE"""),"サイズ")</f>
        <v>サイズ</v>
      </c>
      <c r="B218" s="531" t="str">
        <f>IFERROR(__xludf.DUMMYFUNCTION("""COMPUTED_VALUE"""),"シャツ (フォーマル / タックアウト)")</f>
        <v>シャツ (フォーマル / タックアウト)</v>
      </c>
      <c r="C218" s="531" t="str">
        <f>IFERROR(__xludf.DUMMYFUNCTION("""COMPUTED_VALUE"""),"バスト(半袖)")</f>
        <v>バスト(半袖)</v>
      </c>
      <c r="D218" s="550"/>
      <c r="E218" s="533"/>
      <c r="F218" s="534" t="str">
        <f>IFERROR(__xludf.DUMMYFUNCTION("""COMPUTED_VALUE"""),"バスト(半袖)")</f>
        <v>バスト(半袖)</v>
      </c>
      <c r="G218" s="550" t="str">
        <f>IFERROR(__xludf.DUMMYFUNCTION("""COMPUTED_VALUE"""),"バスト(半袖)")</f>
        <v>バスト(半袖)</v>
      </c>
      <c r="H218" s="572" t="str">
        <f>IFERROR(__xludf.DUMMYFUNCTION("""COMPUTED_VALUE"""),"-2")</f>
        <v>-2</v>
      </c>
      <c r="I218" s="537"/>
      <c r="J218" s="538">
        <f>IFERROR(__xludf.DUMMYFUNCTION("""COMPUTED_VALUE"""),7.0)</f>
        <v>7</v>
      </c>
      <c r="K218" s="537">
        <f>IFERROR(__xludf.DUMMYFUNCTION("""COMPUTED_VALUE"""),46000.0)</f>
        <v>46000</v>
      </c>
      <c r="L218" s="539">
        <f>IFERROR(__xludf.DUMMYFUNCTION("""COMPUTED_VALUE"""),46003.0)</f>
        <v>46003</v>
      </c>
      <c r="M218" s="540">
        <f>IFERROR(__xludf.DUMMYFUNCTION("""COMPUTED_VALUE"""),46008.0)</f>
        <v>46008</v>
      </c>
      <c r="N218" s="539">
        <f>IFERROR(__xludf.DUMMYFUNCTION("""COMPUTED_VALUE"""),5780.0)</f>
        <v>5780</v>
      </c>
      <c r="O218" s="593">
        <f>IFERROR(__xludf.DUMMYFUNCTION("""COMPUTED_VALUE"""),5250.0)</f>
        <v>5250</v>
      </c>
      <c r="P218" s="594">
        <f>IFERROR(__xludf.DUMMYFUNCTION("""COMPUTED_VALUE"""),3500.0)</f>
        <v>3500</v>
      </c>
      <c r="Q218" s="183"/>
      <c r="R218" s="544"/>
      <c r="S218" s="544"/>
      <c r="T218" s="544"/>
      <c r="U218" s="544"/>
      <c r="V218" s="544"/>
      <c r="W218" s="544"/>
      <c r="X218" s="544"/>
      <c r="Y218" s="544"/>
      <c r="Z218" s="544"/>
      <c r="AA218" s="544"/>
      <c r="AB218" s="544"/>
      <c r="AC218" s="544"/>
      <c r="AD218" s="544"/>
      <c r="AE218" s="183"/>
      <c r="AF218" s="183"/>
      <c r="AG218" s="183"/>
      <c r="AH218" s="183"/>
      <c r="AI218" s="183"/>
      <c r="AJ218" s="183"/>
      <c r="AK218" s="183"/>
      <c r="AL218" s="183"/>
      <c r="AM218" s="183"/>
    </row>
    <row r="219" hidden="1">
      <c r="A219" s="531" t="str">
        <f>IFERROR(__xludf.DUMMYFUNCTION("""COMPUTED_VALUE"""),"サイズ")</f>
        <v>サイズ</v>
      </c>
      <c r="B219" s="531" t="str">
        <f>IFERROR(__xludf.DUMMYFUNCTION("""COMPUTED_VALUE"""),"シャツ (フォーマル / タックアウト)")</f>
        <v>シャツ (フォーマル / タックアウト)</v>
      </c>
      <c r="C219" s="531" t="str">
        <f>IFERROR(__xludf.DUMMYFUNCTION("""COMPUTED_VALUE"""),"バスト(半袖)")</f>
        <v>バスト(半袖)</v>
      </c>
      <c r="D219" s="550"/>
      <c r="E219" s="533"/>
      <c r="F219" s="534" t="str">
        <f>IFERROR(__xludf.DUMMYFUNCTION("""COMPUTED_VALUE"""),"バスト(半袖)")</f>
        <v>バスト(半袖)</v>
      </c>
      <c r="G219" s="550" t="str">
        <f>IFERROR(__xludf.DUMMYFUNCTION("""COMPUTED_VALUE"""),"バスト(半袖)")</f>
        <v>バスト(半袖)</v>
      </c>
      <c r="H219" s="572" t="str">
        <f>IFERROR(__xludf.DUMMYFUNCTION("""COMPUTED_VALUE"""),"-1")</f>
        <v>-1</v>
      </c>
      <c r="I219" s="537"/>
      <c r="J219" s="538">
        <f>IFERROR(__xludf.DUMMYFUNCTION("""COMPUTED_VALUE"""),7.0)</f>
        <v>7</v>
      </c>
      <c r="K219" s="537">
        <f>IFERROR(__xludf.DUMMYFUNCTION("""COMPUTED_VALUE"""),46000.0)</f>
        <v>46000</v>
      </c>
      <c r="L219" s="539">
        <f>IFERROR(__xludf.DUMMYFUNCTION("""COMPUTED_VALUE"""),46003.0)</f>
        <v>46003</v>
      </c>
      <c r="M219" s="540">
        <f>IFERROR(__xludf.DUMMYFUNCTION("""COMPUTED_VALUE"""),46008.0)</f>
        <v>46008</v>
      </c>
      <c r="N219" s="539">
        <f>IFERROR(__xludf.DUMMYFUNCTION("""COMPUTED_VALUE"""),5780.0)</f>
        <v>5780</v>
      </c>
      <c r="O219" s="593">
        <f>IFERROR(__xludf.DUMMYFUNCTION("""COMPUTED_VALUE"""),5250.0)</f>
        <v>5250</v>
      </c>
      <c r="P219" s="594">
        <f>IFERROR(__xludf.DUMMYFUNCTION("""COMPUTED_VALUE"""),3500.0)</f>
        <v>3500</v>
      </c>
      <c r="Q219" s="183"/>
      <c r="R219" s="544"/>
      <c r="S219" s="544"/>
      <c r="T219" s="544"/>
      <c r="U219" s="544"/>
      <c r="V219" s="544"/>
      <c r="W219" s="544"/>
      <c r="X219" s="544"/>
      <c r="Y219" s="544"/>
      <c r="Z219" s="544"/>
      <c r="AA219" s="544"/>
      <c r="AB219" s="544"/>
      <c r="AC219" s="544"/>
      <c r="AD219" s="544"/>
      <c r="AE219" s="183"/>
      <c r="AF219" s="183"/>
      <c r="AG219" s="183"/>
      <c r="AH219" s="183"/>
      <c r="AI219" s="183"/>
      <c r="AJ219" s="183"/>
      <c r="AK219" s="183"/>
      <c r="AL219" s="183"/>
      <c r="AM219" s="183"/>
    </row>
    <row r="220" hidden="1">
      <c r="A220" s="531" t="str">
        <f>IFERROR(__xludf.DUMMYFUNCTION("""COMPUTED_VALUE"""),"サイズ")</f>
        <v>サイズ</v>
      </c>
      <c r="B220" s="531" t="str">
        <f>IFERROR(__xludf.DUMMYFUNCTION("""COMPUTED_VALUE"""),"シャツ (フォーマル / タックアウト)")</f>
        <v>シャツ (フォーマル / タックアウト)</v>
      </c>
      <c r="C220" s="531" t="str">
        <f>IFERROR(__xludf.DUMMYFUNCTION("""COMPUTED_VALUE"""),"ウエスト")</f>
        <v>ウエスト</v>
      </c>
      <c r="D220" s="550"/>
      <c r="E220" s="533"/>
      <c r="F220" s="534" t="str">
        <f>IFERROR(__xludf.DUMMYFUNCTION("""COMPUTED_VALUE"""),"ウエスト")</f>
        <v>ウエスト</v>
      </c>
      <c r="G220" s="550" t="str">
        <f>IFERROR(__xludf.DUMMYFUNCTION("""COMPUTED_VALUE"""),"ウエスト")</f>
        <v>ウエスト</v>
      </c>
      <c r="H220" s="572" t="str">
        <f>IFERROR(__xludf.DUMMYFUNCTION("""COMPUTED_VALUE"""),"-6")</f>
        <v>-6</v>
      </c>
      <c r="I220" s="537"/>
      <c r="J220" s="538">
        <f>IFERROR(__xludf.DUMMYFUNCTION("""COMPUTED_VALUE"""),7.0)</f>
        <v>7</v>
      </c>
      <c r="K220" s="537">
        <f>IFERROR(__xludf.DUMMYFUNCTION("""COMPUTED_VALUE"""),46000.0)</f>
        <v>46000</v>
      </c>
      <c r="L220" s="539">
        <f>IFERROR(__xludf.DUMMYFUNCTION("""COMPUTED_VALUE"""),46003.0)</f>
        <v>46003</v>
      </c>
      <c r="M220" s="540">
        <f>IFERROR(__xludf.DUMMYFUNCTION("""COMPUTED_VALUE"""),46008.0)</f>
        <v>46008</v>
      </c>
      <c r="N220" s="539">
        <f>IFERROR(__xludf.DUMMYFUNCTION("""COMPUTED_VALUE"""),4130.0)</f>
        <v>4130</v>
      </c>
      <c r="O220" s="593">
        <f>IFERROR(__xludf.DUMMYFUNCTION("""COMPUTED_VALUE"""),3750.0)</f>
        <v>3750</v>
      </c>
      <c r="P220" s="594">
        <f>IFERROR(__xludf.DUMMYFUNCTION("""COMPUTED_VALUE"""),3500.0)</f>
        <v>3500</v>
      </c>
      <c r="Q220" s="183"/>
      <c r="R220" s="544"/>
      <c r="S220" s="544"/>
      <c r="T220" s="544"/>
      <c r="U220" s="544"/>
      <c r="V220" s="544"/>
      <c r="W220" s="544"/>
      <c r="X220" s="544"/>
      <c r="Y220" s="544"/>
      <c r="Z220" s="544"/>
      <c r="AA220" s="544"/>
      <c r="AB220" s="544"/>
      <c r="AC220" s="544"/>
      <c r="AD220" s="544"/>
      <c r="AE220" s="183"/>
      <c r="AF220" s="183"/>
      <c r="AG220" s="183"/>
      <c r="AH220" s="183"/>
      <c r="AI220" s="183"/>
      <c r="AJ220" s="183"/>
      <c r="AK220" s="183"/>
      <c r="AL220" s="183"/>
      <c r="AM220" s="183"/>
    </row>
    <row r="221" hidden="1">
      <c r="A221" s="531" t="str">
        <f>IFERROR(__xludf.DUMMYFUNCTION("""COMPUTED_VALUE"""),"サイズ")</f>
        <v>サイズ</v>
      </c>
      <c r="B221" s="531" t="str">
        <f>IFERROR(__xludf.DUMMYFUNCTION("""COMPUTED_VALUE"""),"シャツ (フォーマル / タックアウト)")</f>
        <v>シャツ (フォーマル / タックアウト)</v>
      </c>
      <c r="C221" s="531" t="str">
        <f>IFERROR(__xludf.DUMMYFUNCTION("""COMPUTED_VALUE"""),"ウエスト")</f>
        <v>ウエスト</v>
      </c>
      <c r="D221" s="550"/>
      <c r="E221" s="533"/>
      <c r="F221" s="534" t="str">
        <f>IFERROR(__xludf.DUMMYFUNCTION("""COMPUTED_VALUE"""),"ウエスト")</f>
        <v>ウエスト</v>
      </c>
      <c r="G221" s="550" t="str">
        <f>IFERROR(__xludf.DUMMYFUNCTION("""COMPUTED_VALUE"""),"ウエスト")</f>
        <v>ウエスト</v>
      </c>
      <c r="H221" s="572" t="str">
        <f>IFERROR(__xludf.DUMMYFUNCTION("""COMPUTED_VALUE"""),"-5")</f>
        <v>-5</v>
      </c>
      <c r="I221" s="537"/>
      <c r="J221" s="538">
        <f>IFERROR(__xludf.DUMMYFUNCTION("""COMPUTED_VALUE"""),7.0)</f>
        <v>7</v>
      </c>
      <c r="K221" s="537">
        <f>IFERROR(__xludf.DUMMYFUNCTION("""COMPUTED_VALUE"""),46000.0)</f>
        <v>46000</v>
      </c>
      <c r="L221" s="539">
        <f>IFERROR(__xludf.DUMMYFUNCTION("""COMPUTED_VALUE"""),46003.0)</f>
        <v>46003</v>
      </c>
      <c r="M221" s="540">
        <f>IFERROR(__xludf.DUMMYFUNCTION("""COMPUTED_VALUE"""),46008.0)</f>
        <v>46008</v>
      </c>
      <c r="N221" s="539">
        <f>IFERROR(__xludf.DUMMYFUNCTION("""COMPUTED_VALUE"""),4130.0)</f>
        <v>4130</v>
      </c>
      <c r="O221" s="593">
        <f>IFERROR(__xludf.DUMMYFUNCTION("""COMPUTED_VALUE"""),3750.0)</f>
        <v>3750</v>
      </c>
      <c r="P221" s="594">
        <f>IFERROR(__xludf.DUMMYFUNCTION("""COMPUTED_VALUE"""),3500.0)</f>
        <v>3500</v>
      </c>
      <c r="Q221" s="183"/>
      <c r="R221" s="544"/>
      <c r="S221" s="544"/>
      <c r="T221" s="544"/>
      <c r="U221" s="544"/>
      <c r="V221" s="544"/>
      <c r="W221" s="544"/>
      <c r="X221" s="544"/>
      <c r="Y221" s="544"/>
      <c r="Z221" s="544"/>
      <c r="AA221" s="544"/>
      <c r="AB221" s="544"/>
      <c r="AC221" s="544"/>
      <c r="AD221" s="544"/>
      <c r="AE221" s="183"/>
      <c r="AF221" s="183"/>
      <c r="AG221" s="183"/>
      <c r="AH221" s="183"/>
      <c r="AI221" s="183"/>
      <c r="AJ221" s="183"/>
      <c r="AK221" s="183"/>
      <c r="AL221" s="183"/>
      <c r="AM221" s="183"/>
    </row>
    <row r="222" hidden="1">
      <c r="A222" s="531" t="str">
        <f>IFERROR(__xludf.DUMMYFUNCTION("""COMPUTED_VALUE"""),"サイズ")</f>
        <v>サイズ</v>
      </c>
      <c r="B222" s="531" t="str">
        <f>IFERROR(__xludf.DUMMYFUNCTION("""COMPUTED_VALUE"""),"シャツ (フォーマル / タックアウト)")</f>
        <v>シャツ (フォーマル / タックアウト)</v>
      </c>
      <c r="C222" s="531" t="str">
        <f>IFERROR(__xludf.DUMMYFUNCTION("""COMPUTED_VALUE"""),"ウエスト")</f>
        <v>ウエスト</v>
      </c>
      <c r="D222" s="550"/>
      <c r="E222" s="533"/>
      <c r="F222" s="534" t="str">
        <f>IFERROR(__xludf.DUMMYFUNCTION("""COMPUTED_VALUE"""),"ウエスト")</f>
        <v>ウエスト</v>
      </c>
      <c r="G222" s="550" t="str">
        <f>IFERROR(__xludf.DUMMYFUNCTION("""COMPUTED_VALUE"""),"ウエスト")</f>
        <v>ウエスト</v>
      </c>
      <c r="H222" s="572" t="str">
        <f>IFERROR(__xludf.DUMMYFUNCTION("""COMPUTED_VALUE"""),"-4")</f>
        <v>-4</v>
      </c>
      <c r="I222" s="537"/>
      <c r="J222" s="538">
        <f>IFERROR(__xludf.DUMMYFUNCTION("""COMPUTED_VALUE"""),7.0)</f>
        <v>7</v>
      </c>
      <c r="K222" s="537">
        <f>IFERROR(__xludf.DUMMYFUNCTION("""COMPUTED_VALUE"""),46000.0)</f>
        <v>46000</v>
      </c>
      <c r="L222" s="539">
        <f>IFERROR(__xludf.DUMMYFUNCTION("""COMPUTED_VALUE"""),46003.0)</f>
        <v>46003</v>
      </c>
      <c r="M222" s="540">
        <f>IFERROR(__xludf.DUMMYFUNCTION("""COMPUTED_VALUE"""),46008.0)</f>
        <v>46008</v>
      </c>
      <c r="N222" s="539">
        <f>IFERROR(__xludf.DUMMYFUNCTION("""COMPUTED_VALUE"""),4130.0)</f>
        <v>4130</v>
      </c>
      <c r="O222" s="121">
        <f>IFERROR(__xludf.DUMMYFUNCTION("""COMPUTED_VALUE"""),3750.0)</f>
        <v>3750</v>
      </c>
      <c r="P222" s="633">
        <f>IFERROR(__xludf.DUMMYFUNCTION("""COMPUTED_VALUE"""),3500.0)</f>
        <v>3500</v>
      </c>
      <c r="Q222" s="11"/>
      <c r="R222" s="623"/>
      <c r="S222" s="623"/>
      <c r="T222" s="623"/>
      <c r="U222" s="623"/>
      <c r="V222" s="623"/>
      <c r="W222" s="623"/>
      <c r="X222" s="623"/>
      <c r="Y222" s="623"/>
      <c r="Z222" s="623"/>
      <c r="AA222" s="623"/>
      <c r="AB222" s="623"/>
      <c r="AC222" s="623"/>
      <c r="AD222" s="623"/>
      <c r="AE222" s="11"/>
      <c r="AF222" s="11"/>
      <c r="AG222" s="11"/>
      <c r="AH222" s="11"/>
      <c r="AI222" s="11"/>
      <c r="AJ222" s="11"/>
      <c r="AK222" s="11"/>
      <c r="AL222" s="11"/>
      <c r="AM222" s="11"/>
    </row>
    <row r="223" hidden="1">
      <c r="A223" s="531" t="str">
        <f>IFERROR(__xludf.DUMMYFUNCTION("""COMPUTED_VALUE"""),"サイズ")</f>
        <v>サイズ</v>
      </c>
      <c r="B223" s="531" t="str">
        <f>IFERROR(__xludf.DUMMYFUNCTION("""COMPUTED_VALUE"""),"シャツ (フォーマル / タックアウト)")</f>
        <v>シャツ (フォーマル / タックアウト)</v>
      </c>
      <c r="C223" s="531" t="str">
        <f>IFERROR(__xludf.DUMMYFUNCTION("""COMPUTED_VALUE"""),"ウエスト")</f>
        <v>ウエスト</v>
      </c>
      <c r="D223" s="550"/>
      <c r="E223" s="533"/>
      <c r="F223" s="534" t="str">
        <f>IFERROR(__xludf.DUMMYFUNCTION("""COMPUTED_VALUE"""),"ウエスト")</f>
        <v>ウエスト</v>
      </c>
      <c r="G223" s="550" t="str">
        <f>IFERROR(__xludf.DUMMYFUNCTION("""COMPUTED_VALUE"""),"ウエスト")</f>
        <v>ウエスト</v>
      </c>
      <c r="H223" s="572" t="str">
        <f>IFERROR(__xludf.DUMMYFUNCTION("""COMPUTED_VALUE"""),"-3")</f>
        <v>-3</v>
      </c>
      <c r="I223" s="537"/>
      <c r="J223" s="538">
        <f>IFERROR(__xludf.DUMMYFUNCTION("""COMPUTED_VALUE"""),7.0)</f>
        <v>7</v>
      </c>
      <c r="K223" s="537">
        <f>IFERROR(__xludf.DUMMYFUNCTION("""COMPUTED_VALUE"""),46000.0)</f>
        <v>46000</v>
      </c>
      <c r="L223" s="539">
        <f>IFERROR(__xludf.DUMMYFUNCTION("""COMPUTED_VALUE"""),46003.0)</f>
        <v>46003</v>
      </c>
      <c r="M223" s="540">
        <f>IFERROR(__xludf.DUMMYFUNCTION("""COMPUTED_VALUE"""),46008.0)</f>
        <v>46008</v>
      </c>
      <c r="N223" s="539">
        <f>IFERROR(__xludf.DUMMYFUNCTION("""COMPUTED_VALUE"""),4130.0)</f>
        <v>4130</v>
      </c>
      <c r="O223" s="593">
        <f>IFERROR(__xludf.DUMMYFUNCTION("""COMPUTED_VALUE"""),3750.0)</f>
        <v>3750</v>
      </c>
      <c r="P223" s="594">
        <f>IFERROR(__xludf.DUMMYFUNCTION("""COMPUTED_VALUE"""),3500.0)</f>
        <v>3500</v>
      </c>
      <c r="Q223" s="183"/>
      <c r="R223" s="544"/>
      <c r="S223" s="544"/>
      <c r="T223" s="544"/>
      <c r="U223" s="544"/>
      <c r="V223" s="544"/>
      <c r="W223" s="544"/>
      <c r="X223" s="544"/>
      <c r="Y223" s="544"/>
      <c r="Z223" s="544"/>
      <c r="AA223" s="544"/>
      <c r="AB223" s="544"/>
      <c r="AC223" s="544"/>
      <c r="AD223" s="544"/>
      <c r="AE223" s="183"/>
      <c r="AF223" s="183"/>
      <c r="AG223" s="183"/>
      <c r="AH223" s="183"/>
      <c r="AI223" s="183"/>
      <c r="AJ223" s="183"/>
      <c r="AK223" s="183"/>
      <c r="AL223" s="183"/>
      <c r="AM223" s="183"/>
    </row>
    <row r="224" hidden="1">
      <c r="A224" s="531" t="str">
        <f>IFERROR(__xludf.DUMMYFUNCTION("""COMPUTED_VALUE"""),"サイズ")</f>
        <v>サイズ</v>
      </c>
      <c r="B224" s="531" t="str">
        <f>IFERROR(__xludf.DUMMYFUNCTION("""COMPUTED_VALUE"""),"シャツ (フォーマル / タックアウト)")</f>
        <v>シャツ (フォーマル / タックアウト)</v>
      </c>
      <c r="C224" s="531" t="str">
        <f>IFERROR(__xludf.DUMMYFUNCTION("""COMPUTED_VALUE"""),"ウエスト")</f>
        <v>ウエスト</v>
      </c>
      <c r="D224" s="550"/>
      <c r="E224" s="533"/>
      <c r="F224" s="534" t="str">
        <f>IFERROR(__xludf.DUMMYFUNCTION("""COMPUTED_VALUE"""),"ウエスト")</f>
        <v>ウエスト</v>
      </c>
      <c r="G224" s="550" t="str">
        <f>IFERROR(__xludf.DUMMYFUNCTION("""COMPUTED_VALUE"""),"ウエスト")</f>
        <v>ウエスト</v>
      </c>
      <c r="H224" s="572" t="str">
        <f>IFERROR(__xludf.DUMMYFUNCTION("""COMPUTED_VALUE"""),"-2")</f>
        <v>-2</v>
      </c>
      <c r="I224" s="537"/>
      <c r="J224" s="538">
        <f>IFERROR(__xludf.DUMMYFUNCTION("""COMPUTED_VALUE"""),7.0)</f>
        <v>7</v>
      </c>
      <c r="K224" s="537">
        <f>IFERROR(__xludf.DUMMYFUNCTION("""COMPUTED_VALUE"""),46000.0)</f>
        <v>46000</v>
      </c>
      <c r="L224" s="539">
        <f>IFERROR(__xludf.DUMMYFUNCTION("""COMPUTED_VALUE"""),46003.0)</f>
        <v>46003</v>
      </c>
      <c r="M224" s="540">
        <f>IFERROR(__xludf.DUMMYFUNCTION("""COMPUTED_VALUE"""),46008.0)</f>
        <v>46008</v>
      </c>
      <c r="N224" s="539">
        <f>IFERROR(__xludf.DUMMYFUNCTION("""COMPUTED_VALUE"""),4130.0)</f>
        <v>4130</v>
      </c>
      <c r="O224" s="593">
        <f>IFERROR(__xludf.DUMMYFUNCTION("""COMPUTED_VALUE"""),3750.0)</f>
        <v>3750</v>
      </c>
      <c r="P224" s="594">
        <f>IFERROR(__xludf.DUMMYFUNCTION("""COMPUTED_VALUE"""),3500.0)</f>
        <v>3500</v>
      </c>
      <c r="Q224" s="183"/>
      <c r="R224" s="544"/>
      <c r="S224" s="544"/>
      <c r="T224" s="544"/>
      <c r="U224" s="544"/>
      <c r="V224" s="544"/>
      <c r="W224" s="544"/>
      <c r="X224" s="544"/>
      <c r="Y224" s="544"/>
      <c r="Z224" s="544"/>
      <c r="AA224" s="544"/>
      <c r="AB224" s="544"/>
      <c r="AC224" s="544"/>
      <c r="AD224" s="544"/>
      <c r="AE224" s="183"/>
      <c r="AF224" s="183"/>
      <c r="AG224" s="183"/>
      <c r="AH224" s="183"/>
      <c r="AI224" s="183"/>
      <c r="AJ224" s="183"/>
      <c r="AK224" s="183"/>
      <c r="AL224" s="183"/>
      <c r="AM224" s="183"/>
    </row>
    <row r="225" hidden="1">
      <c r="A225" s="531" t="str">
        <f>IFERROR(__xludf.DUMMYFUNCTION("""COMPUTED_VALUE"""),"サイズ")</f>
        <v>サイズ</v>
      </c>
      <c r="B225" s="531" t="str">
        <f>IFERROR(__xludf.DUMMYFUNCTION("""COMPUTED_VALUE"""),"シャツ (フォーマル / タックアウト)")</f>
        <v>シャツ (フォーマル / タックアウト)</v>
      </c>
      <c r="C225" s="531" t="str">
        <f>IFERROR(__xludf.DUMMYFUNCTION("""COMPUTED_VALUE"""),"ウエスト")</f>
        <v>ウエスト</v>
      </c>
      <c r="D225" s="550"/>
      <c r="E225" s="533"/>
      <c r="F225" s="534" t="str">
        <f>IFERROR(__xludf.DUMMYFUNCTION("""COMPUTED_VALUE"""),"ウエスト")</f>
        <v>ウエスト</v>
      </c>
      <c r="G225" s="550" t="str">
        <f>IFERROR(__xludf.DUMMYFUNCTION("""COMPUTED_VALUE"""),"ウエスト")</f>
        <v>ウエスト</v>
      </c>
      <c r="H225" s="572" t="str">
        <f>IFERROR(__xludf.DUMMYFUNCTION("""COMPUTED_VALUE"""),"-1")</f>
        <v>-1</v>
      </c>
      <c r="I225" s="537"/>
      <c r="J225" s="538">
        <f>IFERROR(__xludf.DUMMYFUNCTION("""COMPUTED_VALUE"""),7.0)</f>
        <v>7</v>
      </c>
      <c r="K225" s="537">
        <f>IFERROR(__xludf.DUMMYFUNCTION("""COMPUTED_VALUE"""),46000.0)</f>
        <v>46000</v>
      </c>
      <c r="L225" s="539">
        <f>IFERROR(__xludf.DUMMYFUNCTION("""COMPUTED_VALUE"""),46003.0)</f>
        <v>46003</v>
      </c>
      <c r="M225" s="540">
        <f>IFERROR(__xludf.DUMMYFUNCTION("""COMPUTED_VALUE"""),46008.0)</f>
        <v>46008</v>
      </c>
      <c r="N225" s="539">
        <f>IFERROR(__xludf.DUMMYFUNCTION("""COMPUTED_VALUE"""),4130.0)</f>
        <v>4130</v>
      </c>
      <c r="O225" s="593">
        <f>IFERROR(__xludf.DUMMYFUNCTION("""COMPUTED_VALUE"""),3750.0)</f>
        <v>3750</v>
      </c>
      <c r="P225" s="594">
        <f>IFERROR(__xludf.DUMMYFUNCTION("""COMPUTED_VALUE"""),3500.0)</f>
        <v>3500</v>
      </c>
      <c r="Q225" s="183"/>
      <c r="R225" s="544"/>
      <c r="S225" s="544"/>
      <c r="T225" s="544"/>
      <c r="U225" s="544"/>
      <c r="V225" s="544"/>
      <c r="W225" s="544"/>
      <c r="X225" s="544"/>
      <c r="Y225" s="544"/>
      <c r="Z225" s="544"/>
      <c r="AA225" s="544"/>
      <c r="AB225" s="544"/>
      <c r="AC225" s="544"/>
      <c r="AD225" s="544"/>
      <c r="AE225" s="183"/>
      <c r="AF225" s="183"/>
      <c r="AG225" s="183"/>
      <c r="AH225" s="183"/>
      <c r="AI225" s="183"/>
      <c r="AJ225" s="183"/>
      <c r="AK225" s="183"/>
      <c r="AL225" s="183"/>
      <c r="AM225" s="183"/>
    </row>
    <row r="226" hidden="1">
      <c r="A226" s="531" t="str">
        <f>IFERROR(__xludf.DUMMYFUNCTION("""COMPUTED_VALUE"""),"サイズ")</f>
        <v>サイズ</v>
      </c>
      <c r="B226" s="531" t="str">
        <f>IFERROR(__xludf.DUMMYFUNCTION("""COMPUTED_VALUE"""),"シャツ (フォーマル / タックアウト)")</f>
        <v>シャツ (フォーマル / タックアウト)</v>
      </c>
      <c r="C226" s="531" t="str">
        <f>IFERROR(__xludf.DUMMYFUNCTION("""COMPUTED_VALUE"""),"首まわり")</f>
        <v>首まわり</v>
      </c>
      <c r="D226" s="550"/>
      <c r="E226" s="533"/>
      <c r="F226" s="534" t="str">
        <f>IFERROR(__xludf.DUMMYFUNCTION("""COMPUTED_VALUE"""),"首まわり")</f>
        <v>首まわり</v>
      </c>
      <c r="G226" s="550" t="str">
        <f>IFERROR(__xludf.DUMMYFUNCTION("""COMPUTED_VALUE"""),"首まわり")</f>
        <v>首まわり</v>
      </c>
      <c r="H226" s="536"/>
      <c r="I226" s="537"/>
      <c r="J226" s="561" t="str">
        <f>IFERROR(__xludf.DUMMYFUNCTION("""COMPUTED_VALUE"""),"再製作")</f>
        <v>再製作</v>
      </c>
      <c r="K226" s="561" t="str">
        <f>IFERROR(__xludf.DUMMYFUNCTION("""COMPUTED_VALUE"""),"再製作")</f>
        <v>再製作</v>
      </c>
      <c r="L226" s="539" t="str">
        <f>IFERROR(__xludf.DUMMYFUNCTION("""COMPUTED_VALUE"""),"再製作")</f>
        <v>再製作</v>
      </c>
      <c r="M226" s="540" t="str">
        <f>IFERROR(__xludf.DUMMYFUNCTION("""COMPUTED_VALUE"""),"再製作")</f>
        <v>再製作</v>
      </c>
      <c r="N226" s="561" t="str">
        <f>IFERROR(__xludf.DUMMYFUNCTION("""COMPUTED_VALUE"""),"再製作")</f>
        <v>再製作</v>
      </c>
      <c r="O226" s="632" t="str">
        <f>IFERROR(__xludf.DUMMYFUNCTION("""COMPUTED_VALUE"""),"再製作")</f>
        <v>再製作</v>
      </c>
      <c r="P226" s="183"/>
      <c r="Q226" s="183"/>
      <c r="R226" s="544"/>
      <c r="S226" s="544"/>
      <c r="T226" s="544"/>
      <c r="U226" s="544"/>
      <c r="V226" s="544"/>
      <c r="W226" s="544"/>
      <c r="X226" s="544"/>
      <c r="Y226" s="544"/>
      <c r="Z226" s="544"/>
      <c r="AA226" s="544"/>
      <c r="AB226" s="544"/>
      <c r="AC226" s="544"/>
      <c r="AD226" s="544"/>
      <c r="AE226" s="183"/>
      <c r="AF226" s="183"/>
      <c r="AG226" s="183"/>
      <c r="AH226" s="183"/>
      <c r="AI226" s="183"/>
      <c r="AJ226" s="183"/>
      <c r="AK226" s="183"/>
      <c r="AL226" s="183"/>
      <c r="AM226" s="183"/>
    </row>
    <row r="227" hidden="1">
      <c r="A227" s="531" t="str">
        <f>IFERROR(__xludf.DUMMYFUNCTION("""COMPUTED_VALUE"""),"サイズ")</f>
        <v>サイズ</v>
      </c>
      <c r="B227" s="531" t="str">
        <f>IFERROR(__xludf.DUMMYFUNCTION("""COMPUTED_VALUE"""),"シャツ (フォーマル / タックアウト)")</f>
        <v>シャツ (フォーマル / タックアウト)</v>
      </c>
      <c r="C227" s="531" t="str">
        <f>IFERROR(__xludf.DUMMYFUNCTION("""COMPUTED_VALUE"""),"ヒップ仕上がり寸")</f>
        <v>ヒップ仕上がり寸</v>
      </c>
      <c r="D227" s="550"/>
      <c r="E227" s="533"/>
      <c r="F227" s="534" t="str">
        <f>IFERROR(__xludf.DUMMYFUNCTION("""COMPUTED_VALUE"""),"ヒップ仕上がり寸")</f>
        <v>ヒップ仕上がり寸</v>
      </c>
      <c r="G227" s="550" t="str">
        <f>IFERROR(__xludf.DUMMYFUNCTION("""COMPUTED_VALUE"""),"ヒップ仕上がり寸")</f>
        <v>ヒップ仕上がり寸</v>
      </c>
      <c r="H227" s="572" t="str">
        <f>IFERROR(__xludf.DUMMYFUNCTION("""COMPUTED_VALUE"""),"-6")</f>
        <v>-6</v>
      </c>
      <c r="I227" s="537"/>
      <c r="J227" s="538">
        <f>IFERROR(__xludf.DUMMYFUNCTION("""COMPUTED_VALUE"""),7.0)</f>
        <v>7</v>
      </c>
      <c r="K227" s="537">
        <f>IFERROR(__xludf.DUMMYFUNCTION("""COMPUTED_VALUE"""),46000.0)</f>
        <v>46000</v>
      </c>
      <c r="L227" s="539">
        <f>IFERROR(__xludf.DUMMYFUNCTION("""COMPUTED_VALUE"""),46003.0)</f>
        <v>46003</v>
      </c>
      <c r="M227" s="540">
        <f>IFERROR(__xludf.DUMMYFUNCTION("""COMPUTED_VALUE"""),46008.0)</f>
        <v>46008</v>
      </c>
      <c r="N227" s="539">
        <f>IFERROR(__xludf.DUMMYFUNCTION("""COMPUTED_VALUE"""),4130.0)</f>
        <v>4130</v>
      </c>
      <c r="O227" s="593">
        <f>IFERROR(__xludf.DUMMYFUNCTION("""COMPUTED_VALUE"""),3750.0)</f>
        <v>3750</v>
      </c>
      <c r="P227" s="594">
        <f>IFERROR(__xludf.DUMMYFUNCTION("""COMPUTED_VALUE"""),2500.0)</f>
        <v>2500</v>
      </c>
      <c r="Q227" s="183"/>
      <c r="R227" s="544"/>
      <c r="S227" s="544"/>
      <c r="T227" s="544"/>
      <c r="U227" s="544"/>
      <c r="V227" s="544"/>
      <c r="W227" s="544"/>
      <c r="X227" s="544"/>
      <c r="Y227" s="544"/>
      <c r="Z227" s="544"/>
      <c r="AA227" s="544"/>
      <c r="AB227" s="544"/>
      <c r="AC227" s="544"/>
      <c r="AD227" s="544"/>
      <c r="AE227" s="183"/>
      <c r="AF227" s="183"/>
      <c r="AG227" s="183"/>
      <c r="AH227" s="183"/>
      <c r="AI227" s="183"/>
      <c r="AJ227" s="183"/>
      <c r="AK227" s="183"/>
      <c r="AL227" s="183"/>
      <c r="AM227" s="183"/>
    </row>
    <row r="228" hidden="1">
      <c r="A228" s="531" t="str">
        <f>IFERROR(__xludf.DUMMYFUNCTION("""COMPUTED_VALUE"""),"サイズ")</f>
        <v>サイズ</v>
      </c>
      <c r="B228" s="531" t="str">
        <f>IFERROR(__xludf.DUMMYFUNCTION("""COMPUTED_VALUE"""),"シャツ (フォーマル / タックアウト)")</f>
        <v>シャツ (フォーマル / タックアウト)</v>
      </c>
      <c r="C228" s="531" t="str">
        <f>IFERROR(__xludf.DUMMYFUNCTION("""COMPUTED_VALUE"""),"ヒップ仕上がり寸")</f>
        <v>ヒップ仕上がり寸</v>
      </c>
      <c r="D228" s="550"/>
      <c r="E228" s="533"/>
      <c r="F228" s="534" t="str">
        <f>IFERROR(__xludf.DUMMYFUNCTION("""COMPUTED_VALUE"""),"ヒップ仕上がり寸")</f>
        <v>ヒップ仕上がり寸</v>
      </c>
      <c r="G228" s="550" t="str">
        <f>IFERROR(__xludf.DUMMYFUNCTION("""COMPUTED_VALUE"""),"ヒップ仕上がり寸")</f>
        <v>ヒップ仕上がり寸</v>
      </c>
      <c r="H228" s="572" t="str">
        <f>IFERROR(__xludf.DUMMYFUNCTION("""COMPUTED_VALUE"""),"-5")</f>
        <v>-5</v>
      </c>
      <c r="I228" s="537"/>
      <c r="J228" s="538">
        <f>IFERROR(__xludf.DUMMYFUNCTION("""COMPUTED_VALUE"""),7.0)</f>
        <v>7</v>
      </c>
      <c r="K228" s="537">
        <f>IFERROR(__xludf.DUMMYFUNCTION("""COMPUTED_VALUE"""),46000.0)</f>
        <v>46000</v>
      </c>
      <c r="L228" s="539">
        <f>IFERROR(__xludf.DUMMYFUNCTION("""COMPUTED_VALUE"""),46003.0)</f>
        <v>46003</v>
      </c>
      <c r="M228" s="540">
        <f>IFERROR(__xludf.DUMMYFUNCTION("""COMPUTED_VALUE"""),46008.0)</f>
        <v>46008</v>
      </c>
      <c r="N228" s="539">
        <f>IFERROR(__xludf.DUMMYFUNCTION("""COMPUTED_VALUE"""),4130.0)</f>
        <v>4130</v>
      </c>
      <c r="O228" s="593">
        <f>IFERROR(__xludf.DUMMYFUNCTION("""COMPUTED_VALUE"""),3750.0)</f>
        <v>3750</v>
      </c>
      <c r="P228" s="594">
        <f>IFERROR(__xludf.DUMMYFUNCTION("""COMPUTED_VALUE"""),2500.0)</f>
        <v>2500</v>
      </c>
      <c r="Q228" s="183"/>
      <c r="R228" s="544"/>
      <c r="S228" s="544"/>
      <c r="T228" s="544"/>
      <c r="U228" s="544"/>
      <c r="V228" s="544"/>
      <c r="W228" s="544"/>
      <c r="X228" s="544"/>
      <c r="Y228" s="544"/>
      <c r="Z228" s="544"/>
      <c r="AA228" s="544"/>
      <c r="AB228" s="544"/>
      <c r="AC228" s="544"/>
      <c r="AD228" s="544"/>
      <c r="AE228" s="183"/>
      <c r="AF228" s="183"/>
      <c r="AG228" s="183"/>
      <c r="AH228" s="183"/>
      <c r="AI228" s="183"/>
      <c r="AJ228" s="183"/>
      <c r="AK228" s="183"/>
      <c r="AL228" s="183"/>
      <c r="AM228" s="183"/>
    </row>
    <row r="229" hidden="1">
      <c r="A229" s="531" t="str">
        <f>IFERROR(__xludf.DUMMYFUNCTION("""COMPUTED_VALUE"""),"サイズ")</f>
        <v>サイズ</v>
      </c>
      <c r="B229" s="531" t="str">
        <f>IFERROR(__xludf.DUMMYFUNCTION("""COMPUTED_VALUE"""),"シャツ (フォーマル / タックアウト)")</f>
        <v>シャツ (フォーマル / タックアウト)</v>
      </c>
      <c r="C229" s="531" t="str">
        <f>IFERROR(__xludf.DUMMYFUNCTION("""COMPUTED_VALUE"""),"ヒップ仕上がり寸")</f>
        <v>ヒップ仕上がり寸</v>
      </c>
      <c r="D229" s="550"/>
      <c r="E229" s="533"/>
      <c r="F229" s="534" t="str">
        <f>IFERROR(__xludf.DUMMYFUNCTION("""COMPUTED_VALUE"""),"ヒップ仕上がり寸")</f>
        <v>ヒップ仕上がり寸</v>
      </c>
      <c r="G229" s="550" t="str">
        <f>IFERROR(__xludf.DUMMYFUNCTION("""COMPUTED_VALUE"""),"ヒップ仕上がり寸")</f>
        <v>ヒップ仕上がり寸</v>
      </c>
      <c r="H229" s="572" t="str">
        <f>IFERROR(__xludf.DUMMYFUNCTION("""COMPUTED_VALUE"""),"-4")</f>
        <v>-4</v>
      </c>
      <c r="I229" s="537"/>
      <c r="J229" s="538">
        <f>IFERROR(__xludf.DUMMYFUNCTION("""COMPUTED_VALUE"""),7.0)</f>
        <v>7</v>
      </c>
      <c r="K229" s="537">
        <f>IFERROR(__xludf.DUMMYFUNCTION("""COMPUTED_VALUE"""),46000.0)</f>
        <v>46000</v>
      </c>
      <c r="L229" s="539">
        <f>IFERROR(__xludf.DUMMYFUNCTION("""COMPUTED_VALUE"""),46003.0)</f>
        <v>46003</v>
      </c>
      <c r="M229" s="540">
        <f>IFERROR(__xludf.DUMMYFUNCTION("""COMPUTED_VALUE"""),46008.0)</f>
        <v>46008</v>
      </c>
      <c r="N229" s="539">
        <f>IFERROR(__xludf.DUMMYFUNCTION("""COMPUTED_VALUE"""),4130.0)</f>
        <v>4130</v>
      </c>
      <c r="O229" s="593">
        <f>IFERROR(__xludf.DUMMYFUNCTION("""COMPUTED_VALUE"""),3750.0)</f>
        <v>3750</v>
      </c>
      <c r="P229" s="594">
        <f>IFERROR(__xludf.DUMMYFUNCTION("""COMPUTED_VALUE"""),2500.0)</f>
        <v>2500</v>
      </c>
      <c r="Q229" s="183"/>
      <c r="R229" s="544"/>
      <c r="S229" s="544"/>
      <c r="T229" s="544"/>
      <c r="U229" s="544"/>
      <c r="V229" s="544"/>
      <c r="W229" s="544"/>
      <c r="X229" s="544"/>
      <c r="Y229" s="544"/>
      <c r="Z229" s="544"/>
      <c r="AA229" s="544"/>
      <c r="AB229" s="544"/>
      <c r="AC229" s="544"/>
      <c r="AD229" s="544"/>
      <c r="AE229" s="183"/>
      <c r="AF229" s="183"/>
      <c r="AG229" s="183"/>
      <c r="AH229" s="183"/>
      <c r="AI229" s="183"/>
      <c r="AJ229" s="183"/>
      <c r="AK229" s="183"/>
      <c r="AL229" s="183"/>
      <c r="AM229" s="183"/>
    </row>
    <row r="230" hidden="1">
      <c r="A230" s="531" t="str">
        <f>IFERROR(__xludf.DUMMYFUNCTION("""COMPUTED_VALUE"""),"サイズ")</f>
        <v>サイズ</v>
      </c>
      <c r="B230" s="531" t="str">
        <f>IFERROR(__xludf.DUMMYFUNCTION("""COMPUTED_VALUE"""),"シャツ (フォーマル / タックアウト)")</f>
        <v>シャツ (フォーマル / タックアウト)</v>
      </c>
      <c r="C230" s="531" t="str">
        <f>IFERROR(__xludf.DUMMYFUNCTION("""COMPUTED_VALUE"""),"ヒップ仕上がり寸")</f>
        <v>ヒップ仕上がり寸</v>
      </c>
      <c r="D230" s="550"/>
      <c r="E230" s="533"/>
      <c r="F230" s="534" t="str">
        <f>IFERROR(__xludf.DUMMYFUNCTION("""COMPUTED_VALUE"""),"ヒップ仕上がり寸")</f>
        <v>ヒップ仕上がり寸</v>
      </c>
      <c r="G230" s="550" t="str">
        <f>IFERROR(__xludf.DUMMYFUNCTION("""COMPUTED_VALUE"""),"ヒップ仕上がり寸")</f>
        <v>ヒップ仕上がり寸</v>
      </c>
      <c r="H230" s="572" t="str">
        <f>IFERROR(__xludf.DUMMYFUNCTION("""COMPUTED_VALUE"""),"-3")</f>
        <v>-3</v>
      </c>
      <c r="I230" s="537"/>
      <c r="J230" s="538">
        <f>IFERROR(__xludf.DUMMYFUNCTION("""COMPUTED_VALUE"""),7.0)</f>
        <v>7</v>
      </c>
      <c r="K230" s="537">
        <f>IFERROR(__xludf.DUMMYFUNCTION("""COMPUTED_VALUE"""),46000.0)</f>
        <v>46000</v>
      </c>
      <c r="L230" s="539">
        <f>IFERROR(__xludf.DUMMYFUNCTION("""COMPUTED_VALUE"""),46003.0)</f>
        <v>46003</v>
      </c>
      <c r="M230" s="540">
        <f>IFERROR(__xludf.DUMMYFUNCTION("""COMPUTED_VALUE"""),46008.0)</f>
        <v>46008</v>
      </c>
      <c r="N230" s="539">
        <f>IFERROR(__xludf.DUMMYFUNCTION("""COMPUTED_VALUE"""),4130.0)</f>
        <v>4130</v>
      </c>
      <c r="O230" s="593">
        <f>IFERROR(__xludf.DUMMYFUNCTION("""COMPUTED_VALUE"""),3750.0)</f>
        <v>3750</v>
      </c>
      <c r="P230" s="594">
        <f>IFERROR(__xludf.DUMMYFUNCTION("""COMPUTED_VALUE"""),2500.0)</f>
        <v>2500</v>
      </c>
      <c r="Q230" s="183"/>
      <c r="R230" s="544"/>
      <c r="S230" s="544"/>
      <c r="T230" s="544"/>
      <c r="U230" s="544"/>
      <c r="V230" s="544"/>
      <c r="W230" s="544"/>
      <c r="X230" s="544"/>
      <c r="Y230" s="544"/>
      <c r="Z230" s="544"/>
      <c r="AA230" s="544"/>
      <c r="AB230" s="544"/>
      <c r="AC230" s="544"/>
      <c r="AD230" s="544"/>
      <c r="AE230" s="183"/>
      <c r="AF230" s="183"/>
      <c r="AG230" s="183"/>
      <c r="AH230" s="183"/>
      <c r="AI230" s="183"/>
      <c r="AJ230" s="183"/>
      <c r="AK230" s="183"/>
      <c r="AL230" s="183"/>
      <c r="AM230" s="183"/>
    </row>
    <row r="231" hidden="1">
      <c r="A231" s="531" t="str">
        <f>IFERROR(__xludf.DUMMYFUNCTION("""COMPUTED_VALUE"""),"サイズ")</f>
        <v>サイズ</v>
      </c>
      <c r="B231" s="531" t="str">
        <f>IFERROR(__xludf.DUMMYFUNCTION("""COMPUTED_VALUE"""),"シャツ (フォーマル / タックアウト)")</f>
        <v>シャツ (フォーマル / タックアウト)</v>
      </c>
      <c r="C231" s="531" t="str">
        <f>IFERROR(__xludf.DUMMYFUNCTION("""COMPUTED_VALUE"""),"ヒップ仕上がり寸")</f>
        <v>ヒップ仕上がり寸</v>
      </c>
      <c r="D231" s="550"/>
      <c r="E231" s="533"/>
      <c r="F231" s="534" t="str">
        <f>IFERROR(__xludf.DUMMYFUNCTION("""COMPUTED_VALUE"""),"ヒップ仕上がり寸")</f>
        <v>ヒップ仕上がり寸</v>
      </c>
      <c r="G231" s="550" t="str">
        <f>IFERROR(__xludf.DUMMYFUNCTION("""COMPUTED_VALUE"""),"ヒップ仕上がり寸")</f>
        <v>ヒップ仕上がり寸</v>
      </c>
      <c r="H231" s="572" t="str">
        <f>IFERROR(__xludf.DUMMYFUNCTION("""COMPUTED_VALUE"""),"-2")</f>
        <v>-2</v>
      </c>
      <c r="I231" s="537"/>
      <c r="J231" s="538">
        <f>IFERROR(__xludf.DUMMYFUNCTION("""COMPUTED_VALUE"""),7.0)</f>
        <v>7</v>
      </c>
      <c r="K231" s="537">
        <f>IFERROR(__xludf.DUMMYFUNCTION("""COMPUTED_VALUE"""),46000.0)</f>
        <v>46000</v>
      </c>
      <c r="L231" s="539">
        <f>IFERROR(__xludf.DUMMYFUNCTION("""COMPUTED_VALUE"""),46003.0)</f>
        <v>46003</v>
      </c>
      <c r="M231" s="540">
        <f>IFERROR(__xludf.DUMMYFUNCTION("""COMPUTED_VALUE"""),46008.0)</f>
        <v>46008</v>
      </c>
      <c r="N231" s="539">
        <f>IFERROR(__xludf.DUMMYFUNCTION("""COMPUTED_VALUE"""),4130.0)</f>
        <v>4130</v>
      </c>
      <c r="O231" s="593">
        <f>IFERROR(__xludf.DUMMYFUNCTION("""COMPUTED_VALUE"""),3750.0)</f>
        <v>3750</v>
      </c>
      <c r="P231" s="594">
        <f>IFERROR(__xludf.DUMMYFUNCTION("""COMPUTED_VALUE"""),2500.0)</f>
        <v>2500</v>
      </c>
      <c r="Q231" s="183"/>
      <c r="R231" s="544"/>
      <c r="S231" s="544"/>
      <c r="T231" s="544"/>
      <c r="U231" s="544"/>
      <c r="V231" s="544"/>
      <c r="W231" s="544"/>
      <c r="X231" s="544"/>
      <c r="Y231" s="544"/>
      <c r="Z231" s="544"/>
      <c r="AA231" s="544"/>
      <c r="AB231" s="544"/>
      <c r="AC231" s="544"/>
      <c r="AD231" s="544"/>
      <c r="AE231" s="183"/>
      <c r="AF231" s="183"/>
      <c r="AG231" s="183"/>
      <c r="AH231" s="183"/>
      <c r="AI231" s="183"/>
      <c r="AJ231" s="183"/>
      <c r="AK231" s="183"/>
      <c r="AL231" s="183"/>
      <c r="AM231" s="183"/>
    </row>
    <row r="232" hidden="1">
      <c r="A232" s="531" t="str">
        <f>IFERROR(__xludf.DUMMYFUNCTION("""COMPUTED_VALUE"""),"サイズ")</f>
        <v>サイズ</v>
      </c>
      <c r="B232" s="531" t="str">
        <f>IFERROR(__xludf.DUMMYFUNCTION("""COMPUTED_VALUE"""),"シャツ (フォーマル / タックアウト)")</f>
        <v>シャツ (フォーマル / タックアウト)</v>
      </c>
      <c r="C232" s="531" t="str">
        <f>IFERROR(__xludf.DUMMYFUNCTION("""COMPUTED_VALUE"""),"ヒップ仕上がり寸")</f>
        <v>ヒップ仕上がり寸</v>
      </c>
      <c r="D232" s="550"/>
      <c r="E232" s="533"/>
      <c r="F232" s="534" t="str">
        <f>IFERROR(__xludf.DUMMYFUNCTION("""COMPUTED_VALUE"""),"ヒップ仕上がり寸")</f>
        <v>ヒップ仕上がり寸</v>
      </c>
      <c r="G232" s="550" t="str">
        <f>IFERROR(__xludf.DUMMYFUNCTION("""COMPUTED_VALUE"""),"ヒップ仕上がり寸")</f>
        <v>ヒップ仕上がり寸</v>
      </c>
      <c r="H232" s="572" t="str">
        <f>IFERROR(__xludf.DUMMYFUNCTION("""COMPUTED_VALUE"""),"-1")</f>
        <v>-1</v>
      </c>
      <c r="I232" s="537"/>
      <c r="J232" s="538">
        <f>IFERROR(__xludf.DUMMYFUNCTION("""COMPUTED_VALUE"""),7.0)</f>
        <v>7</v>
      </c>
      <c r="K232" s="537">
        <f>IFERROR(__xludf.DUMMYFUNCTION("""COMPUTED_VALUE"""),46000.0)</f>
        <v>46000</v>
      </c>
      <c r="L232" s="539">
        <f>IFERROR(__xludf.DUMMYFUNCTION("""COMPUTED_VALUE"""),46003.0)</f>
        <v>46003</v>
      </c>
      <c r="M232" s="540">
        <f>IFERROR(__xludf.DUMMYFUNCTION("""COMPUTED_VALUE"""),46008.0)</f>
        <v>46008</v>
      </c>
      <c r="N232" s="539">
        <f>IFERROR(__xludf.DUMMYFUNCTION("""COMPUTED_VALUE"""),4130.0)</f>
        <v>4130</v>
      </c>
      <c r="O232" s="593">
        <f>IFERROR(__xludf.DUMMYFUNCTION("""COMPUTED_VALUE"""),3750.0)</f>
        <v>3750</v>
      </c>
      <c r="P232" s="594">
        <f>IFERROR(__xludf.DUMMYFUNCTION("""COMPUTED_VALUE"""),2500.0)</f>
        <v>2500</v>
      </c>
      <c r="Q232" s="183"/>
      <c r="R232" s="544"/>
      <c r="S232" s="544"/>
      <c r="T232" s="544"/>
      <c r="U232" s="544"/>
      <c r="V232" s="544"/>
      <c r="W232" s="544"/>
      <c r="X232" s="544"/>
      <c r="Y232" s="544"/>
      <c r="Z232" s="544"/>
      <c r="AA232" s="544"/>
      <c r="AB232" s="544"/>
      <c r="AC232" s="544"/>
      <c r="AD232" s="544"/>
      <c r="AE232" s="183"/>
      <c r="AF232" s="183"/>
      <c r="AG232" s="183"/>
      <c r="AH232" s="183"/>
      <c r="AI232" s="183"/>
      <c r="AJ232" s="183"/>
      <c r="AK232" s="183"/>
      <c r="AL232" s="183"/>
      <c r="AM232" s="183"/>
    </row>
    <row r="233" hidden="1">
      <c r="A233" s="531" t="str">
        <f>IFERROR(__xludf.DUMMYFUNCTION("""COMPUTED_VALUE"""),"サイズ")</f>
        <v>サイズ</v>
      </c>
      <c r="B233" s="531" t="str">
        <f>IFERROR(__xludf.DUMMYFUNCTION("""COMPUTED_VALUE"""),"シャツ (フォーマル / タックアウト)")</f>
        <v>シャツ (フォーマル / タックアウト)</v>
      </c>
      <c r="C233" s="531" t="str">
        <f>IFERROR(__xludf.DUMMYFUNCTION("""COMPUTED_VALUE"""),"裄丈 (長袖)")</f>
        <v>裄丈 (長袖)</v>
      </c>
      <c r="D233" s="550"/>
      <c r="E233" s="550" t="str">
        <f>IFERROR(__xludf.DUMMYFUNCTION("""COMPUTED_VALUE"""),"左右であっても1箇所換算")</f>
        <v>左右であっても1箇所換算</v>
      </c>
      <c r="F233" s="534" t="str">
        <f>IFERROR(__xludf.DUMMYFUNCTION("""COMPUTED_VALUE"""),"裄丈 (長袖)")</f>
        <v>裄丈 (長袖)</v>
      </c>
      <c r="G233" s="550" t="str">
        <f>IFERROR(__xludf.DUMMYFUNCTION("""COMPUTED_VALUE"""),"裄丈 (長袖)（左右であっても1箇所換算）")</f>
        <v>裄丈 (長袖)（左右であっても1箇所換算）</v>
      </c>
      <c r="H233" s="572" t="str">
        <f>IFERROR(__xludf.DUMMYFUNCTION("""COMPUTED_VALUE"""),"-9")</f>
        <v>-9</v>
      </c>
      <c r="I233" s="537"/>
      <c r="J233" s="538">
        <f>IFERROR(__xludf.DUMMYFUNCTION("""COMPUTED_VALUE"""),7.0)</f>
        <v>7</v>
      </c>
      <c r="K233" s="537">
        <f>IFERROR(__xludf.DUMMYFUNCTION("""COMPUTED_VALUE"""),46000.0)</f>
        <v>46000</v>
      </c>
      <c r="L233" s="539">
        <f>IFERROR(__xludf.DUMMYFUNCTION("""COMPUTED_VALUE"""),46003.0)</f>
        <v>46003</v>
      </c>
      <c r="M233" s="540">
        <f>IFERROR(__xludf.DUMMYFUNCTION("""COMPUTED_VALUE"""),46008.0)</f>
        <v>46008</v>
      </c>
      <c r="N233" s="539">
        <f>IFERROR(__xludf.DUMMYFUNCTION("""COMPUTED_VALUE"""),2640.0)</f>
        <v>2640</v>
      </c>
      <c r="O233" s="593">
        <f>IFERROR(__xludf.DUMMYFUNCTION("""COMPUTED_VALUE"""),2400.0)</f>
        <v>2400</v>
      </c>
      <c r="P233" s="594">
        <f>IFERROR(__xludf.DUMMYFUNCTION("""COMPUTED_VALUE"""),800.0)</f>
        <v>800</v>
      </c>
      <c r="Q233" s="183"/>
      <c r="R233" s="544"/>
      <c r="S233" s="544"/>
      <c r="T233" s="544"/>
      <c r="U233" s="544"/>
      <c r="V233" s="544"/>
      <c r="W233" s="544"/>
      <c r="X233" s="544"/>
      <c r="Y233" s="544"/>
      <c r="Z233" s="544"/>
      <c r="AA233" s="544"/>
      <c r="AB233" s="544"/>
      <c r="AC233" s="544"/>
      <c r="AD233" s="544"/>
      <c r="AE233" s="183"/>
      <c r="AF233" s="183"/>
      <c r="AG233" s="183"/>
      <c r="AH233" s="183"/>
      <c r="AI233" s="183"/>
      <c r="AJ233" s="183"/>
      <c r="AK233" s="183"/>
      <c r="AL233" s="183"/>
      <c r="AM233" s="183"/>
    </row>
    <row r="234" hidden="1">
      <c r="A234" s="531" t="str">
        <f>IFERROR(__xludf.DUMMYFUNCTION("""COMPUTED_VALUE"""),"サイズ")</f>
        <v>サイズ</v>
      </c>
      <c r="B234" s="531" t="str">
        <f>IFERROR(__xludf.DUMMYFUNCTION("""COMPUTED_VALUE"""),"シャツ (フォーマル / タックアウト)")</f>
        <v>シャツ (フォーマル / タックアウト)</v>
      </c>
      <c r="C234" s="531" t="str">
        <f>IFERROR(__xludf.DUMMYFUNCTION("""COMPUTED_VALUE"""),"裄丈 (長袖)")</f>
        <v>裄丈 (長袖)</v>
      </c>
      <c r="D234" s="550"/>
      <c r="E234" s="550" t="str">
        <f>IFERROR(__xludf.DUMMYFUNCTION("""COMPUTED_VALUE"""),"左右であっても1箇所換算")</f>
        <v>左右であっても1箇所換算</v>
      </c>
      <c r="F234" s="534" t="str">
        <f>IFERROR(__xludf.DUMMYFUNCTION("""COMPUTED_VALUE"""),"裄丈 (長袖)")</f>
        <v>裄丈 (長袖)</v>
      </c>
      <c r="G234" s="550" t="str">
        <f>IFERROR(__xludf.DUMMYFUNCTION("""COMPUTED_VALUE"""),"裄丈 (長袖)（左右であっても1箇所換算）")</f>
        <v>裄丈 (長袖)（左右であっても1箇所換算）</v>
      </c>
      <c r="H234" s="572" t="str">
        <f>IFERROR(__xludf.DUMMYFUNCTION("""COMPUTED_VALUE"""),"-8.5")</f>
        <v>-8.5</v>
      </c>
      <c r="I234" s="537"/>
      <c r="J234" s="538">
        <f>IFERROR(__xludf.DUMMYFUNCTION("""COMPUTED_VALUE"""),7.0)</f>
        <v>7</v>
      </c>
      <c r="K234" s="537">
        <f>IFERROR(__xludf.DUMMYFUNCTION("""COMPUTED_VALUE"""),46000.0)</f>
        <v>46000</v>
      </c>
      <c r="L234" s="539">
        <f>IFERROR(__xludf.DUMMYFUNCTION("""COMPUTED_VALUE"""),46003.0)</f>
        <v>46003</v>
      </c>
      <c r="M234" s="540">
        <f>IFERROR(__xludf.DUMMYFUNCTION("""COMPUTED_VALUE"""),46008.0)</f>
        <v>46008</v>
      </c>
      <c r="N234" s="539">
        <f>IFERROR(__xludf.DUMMYFUNCTION("""COMPUTED_VALUE"""),2640.0)</f>
        <v>2640</v>
      </c>
      <c r="O234" s="593">
        <f>IFERROR(__xludf.DUMMYFUNCTION("""COMPUTED_VALUE"""),2400.0)</f>
        <v>2400</v>
      </c>
      <c r="P234" s="594">
        <f>IFERROR(__xludf.DUMMYFUNCTION("""COMPUTED_VALUE"""),800.0)</f>
        <v>800</v>
      </c>
      <c r="Q234" s="183"/>
      <c r="R234" s="544"/>
      <c r="S234" s="544"/>
      <c r="T234" s="544"/>
      <c r="U234" s="544"/>
      <c r="V234" s="544"/>
      <c r="W234" s="544"/>
      <c r="X234" s="544"/>
      <c r="Y234" s="544"/>
      <c r="Z234" s="544"/>
      <c r="AA234" s="544"/>
      <c r="AB234" s="544"/>
      <c r="AC234" s="544"/>
      <c r="AD234" s="544"/>
      <c r="AE234" s="183"/>
      <c r="AF234" s="183"/>
      <c r="AG234" s="183"/>
      <c r="AH234" s="183"/>
      <c r="AI234" s="183"/>
      <c r="AJ234" s="183"/>
      <c r="AK234" s="183"/>
      <c r="AL234" s="183"/>
      <c r="AM234" s="183"/>
    </row>
    <row r="235" hidden="1">
      <c r="A235" s="531" t="str">
        <f>IFERROR(__xludf.DUMMYFUNCTION("""COMPUTED_VALUE"""),"サイズ")</f>
        <v>サイズ</v>
      </c>
      <c r="B235" s="531" t="str">
        <f>IFERROR(__xludf.DUMMYFUNCTION("""COMPUTED_VALUE"""),"シャツ (フォーマル / タックアウト)")</f>
        <v>シャツ (フォーマル / タックアウト)</v>
      </c>
      <c r="C235" s="531" t="str">
        <f>IFERROR(__xludf.DUMMYFUNCTION("""COMPUTED_VALUE"""),"裄丈 (長袖)")</f>
        <v>裄丈 (長袖)</v>
      </c>
      <c r="D235" s="550"/>
      <c r="E235" s="550" t="str">
        <f>IFERROR(__xludf.DUMMYFUNCTION("""COMPUTED_VALUE"""),"左右であっても1箇所換算")</f>
        <v>左右であっても1箇所換算</v>
      </c>
      <c r="F235" s="534" t="str">
        <f>IFERROR(__xludf.DUMMYFUNCTION("""COMPUTED_VALUE"""),"裄丈 (長袖)")</f>
        <v>裄丈 (長袖)</v>
      </c>
      <c r="G235" s="550" t="str">
        <f>IFERROR(__xludf.DUMMYFUNCTION("""COMPUTED_VALUE"""),"裄丈 (長袖)（左右であっても1箇所換算）")</f>
        <v>裄丈 (長袖)（左右であっても1箇所換算）</v>
      </c>
      <c r="H235" s="572" t="str">
        <f>IFERROR(__xludf.DUMMYFUNCTION("""COMPUTED_VALUE"""),"-8")</f>
        <v>-8</v>
      </c>
      <c r="I235" s="537"/>
      <c r="J235" s="538">
        <f>IFERROR(__xludf.DUMMYFUNCTION("""COMPUTED_VALUE"""),7.0)</f>
        <v>7</v>
      </c>
      <c r="K235" s="537">
        <f>IFERROR(__xludf.DUMMYFUNCTION("""COMPUTED_VALUE"""),46000.0)</f>
        <v>46000</v>
      </c>
      <c r="L235" s="539">
        <f>IFERROR(__xludf.DUMMYFUNCTION("""COMPUTED_VALUE"""),46003.0)</f>
        <v>46003</v>
      </c>
      <c r="M235" s="540">
        <f>IFERROR(__xludf.DUMMYFUNCTION("""COMPUTED_VALUE"""),46008.0)</f>
        <v>46008</v>
      </c>
      <c r="N235" s="539">
        <f>IFERROR(__xludf.DUMMYFUNCTION("""COMPUTED_VALUE"""),2640.0)</f>
        <v>2640</v>
      </c>
      <c r="O235" s="593">
        <f>IFERROR(__xludf.DUMMYFUNCTION("""COMPUTED_VALUE"""),2400.0)</f>
        <v>2400</v>
      </c>
      <c r="P235" s="594">
        <f>IFERROR(__xludf.DUMMYFUNCTION("""COMPUTED_VALUE"""),800.0)</f>
        <v>800</v>
      </c>
      <c r="Q235" s="183"/>
      <c r="R235" s="544"/>
      <c r="S235" s="544"/>
      <c r="T235" s="544"/>
      <c r="U235" s="544"/>
      <c r="V235" s="544"/>
      <c r="W235" s="544"/>
      <c r="X235" s="544"/>
      <c r="Y235" s="544"/>
      <c r="Z235" s="544"/>
      <c r="AA235" s="544"/>
      <c r="AB235" s="544"/>
      <c r="AC235" s="544"/>
      <c r="AD235" s="544"/>
      <c r="AE235" s="183"/>
      <c r="AF235" s="183"/>
      <c r="AG235" s="183"/>
      <c r="AH235" s="183"/>
      <c r="AI235" s="183"/>
      <c r="AJ235" s="183"/>
      <c r="AK235" s="183"/>
      <c r="AL235" s="183"/>
      <c r="AM235" s="183"/>
    </row>
    <row r="236" hidden="1">
      <c r="A236" s="531" t="str">
        <f>IFERROR(__xludf.DUMMYFUNCTION("""COMPUTED_VALUE"""),"サイズ")</f>
        <v>サイズ</v>
      </c>
      <c r="B236" s="531" t="str">
        <f>IFERROR(__xludf.DUMMYFUNCTION("""COMPUTED_VALUE"""),"シャツ (フォーマル / タックアウト)")</f>
        <v>シャツ (フォーマル / タックアウト)</v>
      </c>
      <c r="C236" s="531" t="str">
        <f>IFERROR(__xludf.DUMMYFUNCTION("""COMPUTED_VALUE"""),"裄丈 (長袖)")</f>
        <v>裄丈 (長袖)</v>
      </c>
      <c r="D236" s="550"/>
      <c r="E236" s="550" t="str">
        <f>IFERROR(__xludf.DUMMYFUNCTION("""COMPUTED_VALUE"""),"左右であっても1箇所換算")</f>
        <v>左右であっても1箇所換算</v>
      </c>
      <c r="F236" s="534" t="str">
        <f>IFERROR(__xludf.DUMMYFUNCTION("""COMPUTED_VALUE"""),"裄丈 (長袖)")</f>
        <v>裄丈 (長袖)</v>
      </c>
      <c r="G236" s="550" t="str">
        <f>IFERROR(__xludf.DUMMYFUNCTION("""COMPUTED_VALUE"""),"裄丈 (長袖)（左右であっても1箇所換算）")</f>
        <v>裄丈 (長袖)（左右であっても1箇所換算）</v>
      </c>
      <c r="H236" s="572" t="str">
        <f>IFERROR(__xludf.DUMMYFUNCTION("""COMPUTED_VALUE"""),"-7.5")</f>
        <v>-7.5</v>
      </c>
      <c r="I236" s="537"/>
      <c r="J236" s="538">
        <f>IFERROR(__xludf.DUMMYFUNCTION("""COMPUTED_VALUE"""),7.0)</f>
        <v>7</v>
      </c>
      <c r="K236" s="537">
        <f>IFERROR(__xludf.DUMMYFUNCTION("""COMPUTED_VALUE"""),46000.0)</f>
        <v>46000</v>
      </c>
      <c r="L236" s="539">
        <f>IFERROR(__xludf.DUMMYFUNCTION("""COMPUTED_VALUE"""),46003.0)</f>
        <v>46003</v>
      </c>
      <c r="M236" s="540">
        <f>IFERROR(__xludf.DUMMYFUNCTION("""COMPUTED_VALUE"""),46008.0)</f>
        <v>46008</v>
      </c>
      <c r="N236" s="539">
        <f>IFERROR(__xludf.DUMMYFUNCTION("""COMPUTED_VALUE"""),2640.0)</f>
        <v>2640</v>
      </c>
      <c r="O236" s="593">
        <f>IFERROR(__xludf.DUMMYFUNCTION("""COMPUTED_VALUE"""),2400.0)</f>
        <v>2400</v>
      </c>
      <c r="P236" s="594">
        <f>IFERROR(__xludf.DUMMYFUNCTION("""COMPUTED_VALUE"""),800.0)</f>
        <v>800</v>
      </c>
      <c r="Q236" s="183"/>
      <c r="R236" s="544"/>
      <c r="S236" s="544"/>
      <c r="T236" s="544"/>
      <c r="U236" s="544"/>
      <c r="V236" s="544"/>
      <c r="W236" s="544"/>
      <c r="X236" s="544"/>
      <c r="Y236" s="544"/>
      <c r="Z236" s="544"/>
      <c r="AA236" s="544"/>
      <c r="AB236" s="544"/>
      <c r="AC236" s="544"/>
      <c r="AD236" s="544"/>
      <c r="AE236" s="183"/>
      <c r="AF236" s="183"/>
      <c r="AG236" s="183"/>
      <c r="AH236" s="183"/>
      <c r="AI236" s="183"/>
      <c r="AJ236" s="183"/>
      <c r="AK236" s="183"/>
      <c r="AL236" s="183"/>
      <c r="AM236" s="183"/>
    </row>
    <row r="237" hidden="1">
      <c r="A237" s="531" t="str">
        <f>IFERROR(__xludf.DUMMYFUNCTION("""COMPUTED_VALUE"""),"サイズ")</f>
        <v>サイズ</v>
      </c>
      <c r="B237" s="531" t="str">
        <f>IFERROR(__xludf.DUMMYFUNCTION("""COMPUTED_VALUE"""),"シャツ (フォーマル / タックアウト)")</f>
        <v>シャツ (フォーマル / タックアウト)</v>
      </c>
      <c r="C237" s="531" t="str">
        <f>IFERROR(__xludf.DUMMYFUNCTION("""COMPUTED_VALUE"""),"裄丈 (長袖)")</f>
        <v>裄丈 (長袖)</v>
      </c>
      <c r="D237" s="550"/>
      <c r="E237" s="550" t="str">
        <f>IFERROR(__xludf.DUMMYFUNCTION("""COMPUTED_VALUE"""),"左右であっても1箇所換算")</f>
        <v>左右であっても1箇所換算</v>
      </c>
      <c r="F237" s="534" t="str">
        <f>IFERROR(__xludf.DUMMYFUNCTION("""COMPUTED_VALUE"""),"裄丈 (長袖)")</f>
        <v>裄丈 (長袖)</v>
      </c>
      <c r="G237" s="550" t="str">
        <f>IFERROR(__xludf.DUMMYFUNCTION("""COMPUTED_VALUE"""),"裄丈 (長袖)（左右であっても1箇所換算）")</f>
        <v>裄丈 (長袖)（左右であっても1箇所換算）</v>
      </c>
      <c r="H237" s="572" t="str">
        <f>IFERROR(__xludf.DUMMYFUNCTION("""COMPUTED_VALUE"""),"-7")</f>
        <v>-7</v>
      </c>
      <c r="I237" s="537"/>
      <c r="J237" s="538">
        <f>IFERROR(__xludf.DUMMYFUNCTION("""COMPUTED_VALUE"""),7.0)</f>
        <v>7</v>
      </c>
      <c r="K237" s="537">
        <f>IFERROR(__xludf.DUMMYFUNCTION("""COMPUTED_VALUE"""),46000.0)</f>
        <v>46000</v>
      </c>
      <c r="L237" s="539">
        <f>IFERROR(__xludf.DUMMYFUNCTION("""COMPUTED_VALUE"""),46003.0)</f>
        <v>46003</v>
      </c>
      <c r="M237" s="540">
        <f>IFERROR(__xludf.DUMMYFUNCTION("""COMPUTED_VALUE"""),46008.0)</f>
        <v>46008</v>
      </c>
      <c r="N237" s="539">
        <f>IFERROR(__xludf.DUMMYFUNCTION("""COMPUTED_VALUE"""),2640.0)</f>
        <v>2640</v>
      </c>
      <c r="O237" s="593">
        <f>IFERROR(__xludf.DUMMYFUNCTION("""COMPUTED_VALUE"""),2400.0)</f>
        <v>2400</v>
      </c>
      <c r="P237" s="594">
        <f>IFERROR(__xludf.DUMMYFUNCTION("""COMPUTED_VALUE"""),800.0)</f>
        <v>800</v>
      </c>
      <c r="Q237" s="183"/>
      <c r="R237" s="544"/>
      <c r="S237" s="544"/>
      <c r="T237" s="544"/>
      <c r="U237" s="544"/>
      <c r="V237" s="544"/>
      <c r="W237" s="544"/>
      <c r="X237" s="544"/>
      <c r="Y237" s="544"/>
      <c r="Z237" s="544"/>
      <c r="AA237" s="544"/>
      <c r="AB237" s="544"/>
      <c r="AC237" s="544"/>
      <c r="AD237" s="544"/>
      <c r="AE237" s="183"/>
      <c r="AF237" s="183"/>
      <c r="AG237" s="183"/>
      <c r="AH237" s="183"/>
      <c r="AI237" s="183"/>
      <c r="AJ237" s="183"/>
      <c r="AK237" s="183"/>
      <c r="AL237" s="183"/>
      <c r="AM237" s="183"/>
    </row>
    <row r="238" hidden="1">
      <c r="A238" s="531" t="str">
        <f>IFERROR(__xludf.DUMMYFUNCTION("""COMPUTED_VALUE"""),"サイズ")</f>
        <v>サイズ</v>
      </c>
      <c r="B238" s="531" t="str">
        <f>IFERROR(__xludf.DUMMYFUNCTION("""COMPUTED_VALUE"""),"シャツ (フォーマル / タックアウト)")</f>
        <v>シャツ (フォーマル / タックアウト)</v>
      </c>
      <c r="C238" s="531" t="str">
        <f>IFERROR(__xludf.DUMMYFUNCTION("""COMPUTED_VALUE"""),"裄丈 (長袖)")</f>
        <v>裄丈 (長袖)</v>
      </c>
      <c r="D238" s="550"/>
      <c r="E238" s="550" t="str">
        <f>IFERROR(__xludf.DUMMYFUNCTION("""COMPUTED_VALUE"""),"左右であっても1箇所換算")</f>
        <v>左右であっても1箇所換算</v>
      </c>
      <c r="F238" s="534" t="str">
        <f>IFERROR(__xludf.DUMMYFUNCTION("""COMPUTED_VALUE"""),"裄丈 (長袖)")</f>
        <v>裄丈 (長袖)</v>
      </c>
      <c r="G238" s="550" t="str">
        <f>IFERROR(__xludf.DUMMYFUNCTION("""COMPUTED_VALUE"""),"裄丈 (長袖)（左右であっても1箇所換算）")</f>
        <v>裄丈 (長袖)（左右であっても1箇所換算）</v>
      </c>
      <c r="H238" s="572" t="str">
        <f>IFERROR(__xludf.DUMMYFUNCTION("""COMPUTED_VALUE"""),"-6.5")</f>
        <v>-6.5</v>
      </c>
      <c r="I238" s="537"/>
      <c r="J238" s="538">
        <f>IFERROR(__xludf.DUMMYFUNCTION("""COMPUTED_VALUE"""),7.0)</f>
        <v>7</v>
      </c>
      <c r="K238" s="537">
        <f>IFERROR(__xludf.DUMMYFUNCTION("""COMPUTED_VALUE"""),46000.0)</f>
        <v>46000</v>
      </c>
      <c r="L238" s="539">
        <f>IFERROR(__xludf.DUMMYFUNCTION("""COMPUTED_VALUE"""),46003.0)</f>
        <v>46003</v>
      </c>
      <c r="M238" s="540">
        <f>IFERROR(__xludf.DUMMYFUNCTION("""COMPUTED_VALUE"""),46008.0)</f>
        <v>46008</v>
      </c>
      <c r="N238" s="539">
        <f>IFERROR(__xludf.DUMMYFUNCTION("""COMPUTED_VALUE"""),2640.0)</f>
        <v>2640</v>
      </c>
      <c r="O238" s="593">
        <f>IFERROR(__xludf.DUMMYFUNCTION("""COMPUTED_VALUE"""),2400.0)</f>
        <v>2400</v>
      </c>
      <c r="P238" s="594">
        <f>IFERROR(__xludf.DUMMYFUNCTION("""COMPUTED_VALUE"""),800.0)</f>
        <v>800</v>
      </c>
      <c r="Q238" s="183"/>
      <c r="R238" s="544"/>
      <c r="S238" s="544"/>
      <c r="T238" s="544"/>
      <c r="U238" s="544"/>
      <c r="V238" s="544"/>
      <c r="W238" s="544"/>
      <c r="X238" s="544"/>
      <c r="Y238" s="544"/>
      <c r="Z238" s="544"/>
      <c r="AA238" s="544"/>
      <c r="AB238" s="544"/>
      <c r="AC238" s="544"/>
      <c r="AD238" s="544"/>
      <c r="AE238" s="183"/>
      <c r="AF238" s="183"/>
      <c r="AG238" s="183"/>
      <c r="AH238" s="183"/>
      <c r="AI238" s="183"/>
      <c r="AJ238" s="183"/>
      <c r="AK238" s="183"/>
      <c r="AL238" s="183"/>
      <c r="AM238" s="183"/>
    </row>
    <row r="239" hidden="1">
      <c r="A239" s="531" t="str">
        <f>IFERROR(__xludf.DUMMYFUNCTION("""COMPUTED_VALUE"""),"サイズ")</f>
        <v>サイズ</v>
      </c>
      <c r="B239" s="531" t="str">
        <f>IFERROR(__xludf.DUMMYFUNCTION("""COMPUTED_VALUE"""),"シャツ (フォーマル / タックアウト)")</f>
        <v>シャツ (フォーマル / タックアウト)</v>
      </c>
      <c r="C239" s="531" t="str">
        <f>IFERROR(__xludf.DUMMYFUNCTION("""COMPUTED_VALUE"""),"裄丈 (長袖)")</f>
        <v>裄丈 (長袖)</v>
      </c>
      <c r="D239" s="550"/>
      <c r="E239" s="550" t="str">
        <f>IFERROR(__xludf.DUMMYFUNCTION("""COMPUTED_VALUE"""),"左右であっても1箇所換算")</f>
        <v>左右であっても1箇所換算</v>
      </c>
      <c r="F239" s="534" t="str">
        <f>IFERROR(__xludf.DUMMYFUNCTION("""COMPUTED_VALUE"""),"裄丈 (長袖)")</f>
        <v>裄丈 (長袖)</v>
      </c>
      <c r="G239" s="550" t="str">
        <f>IFERROR(__xludf.DUMMYFUNCTION("""COMPUTED_VALUE"""),"裄丈 (長袖)（左右であっても1箇所換算）")</f>
        <v>裄丈 (長袖)（左右であっても1箇所換算）</v>
      </c>
      <c r="H239" s="572" t="str">
        <f>IFERROR(__xludf.DUMMYFUNCTION("""COMPUTED_VALUE"""),"-6")</f>
        <v>-6</v>
      </c>
      <c r="I239" s="537"/>
      <c r="J239" s="538">
        <f>IFERROR(__xludf.DUMMYFUNCTION("""COMPUTED_VALUE"""),7.0)</f>
        <v>7</v>
      </c>
      <c r="K239" s="537">
        <f>IFERROR(__xludf.DUMMYFUNCTION("""COMPUTED_VALUE"""),46000.0)</f>
        <v>46000</v>
      </c>
      <c r="L239" s="539">
        <f>IFERROR(__xludf.DUMMYFUNCTION("""COMPUTED_VALUE"""),46003.0)</f>
        <v>46003</v>
      </c>
      <c r="M239" s="540">
        <f>IFERROR(__xludf.DUMMYFUNCTION("""COMPUTED_VALUE"""),46008.0)</f>
        <v>46008</v>
      </c>
      <c r="N239" s="539">
        <f>IFERROR(__xludf.DUMMYFUNCTION("""COMPUTED_VALUE"""),2640.0)</f>
        <v>2640</v>
      </c>
      <c r="O239" s="593">
        <f>IFERROR(__xludf.DUMMYFUNCTION("""COMPUTED_VALUE"""),2400.0)</f>
        <v>2400</v>
      </c>
      <c r="P239" s="594">
        <f>IFERROR(__xludf.DUMMYFUNCTION("""COMPUTED_VALUE"""),800.0)</f>
        <v>800</v>
      </c>
      <c r="Q239" s="183"/>
      <c r="R239" s="544"/>
      <c r="S239" s="544"/>
      <c r="T239" s="544"/>
      <c r="U239" s="544"/>
      <c r="V239" s="544"/>
      <c r="W239" s="544"/>
      <c r="X239" s="544"/>
      <c r="Y239" s="544"/>
      <c r="Z239" s="544"/>
      <c r="AA239" s="544"/>
      <c r="AB239" s="544"/>
      <c r="AC239" s="544"/>
      <c r="AD239" s="544"/>
      <c r="AE239" s="183"/>
      <c r="AF239" s="183"/>
      <c r="AG239" s="183"/>
      <c r="AH239" s="183"/>
      <c r="AI239" s="183"/>
      <c r="AJ239" s="183"/>
      <c r="AK239" s="183"/>
      <c r="AL239" s="183"/>
      <c r="AM239" s="183"/>
    </row>
    <row r="240" hidden="1">
      <c r="A240" s="531" t="str">
        <f>IFERROR(__xludf.DUMMYFUNCTION("""COMPUTED_VALUE"""),"サイズ")</f>
        <v>サイズ</v>
      </c>
      <c r="B240" s="531" t="str">
        <f>IFERROR(__xludf.DUMMYFUNCTION("""COMPUTED_VALUE"""),"シャツ (フォーマル / タックアウト)")</f>
        <v>シャツ (フォーマル / タックアウト)</v>
      </c>
      <c r="C240" s="531" t="str">
        <f>IFERROR(__xludf.DUMMYFUNCTION("""COMPUTED_VALUE"""),"裄丈 (長袖)")</f>
        <v>裄丈 (長袖)</v>
      </c>
      <c r="D240" s="550"/>
      <c r="E240" s="550" t="str">
        <f>IFERROR(__xludf.DUMMYFUNCTION("""COMPUTED_VALUE"""),"左右であっても1箇所換算")</f>
        <v>左右であっても1箇所換算</v>
      </c>
      <c r="F240" s="534" t="str">
        <f>IFERROR(__xludf.DUMMYFUNCTION("""COMPUTED_VALUE"""),"裄丈 (長袖)")</f>
        <v>裄丈 (長袖)</v>
      </c>
      <c r="G240" s="550" t="str">
        <f>IFERROR(__xludf.DUMMYFUNCTION("""COMPUTED_VALUE"""),"裄丈 (長袖)（左右であっても1箇所換算）")</f>
        <v>裄丈 (長袖)（左右であっても1箇所換算）</v>
      </c>
      <c r="H240" s="572" t="str">
        <f>IFERROR(__xludf.DUMMYFUNCTION("""COMPUTED_VALUE"""),"-5.5")</f>
        <v>-5.5</v>
      </c>
      <c r="I240" s="537"/>
      <c r="J240" s="538">
        <f>IFERROR(__xludf.DUMMYFUNCTION("""COMPUTED_VALUE"""),7.0)</f>
        <v>7</v>
      </c>
      <c r="K240" s="537">
        <f>IFERROR(__xludf.DUMMYFUNCTION("""COMPUTED_VALUE"""),46000.0)</f>
        <v>46000</v>
      </c>
      <c r="L240" s="539">
        <f>IFERROR(__xludf.DUMMYFUNCTION("""COMPUTED_VALUE"""),46003.0)</f>
        <v>46003</v>
      </c>
      <c r="M240" s="540">
        <f>IFERROR(__xludf.DUMMYFUNCTION("""COMPUTED_VALUE"""),46008.0)</f>
        <v>46008</v>
      </c>
      <c r="N240" s="539">
        <f>IFERROR(__xludf.DUMMYFUNCTION("""COMPUTED_VALUE"""),2640.0)</f>
        <v>2640</v>
      </c>
      <c r="O240" s="593">
        <f>IFERROR(__xludf.DUMMYFUNCTION("""COMPUTED_VALUE"""),2400.0)</f>
        <v>2400</v>
      </c>
      <c r="P240" s="594">
        <f>IFERROR(__xludf.DUMMYFUNCTION("""COMPUTED_VALUE"""),800.0)</f>
        <v>800</v>
      </c>
      <c r="Q240" s="183"/>
      <c r="R240" s="544"/>
      <c r="S240" s="544"/>
      <c r="T240" s="544"/>
      <c r="U240" s="544"/>
      <c r="V240" s="544"/>
      <c r="W240" s="544"/>
      <c r="X240" s="544"/>
      <c r="Y240" s="544"/>
      <c r="Z240" s="544"/>
      <c r="AA240" s="544"/>
      <c r="AB240" s="544"/>
      <c r="AC240" s="544"/>
      <c r="AD240" s="544"/>
      <c r="AE240" s="183"/>
      <c r="AF240" s="183"/>
      <c r="AG240" s="183"/>
      <c r="AH240" s="183"/>
      <c r="AI240" s="183"/>
      <c r="AJ240" s="183"/>
      <c r="AK240" s="183"/>
      <c r="AL240" s="183"/>
      <c r="AM240" s="183"/>
    </row>
    <row r="241" hidden="1">
      <c r="A241" s="531" t="str">
        <f>IFERROR(__xludf.DUMMYFUNCTION("""COMPUTED_VALUE"""),"サイズ")</f>
        <v>サイズ</v>
      </c>
      <c r="B241" s="531" t="str">
        <f>IFERROR(__xludf.DUMMYFUNCTION("""COMPUTED_VALUE"""),"シャツ (フォーマル / タックアウト)")</f>
        <v>シャツ (フォーマル / タックアウト)</v>
      </c>
      <c r="C241" s="531" t="str">
        <f>IFERROR(__xludf.DUMMYFUNCTION("""COMPUTED_VALUE"""),"裄丈 (長袖)")</f>
        <v>裄丈 (長袖)</v>
      </c>
      <c r="D241" s="550"/>
      <c r="E241" s="550" t="str">
        <f>IFERROR(__xludf.DUMMYFUNCTION("""COMPUTED_VALUE"""),"左右であっても1箇所換算")</f>
        <v>左右であっても1箇所換算</v>
      </c>
      <c r="F241" s="534" t="str">
        <f>IFERROR(__xludf.DUMMYFUNCTION("""COMPUTED_VALUE"""),"裄丈 (長袖)")</f>
        <v>裄丈 (長袖)</v>
      </c>
      <c r="G241" s="550" t="str">
        <f>IFERROR(__xludf.DUMMYFUNCTION("""COMPUTED_VALUE"""),"裄丈 (長袖)（左右であっても1箇所換算）")</f>
        <v>裄丈 (長袖)（左右であっても1箇所換算）</v>
      </c>
      <c r="H241" s="572" t="str">
        <f>IFERROR(__xludf.DUMMYFUNCTION("""COMPUTED_VALUE"""),"-5")</f>
        <v>-5</v>
      </c>
      <c r="I241" s="537"/>
      <c r="J241" s="538">
        <f>IFERROR(__xludf.DUMMYFUNCTION("""COMPUTED_VALUE"""),7.0)</f>
        <v>7</v>
      </c>
      <c r="K241" s="537">
        <f>IFERROR(__xludf.DUMMYFUNCTION("""COMPUTED_VALUE"""),46000.0)</f>
        <v>46000</v>
      </c>
      <c r="L241" s="539">
        <f>IFERROR(__xludf.DUMMYFUNCTION("""COMPUTED_VALUE"""),46003.0)</f>
        <v>46003</v>
      </c>
      <c r="M241" s="540">
        <f>IFERROR(__xludf.DUMMYFUNCTION("""COMPUTED_VALUE"""),46008.0)</f>
        <v>46008</v>
      </c>
      <c r="N241" s="539">
        <f>IFERROR(__xludf.DUMMYFUNCTION("""COMPUTED_VALUE"""),2640.0)</f>
        <v>2640</v>
      </c>
      <c r="O241" s="593">
        <f>IFERROR(__xludf.DUMMYFUNCTION("""COMPUTED_VALUE"""),2400.0)</f>
        <v>2400</v>
      </c>
      <c r="P241" s="594">
        <f>IFERROR(__xludf.DUMMYFUNCTION("""COMPUTED_VALUE"""),800.0)</f>
        <v>800</v>
      </c>
      <c r="Q241" s="183"/>
      <c r="R241" s="544"/>
      <c r="S241" s="544"/>
      <c r="T241" s="544"/>
      <c r="U241" s="544"/>
      <c r="V241" s="544"/>
      <c r="W241" s="544"/>
      <c r="X241" s="544"/>
      <c r="Y241" s="544"/>
      <c r="Z241" s="544"/>
      <c r="AA241" s="544"/>
      <c r="AB241" s="544"/>
      <c r="AC241" s="544"/>
      <c r="AD241" s="544"/>
      <c r="AE241" s="183"/>
      <c r="AF241" s="183"/>
      <c r="AG241" s="183"/>
      <c r="AH241" s="183"/>
      <c r="AI241" s="183"/>
      <c r="AJ241" s="183"/>
      <c r="AK241" s="183"/>
      <c r="AL241" s="183"/>
      <c r="AM241" s="183"/>
    </row>
    <row r="242" hidden="1">
      <c r="A242" s="531" t="str">
        <f>IFERROR(__xludf.DUMMYFUNCTION("""COMPUTED_VALUE"""),"サイズ")</f>
        <v>サイズ</v>
      </c>
      <c r="B242" s="531" t="str">
        <f>IFERROR(__xludf.DUMMYFUNCTION("""COMPUTED_VALUE"""),"シャツ (フォーマル / タックアウト)")</f>
        <v>シャツ (フォーマル / タックアウト)</v>
      </c>
      <c r="C242" s="531" t="str">
        <f>IFERROR(__xludf.DUMMYFUNCTION("""COMPUTED_VALUE"""),"裄丈 (長袖)")</f>
        <v>裄丈 (長袖)</v>
      </c>
      <c r="D242" s="550"/>
      <c r="E242" s="550" t="str">
        <f>IFERROR(__xludf.DUMMYFUNCTION("""COMPUTED_VALUE"""),"左右であっても1箇所換算")</f>
        <v>左右であっても1箇所換算</v>
      </c>
      <c r="F242" s="534" t="str">
        <f>IFERROR(__xludf.DUMMYFUNCTION("""COMPUTED_VALUE"""),"裄丈 (長袖)")</f>
        <v>裄丈 (長袖)</v>
      </c>
      <c r="G242" s="550" t="str">
        <f>IFERROR(__xludf.DUMMYFUNCTION("""COMPUTED_VALUE"""),"裄丈 (長袖)（左右であっても1箇所換算）")</f>
        <v>裄丈 (長袖)（左右であっても1箇所換算）</v>
      </c>
      <c r="H242" s="572" t="str">
        <f>IFERROR(__xludf.DUMMYFUNCTION("""COMPUTED_VALUE"""),"-4.5")</f>
        <v>-4.5</v>
      </c>
      <c r="I242" s="537"/>
      <c r="J242" s="538">
        <f>IFERROR(__xludf.DUMMYFUNCTION("""COMPUTED_VALUE"""),7.0)</f>
        <v>7</v>
      </c>
      <c r="K242" s="537">
        <f>IFERROR(__xludf.DUMMYFUNCTION("""COMPUTED_VALUE"""),46000.0)</f>
        <v>46000</v>
      </c>
      <c r="L242" s="539">
        <f>IFERROR(__xludf.DUMMYFUNCTION("""COMPUTED_VALUE"""),46003.0)</f>
        <v>46003</v>
      </c>
      <c r="M242" s="540">
        <f>IFERROR(__xludf.DUMMYFUNCTION("""COMPUTED_VALUE"""),46008.0)</f>
        <v>46008</v>
      </c>
      <c r="N242" s="539">
        <f>IFERROR(__xludf.DUMMYFUNCTION("""COMPUTED_VALUE"""),2640.0)</f>
        <v>2640</v>
      </c>
      <c r="O242" s="593">
        <f>IFERROR(__xludf.DUMMYFUNCTION("""COMPUTED_VALUE"""),2400.0)</f>
        <v>2400</v>
      </c>
      <c r="P242" s="594">
        <f>IFERROR(__xludf.DUMMYFUNCTION("""COMPUTED_VALUE"""),800.0)</f>
        <v>800</v>
      </c>
      <c r="Q242" s="183"/>
      <c r="R242" s="544"/>
      <c r="S242" s="544"/>
      <c r="T242" s="544"/>
      <c r="U242" s="544"/>
      <c r="V242" s="544"/>
      <c r="W242" s="544"/>
      <c r="X242" s="544"/>
      <c r="Y242" s="544"/>
      <c r="Z242" s="544"/>
      <c r="AA242" s="544"/>
      <c r="AB242" s="544"/>
      <c r="AC242" s="544"/>
      <c r="AD242" s="544"/>
      <c r="AE242" s="183"/>
      <c r="AF242" s="183"/>
      <c r="AG242" s="183"/>
      <c r="AH242" s="183"/>
      <c r="AI242" s="183"/>
      <c r="AJ242" s="183"/>
      <c r="AK242" s="183"/>
      <c r="AL242" s="183"/>
      <c r="AM242" s="183"/>
    </row>
    <row r="243" hidden="1">
      <c r="A243" s="531" t="str">
        <f>IFERROR(__xludf.DUMMYFUNCTION("""COMPUTED_VALUE"""),"サイズ")</f>
        <v>サイズ</v>
      </c>
      <c r="B243" s="531" t="str">
        <f>IFERROR(__xludf.DUMMYFUNCTION("""COMPUTED_VALUE"""),"シャツ (フォーマル / タックアウト)")</f>
        <v>シャツ (フォーマル / タックアウト)</v>
      </c>
      <c r="C243" s="531" t="str">
        <f>IFERROR(__xludf.DUMMYFUNCTION("""COMPUTED_VALUE"""),"裄丈 (長袖)")</f>
        <v>裄丈 (長袖)</v>
      </c>
      <c r="D243" s="550"/>
      <c r="E243" s="550" t="str">
        <f>IFERROR(__xludf.DUMMYFUNCTION("""COMPUTED_VALUE"""),"左右であっても1箇所換算")</f>
        <v>左右であっても1箇所換算</v>
      </c>
      <c r="F243" s="534" t="str">
        <f>IFERROR(__xludf.DUMMYFUNCTION("""COMPUTED_VALUE"""),"裄丈 (長袖)")</f>
        <v>裄丈 (長袖)</v>
      </c>
      <c r="G243" s="550" t="str">
        <f>IFERROR(__xludf.DUMMYFUNCTION("""COMPUTED_VALUE"""),"裄丈 (長袖)（左右であっても1箇所換算）")</f>
        <v>裄丈 (長袖)（左右であっても1箇所換算）</v>
      </c>
      <c r="H243" s="572" t="str">
        <f>IFERROR(__xludf.DUMMYFUNCTION("""COMPUTED_VALUE"""),"-4")</f>
        <v>-4</v>
      </c>
      <c r="I243" s="537"/>
      <c r="J243" s="538">
        <f>IFERROR(__xludf.DUMMYFUNCTION("""COMPUTED_VALUE"""),7.0)</f>
        <v>7</v>
      </c>
      <c r="K243" s="537">
        <f>IFERROR(__xludf.DUMMYFUNCTION("""COMPUTED_VALUE"""),46000.0)</f>
        <v>46000</v>
      </c>
      <c r="L243" s="539">
        <f>IFERROR(__xludf.DUMMYFUNCTION("""COMPUTED_VALUE"""),46003.0)</f>
        <v>46003</v>
      </c>
      <c r="M243" s="540">
        <f>IFERROR(__xludf.DUMMYFUNCTION("""COMPUTED_VALUE"""),46008.0)</f>
        <v>46008</v>
      </c>
      <c r="N243" s="539">
        <f>IFERROR(__xludf.DUMMYFUNCTION("""COMPUTED_VALUE"""),2640.0)</f>
        <v>2640</v>
      </c>
      <c r="O243" s="593">
        <f>IFERROR(__xludf.DUMMYFUNCTION("""COMPUTED_VALUE"""),2400.0)</f>
        <v>2400</v>
      </c>
      <c r="P243" s="594">
        <f>IFERROR(__xludf.DUMMYFUNCTION("""COMPUTED_VALUE"""),800.0)</f>
        <v>800</v>
      </c>
      <c r="Q243" s="183"/>
      <c r="R243" s="544"/>
      <c r="S243" s="544"/>
      <c r="T243" s="544"/>
      <c r="U243" s="544"/>
      <c r="V243" s="544"/>
      <c r="W243" s="544"/>
      <c r="X243" s="544"/>
      <c r="Y243" s="544"/>
      <c r="Z243" s="544"/>
      <c r="AA243" s="544"/>
      <c r="AB243" s="544"/>
      <c r="AC243" s="544"/>
      <c r="AD243" s="544"/>
      <c r="AE243" s="183"/>
      <c r="AF243" s="183"/>
      <c r="AG243" s="183"/>
      <c r="AH243" s="183"/>
      <c r="AI243" s="183"/>
      <c r="AJ243" s="183"/>
      <c r="AK243" s="183"/>
      <c r="AL243" s="183"/>
      <c r="AM243" s="183"/>
    </row>
    <row r="244" hidden="1">
      <c r="A244" s="531" t="str">
        <f>IFERROR(__xludf.DUMMYFUNCTION("""COMPUTED_VALUE"""),"サイズ")</f>
        <v>サイズ</v>
      </c>
      <c r="B244" s="531" t="str">
        <f>IFERROR(__xludf.DUMMYFUNCTION("""COMPUTED_VALUE"""),"シャツ (フォーマル / タックアウト)")</f>
        <v>シャツ (フォーマル / タックアウト)</v>
      </c>
      <c r="C244" s="531" t="str">
        <f>IFERROR(__xludf.DUMMYFUNCTION("""COMPUTED_VALUE"""),"裄丈 (長袖)")</f>
        <v>裄丈 (長袖)</v>
      </c>
      <c r="D244" s="550"/>
      <c r="E244" s="550" t="str">
        <f>IFERROR(__xludf.DUMMYFUNCTION("""COMPUTED_VALUE"""),"左右であっても1箇所換算")</f>
        <v>左右であっても1箇所換算</v>
      </c>
      <c r="F244" s="534" t="str">
        <f>IFERROR(__xludf.DUMMYFUNCTION("""COMPUTED_VALUE"""),"裄丈 (長袖)")</f>
        <v>裄丈 (長袖)</v>
      </c>
      <c r="G244" s="550" t="str">
        <f>IFERROR(__xludf.DUMMYFUNCTION("""COMPUTED_VALUE"""),"裄丈 (長袖)（左右であっても1箇所換算）")</f>
        <v>裄丈 (長袖)（左右であっても1箇所換算）</v>
      </c>
      <c r="H244" s="572" t="str">
        <f>IFERROR(__xludf.DUMMYFUNCTION("""COMPUTED_VALUE"""),"-3.5")</f>
        <v>-3.5</v>
      </c>
      <c r="I244" s="537"/>
      <c r="J244" s="538">
        <f>IFERROR(__xludf.DUMMYFUNCTION("""COMPUTED_VALUE"""),7.0)</f>
        <v>7</v>
      </c>
      <c r="K244" s="537">
        <f>IFERROR(__xludf.DUMMYFUNCTION("""COMPUTED_VALUE"""),46000.0)</f>
        <v>46000</v>
      </c>
      <c r="L244" s="539">
        <f>IFERROR(__xludf.DUMMYFUNCTION("""COMPUTED_VALUE"""),46003.0)</f>
        <v>46003</v>
      </c>
      <c r="M244" s="540">
        <f>IFERROR(__xludf.DUMMYFUNCTION("""COMPUTED_VALUE"""),46008.0)</f>
        <v>46008</v>
      </c>
      <c r="N244" s="539">
        <f>IFERROR(__xludf.DUMMYFUNCTION("""COMPUTED_VALUE"""),2640.0)</f>
        <v>2640</v>
      </c>
      <c r="O244" s="593">
        <f>IFERROR(__xludf.DUMMYFUNCTION("""COMPUTED_VALUE"""),2400.0)</f>
        <v>2400</v>
      </c>
      <c r="P244" s="594">
        <f>IFERROR(__xludf.DUMMYFUNCTION("""COMPUTED_VALUE"""),800.0)</f>
        <v>800</v>
      </c>
      <c r="Q244" s="183"/>
      <c r="R244" s="544"/>
      <c r="S244" s="544"/>
      <c r="T244" s="544"/>
      <c r="U244" s="544"/>
      <c r="V244" s="544"/>
      <c r="W244" s="544"/>
      <c r="X244" s="544"/>
      <c r="Y244" s="544"/>
      <c r="Z244" s="544"/>
      <c r="AA244" s="544"/>
      <c r="AB244" s="544"/>
      <c r="AC244" s="544"/>
      <c r="AD244" s="544"/>
      <c r="AE244" s="183"/>
      <c r="AF244" s="183"/>
      <c r="AG244" s="183"/>
      <c r="AH244" s="183"/>
      <c r="AI244" s="183"/>
      <c r="AJ244" s="183"/>
      <c r="AK244" s="183"/>
      <c r="AL244" s="183"/>
      <c r="AM244" s="183"/>
    </row>
    <row r="245" hidden="1">
      <c r="A245" s="531" t="str">
        <f>IFERROR(__xludf.DUMMYFUNCTION("""COMPUTED_VALUE"""),"サイズ")</f>
        <v>サイズ</v>
      </c>
      <c r="B245" s="531" t="str">
        <f>IFERROR(__xludf.DUMMYFUNCTION("""COMPUTED_VALUE"""),"シャツ (フォーマル / タックアウト)")</f>
        <v>シャツ (フォーマル / タックアウト)</v>
      </c>
      <c r="C245" s="531" t="str">
        <f>IFERROR(__xludf.DUMMYFUNCTION("""COMPUTED_VALUE"""),"裄丈 (長袖)")</f>
        <v>裄丈 (長袖)</v>
      </c>
      <c r="D245" s="550"/>
      <c r="E245" s="550" t="str">
        <f>IFERROR(__xludf.DUMMYFUNCTION("""COMPUTED_VALUE"""),"左右であっても1箇所換算")</f>
        <v>左右であっても1箇所換算</v>
      </c>
      <c r="F245" s="534" t="str">
        <f>IFERROR(__xludf.DUMMYFUNCTION("""COMPUTED_VALUE"""),"裄丈 (長袖)")</f>
        <v>裄丈 (長袖)</v>
      </c>
      <c r="G245" s="550" t="str">
        <f>IFERROR(__xludf.DUMMYFUNCTION("""COMPUTED_VALUE"""),"裄丈 (長袖)（左右であっても1箇所換算）")</f>
        <v>裄丈 (長袖)（左右であっても1箇所換算）</v>
      </c>
      <c r="H245" s="572" t="str">
        <f>IFERROR(__xludf.DUMMYFUNCTION("""COMPUTED_VALUE"""),"-3")</f>
        <v>-3</v>
      </c>
      <c r="I245" s="537"/>
      <c r="J245" s="538">
        <f>IFERROR(__xludf.DUMMYFUNCTION("""COMPUTED_VALUE"""),7.0)</f>
        <v>7</v>
      </c>
      <c r="K245" s="537">
        <f>IFERROR(__xludf.DUMMYFUNCTION("""COMPUTED_VALUE"""),46000.0)</f>
        <v>46000</v>
      </c>
      <c r="L245" s="539">
        <f>IFERROR(__xludf.DUMMYFUNCTION("""COMPUTED_VALUE"""),46003.0)</f>
        <v>46003</v>
      </c>
      <c r="M245" s="540">
        <f>IFERROR(__xludf.DUMMYFUNCTION("""COMPUTED_VALUE"""),46008.0)</f>
        <v>46008</v>
      </c>
      <c r="N245" s="539">
        <f>IFERROR(__xludf.DUMMYFUNCTION("""COMPUTED_VALUE"""),2640.0)</f>
        <v>2640</v>
      </c>
      <c r="O245" s="593">
        <f>IFERROR(__xludf.DUMMYFUNCTION("""COMPUTED_VALUE"""),2400.0)</f>
        <v>2400</v>
      </c>
      <c r="P245" s="594">
        <f>IFERROR(__xludf.DUMMYFUNCTION("""COMPUTED_VALUE"""),800.0)</f>
        <v>800</v>
      </c>
      <c r="Q245" s="183"/>
      <c r="R245" s="544"/>
      <c r="S245" s="544"/>
      <c r="T245" s="544"/>
      <c r="U245" s="544"/>
      <c r="V245" s="544"/>
      <c r="W245" s="544"/>
      <c r="X245" s="544"/>
      <c r="Y245" s="544"/>
      <c r="Z245" s="544"/>
      <c r="AA245" s="544"/>
      <c r="AB245" s="544"/>
      <c r="AC245" s="544"/>
      <c r="AD245" s="544"/>
      <c r="AE245" s="183"/>
      <c r="AF245" s="183"/>
      <c r="AG245" s="183"/>
      <c r="AH245" s="183"/>
      <c r="AI245" s="183"/>
      <c r="AJ245" s="183"/>
      <c r="AK245" s="183"/>
      <c r="AL245" s="183"/>
      <c r="AM245" s="183"/>
    </row>
    <row r="246" hidden="1">
      <c r="A246" s="531" t="str">
        <f>IFERROR(__xludf.DUMMYFUNCTION("""COMPUTED_VALUE"""),"サイズ")</f>
        <v>サイズ</v>
      </c>
      <c r="B246" s="531" t="str">
        <f>IFERROR(__xludf.DUMMYFUNCTION("""COMPUTED_VALUE"""),"シャツ (フォーマル / タックアウト)")</f>
        <v>シャツ (フォーマル / タックアウト)</v>
      </c>
      <c r="C246" s="531" t="str">
        <f>IFERROR(__xludf.DUMMYFUNCTION("""COMPUTED_VALUE"""),"裄丈 (長袖)")</f>
        <v>裄丈 (長袖)</v>
      </c>
      <c r="D246" s="550"/>
      <c r="E246" s="550" t="str">
        <f>IFERROR(__xludf.DUMMYFUNCTION("""COMPUTED_VALUE"""),"左右であっても1箇所換算")</f>
        <v>左右であっても1箇所換算</v>
      </c>
      <c r="F246" s="534" t="str">
        <f>IFERROR(__xludf.DUMMYFUNCTION("""COMPUTED_VALUE"""),"裄丈 (長袖)")</f>
        <v>裄丈 (長袖)</v>
      </c>
      <c r="G246" s="550" t="str">
        <f>IFERROR(__xludf.DUMMYFUNCTION("""COMPUTED_VALUE"""),"裄丈 (長袖)（左右であっても1箇所換算）")</f>
        <v>裄丈 (長袖)（左右であっても1箇所換算）</v>
      </c>
      <c r="H246" s="572" t="str">
        <f>IFERROR(__xludf.DUMMYFUNCTION("""COMPUTED_VALUE"""),"-2.5")</f>
        <v>-2.5</v>
      </c>
      <c r="I246" s="537"/>
      <c r="J246" s="538">
        <f>IFERROR(__xludf.DUMMYFUNCTION("""COMPUTED_VALUE"""),7.0)</f>
        <v>7</v>
      </c>
      <c r="K246" s="537">
        <f>IFERROR(__xludf.DUMMYFUNCTION("""COMPUTED_VALUE"""),46000.0)</f>
        <v>46000</v>
      </c>
      <c r="L246" s="539">
        <f>IFERROR(__xludf.DUMMYFUNCTION("""COMPUTED_VALUE"""),46003.0)</f>
        <v>46003</v>
      </c>
      <c r="M246" s="540">
        <f>IFERROR(__xludf.DUMMYFUNCTION("""COMPUTED_VALUE"""),46008.0)</f>
        <v>46008</v>
      </c>
      <c r="N246" s="539">
        <f>IFERROR(__xludf.DUMMYFUNCTION("""COMPUTED_VALUE"""),2640.0)</f>
        <v>2640</v>
      </c>
      <c r="O246" s="593">
        <f>IFERROR(__xludf.DUMMYFUNCTION("""COMPUTED_VALUE"""),2400.0)</f>
        <v>2400</v>
      </c>
      <c r="P246" s="594">
        <f>IFERROR(__xludf.DUMMYFUNCTION("""COMPUTED_VALUE"""),800.0)</f>
        <v>800</v>
      </c>
      <c r="Q246" s="183"/>
      <c r="R246" s="544"/>
      <c r="S246" s="544"/>
      <c r="T246" s="544"/>
      <c r="U246" s="544"/>
      <c r="V246" s="544"/>
      <c r="W246" s="544"/>
      <c r="X246" s="544"/>
      <c r="Y246" s="544"/>
      <c r="Z246" s="544"/>
      <c r="AA246" s="544"/>
      <c r="AB246" s="544"/>
      <c r="AC246" s="544"/>
      <c r="AD246" s="544"/>
      <c r="AE246" s="183"/>
      <c r="AF246" s="183"/>
      <c r="AG246" s="183"/>
      <c r="AH246" s="183"/>
      <c r="AI246" s="183"/>
      <c r="AJ246" s="183"/>
      <c r="AK246" s="183"/>
      <c r="AL246" s="183"/>
      <c r="AM246" s="183"/>
    </row>
    <row r="247" hidden="1">
      <c r="A247" s="531" t="str">
        <f>IFERROR(__xludf.DUMMYFUNCTION("""COMPUTED_VALUE"""),"サイズ")</f>
        <v>サイズ</v>
      </c>
      <c r="B247" s="531" t="str">
        <f>IFERROR(__xludf.DUMMYFUNCTION("""COMPUTED_VALUE"""),"シャツ (フォーマル / タックアウト)")</f>
        <v>シャツ (フォーマル / タックアウト)</v>
      </c>
      <c r="C247" s="531" t="str">
        <f>IFERROR(__xludf.DUMMYFUNCTION("""COMPUTED_VALUE"""),"裄丈 (長袖)")</f>
        <v>裄丈 (長袖)</v>
      </c>
      <c r="D247" s="550"/>
      <c r="E247" s="550" t="str">
        <f>IFERROR(__xludf.DUMMYFUNCTION("""COMPUTED_VALUE"""),"左右であっても1箇所換算")</f>
        <v>左右であっても1箇所換算</v>
      </c>
      <c r="F247" s="534" t="str">
        <f>IFERROR(__xludf.DUMMYFUNCTION("""COMPUTED_VALUE"""),"裄丈 (長袖)")</f>
        <v>裄丈 (長袖)</v>
      </c>
      <c r="G247" s="550" t="str">
        <f>IFERROR(__xludf.DUMMYFUNCTION("""COMPUTED_VALUE"""),"裄丈 (長袖)（左右であっても1箇所換算）")</f>
        <v>裄丈 (長袖)（左右であっても1箇所換算）</v>
      </c>
      <c r="H247" s="572" t="str">
        <f>IFERROR(__xludf.DUMMYFUNCTION("""COMPUTED_VALUE"""),"-2")</f>
        <v>-2</v>
      </c>
      <c r="I247" s="537"/>
      <c r="J247" s="538">
        <f>IFERROR(__xludf.DUMMYFUNCTION("""COMPUTED_VALUE"""),7.0)</f>
        <v>7</v>
      </c>
      <c r="K247" s="537">
        <f>IFERROR(__xludf.DUMMYFUNCTION("""COMPUTED_VALUE"""),46000.0)</f>
        <v>46000</v>
      </c>
      <c r="L247" s="539">
        <f>IFERROR(__xludf.DUMMYFUNCTION("""COMPUTED_VALUE"""),46003.0)</f>
        <v>46003</v>
      </c>
      <c r="M247" s="540">
        <f>IFERROR(__xludf.DUMMYFUNCTION("""COMPUTED_VALUE"""),46008.0)</f>
        <v>46008</v>
      </c>
      <c r="N247" s="539">
        <f>IFERROR(__xludf.DUMMYFUNCTION("""COMPUTED_VALUE"""),2640.0)</f>
        <v>2640</v>
      </c>
      <c r="O247" s="593">
        <f>IFERROR(__xludf.DUMMYFUNCTION("""COMPUTED_VALUE"""),2400.0)</f>
        <v>2400</v>
      </c>
      <c r="P247" s="594">
        <f>IFERROR(__xludf.DUMMYFUNCTION("""COMPUTED_VALUE"""),800.0)</f>
        <v>800</v>
      </c>
      <c r="Q247" s="183"/>
      <c r="R247" s="544"/>
      <c r="S247" s="544"/>
      <c r="T247" s="544"/>
      <c r="U247" s="544"/>
      <c r="V247" s="544"/>
      <c r="W247" s="544"/>
      <c r="X247" s="544"/>
      <c r="Y247" s="544"/>
      <c r="Z247" s="544"/>
      <c r="AA247" s="544"/>
      <c r="AB247" s="544"/>
      <c r="AC247" s="544"/>
      <c r="AD247" s="544"/>
      <c r="AE247" s="183"/>
      <c r="AF247" s="183"/>
      <c r="AG247" s="183"/>
      <c r="AH247" s="183"/>
      <c r="AI247" s="183"/>
      <c r="AJ247" s="183"/>
      <c r="AK247" s="183"/>
      <c r="AL247" s="183"/>
      <c r="AM247" s="183"/>
    </row>
    <row r="248" hidden="1">
      <c r="A248" s="531" t="str">
        <f>IFERROR(__xludf.DUMMYFUNCTION("""COMPUTED_VALUE"""),"サイズ")</f>
        <v>サイズ</v>
      </c>
      <c r="B248" s="531" t="str">
        <f>IFERROR(__xludf.DUMMYFUNCTION("""COMPUTED_VALUE"""),"シャツ (フォーマル / タックアウト)")</f>
        <v>シャツ (フォーマル / タックアウト)</v>
      </c>
      <c r="C248" s="531" t="str">
        <f>IFERROR(__xludf.DUMMYFUNCTION("""COMPUTED_VALUE"""),"裄丈 (長袖)")</f>
        <v>裄丈 (長袖)</v>
      </c>
      <c r="D248" s="550"/>
      <c r="E248" s="550" t="str">
        <f>IFERROR(__xludf.DUMMYFUNCTION("""COMPUTED_VALUE"""),"左右であっても1箇所換算")</f>
        <v>左右であっても1箇所換算</v>
      </c>
      <c r="F248" s="534" t="str">
        <f>IFERROR(__xludf.DUMMYFUNCTION("""COMPUTED_VALUE"""),"裄丈 (長袖)")</f>
        <v>裄丈 (長袖)</v>
      </c>
      <c r="G248" s="550" t="str">
        <f>IFERROR(__xludf.DUMMYFUNCTION("""COMPUTED_VALUE"""),"裄丈 (長袖)（左右であっても1箇所換算）")</f>
        <v>裄丈 (長袖)（左右であっても1箇所換算）</v>
      </c>
      <c r="H248" s="572" t="str">
        <f>IFERROR(__xludf.DUMMYFUNCTION("""COMPUTED_VALUE"""),"-1.5")</f>
        <v>-1.5</v>
      </c>
      <c r="I248" s="537"/>
      <c r="J248" s="538">
        <f>IFERROR(__xludf.DUMMYFUNCTION("""COMPUTED_VALUE"""),7.0)</f>
        <v>7</v>
      </c>
      <c r="K248" s="537">
        <f>IFERROR(__xludf.DUMMYFUNCTION("""COMPUTED_VALUE"""),46000.0)</f>
        <v>46000</v>
      </c>
      <c r="L248" s="539">
        <f>IFERROR(__xludf.DUMMYFUNCTION("""COMPUTED_VALUE"""),46003.0)</f>
        <v>46003</v>
      </c>
      <c r="M248" s="540">
        <f>IFERROR(__xludf.DUMMYFUNCTION("""COMPUTED_VALUE"""),46008.0)</f>
        <v>46008</v>
      </c>
      <c r="N248" s="539">
        <f>IFERROR(__xludf.DUMMYFUNCTION("""COMPUTED_VALUE"""),2640.0)</f>
        <v>2640</v>
      </c>
      <c r="O248" s="593">
        <f>IFERROR(__xludf.DUMMYFUNCTION("""COMPUTED_VALUE"""),2400.0)</f>
        <v>2400</v>
      </c>
      <c r="P248" s="594">
        <f>IFERROR(__xludf.DUMMYFUNCTION("""COMPUTED_VALUE"""),800.0)</f>
        <v>800</v>
      </c>
      <c r="Q248" s="183"/>
      <c r="R248" s="544"/>
      <c r="S248" s="544"/>
      <c r="T248" s="544"/>
      <c r="U248" s="544"/>
      <c r="V248" s="544"/>
      <c r="W248" s="544"/>
      <c r="X248" s="544"/>
      <c r="Y248" s="544"/>
      <c r="Z248" s="544"/>
      <c r="AA248" s="544"/>
      <c r="AB248" s="544"/>
      <c r="AC248" s="544"/>
      <c r="AD248" s="544"/>
      <c r="AE248" s="183"/>
      <c r="AF248" s="183"/>
      <c r="AG248" s="183"/>
      <c r="AH248" s="183"/>
      <c r="AI248" s="183"/>
      <c r="AJ248" s="183"/>
      <c r="AK248" s="183"/>
      <c r="AL248" s="183"/>
      <c r="AM248" s="183"/>
    </row>
    <row r="249" hidden="1">
      <c r="A249" s="531" t="str">
        <f>IFERROR(__xludf.DUMMYFUNCTION("""COMPUTED_VALUE"""),"サイズ")</f>
        <v>サイズ</v>
      </c>
      <c r="B249" s="531" t="str">
        <f>IFERROR(__xludf.DUMMYFUNCTION("""COMPUTED_VALUE"""),"シャツ (フォーマル / タックアウト)")</f>
        <v>シャツ (フォーマル / タックアウト)</v>
      </c>
      <c r="C249" s="531" t="str">
        <f>IFERROR(__xludf.DUMMYFUNCTION("""COMPUTED_VALUE"""),"裄丈 (長袖)")</f>
        <v>裄丈 (長袖)</v>
      </c>
      <c r="D249" s="550"/>
      <c r="E249" s="550" t="str">
        <f>IFERROR(__xludf.DUMMYFUNCTION("""COMPUTED_VALUE"""),"左右であっても1箇所換算")</f>
        <v>左右であっても1箇所換算</v>
      </c>
      <c r="F249" s="534" t="str">
        <f>IFERROR(__xludf.DUMMYFUNCTION("""COMPUTED_VALUE"""),"裄丈 (長袖)")</f>
        <v>裄丈 (長袖)</v>
      </c>
      <c r="G249" s="550" t="str">
        <f>IFERROR(__xludf.DUMMYFUNCTION("""COMPUTED_VALUE"""),"裄丈 (長袖)（左右であっても1箇所換算）")</f>
        <v>裄丈 (長袖)（左右であっても1箇所換算）</v>
      </c>
      <c r="H249" s="572" t="str">
        <f>IFERROR(__xludf.DUMMYFUNCTION("""COMPUTED_VALUE"""),"-1")</f>
        <v>-1</v>
      </c>
      <c r="I249" s="537"/>
      <c r="J249" s="538">
        <f>IFERROR(__xludf.DUMMYFUNCTION("""COMPUTED_VALUE"""),7.0)</f>
        <v>7</v>
      </c>
      <c r="K249" s="537">
        <f>IFERROR(__xludf.DUMMYFUNCTION("""COMPUTED_VALUE"""),46000.0)</f>
        <v>46000</v>
      </c>
      <c r="L249" s="539">
        <f>IFERROR(__xludf.DUMMYFUNCTION("""COMPUTED_VALUE"""),46003.0)</f>
        <v>46003</v>
      </c>
      <c r="M249" s="540">
        <f>IFERROR(__xludf.DUMMYFUNCTION("""COMPUTED_VALUE"""),46008.0)</f>
        <v>46008</v>
      </c>
      <c r="N249" s="539">
        <f>IFERROR(__xludf.DUMMYFUNCTION("""COMPUTED_VALUE"""),2640.0)</f>
        <v>2640</v>
      </c>
      <c r="O249" s="593">
        <f>IFERROR(__xludf.DUMMYFUNCTION("""COMPUTED_VALUE"""),2400.0)</f>
        <v>2400</v>
      </c>
      <c r="P249" s="594">
        <f>IFERROR(__xludf.DUMMYFUNCTION("""COMPUTED_VALUE"""),800.0)</f>
        <v>800</v>
      </c>
      <c r="Q249" s="183"/>
      <c r="R249" s="544"/>
      <c r="S249" s="544"/>
      <c r="T249" s="544"/>
      <c r="U249" s="544"/>
      <c r="V249" s="544"/>
      <c r="W249" s="544"/>
      <c r="X249" s="544"/>
      <c r="Y249" s="544"/>
      <c r="Z249" s="544"/>
      <c r="AA249" s="544"/>
      <c r="AB249" s="544"/>
      <c r="AC249" s="544"/>
      <c r="AD249" s="544"/>
      <c r="AE249" s="183"/>
      <c r="AF249" s="183"/>
      <c r="AG249" s="183"/>
      <c r="AH249" s="183"/>
      <c r="AI249" s="183"/>
      <c r="AJ249" s="183"/>
      <c r="AK249" s="183"/>
      <c r="AL249" s="183"/>
      <c r="AM249" s="183"/>
    </row>
    <row r="250" hidden="1">
      <c r="A250" s="531" t="str">
        <f>IFERROR(__xludf.DUMMYFUNCTION("""COMPUTED_VALUE"""),"サイズ")</f>
        <v>サイズ</v>
      </c>
      <c r="B250" s="531" t="str">
        <f>IFERROR(__xludf.DUMMYFUNCTION("""COMPUTED_VALUE"""),"シャツ (フォーマル / タックアウト)")</f>
        <v>シャツ (フォーマル / タックアウト)</v>
      </c>
      <c r="C250" s="531" t="str">
        <f>IFERROR(__xludf.DUMMYFUNCTION("""COMPUTED_VALUE"""),"裄丈 (長袖)")</f>
        <v>裄丈 (長袖)</v>
      </c>
      <c r="D250" s="550"/>
      <c r="E250" s="550" t="str">
        <f>IFERROR(__xludf.DUMMYFUNCTION("""COMPUTED_VALUE"""),"左右であっても1箇所換算")</f>
        <v>左右であっても1箇所換算</v>
      </c>
      <c r="F250" s="534" t="str">
        <f>IFERROR(__xludf.DUMMYFUNCTION("""COMPUTED_VALUE"""),"裄丈 (長袖)")</f>
        <v>裄丈 (長袖)</v>
      </c>
      <c r="G250" s="550" t="str">
        <f>IFERROR(__xludf.DUMMYFUNCTION("""COMPUTED_VALUE"""),"裄丈 (長袖)（左右であっても1箇所換算）")</f>
        <v>裄丈 (長袖)（左右であっても1箇所換算）</v>
      </c>
      <c r="H250" s="572" t="str">
        <f>IFERROR(__xludf.DUMMYFUNCTION("""COMPUTED_VALUE"""),"-0.5")</f>
        <v>-0.5</v>
      </c>
      <c r="I250" s="537"/>
      <c r="J250" s="538">
        <f>IFERROR(__xludf.DUMMYFUNCTION("""COMPUTED_VALUE"""),7.0)</f>
        <v>7</v>
      </c>
      <c r="K250" s="537">
        <f>IFERROR(__xludf.DUMMYFUNCTION("""COMPUTED_VALUE"""),46000.0)</f>
        <v>46000</v>
      </c>
      <c r="L250" s="539">
        <f>IFERROR(__xludf.DUMMYFUNCTION("""COMPUTED_VALUE"""),46003.0)</f>
        <v>46003</v>
      </c>
      <c r="M250" s="540">
        <f>IFERROR(__xludf.DUMMYFUNCTION("""COMPUTED_VALUE"""),46008.0)</f>
        <v>46008</v>
      </c>
      <c r="N250" s="539">
        <f>IFERROR(__xludf.DUMMYFUNCTION("""COMPUTED_VALUE"""),2640.0)</f>
        <v>2640</v>
      </c>
      <c r="O250" s="593">
        <f>IFERROR(__xludf.DUMMYFUNCTION("""COMPUTED_VALUE"""),2400.0)</f>
        <v>2400</v>
      </c>
      <c r="P250" s="594">
        <f>IFERROR(__xludf.DUMMYFUNCTION("""COMPUTED_VALUE"""),800.0)</f>
        <v>800</v>
      </c>
      <c r="Q250" s="183"/>
      <c r="R250" s="544"/>
      <c r="S250" s="544"/>
      <c r="T250" s="544"/>
      <c r="U250" s="544"/>
      <c r="V250" s="544"/>
      <c r="W250" s="544"/>
      <c r="X250" s="544"/>
      <c r="Y250" s="544"/>
      <c r="Z250" s="544"/>
      <c r="AA250" s="544"/>
      <c r="AB250" s="544"/>
      <c r="AC250" s="544"/>
      <c r="AD250" s="544"/>
      <c r="AE250" s="183"/>
      <c r="AF250" s="183"/>
      <c r="AG250" s="183"/>
      <c r="AH250" s="183"/>
      <c r="AI250" s="183"/>
      <c r="AJ250" s="183"/>
      <c r="AK250" s="183"/>
      <c r="AL250" s="183"/>
      <c r="AM250" s="183"/>
    </row>
    <row r="251" hidden="1">
      <c r="A251" s="531" t="str">
        <f>IFERROR(__xludf.DUMMYFUNCTION("""COMPUTED_VALUE"""),"サイズ")</f>
        <v>サイズ</v>
      </c>
      <c r="B251" s="531" t="str">
        <f>IFERROR(__xludf.DUMMYFUNCTION("""COMPUTED_VALUE"""),"シャツ (フォーマル / タックアウト)")</f>
        <v>シャツ (フォーマル / タックアウト)</v>
      </c>
      <c r="C251" s="531" t="str">
        <f>IFERROR(__xludf.DUMMYFUNCTION("""COMPUTED_VALUE"""),"カフスまわり (長袖)")</f>
        <v>カフスまわり (長袖)</v>
      </c>
      <c r="D251" s="550"/>
      <c r="E251" s="533"/>
      <c r="F251" s="534" t="str">
        <f>IFERROR(__xludf.DUMMYFUNCTION("""COMPUTED_VALUE"""),"カフスまわり (長袖)")</f>
        <v>カフスまわり (長袖)</v>
      </c>
      <c r="G251" s="550" t="str">
        <f>IFERROR(__xludf.DUMMYFUNCTION("""COMPUTED_VALUE"""),"カフスまわり (長袖)")</f>
        <v>カフスまわり (長袖)</v>
      </c>
      <c r="H251" s="536"/>
      <c r="I251" s="537"/>
      <c r="J251" s="561" t="str">
        <f>IFERROR(__xludf.DUMMYFUNCTION("""COMPUTED_VALUE"""),"再製作")</f>
        <v>再製作</v>
      </c>
      <c r="K251" s="561" t="str">
        <f>IFERROR(__xludf.DUMMYFUNCTION("""COMPUTED_VALUE"""),"再製作")</f>
        <v>再製作</v>
      </c>
      <c r="L251" s="539" t="str">
        <f>IFERROR(__xludf.DUMMYFUNCTION("""COMPUTED_VALUE"""),"再製作")</f>
        <v>再製作</v>
      </c>
      <c r="M251" s="540" t="str">
        <f>IFERROR(__xludf.DUMMYFUNCTION("""COMPUTED_VALUE"""),"再製作")</f>
        <v>再製作</v>
      </c>
      <c r="N251" s="561" t="str">
        <f>IFERROR(__xludf.DUMMYFUNCTION("""COMPUTED_VALUE"""),"再製作")</f>
        <v>再製作</v>
      </c>
      <c r="O251" s="632" t="str">
        <f>IFERROR(__xludf.DUMMYFUNCTION("""COMPUTED_VALUE"""),"再製作")</f>
        <v>再製作</v>
      </c>
      <c r="P251" s="183"/>
      <c r="Q251" s="183"/>
      <c r="R251" s="544"/>
      <c r="S251" s="544"/>
      <c r="T251" s="544"/>
      <c r="U251" s="544"/>
      <c r="V251" s="544"/>
      <c r="W251" s="544"/>
      <c r="X251" s="544"/>
      <c r="Y251" s="544"/>
      <c r="Z251" s="544"/>
      <c r="AA251" s="544"/>
      <c r="AB251" s="544"/>
      <c r="AC251" s="544"/>
      <c r="AD251" s="544"/>
      <c r="AE251" s="183"/>
      <c r="AF251" s="183"/>
      <c r="AG251" s="183"/>
      <c r="AH251" s="183"/>
      <c r="AI251" s="183"/>
      <c r="AJ251" s="183"/>
      <c r="AK251" s="183"/>
      <c r="AL251" s="183"/>
      <c r="AM251" s="183"/>
    </row>
    <row r="252" hidden="1">
      <c r="A252" s="531" t="str">
        <f>IFERROR(__xludf.DUMMYFUNCTION("""COMPUTED_VALUE"""),"サイズ")</f>
        <v>サイズ</v>
      </c>
      <c r="B252" s="531" t="str">
        <f>IFERROR(__xludf.DUMMYFUNCTION("""COMPUTED_VALUE"""),"シャツ (フォーマル / タックアウト)")</f>
        <v>シャツ (フォーマル / タックアウト)</v>
      </c>
      <c r="C252" s="531" t="str">
        <f>IFERROR(__xludf.DUMMYFUNCTION("""COMPUTED_VALUE"""),"袖口まわり (半袖)")</f>
        <v>袖口まわり (半袖)</v>
      </c>
      <c r="D252" s="550"/>
      <c r="E252" s="533"/>
      <c r="F252" s="534" t="str">
        <f>IFERROR(__xludf.DUMMYFUNCTION("""COMPUTED_VALUE"""),"袖口まわり (半袖)")</f>
        <v>袖口まわり (半袖)</v>
      </c>
      <c r="G252" s="550" t="str">
        <f>IFERROR(__xludf.DUMMYFUNCTION("""COMPUTED_VALUE"""),"袖口まわり (半袖)")</f>
        <v>袖口まわり (半袖)</v>
      </c>
      <c r="H252" s="536"/>
      <c r="I252" s="537"/>
      <c r="J252" s="561" t="str">
        <f>IFERROR(__xludf.DUMMYFUNCTION("""COMPUTED_VALUE""")," 再製作")</f>
        <v> 再製作</v>
      </c>
      <c r="K252" s="561" t="str">
        <f>IFERROR(__xludf.DUMMYFUNCTION("""COMPUTED_VALUE""")," 再製作")</f>
        <v> 再製作</v>
      </c>
      <c r="L252" s="539" t="str">
        <f>IFERROR(__xludf.DUMMYFUNCTION("""COMPUTED_VALUE""")," 再製作")</f>
        <v> 再製作</v>
      </c>
      <c r="M252" s="540" t="str">
        <f>IFERROR(__xludf.DUMMYFUNCTION("""COMPUTED_VALUE""")," 再製作")</f>
        <v> 再製作</v>
      </c>
      <c r="N252" s="561" t="str">
        <f>IFERROR(__xludf.DUMMYFUNCTION("""COMPUTED_VALUE"""),"再製作")</f>
        <v>再製作</v>
      </c>
      <c r="O252" s="632" t="str">
        <f>IFERROR(__xludf.DUMMYFUNCTION("""COMPUTED_VALUE""")," 再製作")</f>
        <v> 再製作</v>
      </c>
      <c r="P252" s="183"/>
      <c r="Q252" s="183"/>
      <c r="R252" s="544"/>
      <c r="S252" s="544"/>
      <c r="T252" s="544"/>
      <c r="U252" s="544"/>
      <c r="V252" s="544"/>
      <c r="W252" s="544"/>
      <c r="X252" s="544"/>
      <c r="Y252" s="544"/>
      <c r="Z252" s="544"/>
      <c r="AA252" s="544"/>
      <c r="AB252" s="544"/>
      <c r="AC252" s="544"/>
      <c r="AD252" s="544"/>
      <c r="AE252" s="183"/>
      <c r="AF252" s="183"/>
      <c r="AG252" s="183"/>
      <c r="AH252" s="183"/>
      <c r="AI252" s="183"/>
      <c r="AJ252" s="183"/>
      <c r="AK252" s="183"/>
      <c r="AL252" s="183"/>
      <c r="AM252" s="183"/>
    </row>
    <row r="253" hidden="1">
      <c r="A253" s="531" t="str">
        <f>IFERROR(__xludf.DUMMYFUNCTION("""COMPUTED_VALUE"""),"サイズ")</f>
        <v>サイズ</v>
      </c>
      <c r="B253" s="531" t="str">
        <f>IFERROR(__xludf.DUMMYFUNCTION("""COMPUTED_VALUE"""),"シャツ (フォーマル / タックアウト)")</f>
        <v>シャツ (フォーマル / タックアウト)</v>
      </c>
      <c r="C253" s="532" t="str">
        <f>IFERROR(__xludf.DUMMYFUNCTION("""COMPUTED_VALUE"""),"アームホール(長袖)")</f>
        <v>アームホール(長袖)</v>
      </c>
      <c r="D253" s="550"/>
      <c r="E253" s="533"/>
      <c r="F253" s="534" t="str">
        <f>IFERROR(__xludf.DUMMYFUNCTION("""COMPUTED_VALUE"""),"アームホール(長袖)")</f>
        <v>アームホール(長袖)</v>
      </c>
      <c r="G253" s="550" t="str">
        <f>IFERROR(__xludf.DUMMYFUNCTION("""COMPUTED_VALUE"""),"アームホール(長袖)")</f>
        <v>アームホール(長袖)</v>
      </c>
      <c r="H253" s="572" t="str">
        <f>IFERROR(__xludf.DUMMYFUNCTION("""COMPUTED_VALUE"""),"-3")</f>
        <v>-3</v>
      </c>
      <c r="I253" s="537"/>
      <c r="J253" s="561" t="str">
        <f>IFERROR(__xludf.DUMMYFUNCTION("""COMPUTED_VALUE"""),"再製作")</f>
        <v>再製作</v>
      </c>
      <c r="K253" s="561" t="str">
        <f>IFERROR(__xludf.DUMMYFUNCTION("""COMPUTED_VALUE"""),"再製作")</f>
        <v>再製作</v>
      </c>
      <c r="L253" s="539" t="str">
        <f>IFERROR(__xludf.DUMMYFUNCTION("""COMPUTED_VALUE"""),"再製作")</f>
        <v>再製作</v>
      </c>
      <c r="M253" s="540" t="str">
        <f>IFERROR(__xludf.DUMMYFUNCTION("""COMPUTED_VALUE"""),"再製作")</f>
        <v>再製作</v>
      </c>
      <c r="N253" s="561" t="str">
        <f>IFERROR(__xludf.DUMMYFUNCTION("""COMPUTED_VALUE"""),"再製作")</f>
        <v>再製作</v>
      </c>
      <c r="O253" s="632" t="str">
        <f>IFERROR(__xludf.DUMMYFUNCTION("""COMPUTED_VALUE"""),"再製作")</f>
        <v>再製作</v>
      </c>
      <c r="P253" s="594">
        <f>IFERROR(__xludf.DUMMYFUNCTION("""COMPUTED_VALUE"""),2500.0)</f>
        <v>2500</v>
      </c>
      <c r="Q253" s="183"/>
      <c r="R253" s="544"/>
      <c r="S253" s="544"/>
      <c r="T253" s="544"/>
      <c r="U253" s="544"/>
      <c r="V253" s="544"/>
      <c r="W253" s="544"/>
      <c r="X253" s="544"/>
      <c r="Y253" s="544"/>
      <c r="Z253" s="544"/>
      <c r="AA253" s="544"/>
      <c r="AB253" s="544"/>
      <c r="AC253" s="544"/>
      <c r="AD253" s="544"/>
      <c r="AE253" s="634" t="str">
        <f>IFERROR(__xludf.DUMMYFUNCTION("""COMPUTED_VALUE"""),"-2")</f>
        <v>-2</v>
      </c>
      <c r="AF253" s="183"/>
      <c r="AG253" s="183"/>
      <c r="AH253" s="183"/>
      <c r="AI253" s="183"/>
      <c r="AJ253" s="183"/>
      <c r="AK253" s="183"/>
      <c r="AL253" s="183"/>
      <c r="AM253" s="183"/>
    </row>
    <row r="254" hidden="1">
      <c r="A254" s="531" t="str">
        <f>IFERROR(__xludf.DUMMYFUNCTION("""COMPUTED_VALUE"""),"サイズ")</f>
        <v>サイズ</v>
      </c>
      <c r="B254" s="531" t="str">
        <f>IFERROR(__xludf.DUMMYFUNCTION("""COMPUTED_VALUE"""),"シャツ (フォーマル / タックアウト)")</f>
        <v>シャツ (フォーマル / タックアウト)</v>
      </c>
      <c r="C254" s="532" t="str">
        <f>IFERROR(__xludf.DUMMYFUNCTION("""COMPUTED_VALUE"""),"アームホール(長袖)")</f>
        <v>アームホール(長袖)</v>
      </c>
      <c r="D254" s="550"/>
      <c r="E254" s="533"/>
      <c r="F254" s="534" t="str">
        <f>IFERROR(__xludf.DUMMYFUNCTION("""COMPUTED_VALUE"""),"アームホール(長袖)")</f>
        <v>アームホール(長袖)</v>
      </c>
      <c r="G254" s="550" t="str">
        <f>IFERROR(__xludf.DUMMYFUNCTION("""COMPUTED_VALUE"""),"アームホール(長袖)")</f>
        <v>アームホール(長袖)</v>
      </c>
      <c r="H254" s="572" t="str">
        <f>IFERROR(__xludf.DUMMYFUNCTION("""COMPUTED_VALUE"""),"-2")</f>
        <v>-2</v>
      </c>
      <c r="I254" s="537"/>
      <c r="J254" s="561" t="str">
        <f>IFERROR(__xludf.DUMMYFUNCTION("""COMPUTED_VALUE"""),"再製作")</f>
        <v>再製作</v>
      </c>
      <c r="K254" s="561" t="str">
        <f>IFERROR(__xludf.DUMMYFUNCTION("""COMPUTED_VALUE"""),"再製作")</f>
        <v>再製作</v>
      </c>
      <c r="L254" s="539" t="str">
        <f>IFERROR(__xludf.DUMMYFUNCTION("""COMPUTED_VALUE"""),"再製作")</f>
        <v>再製作</v>
      </c>
      <c r="M254" s="540" t="str">
        <f>IFERROR(__xludf.DUMMYFUNCTION("""COMPUTED_VALUE"""),"再製作")</f>
        <v>再製作</v>
      </c>
      <c r="N254" s="561" t="str">
        <f>IFERROR(__xludf.DUMMYFUNCTION("""COMPUTED_VALUE"""),"再製作")</f>
        <v>再製作</v>
      </c>
      <c r="O254" s="632" t="str">
        <f>IFERROR(__xludf.DUMMYFUNCTION("""COMPUTED_VALUE"""),"再製作")</f>
        <v>再製作</v>
      </c>
      <c r="P254" s="594">
        <f>IFERROR(__xludf.DUMMYFUNCTION("""COMPUTED_VALUE"""),2500.0)</f>
        <v>2500</v>
      </c>
      <c r="Q254" s="183"/>
      <c r="R254" s="544"/>
      <c r="S254" s="544"/>
      <c r="T254" s="544"/>
      <c r="U254" s="544"/>
      <c r="V254" s="544"/>
      <c r="W254" s="544"/>
      <c r="X254" s="544"/>
      <c r="Y254" s="544"/>
      <c r="Z254" s="544"/>
      <c r="AA254" s="544"/>
      <c r="AB254" s="544"/>
      <c r="AC254" s="544"/>
      <c r="AD254" s="544"/>
      <c r="AE254" s="183"/>
      <c r="AF254" s="183"/>
      <c r="AG254" s="183"/>
      <c r="AH254" s="183"/>
      <c r="AI254" s="183"/>
      <c r="AJ254" s="183"/>
      <c r="AK254" s="183"/>
      <c r="AL254" s="183"/>
      <c r="AM254" s="183"/>
    </row>
    <row r="255" hidden="1">
      <c r="A255" s="531" t="str">
        <f>IFERROR(__xludf.DUMMYFUNCTION("""COMPUTED_VALUE"""),"サイズ")</f>
        <v>サイズ</v>
      </c>
      <c r="B255" s="531" t="str">
        <f>IFERROR(__xludf.DUMMYFUNCTION("""COMPUTED_VALUE"""),"シャツ (フォーマル / タックアウト)")</f>
        <v>シャツ (フォーマル / タックアウト)</v>
      </c>
      <c r="C255" s="532" t="str">
        <f>IFERROR(__xludf.DUMMYFUNCTION("""COMPUTED_VALUE"""),"アームホール(長袖)")</f>
        <v>アームホール(長袖)</v>
      </c>
      <c r="D255" s="550"/>
      <c r="E255" s="533"/>
      <c r="F255" s="534" t="str">
        <f>IFERROR(__xludf.DUMMYFUNCTION("""COMPUTED_VALUE"""),"アームホール(長袖)")</f>
        <v>アームホール(長袖)</v>
      </c>
      <c r="G255" s="550" t="str">
        <f>IFERROR(__xludf.DUMMYFUNCTION("""COMPUTED_VALUE"""),"アームホール(長袖)")</f>
        <v>アームホール(長袖)</v>
      </c>
      <c r="H255" s="572" t="str">
        <f>IFERROR(__xludf.DUMMYFUNCTION("""COMPUTED_VALUE"""),"-1")</f>
        <v>-1</v>
      </c>
      <c r="I255" s="537"/>
      <c r="J255" s="561" t="str">
        <f>IFERROR(__xludf.DUMMYFUNCTION("""COMPUTED_VALUE"""),"再製作")</f>
        <v>再製作</v>
      </c>
      <c r="K255" s="561" t="str">
        <f>IFERROR(__xludf.DUMMYFUNCTION("""COMPUTED_VALUE"""),"再製作")</f>
        <v>再製作</v>
      </c>
      <c r="L255" s="539" t="str">
        <f>IFERROR(__xludf.DUMMYFUNCTION("""COMPUTED_VALUE"""),"再製作")</f>
        <v>再製作</v>
      </c>
      <c r="M255" s="540" t="str">
        <f>IFERROR(__xludf.DUMMYFUNCTION("""COMPUTED_VALUE"""),"再製作")</f>
        <v>再製作</v>
      </c>
      <c r="N255" s="561" t="str">
        <f>IFERROR(__xludf.DUMMYFUNCTION("""COMPUTED_VALUE"""),"再製作")</f>
        <v>再製作</v>
      </c>
      <c r="O255" s="632" t="str">
        <f>IFERROR(__xludf.DUMMYFUNCTION("""COMPUTED_VALUE"""),"再製作")</f>
        <v>再製作</v>
      </c>
      <c r="P255" s="594">
        <f>IFERROR(__xludf.DUMMYFUNCTION("""COMPUTED_VALUE"""),2500.0)</f>
        <v>2500</v>
      </c>
      <c r="Q255" s="183"/>
      <c r="R255" s="544"/>
      <c r="S255" s="544"/>
      <c r="T255" s="544"/>
      <c r="U255" s="544"/>
      <c r="V255" s="544"/>
      <c r="W255" s="544"/>
      <c r="X255" s="544"/>
      <c r="Y255" s="544"/>
      <c r="Z255" s="544"/>
      <c r="AA255" s="544"/>
      <c r="AB255" s="544"/>
      <c r="AC255" s="544"/>
      <c r="AD255" s="544"/>
      <c r="AE255" s="183"/>
      <c r="AF255" s="183"/>
      <c r="AG255" s="183"/>
      <c r="AH255" s="183"/>
      <c r="AI255" s="183"/>
      <c r="AJ255" s="183"/>
      <c r="AK255" s="183"/>
      <c r="AL255" s="183"/>
      <c r="AM255" s="183"/>
    </row>
    <row r="256" hidden="1">
      <c r="A256" s="531" t="str">
        <f>IFERROR(__xludf.DUMMYFUNCTION("""COMPUTED_VALUE"""),"サイズ")</f>
        <v>サイズ</v>
      </c>
      <c r="B256" s="531" t="str">
        <f>IFERROR(__xludf.DUMMYFUNCTION("""COMPUTED_VALUE"""),"シャツ (フォーマル / タックアウト)")</f>
        <v>シャツ (フォーマル / タックアウト)</v>
      </c>
      <c r="C256" s="532" t="str">
        <f>IFERROR(__xludf.DUMMYFUNCTION("""COMPUTED_VALUE"""),"アームホール(長袖)")</f>
        <v>アームホール(長袖)</v>
      </c>
      <c r="D256" s="550"/>
      <c r="E256" s="533"/>
      <c r="F256" s="534" t="str">
        <f>IFERROR(__xludf.DUMMYFUNCTION("""COMPUTED_VALUE"""),"アームホール(長袖)")</f>
        <v>アームホール(長袖)</v>
      </c>
      <c r="G256" s="550" t="str">
        <f>IFERROR(__xludf.DUMMYFUNCTION("""COMPUTED_VALUE"""),"アームホール(長袖)")</f>
        <v>アームホール(長袖)</v>
      </c>
      <c r="H256" s="572" t="str">
        <f>IFERROR(__xludf.DUMMYFUNCTION("""COMPUTED_VALUE"""),"-0.5")</f>
        <v>-0.5</v>
      </c>
      <c r="I256" s="537"/>
      <c r="J256" s="561" t="str">
        <f>IFERROR(__xludf.DUMMYFUNCTION("""COMPUTED_VALUE"""),"再製作")</f>
        <v>再製作</v>
      </c>
      <c r="K256" s="561" t="str">
        <f>IFERROR(__xludf.DUMMYFUNCTION("""COMPUTED_VALUE"""),"再製作")</f>
        <v>再製作</v>
      </c>
      <c r="L256" s="539" t="str">
        <f>IFERROR(__xludf.DUMMYFUNCTION("""COMPUTED_VALUE"""),"再製作")</f>
        <v>再製作</v>
      </c>
      <c r="M256" s="540" t="str">
        <f>IFERROR(__xludf.DUMMYFUNCTION("""COMPUTED_VALUE"""),"再製作")</f>
        <v>再製作</v>
      </c>
      <c r="N256" s="561" t="str">
        <f>IFERROR(__xludf.DUMMYFUNCTION("""COMPUTED_VALUE"""),"再製作")</f>
        <v>再製作</v>
      </c>
      <c r="O256" s="632" t="str">
        <f>IFERROR(__xludf.DUMMYFUNCTION("""COMPUTED_VALUE"""),"再製作")</f>
        <v>再製作</v>
      </c>
      <c r="P256" s="594">
        <f>IFERROR(__xludf.DUMMYFUNCTION("""COMPUTED_VALUE"""),2500.0)</f>
        <v>2500</v>
      </c>
      <c r="Q256" s="183"/>
      <c r="R256" s="544"/>
      <c r="S256" s="544"/>
      <c r="T256" s="544"/>
      <c r="U256" s="544"/>
      <c r="V256" s="544"/>
      <c r="W256" s="544"/>
      <c r="X256" s="544"/>
      <c r="Y256" s="544"/>
      <c r="Z256" s="544"/>
      <c r="AA256" s="544"/>
      <c r="AB256" s="544"/>
      <c r="AC256" s="544"/>
      <c r="AD256" s="544"/>
      <c r="AE256" s="183"/>
      <c r="AF256" s="183"/>
      <c r="AG256" s="183"/>
      <c r="AH256" s="183"/>
      <c r="AI256" s="183"/>
      <c r="AJ256" s="183"/>
      <c r="AK256" s="183"/>
      <c r="AL256" s="183"/>
      <c r="AM256" s="183"/>
    </row>
    <row r="257" hidden="1">
      <c r="A257" s="531" t="str">
        <f>IFERROR(__xludf.DUMMYFUNCTION("""COMPUTED_VALUE"""),"サイズ")</f>
        <v>サイズ</v>
      </c>
      <c r="B257" s="531" t="str">
        <f>IFERROR(__xludf.DUMMYFUNCTION("""COMPUTED_VALUE"""),"シャツ (フォーマル / タックアウト)")</f>
        <v>シャツ (フォーマル / タックアウト)</v>
      </c>
      <c r="C257" s="532" t="str">
        <f>IFERROR(__xludf.DUMMYFUNCTION("""COMPUTED_VALUE"""),"アームホール(半袖)")</f>
        <v>アームホール(半袖)</v>
      </c>
      <c r="D257" s="550"/>
      <c r="E257" s="533"/>
      <c r="F257" s="534" t="str">
        <f>IFERROR(__xludf.DUMMYFUNCTION("""COMPUTED_VALUE"""),"アームホール(半袖)")</f>
        <v>アームホール(半袖)</v>
      </c>
      <c r="G257" s="550" t="str">
        <f>IFERROR(__xludf.DUMMYFUNCTION("""COMPUTED_VALUE"""),"アームホール(半袖)")</f>
        <v>アームホール(半袖)</v>
      </c>
      <c r="H257" s="572" t="str">
        <f>IFERROR(__xludf.DUMMYFUNCTION("""COMPUTED_VALUE"""),"-2")</f>
        <v>-2</v>
      </c>
      <c r="I257" s="537"/>
      <c r="J257" s="561" t="str">
        <f>IFERROR(__xludf.DUMMYFUNCTION("""COMPUTED_VALUE"""),"再製作")</f>
        <v>再製作</v>
      </c>
      <c r="K257" s="561" t="str">
        <f>IFERROR(__xludf.DUMMYFUNCTION("""COMPUTED_VALUE"""),"再製作")</f>
        <v>再製作</v>
      </c>
      <c r="L257" s="539" t="str">
        <f>IFERROR(__xludf.DUMMYFUNCTION("""COMPUTED_VALUE"""),"再製作")</f>
        <v>再製作</v>
      </c>
      <c r="M257" s="635" t="str">
        <f>IFERROR(__xludf.DUMMYFUNCTION("""COMPUTED_VALUE"""),"再製作")</f>
        <v>再製作</v>
      </c>
      <c r="N257" s="561" t="str">
        <f>IFERROR(__xludf.DUMMYFUNCTION("""COMPUTED_VALUE"""),"再製作")</f>
        <v>再製作</v>
      </c>
      <c r="O257" s="632" t="str">
        <f>IFERROR(__xludf.DUMMYFUNCTION("""COMPUTED_VALUE"""),"再製作")</f>
        <v>再製作</v>
      </c>
      <c r="P257" s="594">
        <f>IFERROR(__xludf.DUMMYFUNCTION("""COMPUTED_VALUE"""),2500.0)</f>
        <v>2500</v>
      </c>
      <c r="Q257" s="183"/>
      <c r="R257" s="544"/>
      <c r="S257" s="544"/>
      <c r="T257" s="544"/>
      <c r="U257" s="544"/>
      <c r="V257" s="544"/>
      <c r="W257" s="544"/>
      <c r="X257" s="544"/>
      <c r="Y257" s="544"/>
      <c r="Z257" s="544"/>
      <c r="AA257" s="544"/>
      <c r="AB257" s="544"/>
      <c r="AC257" s="544"/>
      <c r="AD257" s="544"/>
      <c r="AE257" s="183"/>
      <c r="AF257" s="183"/>
      <c r="AG257" s="183"/>
      <c r="AH257" s="183"/>
      <c r="AI257" s="183"/>
      <c r="AJ257" s="183"/>
      <c r="AK257" s="183"/>
      <c r="AL257" s="183"/>
      <c r="AM257" s="183"/>
    </row>
    <row r="258" hidden="1">
      <c r="A258" s="531" t="str">
        <f>IFERROR(__xludf.DUMMYFUNCTION("""COMPUTED_VALUE"""),"サイズ")</f>
        <v>サイズ</v>
      </c>
      <c r="B258" s="531" t="str">
        <f>IFERROR(__xludf.DUMMYFUNCTION("""COMPUTED_VALUE"""),"シャツ (フォーマル / タックアウト)")</f>
        <v>シャツ (フォーマル / タックアウト)</v>
      </c>
      <c r="C258" s="532" t="str">
        <f>IFERROR(__xludf.DUMMYFUNCTION("""COMPUTED_VALUE"""),"アームホール(半袖)")</f>
        <v>アームホール(半袖)</v>
      </c>
      <c r="D258" s="550"/>
      <c r="E258" s="533"/>
      <c r="F258" s="534" t="str">
        <f>IFERROR(__xludf.DUMMYFUNCTION("""COMPUTED_VALUE"""),"アームホール(半袖)")</f>
        <v>アームホール(半袖)</v>
      </c>
      <c r="G258" s="550" t="str">
        <f>IFERROR(__xludf.DUMMYFUNCTION("""COMPUTED_VALUE"""),"アームホール(半袖)")</f>
        <v>アームホール(半袖)</v>
      </c>
      <c r="H258" s="572" t="str">
        <f>IFERROR(__xludf.DUMMYFUNCTION("""COMPUTED_VALUE"""),"-1")</f>
        <v>-1</v>
      </c>
      <c r="I258" s="537"/>
      <c r="J258" s="561" t="str">
        <f>IFERROR(__xludf.DUMMYFUNCTION("""COMPUTED_VALUE"""),"再製作")</f>
        <v>再製作</v>
      </c>
      <c r="K258" s="561" t="str">
        <f>IFERROR(__xludf.DUMMYFUNCTION("""COMPUTED_VALUE"""),"再製作")</f>
        <v>再製作</v>
      </c>
      <c r="L258" s="539" t="str">
        <f>IFERROR(__xludf.DUMMYFUNCTION("""COMPUTED_VALUE"""),"再製作")</f>
        <v>再製作</v>
      </c>
      <c r="M258" s="635" t="str">
        <f>IFERROR(__xludf.DUMMYFUNCTION("""COMPUTED_VALUE"""),"再製作")</f>
        <v>再製作</v>
      </c>
      <c r="N258" s="561" t="str">
        <f>IFERROR(__xludf.DUMMYFUNCTION("""COMPUTED_VALUE"""),"再製作")</f>
        <v>再製作</v>
      </c>
      <c r="O258" s="632" t="str">
        <f>IFERROR(__xludf.DUMMYFUNCTION("""COMPUTED_VALUE"""),"再製作")</f>
        <v>再製作</v>
      </c>
      <c r="P258" s="594">
        <f>IFERROR(__xludf.DUMMYFUNCTION("""COMPUTED_VALUE"""),2500.0)</f>
        <v>2500</v>
      </c>
      <c r="Q258" s="183"/>
      <c r="R258" s="544"/>
      <c r="S258" s="544"/>
      <c r="T258" s="544"/>
      <c r="U258" s="544"/>
      <c r="V258" s="544"/>
      <c r="W258" s="544"/>
      <c r="X258" s="544"/>
      <c r="Y258" s="544"/>
      <c r="Z258" s="544"/>
      <c r="AA258" s="544"/>
      <c r="AB258" s="544"/>
      <c r="AC258" s="544"/>
      <c r="AD258" s="544"/>
      <c r="AE258" s="183"/>
      <c r="AF258" s="183"/>
      <c r="AG258" s="183"/>
      <c r="AH258" s="183"/>
      <c r="AI258" s="183"/>
      <c r="AJ258" s="183"/>
      <c r="AK258" s="183"/>
      <c r="AL258" s="183"/>
      <c r="AM258" s="183"/>
    </row>
    <row r="259" hidden="1">
      <c r="A259" s="531" t="str">
        <f>IFERROR(__xludf.DUMMYFUNCTION("""COMPUTED_VALUE"""),"サイズ")</f>
        <v>サイズ</v>
      </c>
      <c r="B259" s="531" t="str">
        <f>IFERROR(__xludf.DUMMYFUNCTION("""COMPUTED_VALUE"""),"シャツ (フォーマル / タックアウト)")</f>
        <v>シャツ (フォーマル / タックアウト)</v>
      </c>
      <c r="C259" s="532" t="str">
        <f>IFERROR(__xludf.DUMMYFUNCTION("""COMPUTED_VALUE"""),"アームホール(半袖)")</f>
        <v>アームホール(半袖)</v>
      </c>
      <c r="D259" s="550"/>
      <c r="E259" s="533"/>
      <c r="F259" s="534" t="str">
        <f>IFERROR(__xludf.DUMMYFUNCTION("""COMPUTED_VALUE"""),"アームホール(半袖)")</f>
        <v>アームホール(半袖)</v>
      </c>
      <c r="G259" s="550" t="str">
        <f>IFERROR(__xludf.DUMMYFUNCTION("""COMPUTED_VALUE"""),"アームホール(半袖)")</f>
        <v>アームホール(半袖)</v>
      </c>
      <c r="H259" s="572" t="str">
        <f>IFERROR(__xludf.DUMMYFUNCTION("""COMPUTED_VALUE"""),"-0.5")</f>
        <v>-0.5</v>
      </c>
      <c r="I259" s="537"/>
      <c r="J259" s="561" t="str">
        <f>IFERROR(__xludf.DUMMYFUNCTION("""COMPUTED_VALUE"""),"再製作")</f>
        <v>再製作</v>
      </c>
      <c r="K259" s="561" t="str">
        <f>IFERROR(__xludf.DUMMYFUNCTION("""COMPUTED_VALUE"""),"再製作")</f>
        <v>再製作</v>
      </c>
      <c r="L259" s="539" t="str">
        <f>IFERROR(__xludf.DUMMYFUNCTION("""COMPUTED_VALUE"""),"再製作")</f>
        <v>再製作</v>
      </c>
      <c r="M259" s="635" t="str">
        <f>IFERROR(__xludf.DUMMYFUNCTION("""COMPUTED_VALUE"""),"再製作")</f>
        <v>再製作</v>
      </c>
      <c r="N259" s="561" t="str">
        <f>IFERROR(__xludf.DUMMYFUNCTION("""COMPUTED_VALUE"""),"再製作")</f>
        <v>再製作</v>
      </c>
      <c r="O259" s="636" t="str">
        <f>IFERROR(__xludf.DUMMYFUNCTION("""COMPUTED_VALUE"""),"再製作")</f>
        <v>再製作</v>
      </c>
      <c r="P259" s="633">
        <f>IFERROR(__xludf.DUMMYFUNCTION("""COMPUTED_VALUE"""),2500.0)</f>
        <v>2500</v>
      </c>
      <c r="Q259" s="11"/>
      <c r="R259" s="623"/>
      <c r="S259" s="623"/>
      <c r="T259" s="623"/>
      <c r="U259" s="623"/>
      <c r="V259" s="623"/>
      <c r="W259" s="623"/>
      <c r="X259" s="623"/>
      <c r="Y259" s="623"/>
      <c r="Z259" s="623"/>
      <c r="AA259" s="623"/>
      <c r="AB259" s="623"/>
      <c r="AC259" s="623"/>
      <c r="AD259" s="623"/>
      <c r="AE259" s="11"/>
      <c r="AF259" s="11"/>
      <c r="AG259" s="11"/>
      <c r="AH259" s="11"/>
      <c r="AI259" s="11"/>
      <c r="AJ259" s="11"/>
      <c r="AK259" s="11"/>
      <c r="AL259" s="11"/>
      <c r="AM259" s="11"/>
    </row>
    <row r="260" hidden="1">
      <c r="A260" s="531" t="str">
        <f>IFERROR(__xludf.DUMMYFUNCTION("""COMPUTED_VALUE"""),"サイズ")</f>
        <v>サイズ</v>
      </c>
      <c r="B260" s="531" t="str">
        <f>IFERROR(__xludf.DUMMYFUNCTION("""COMPUTED_VALUE"""),"シャツ (フォーマル / タックアウト)")</f>
        <v>シャツ (フォーマル / タックアウト)</v>
      </c>
      <c r="C260" s="531" t="str">
        <f>IFERROR(__xludf.DUMMYFUNCTION("""COMPUTED_VALUE"""),"着丈")</f>
        <v>着丈</v>
      </c>
      <c r="D260" s="550"/>
      <c r="E260" s="533"/>
      <c r="F260" s="534" t="str">
        <f>IFERROR(__xludf.DUMMYFUNCTION("""COMPUTED_VALUE"""),"着丈")</f>
        <v>着丈</v>
      </c>
      <c r="G260" s="550" t="str">
        <f>IFERROR(__xludf.DUMMYFUNCTION("""COMPUTED_VALUE"""),"着丈")</f>
        <v>着丈</v>
      </c>
      <c r="H260" s="572" t="str">
        <f>IFERROR(__xludf.DUMMYFUNCTION("""COMPUTED_VALUE"""),"-6")</f>
        <v>-6</v>
      </c>
      <c r="I260" s="537"/>
      <c r="J260" s="538">
        <f>IFERROR(__xludf.DUMMYFUNCTION("""COMPUTED_VALUE"""),7.0)</f>
        <v>7</v>
      </c>
      <c r="K260" s="537">
        <f>IFERROR(__xludf.DUMMYFUNCTION("""COMPUTED_VALUE"""),46000.0)</f>
        <v>46000</v>
      </c>
      <c r="L260" s="539">
        <f>IFERROR(__xludf.DUMMYFUNCTION("""COMPUTED_VALUE"""),46003.0)</f>
        <v>46003</v>
      </c>
      <c r="M260" s="635">
        <f>IFERROR(__xludf.DUMMYFUNCTION("""COMPUTED_VALUE"""),46008.0)</f>
        <v>46008</v>
      </c>
      <c r="N260" s="539">
        <f>IFERROR(__xludf.DUMMYFUNCTION("""COMPUTED_VALUE"""),5280.0)</f>
        <v>5280</v>
      </c>
      <c r="O260" s="593">
        <f>IFERROR(__xludf.DUMMYFUNCTION("""COMPUTED_VALUE"""),4800.0)</f>
        <v>4800</v>
      </c>
      <c r="P260" s="594">
        <f>IFERROR(__xludf.DUMMYFUNCTION("""COMPUTED_VALUE"""),4000.0)</f>
        <v>4000</v>
      </c>
      <c r="Q260" s="183"/>
      <c r="R260" s="544"/>
      <c r="S260" s="544"/>
      <c r="T260" s="544"/>
      <c r="U260" s="544"/>
      <c r="V260" s="544"/>
      <c r="W260" s="544"/>
      <c r="X260" s="544"/>
      <c r="Y260" s="544"/>
      <c r="Z260" s="544"/>
      <c r="AA260" s="544"/>
      <c r="AB260" s="544"/>
      <c r="AC260" s="544"/>
      <c r="AD260" s="544"/>
      <c r="AE260" s="183"/>
      <c r="AF260" s="183"/>
      <c r="AG260" s="183"/>
      <c r="AH260" s="183"/>
      <c r="AI260" s="183"/>
      <c r="AJ260" s="183"/>
      <c r="AK260" s="183"/>
      <c r="AL260" s="183"/>
      <c r="AM260" s="183"/>
    </row>
    <row r="261" hidden="1">
      <c r="A261" s="531" t="str">
        <f>IFERROR(__xludf.DUMMYFUNCTION("""COMPUTED_VALUE"""),"サイズ")</f>
        <v>サイズ</v>
      </c>
      <c r="B261" s="531" t="str">
        <f>IFERROR(__xludf.DUMMYFUNCTION("""COMPUTED_VALUE"""),"シャツ (フォーマル / タックアウト)")</f>
        <v>シャツ (フォーマル / タックアウト)</v>
      </c>
      <c r="C261" s="531" t="str">
        <f>IFERROR(__xludf.DUMMYFUNCTION("""COMPUTED_VALUE"""),"着丈")</f>
        <v>着丈</v>
      </c>
      <c r="D261" s="550"/>
      <c r="E261" s="533"/>
      <c r="F261" s="534" t="str">
        <f>IFERROR(__xludf.DUMMYFUNCTION("""COMPUTED_VALUE"""),"着丈")</f>
        <v>着丈</v>
      </c>
      <c r="G261" s="550" t="str">
        <f>IFERROR(__xludf.DUMMYFUNCTION("""COMPUTED_VALUE"""),"着丈")</f>
        <v>着丈</v>
      </c>
      <c r="H261" s="572" t="str">
        <f>IFERROR(__xludf.DUMMYFUNCTION("""COMPUTED_VALUE"""),"-5")</f>
        <v>-5</v>
      </c>
      <c r="I261" s="537"/>
      <c r="J261" s="538">
        <f>IFERROR(__xludf.DUMMYFUNCTION("""COMPUTED_VALUE"""),7.0)</f>
        <v>7</v>
      </c>
      <c r="K261" s="537">
        <f>IFERROR(__xludf.DUMMYFUNCTION("""COMPUTED_VALUE"""),46000.0)</f>
        <v>46000</v>
      </c>
      <c r="L261" s="539">
        <f>IFERROR(__xludf.DUMMYFUNCTION("""COMPUTED_VALUE"""),46003.0)</f>
        <v>46003</v>
      </c>
      <c r="M261" s="635">
        <f>IFERROR(__xludf.DUMMYFUNCTION("""COMPUTED_VALUE"""),46008.0)</f>
        <v>46008</v>
      </c>
      <c r="N261" s="539">
        <f>IFERROR(__xludf.DUMMYFUNCTION("""COMPUTED_VALUE"""),5280.0)</f>
        <v>5280</v>
      </c>
      <c r="O261" s="593">
        <f>IFERROR(__xludf.DUMMYFUNCTION("""COMPUTED_VALUE"""),4800.0)</f>
        <v>4800</v>
      </c>
      <c r="P261" s="594">
        <f>IFERROR(__xludf.DUMMYFUNCTION("""COMPUTED_VALUE"""),4000.0)</f>
        <v>4000</v>
      </c>
      <c r="Q261" s="183"/>
      <c r="R261" s="544"/>
      <c r="S261" s="544"/>
      <c r="T261" s="544"/>
      <c r="U261" s="544"/>
      <c r="V261" s="544"/>
      <c r="W261" s="544"/>
      <c r="X261" s="544"/>
      <c r="Y261" s="544"/>
      <c r="Z261" s="544"/>
      <c r="AA261" s="544"/>
      <c r="AB261" s="544"/>
      <c r="AC261" s="544"/>
      <c r="AD261" s="544"/>
      <c r="AE261" s="183"/>
      <c r="AF261" s="183"/>
      <c r="AG261" s="183"/>
      <c r="AH261" s="183"/>
      <c r="AI261" s="183"/>
      <c r="AJ261" s="183"/>
      <c r="AK261" s="183"/>
      <c r="AL261" s="183"/>
      <c r="AM261" s="183"/>
    </row>
    <row r="262" hidden="1">
      <c r="A262" s="531" t="str">
        <f>IFERROR(__xludf.DUMMYFUNCTION("""COMPUTED_VALUE"""),"サイズ")</f>
        <v>サイズ</v>
      </c>
      <c r="B262" s="531" t="str">
        <f>IFERROR(__xludf.DUMMYFUNCTION("""COMPUTED_VALUE"""),"シャツ (フォーマル / タックアウト)")</f>
        <v>シャツ (フォーマル / タックアウト)</v>
      </c>
      <c r="C262" s="531" t="str">
        <f>IFERROR(__xludf.DUMMYFUNCTION("""COMPUTED_VALUE"""),"着丈")</f>
        <v>着丈</v>
      </c>
      <c r="D262" s="550"/>
      <c r="E262" s="533"/>
      <c r="F262" s="534" t="str">
        <f>IFERROR(__xludf.DUMMYFUNCTION("""COMPUTED_VALUE"""),"着丈")</f>
        <v>着丈</v>
      </c>
      <c r="G262" s="550" t="str">
        <f>IFERROR(__xludf.DUMMYFUNCTION("""COMPUTED_VALUE"""),"着丈")</f>
        <v>着丈</v>
      </c>
      <c r="H262" s="572" t="str">
        <f>IFERROR(__xludf.DUMMYFUNCTION("""COMPUTED_VALUE"""),"-4")</f>
        <v>-4</v>
      </c>
      <c r="I262" s="537"/>
      <c r="J262" s="538">
        <f>IFERROR(__xludf.DUMMYFUNCTION("""COMPUTED_VALUE"""),7.0)</f>
        <v>7</v>
      </c>
      <c r="K262" s="537">
        <f>IFERROR(__xludf.DUMMYFUNCTION("""COMPUTED_VALUE"""),46000.0)</f>
        <v>46000</v>
      </c>
      <c r="L262" s="539">
        <f>IFERROR(__xludf.DUMMYFUNCTION("""COMPUTED_VALUE"""),46003.0)</f>
        <v>46003</v>
      </c>
      <c r="M262" s="540">
        <f>IFERROR(__xludf.DUMMYFUNCTION("""COMPUTED_VALUE"""),46008.0)</f>
        <v>46008</v>
      </c>
      <c r="N262" s="539">
        <f>IFERROR(__xludf.DUMMYFUNCTION("""COMPUTED_VALUE"""),5280.0)</f>
        <v>5280</v>
      </c>
      <c r="O262" s="593">
        <f>IFERROR(__xludf.DUMMYFUNCTION("""COMPUTED_VALUE"""),4800.0)</f>
        <v>4800</v>
      </c>
      <c r="P262" s="594">
        <f>IFERROR(__xludf.DUMMYFUNCTION("""COMPUTED_VALUE"""),4000.0)</f>
        <v>4000</v>
      </c>
      <c r="Q262" s="183"/>
      <c r="R262" s="544"/>
      <c r="S262" s="544"/>
      <c r="T262" s="544"/>
      <c r="U262" s="544"/>
      <c r="V262" s="544"/>
      <c r="W262" s="544"/>
      <c r="X262" s="544"/>
      <c r="Y262" s="544"/>
      <c r="Z262" s="544"/>
      <c r="AA262" s="544"/>
      <c r="AB262" s="544"/>
      <c r="AC262" s="544"/>
      <c r="AD262" s="544"/>
      <c r="AE262" s="183"/>
      <c r="AF262" s="183"/>
      <c r="AG262" s="183"/>
      <c r="AH262" s="183"/>
      <c r="AI262" s="183"/>
      <c r="AJ262" s="183"/>
      <c r="AK262" s="183"/>
      <c r="AL262" s="183"/>
      <c r="AM262" s="183"/>
    </row>
    <row r="263" hidden="1">
      <c r="A263" s="531" t="str">
        <f>IFERROR(__xludf.DUMMYFUNCTION("""COMPUTED_VALUE"""),"サイズ")</f>
        <v>サイズ</v>
      </c>
      <c r="B263" s="531" t="str">
        <f>IFERROR(__xludf.DUMMYFUNCTION("""COMPUTED_VALUE"""),"シャツ (フォーマル / タックアウト)")</f>
        <v>シャツ (フォーマル / タックアウト)</v>
      </c>
      <c r="C263" s="531" t="str">
        <f>IFERROR(__xludf.DUMMYFUNCTION("""COMPUTED_VALUE"""),"着丈")</f>
        <v>着丈</v>
      </c>
      <c r="D263" s="550"/>
      <c r="E263" s="533"/>
      <c r="F263" s="534" t="str">
        <f>IFERROR(__xludf.DUMMYFUNCTION("""COMPUTED_VALUE"""),"着丈")</f>
        <v>着丈</v>
      </c>
      <c r="G263" s="550" t="str">
        <f>IFERROR(__xludf.DUMMYFUNCTION("""COMPUTED_VALUE"""),"着丈")</f>
        <v>着丈</v>
      </c>
      <c r="H263" s="572" t="str">
        <f>IFERROR(__xludf.DUMMYFUNCTION("""COMPUTED_VALUE"""),"-3")</f>
        <v>-3</v>
      </c>
      <c r="I263" s="537"/>
      <c r="J263" s="538">
        <f>IFERROR(__xludf.DUMMYFUNCTION("""COMPUTED_VALUE"""),7.0)</f>
        <v>7</v>
      </c>
      <c r="K263" s="537">
        <f>IFERROR(__xludf.DUMMYFUNCTION("""COMPUTED_VALUE"""),46000.0)</f>
        <v>46000</v>
      </c>
      <c r="L263" s="539">
        <f>IFERROR(__xludf.DUMMYFUNCTION("""COMPUTED_VALUE"""),46003.0)</f>
        <v>46003</v>
      </c>
      <c r="M263" s="540">
        <f>IFERROR(__xludf.DUMMYFUNCTION("""COMPUTED_VALUE"""),46008.0)</f>
        <v>46008</v>
      </c>
      <c r="N263" s="539">
        <f>IFERROR(__xludf.DUMMYFUNCTION("""COMPUTED_VALUE"""),5280.0)</f>
        <v>5280</v>
      </c>
      <c r="O263" s="593">
        <f>IFERROR(__xludf.DUMMYFUNCTION("""COMPUTED_VALUE"""),4800.0)</f>
        <v>4800</v>
      </c>
      <c r="P263" s="594">
        <f>IFERROR(__xludf.DUMMYFUNCTION("""COMPUTED_VALUE"""),4000.0)</f>
        <v>4000</v>
      </c>
      <c r="Q263" s="183"/>
      <c r="R263" s="544"/>
      <c r="S263" s="544"/>
      <c r="T263" s="544"/>
      <c r="U263" s="544"/>
      <c r="V263" s="544"/>
      <c r="W263" s="544"/>
      <c r="X263" s="544"/>
      <c r="Y263" s="544"/>
      <c r="Z263" s="544"/>
      <c r="AA263" s="544"/>
      <c r="AB263" s="544"/>
      <c r="AC263" s="544"/>
      <c r="AD263" s="544"/>
      <c r="AE263" s="183"/>
      <c r="AF263" s="183"/>
      <c r="AG263" s="183"/>
      <c r="AH263" s="183"/>
      <c r="AI263" s="183"/>
      <c r="AJ263" s="183"/>
      <c r="AK263" s="183"/>
      <c r="AL263" s="183"/>
      <c r="AM263" s="183"/>
    </row>
    <row r="264" hidden="1">
      <c r="A264" s="531" t="str">
        <f>IFERROR(__xludf.DUMMYFUNCTION("""COMPUTED_VALUE"""),"サイズ")</f>
        <v>サイズ</v>
      </c>
      <c r="B264" s="531" t="str">
        <f>IFERROR(__xludf.DUMMYFUNCTION("""COMPUTED_VALUE"""),"シャツ (フォーマル / タックアウト)")</f>
        <v>シャツ (フォーマル / タックアウト)</v>
      </c>
      <c r="C264" s="531" t="str">
        <f>IFERROR(__xludf.DUMMYFUNCTION("""COMPUTED_VALUE"""),"着丈")</f>
        <v>着丈</v>
      </c>
      <c r="D264" s="550"/>
      <c r="E264" s="533"/>
      <c r="F264" s="534" t="str">
        <f>IFERROR(__xludf.DUMMYFUNCTION("""COMPUTED_VALUE"""),"着丈")</f>
        <v>着丈</v>
      </c>
      <c r="G264" s="550" t="str">
        <f>IFERROR(__xludf.DUMMYFUNCTION("""COMPUTED_VALUE"""),"着丈")</f>
        <v>着丈</v>
      </c>
      <c r="H264" s="572" t="str">
        <f>IFERROR(__xludf.DUMMYFUNCTION("""COMPUTED_VALUE"""),"-2")</f>
        <v>-2</v>
      </c>
      <c r="I264" s="537"/>
      <c r="J264" s="538">
        <f>IFERROR(__xludf.DUMMYFUNCTION("""COMPUTED_VALUE"""),7.0)</f>
        <v>7</v>
      </c>
      <c r="K264" s="537">
        <f>IFERROR(__xludf.DUMMYFUNCTION("""COMPUTED_VALUE"""),46000.0)</f>
        <v>46000</v>
      </c>
      <c r="L264" s="539">
        <f>IFERROR(__xludf.DUMMYFUNCTION("""COMPUTED_VALUE"""),46003.0)</f>
        <v>46003</v>
      </c>
      <c r="M264" s="540">
        <f>IFERROR(__xludf.DUMMYFUNCTION("""COMPUTED_VALUE"""),46008.0)</f>
        <v>46008</v>
      </c>
      <c r="N264" s="539">
        <f>IFERROR(__xludf.DUMMYFUNCTION("""COMPUTED_VALUE"""),5280.0)</f>
        <v>5280</v>
      </c>
      <c r="O264" s="593">
        <f>IFERROR(__xludf.DUMMYFUNCTION("""COMPUTED_VALUE"""),4800.0)</f>
        <v>4800</v>
      </c>
      <c r="P264" s="594">
        <f>IFERROR(__xludf.DUMMYFUNCTION("""COMPUTED_VALUE"""),4000.0)</f>
        <v>4000</v>
      </c>
      <c r="Q264" s="183"/>
      <c r="R264" s="544"/>
      <c r="S264" s="544"/>
      <c r="T264" s="544"/>
      <c r="U264" s="544"/>
      <c r="V264" s="544"/>
      <c r="W264" s="544"/>
      <c r="X264" s="544"/>
      <c r="Y264" s="544"/>
      <c r="Z264" s="544"/>
      <c r="AA264" s="544"/>
      <c r="AB264" s="544"/>
      <c r="AC264" s="544"/>
      <c r="AD264" s="544"/>
      <c r="AE264" s="183"/>
      <c r="AF264" s="183"/>
      <c r="AG264" s="183"/>
      <c r="AH264" s="183"/>
      <c r="AI264" s="183"/>
      <c r="AJ264" s="183"/>
      <c r="AK264" s="183"/>
      <c r="AL264" s="183"/>
      <c r="AM264" s="183"/>
    </row>
    <row r="265">
      <c r="A265" s="531" t="str">
        <f>IFERROR(__xludf.DUMMYFUNCTION("""COMPUTED_VALUE"""),"サイズ")</f>
        <v>サイズ</v>
      </c>
      <c r="B265" s="531" t="str">
        <f>IFERROR(__xludf.DUMMYFUNCTION("""COMPUTED_VALUE"""),"シャツ (フォーマル / タックアウト)")</f>
        <v>シャツ (フォーマル / タックアウト)</v>
      </c>
      <c r="C265" s="531" t="str">
        <f>IFERROR(__xludf.DUMMYFUNCTION("""COMPUTED_VALUE"""),"着丈")</f>
        <v>着丈</v>
      </c>
      <c r="D265" s="550"/>
      <c r="E265" s="533"/>
      <c r="F265" s="534" t="str">
        <f>IFERROR(__xludf.DUMMYFUNCTION("""COMPUTED_VALUE"""),"着丈")</f>
        <v>着丈</v>
      </c>
      <c r="G265" s="550" t="str">
        <f>IFERROR(__xludf.DUMMYFUNCTION("""COMPUTED_VALUE"""),"着丈")</f>
        <v>着丈</v>
      </c>
      <c r="H265" s="572" t="str">
        <f>IFERROR(__xludf.DUMMYFUNCTION("""COMPUTED_VALUE"""),"-1")</f>
        <v>-1</v>
      </c>
      <c r="I265" s="537"/>
      <c r="J265" s="538">
        <f>IFERROR(__xludf.DUMMYFUNCTION("""COMPUTED_VALUE"""),7.0)</f>
        <v>7</v>
      </c>
      <c r="K265" s="537">
        <f>IFERROR(__xludf.DUMMYFUNCTION("""COMPUTED_VALUE"""),46000.0)</f>
        <v>46000</v>
      </c>
      <c r="L265" s="539">
        <f>IFERROR(__xludf.DUMMYFUNCTION("""COMPUTED_VALUE"""),46003.0)</f>
        <v>46003</v>
      </c>
      <c r="M265" s="540">
        <f>IFERROR(__xludf.DUMMYFUNCTION("""COMPUTED_VALUE"""),46008.0)</f>
        <v>46008</v>
      </c>
      <c r="N265" s="539">
        <f>IFERROR(__xludf.DUMMYFUNCTION("""COMPUTED_VALUE"""),5280.0)</f>
        <v>5280</v>
      </c>
      <c r="O265" s="593">
        <f>IFERROR(__xludf.DUMMYFUNCTION("""COMPUTED_VALUE"""),4800.0)</f>
        <v>4800</v>
      </c>
      <c r="P265" s="594">
        <f>IFERROR(__xludf.DUMMYFUNCTION("""COMPUTED_VALUE"""),4000.0)</f>
        <v>4000</v>
      </c>
      <c r="Q265" s="183"/>
      <c r="R265" s="544"/>
      <c r="S265" s="544"/>
      <c r="T265" s="544"/>
      <c r="U265" s="544"/>
      <c r="V265" s="544"/>
      <c r="W265" s="544"/>
      <c r="X265" s="544"/>
      <c r="Y265" s="544"/>
      <c r="Z265" s="544"/>
      <c r="AA265" s="544"/>
      <c r="AB265" s="544"/>
      <c r="AC265" s="544"/>
      <c r="AD265" s="544"/>
      <c r="AE265" s="183"/>
      <c r="AF265" s="183"/>
      <c r="AG265" s="183"/>
      <c r="AH265" s="183"/>
      <c r="AI265" s="183"/>
      <c r="AJ265" s="183"/>
      <c r="AK265" s="183"/>
      <c r="AL265" s="183"/>
      <c r="AM265" s="183"/>
    </row>
    <row r="266">
      <c r="A266" s="531" t="str">
        <f>IFERROR(__xludf.DUMMYFUNCTION("""COMPUTED_VALUE"""),"サイズ")</f>
        <v>サイズ</v>
      </c>
      <c r="B266" s="531" t="str">
        <f>IFERROR(__xludf.DUMMYFUNCTION("""COMPUTED_VALUE"""),"シャツ (フォーマル / タックアウト)")</f>
        <v>シャツ (フォーマル / タックアウト)</v>
      </c>
      <c r="C266" s="531" t="str">
        <f>IFERROR(__xludf.DUMMYFUNCTION("""COMPUTED_VALUE"""),"なで肩")</f>
        <v>なで肩</v>
      </c>
      <c r="D266" s="550"/>
      <c r="E266" s="533"/>
      <c r="F266" s="534" t="str">
        <f>IFERROR(__xludf.DUMMYFUNCTION("""COMPUTED_VALUE"""),"なで肩")</f>
        <v>なで肩</v>
      </c>
      <c r="G266" s="550" t="str">
        <f>IFERROR(__xludf.DUMMYFUNCTION("""COMPUTED_VALUE"""),"なで肩")</f>
        <v>なで肩</v>
      </c>
      <c r="H266" s="572" t="str">
        <f>IFERROR(__xludf.DUMMYFUNCTION("""COMPUTED_VALUE"""),"1")</f>
        <v>1</v>
      </c>
      <c r="I266" s="537"/>
      <c r="J266" s="538" t="str">
        <f>IFERROR(__xludf.DUMMYFUNCTION("""COMPUTED_VALUE"""),"再製作")</f>
        <v>再製作</v>
      </c>
      <c r="K266" s="538" t="str">
        <f>IFERROR(__xludf.DUMMYFUNCTION("""COMPUTED_VALUE"""),"再製作")</f>
        <v>再製作</v>
      </c>
      <c r="L266" s="539" t="str">
        <f>IFERROR(__xludf.DUMMYFUNCTION("""COMPUTED_VALUE"""),"再製作")</f>
        <v>再製作</v>
      </c>
      <c r="M266" s="540" t="str">
        <f>IFERROR(__xludf.DUMMYFUNCTION("""COMPUTED_VALUE"""),"再製作")</f>
        <v>再製作</v>
      </c>
      <c r="N266" s="538" t="str">
        <f>IFERROR(__xludf.DUMMYFUNCTION("""COMPUTED_VALUE"""),"再製作")</f>
        <v>再製作</v>
      </c>
      <c r="O266" s="183" t="str">
        <f>IFERROR(__xludf.DUMMYFUNCTION("""COMPUTED_VALUE"""),"再製作")</f>
        <v>再製作</v>
      </c>
      <c r="P266" s="183"/>
      <c r="Q266" s="183"/>
      <c r="R266" s="544"/>
      <c r="S266" s="544"/>
      <c r="T266" s="544"/>
      <c r="U266" s="544"/>
      <c r="V266" s="544"/>
      <c r="W266" s="544"/>
      <c r="X266" s="544"/>
      <c r="Y266" s="544"/>
      <c r="Z266" s="544"/>
      <c r="AA266" s="544"/>
      <c r="AB266" s="544"/>
      <c r="AC266" s="544"/>
      <c r="AD266" s="544"/>
      <c r="AE266" s="183"/>
      <c r="AF266" s="183"/>
      <c r="AG266" s="183"/>
      <c r="AH266" s="183"/>
      <c r="AI266" s="183"/>
      <c r="AJ266" s="183"/>
      <c r="AK266" s="183"/>
      <c r="AL266" s="183"/>
      <c r="AM266" s="183"/>
    </row>
    <row r="267">
      <c r="A267" s="531" t="str">
        <f>IFERROR(__xludf.DUMMYFUNCTION("""COMPUTED_VALUE"""),"サイズ")</f>
        <v>サイズ</v>
      </c>
      <c r="B267" s="531" t="str">
        <f>IFERROR(__xludf.DUMMYFUNCTION("""COMPUTED_VALUE"""),"シャツ (フォーマル / タックアウト)")</f>
        <v>シャツ (フォーマル / タックアウト)</v>
      </c>
      <c r="C267" s="531" t="str">
        <f>IFERROR(__xludf.DUMMYFUNCTION("""COMPUTED_VALUE"""),"怒り肩")</f>
        <v>怒り肩</v>
      </c>
      <c r="D267" s="550"/>
      <c r="E267" s="533"/>
      <c r="F267" s="534" t="str">
        <f>IFERROR(__xludf.DUMMYFUNCTION("""COMPUTED_VALUE"""),"怒り肩")</f>
        <v>怒り肩</v>
      </c>
      <c r="G267" s="550" t="str">
        <f>IFERROR(__xludf.DUMMYFUNCTION("""COMPUTED_VALUE"""),"怒り肩")</f>
        <v>怒り肩</v>
      </c>
      <c r="H267" s="572" t="str">
        <f>IFERROR(__xludf.DUMMYFUNCTION("""COMPUTED_VALUE"""),"1")</f>
        <v>1</v>
      </c>
      <c r="I267" s="537"/>
      <c r="J267" s="538" t="str">
        <f>IFERROR(__xludf.DUMMYFUNCTION("""COMPUTED_VALUE"""),"再製作")</f>
        <v>再製作</v>
      </c>
      <c r="K267" s="538" t="str">
        <f>IFERROR(__xludf.DUMMYFUNCTION("""COMPUTED_VALUE"""),"再製作")</f>
        <v>再製作</v>
      </c>
      <c r="L267" s="539" t="str">
        <f>IFERROR(__xludf.DUMMYFUNCTION("""COMPUTED_VALUE"""),"再製作")</f>
        <v>再製作</v>
      </c>
      <c r="M267" s="540" t="str">
        <f>IFERROR(__xludf.DUMMYFUNCTION("""COMPUTED_VALUE"""),"再製作")</f>
        <v>再製作</v>
      </c>
      <c r="N267" s="538" t="str">
        <f>IFERROR(__xludf.DUMMYFUNCTION("""COMPUTED_VALUE"""),"再製作")</f>
        <v>再製作</v>
      </c>
      <c r="O267" s="183" t="str">
        <f>IFERROR(__xludf.DUMMYFUNCTION("""COMPUTED_VALUE"""),"再製作")</f>
        <v>再製作</v>
      </c>
      <c r="P267" s="183"/>
      <c r="Q267" s="183"/>
      <c r="R267" s="544"/>
      <c r="S267" s="544"/>
      <c r="T267" s="544"/>
      <c r="U267" s="544"/>
      <c r="V267" s="544"/>
      <c r="W267" s="544"/>
      <c r="X267" s="544"/>
      <c r="Y267" s="544"/>
      <c r="Z267" s="544"/>
      <c r="AA267" s="544"/>
      <c r="AB267" s="544"/>
      <c r="AC267" s="544"/>
      <c r="AD267" s="544"/>
      <c r="AE267" s="183"/>
      <c r="AF267" s="183"/>
      <c r="AG267" s="183"/>
      <c r="AH267" s="183"/>
      <c r="AI267" s="183"/>
      <c r="AJ267" s="183"/>
      <c r="AK267" s="183"/>
      <c r="AL267" s="183"/>
      <c r="AM267" s="183"/>
    </row>
    <row r="268">
      <c r="A268" s="531" t="str">
        <f>IFERROR(__xludf.DUMMYFUNCTION("""COMPUTED_VALUE"""),"サイズ")</f>
        <v>サイズ</v>
      </c>
      <c r="B268" s="531" t="str">
        <f>IFERROR(__xludf.DUMMYFUNCTION("""COMPUTED_VALUE"""),"シャツ (フォーマル / タックアウト)")</f>
        <v>シャツ (フォーマル / タックアウト)</v>
      </c>
      <c r="C268" s="531" t="str">
        <f>IFERROR(__xludf.DUMMYFUNCTION("""COMPUTED_VALUE"""),"反身")</f>
        <v>反身</v>
      </c>
      <c r="D268" s="550"/>
      <c r="E268" s="533"/>
      <c r="F268" s="534" t="str">
        <f>IFERROR(__xludf.DUMMYFUNCTION("""COMPUTED_VALUE"""),"反身")</f>
        <v>反身</v>
      </c>
      <c r="G268" s="550" t="str">
        <f>IFERROR(__xludf.DUMMYFUNCTION("""COMPUTED_VALUE"""),"反身")</f>
        <v>反身</v>
      </c>
      <c r="H268" s="572" t="str">
        <f>IFERROR(__xludf.DUMMYFUNCTION("""COMPUTED_VALUE"""),"1")</f>
        <v>1</v>
      </c>
      <c r="I268" s="537"/>
      <c r="J268" s="538" t="str">
        <f>IFERROR(__xludf.DUMMYFUNCTION("""COMPUTED_VALUE"""),"再製作")</f>
        <v>再製作</v>
      </c>
      <c r="K268" s="538" t="str">
        <f>IFERROR(__xludf.DUMMYFUNCTION("""COMPUTED_VALUE"""),"再製作")</f>
        <v>再製作</v>
      </c>
      <c r="L268" s="539" t="str">
        <f>IFERROR(__xludf.DUMMYFUNCTION("""COMPUTED_VALUE"""),"再製作")</f>
        <v>再製作</v>
      </c>
      <c r="M268" s="540" t="str">
        <f>IFERROR(__xludf.DUMMYFUNCTION("""COMPUTED_VALUE"""),"再製作")</f>
        <v>再製作</v>
      </c>
      <c r="N268" s="538" t="str">
        <f>IFERROR(__xludf.DUMMYFUNCTION("""COMPUTED_VALUE"""),"再製作")</f>
        <v>再製作</v>
      </c>
      <c r="O268" s="183" t="str">
        <f>IFERROR(__xludf.DUMMYFUNCTION("""COMPUTED_VALUE"""),"再製作")</f>
        <v>再製作</v>
      </c>
      <c r="P268" s="183"/>
      <c r="Q268" s="183"/>
      <c r="R268" s="544"/>
      <c r="S268" s="544"/>
      <c r="T268" s="544"/>
      <c r="U268" s="544"/>
      <c r="V268" s="544"/>
      <c r="W268" s="544"/>
      <c r="X268" s="544"/>
      <c r="Y268" s="544"/>
      <c r="Z268" s="544"/>
      <c r="AA268" s="544"/>
      <c r="AB268" s="544"/>
      <c r="AC268" s="544"/>
      <c r="AD268" s="544"/>
      <c r="AE268" s="183"/>
      <c r="AF268" s="183"/>
      <c r="AG268" s="183"/>
      <c r="AH268" s="183"/>
      <c r="AI268" s="183"/>
      <c r="AJ268" s="183"/>
      <c r="AK268" s="183"/>
      <c r="AL268" s="183"/>
      <c r="AM268" s="183"/>
    </row>
    <row r="269">
      <c r="A269" s="531" t="str">
        <f>IFERROR(__xludf.DUMMYFUNCTION("""COMPUTED_VALUE"""),"縫製")</f>
        <v>縫製</v>
      </c>
      <c r="B269" s="531" t="str">
        <f>IFERROR(__xludf.DUMMYFUNCTION("""COMPUTED_VALUE"""),"シャツ (フォーマル / タックアウト)")</f>
        <v>シャツ (フォーマル / タックアウト)</v>
      </c>
      <c r="C269" s="531" t="str">
        <f>IFERROR(__xludf.DUMMYFUNCTION("""COMPUTED_VALUE"""),"再プレスのみ")</f>
        <v>再プレスのみ</v>
      </c>
      <c r="D269" s="550"/>
      <c r="E269" s="533"/>
      <c r="F269" s="534" t="str">
        <f>IFERROR(__xludf.DUMMYFUNCTION("""COMPUTED_VALUE"""),"再プレスのみ")</f>
        <v>再プレスのみ</v>
      </c>
      <c r="G269" s="550" t="str">
        <f>IFERROR(__xludf.DUMMYFUNCTION("""COMPUTED_VALUE"""),"再プレスのみ")</f>
        <v>再プレスのみ</v>
      </c>
      <c r="H269" s="536"/>
      <c r="I269" s="537" t="str">
        <f>IFERROR(__xludf.DUMMYFUNCTION("""COMPUTED_VALUE"""),"店舗/CS")</f>
        <v>店舗/CS</v>
      </c>
      <c r="J269" s="538"/>
      <c r="K269" s="538" t="str">
        <f>IFERROR(__xludf.DUMMYFUNCTION("""COMPUTED_VALUE"""),"3営業日前後")</f>
        <v>3営業日前後</v>
      </c>
      <c r="L269" s="539"/>
      <c r="M269" s="540"/>
      <c r="N269" s="539">
        <f>IFERROR(__xludf.DUMMYFUNCTION("""COMPUTED_VALUE"""),550.0)</f>
        <v>550</v>
      </c>
      <c r="O269" s="593">
        <f>IFERROR(__xludf.DUMMYFUNCTION("""COMPUTED_VALUE"""),500.0)</f>
        <v>500</v>
      </c>
      <c r="P269" s="594">
        <f>IFERROR(__xludf.DUMMYFUNCTION("""COMPUTED_VALUE"""),150.0)</f>
        <v>150</v>
      </c>
      <c r="Q269" s="183"/>
      <c r="R269" s="544"/>
      <c r="S269" s="544"/>
      <c r="T269" s="544"/>
      <c r="U269" s="544"/>
      <c r="V269" s="544"/>
      <c r="W269" s="544"/>
      <c r="X269" s="544"/>
      <c r="Y269" s="544"/>
      <c r="Z269" s="544"/>
      <c r="AA269" s="544"/>
      <c r="AB269" s="544"/>
      <c r="AC269" s="544"/>
      <c r="AD269" s="544"/>
      <c r="AE269" s="183"/>
      <c r="AF269" s="183"/>
      <c r="AG269" s="183"/>
      <c r="AH269" s="183"/>
      <c r="AI269" s="183"/>
      <c r="AJ269" s="183"/>
      <c r="AK269" s="183"/>
      <c r="AL269" s="183"/>
      <c r="AM269" s="183"/>
    </row>
    <row r="270">
      <c r="A270" s="531" t="str">
        <f>IFERROR(__xludf.DUMMYFUNCTION("""COMPUTED_VALUE"""),"縫製")</f>
        <v>縫製</v>
      </c>
      <c r="B270" s="531" t="str">
        <f>IFERROR(__xludf.DUMMYFUNCTION("""COMPUTED_VALUE"""),"シャツ (フォーマル / タックアウト)")</f>
        <v>シャツ (フォーマル / タックアウト)</v>
      </c>
      <c r="C270" s="531" t="str">
        <f>IFERROR(__xludf.DUMMYFUNCTION("""COMPUTED_VALUE"""),"ボタン購入のみ")</f>
        <v>ボタン購入のみ</v>
      </c>
      <c r="D270" s="550"/>
      <c r="E270" s="533" t="str">
        <f>IFERROR(__xludf.DUMMYFUNCTION("""COMPUTED_VALUE"""),"配送料不要")</f>
        <v>配送料不要</v>
      </c>
      <c r="F270" s="534" t="str">
        <f>IFERROR(__xludf.DUMMYFUNCTION("""COMPUTED_VALUE"""),"ボタン購入のみ")</f>
        <v>ボタン購入のみ</v>
      </c>
      <c r="G270" s="550" t="str">
        <f>IFERROR(__xludf.DUMMYFUNCTION("""COMPUTED_VALUE"""),"ボタン購入のみ（配送料不要）")</f>
        <v>ボタン購入のみ（配送料不要）</v>
      </c>
      <c r="H270" s="536"/>
      <c r="I270" s="537" t="str">
        <f>IFERROR(__xludf.DUMMYFUNCTION("""COMPUTED_VALUE"""),"店舗/CS")</f>
        <v>店舗/CS</v>
      </c>
      <c r="J270" s="538"/>
      <c r="K270" s="538" t="str">
        <f>IFERROR(__xludf.DUMMYFUNCTION("""COMPUTED_VALUE"""),"7営業日前後")</f>
        <v>7営業日前後</v>
      </c>
      <c r="L270" s="539"/>
      <c r="M270" s="540"/>
      <c r="N270" s="539">
        <f>IFERROR(__xludf.DUMMYFUNCTION("""COMPUTED_VALUE"""),1000.0)</f>
        <v>1000</v>
      </c>
      <c r="O270" s="593">
        <f>IFERROR(__xludf.DUMMYFUNCTION("""COMPUTED_VALUE"""),909.0)</f>
        <v>909</v>
      </c>
      <c r="P270" s="594" t="str">
        <f>IFERROR(__xludf.DUMMYFUNCTION("""COMPUTED_VALUE"""),"未定")</f>
        <v>未定</v>
      </c>
      <c r="Q270" s="183"/>
      <c r="R270" s="544"/>
      <c r="S270" s="544"/>
      <c r="T270" s="544"/>
      <c r="U270" s="544"/>
      <c r="V270" s="544"/>
      <c r="W270" s="544"/>
      <c r="X270" s="544"/>
      <c r="Y270" s="544"/>
      <c r="Z270" s="544"/>
      <c r="AA270" s="544"/>
      <c r="AB270" s="544"/>
      <c r="AC270" s="544"/>
      <c r="AD270" s="544"/>
      <c r="AE270" s="183"/>
      <c r="AF270" s="183"/>
      <c r="AG270" s="183"/>
      <c r="AH270" s="183"/>
      <c r="AI270" s="183"/>
      <c r="AJ270" s="183"/>
      <c r="AK270" s="183"/>
      <c r="AL270" s="183"/>
      <c r="AM270" s="183"/>
    </row>
    <row r="271" hidden="1">
      <c r="A271" s="531" t="str">
        <f>IFERROR(__xludf.DUMMYFUNCTION("""COMPUTED_VALUE"""),"縫製")</f>
        <v>縫製</v>
      </c>
      <c r="B271" s="531" t="str">
        <f>IFERROR(__xludf.DUMMYFUNCTION("""COMPUTED_VALUE"""),"シャツ (フォーマル / タックアウト)")</f>
        <v>シャツ (フォーマル / タックアウト)</v>
      </c>
      <c r="C271" s="531" t="str">
        <f>IFERROR(__xludf.DUMMYFUNCTION("""COMPUTED_VALUE"""),"ボタンお直し (購入＋つけ直し)")</f>
        <v>ボタンお直し (購入＋つけ直し)</v>
      </c>
      <c r="D271" s="550"/>
      <c r="E271" s="533"/>
      <c r="F271" s="534" t="str">
        <f>IFERROR(__xludf.DUMMYFUNCTION("""COMPUTED_VALUE"""),"ボタンお直し (購入＋つけ直し)")</f>
        <v>ボタンお直し (購入＋つけ直し)</v>
      </c>
      <c r="G271" s="550" t="str">
        <f>IFERROR(__xludf.DUMMYFUNCTION("""COMPUTED_VALUE"""),"ボタンお直し (購入＋つけ直し)")</f>
        <v>ボタンお直し (購入＋つけ直し)</v>
      </c>
      <c r="H271" s="536"/>
      <c r="I271" s="537" t="str">
        <f>IFERROR(__xludf.DUMMYFUNCTION("""COMPUTED_VALUE"""),"店舗/CS")</f>
        <v>店舗/CS</v>
      </c>
      <c r="J271" s="538"/>
      <c r="K271" s="538" t="str">
        <f>IFERROR(__xludf.DUMMYFUNCTION("""COMPUTED_VALUE"""),"約2週間")</f>
        <v>約2週間</v>
      </c>
      <c r="L271" s="539"/>
      <c r="M271" s="540"/>
      <c r="N271" s="539">
        <f>IFERROR(__xludf.DUMMYFUNCTION("""COMPUTED_VALUE"""),1650.0)</f>
        <v>1650</v>
      </c>
      <c r="O271" s="593">
        <f>IFERROR(__xludf.DUMMYFUNCTION("""COMPUTED_VALUE"""),1500.0)</f>
        <v>1500</v>
      </c>
      <c r="P271" s="594" t="str">
        <f>IFERROR(__xludf.DUMMYFUNCTION("""COMPUTED_VALUE"""),"未定")</f>
        <v>未定</v>
      </c>
      <c r="Q271" s="183"/>
      <c r="R271" s="544"/>
      <c r="S271" s="544"/>
      <c r="T271" s="544"/>
      <c r="U271" s="544"/>
      <c r="V271" s="544"/>
      <c r="W271" s="544"/>
      <c r="X271" s="544"/>
      <c r="Y271" s="544"/>
      <c r="Z271" s="544"/>
      <c r="AA271" s="544"/>
      <c r="AB271" s="544"/>
      <c r="AC271" s="544"/>
      <c r="AD271" s="544"/>
      <c r="AE271" s="183"/>
      <c r="AF271" s="183"/>
      <c r="AG271" s="183"/>
      <c r="AH271" s="183"/>
      <c r="AI271" s="183"/>
      <c r="AJ271" s="183"/>
      <c r="AK271" s="183"/>
      <c r="AL271" s="183"/>
      <c r="AM271" s="183"/>
    </row>
    <row r="272" hidden="1">
      <c r="A272" s="531" t="str">
        <f>IFERROR(__xludf.DUMMYFUNCTION("""COMPUTED_VALUE"""),"縫製")</f>
        <v>縫製</v>
      </c>
      <c r="B272" s="531" t="str">
        <f>IFERROR(__xludf.DUMMYFUNCTION("""COMPUTED_VALUE"""),"シャツ (フォーマル / タックアウト)")</f>
        <v>シャツ (フォーマル / タックアウト)</v>
      </c>
      <c r="C272" s="531" t="str">
        <f>IFERROR(__xludf.DUMMYFUNCTION("""COMPUTED_VALUE"""),"緩くなったボタンの付け直し")</f>
        <v>緩くなったボタンの付け直し</v>
      </c>
      <c r="D272" s="550"/>
      <c r="E272" s="533"/>
      <c r="F272" s="534" t="str">
        <f>IFERROR(__xludf.DUMMYFUNCTION("""COMPUTED_VALUE"""),"緩くなったボタンの付け直し")</f>
        <v>緩くなったボタンの付け直し</v>
      </c>
      <c r="G272" s="550" t="str">
        <f>IFERROR(__xludf.DUMMYFUNCTION("""COMPUTED_VALUE"""),"緩くなったボタンの付け直し")</f>
        <v>緩くなったボタンの付け直し</v>
      </c>
      <c r="H272" s="536"/>
      <c r="I272" s="537" t="str">
        <f>IFERROR(__xludf.DUMMYFUNCTION("""COMPUTED_VALUE"""),"店舗/CS")</f>
        <v>店舗/CS</v>
      </c>
      <c r="J272" s="538"/>
      <c r="K272" s="538" t="str">
        <f>IFERROR(__xludf.DUMMYFUNCTION("""COMPUTED_VALUE"""),"約2週間")</f>
        <v>約2週間</v>
      </c>
      <c r="L272" s="539"/>
      <c r="M272" s="540"/>
      <c r="N272" s="539">
        <f>IFERROR(__xludf.DUMMYFUNCTION("""COMPUTED_VALUE"""),660.0)</f>
        <v>660</v>
      </c>
      <c r="O272" s="593">
        <f>IFERROR(__xludf.DUMMYFUNCTION("""COMPUTED_VALUE"""),600.0)</f>
        <v>600</v>
      </c>
      <c r="P272" s="594">
        <f>IFERROR(__xludf.DUMMYFUNCTION("""COMPUTED_VALUE"""),120.0)</f>
        <v>120</v>
      </c>
      <c r="Q272" s="183"/>
      <c r="R272" s="544"/>
      <c r="S272" s="544"/>
      <c r="T272" s="544"/>
      <c r="U272" s="544"/>
      <c r="V272" s="544"/>
      <c r="W272" s="544"/>
      <c r="X272" s="544"/>
      <c r="Y272" s="544"/>
      <c r="Z272" s="544"/>
      <c r="AA272" s="544"/>
      <c r="AB272" s="544"/>
      <c r="AC272" s="544"/>
      <c r="AD272" s="544"/>
      <c r="AE272" s="183"/>
      <c r="AF272" s="183"/>
      <c r="AG272" s="183"/>
      <c r="AH272" s="183"/>
      <c r="AI272" s="183"/>
      <c r="AJ272" s="183"/>
      <c r="AK272" s="183"/>
      <c r="AL272" s="183"/>
      <c r="AM272" s="183"/>
    </row>
    <row r="273" hidden="1">
      <c r="A273" s="531" t="str">
        <f>IFERROR(__xludf.DUMMYFUNCTION("""COMPUTED_VALUE"""),"サイズ")</f>
        <v>サイズ</v>
      </c>
      <c r="B273" s="531" t="str">
        <f>IFERROR(__xludf.DUMMYFUNCTION("""COMPUTED_VALUE"""),"シャツ (フォーマル / タックアウト)")</f>
        <v>シャツ (フォーマル / タックアウト)</v>
      </c>
      <c r="C273" s="531" t="str">
        <f>IFERROR(__xludf.DUMMYFUNCTION("""COMPUTED_VALUE"""),"屈身")</f>
        <v>屈身</v>
      </c>
      <c r="D273" s="550"/>
      <c r="E273" s="533"/>
      <c r="F273" s="534" t="str">
        <f>IFERROR(__xludf.DUMMYFUNCTION("""COMPUTED_VALUE"""),"屈身")</f>
        <v>屈身</v>
      </c>
      <c r="G273" s="550" t="str">
        <f>IFERROR(__xludf.DUMMYFUNCTION("""COMPUTED_VALUE"""),"屈身")</f>
        <v>屈身</v>
      </c>
      <c r="H273" s="572" t="str">
        <f>IFERROR(__xludf.DUMMYFUNCTION("""COMPUTED_VALUE"""),"1")</f>
        <v>1</v>
      </c>
      <c r="I273" s="537"/>
      <c r="J273" s="538" t="str">
        <f>IFERROR(__xludf.DUMMYFUNCTION("""COMPUTED_VALUE"""),"再製作")</f>
        <v>再製作</v>
      </c>
      <c r="K273" s="538" t="str">
        <f>IFERROR(__xludf.DUMMYFUNCTION("""COMPUTED_VALUE"""),"再製作")</f>
        <v>再製作</v>
      </c>
      <c r="L273" s="539" t="str">
        <f>IFERROR(__xludf.DUMMYFUNCTION("""COMPUTED_VALUE"""),"再製作")</f>
        <v>再製作</v>
      </c>
      <c r="M273" s="540" t="str">
        <f>IFERROR(__xludf.DUMMYFUNCTION("""COMPUTED_VALUE"""),"再製作")</f>
        <v>再製作</v>
      </c>
      <c r="N273" s="538" t="str">
        <f>IFERROR(__xludf.DUMMYFUNCTION("""COMPUTED_VALUE"""),"再製作")</f>
        <v>再製作</v>
      </c>
      <c r="O273" s="183" t="str">
        <f>IFERROR(__xludf.DUMMYFUNCTION("""COMPUTED_VALUE"""),"再製作")</f>
        <v>再製作</v>
      </c>
      <c r="P273" s="183"/>
      <c r="Q273" s="183"/>
      <c r="R273" s="544"/>
      <c r="S273" s="544"/>
      <c r="T273" s="544"/>
      <c r="U273" s="544"/>
      <c r="V273" s="544"/>
      <c r="W273" s="544"/>
      <c r="X273" s="544"/>
      <c r="Y273" s="544"/>
      <c r="Z273" s="544"/>
      <c r="AA273" s="544"/>
      <c r="AB273" s="544"/>
      <c r="AC273" s="544"/>
      <c r="AD273" s="544"/>
      <c r="AE273" s="183"/>
      <c r="AF273" s="183"/>
      <c r="AG273" s="183"/>
      <c r="AH273" s="183"/>
      <c r="AI273" s="183"/>
      <c r="AJ273" s="183"/>
      <c r="AK273" s="183"/>
      <c r="AL273" s="183"/>
      <c r="AM273" s="183"/>
    </row>
    <row r="274" hidden="1">
      <c r="A274" s="531" t="str">
        <f>IFERROR(__xludf.DUMMYFUNCTION("""COMPUTED_VALUE"""),"サイズ")</f>
        <v>サイズ</v>
      </c>
      <c r="B274" s="531" t="str">
        <f>IFERROR(__xludf.DUMMYFUNCTION("""COMPUTED_VALUE"""),"シャツ (フォーマル / タックアウト)")</f>
        <v>シャツ (フォーマル / タックアウト)</v>
      </c>
      <c r="C274" s="531" t="str">
        <f>IFERROR(__xludf.DUMMYFUNCTION("""COMPUTED_VALUE"""),"前丈前幅")</f>
        <v>前丈前幅</v>
      </c>
      <c r="D274" s="550"/>
      <c r="E274" s="533"/>
      <c r="F274" s="534" t="str">
        <f>IFERROR(__xludf.DUMMYFUNCTION("""COMPUTED_VALUE"""),"前丈前幅")</f>
        <v>前丈前幅</v>
      </c>
      <c r="G274" s="550" t="str">
        <f>IFERROR(__xludf.DUMMYFUNCTION("""COMPUTED_VALUE"""),"前丈前幅")</f>
        <v>前丈前幅</v>
      </c>
      <c r="H274" s="572" t="str">
        <f>IFERROR(__xludf.DUMMYFUNCTION("""COMPUTED_VALUE"""),"1")</f>
        <v>1</v>
      </c>
      <c r="I274" s="536"/>
      <c r="J274" s="538" t="str">
        <f>IFERROR(__xludf.DUMMYFUNCTION("""COMPUTED_VALUE"""),"再製作")</f>
        <v>再製作</v>
      </c>
      <c r="K274" s="538" t="str">
        <f>IFERROR(__xludf.DUMMYFUNCTION("""COMPUTED_VALUE"""),"再製作")</f>
        <v>再製作</v>
      </c>
      <c r="L274" s="539" t="str">
        <f>IFERROR(__xludf.DUMMYFUNCTION("""COMPUTED_VALUE"""),"再製作")</f>
        <v>再製作</v>
      </c>
      <c r="M274" s="540" t="str">
        <f>IFERROR(__xludf.DUMMYFUNCTION("""COMPUTED_VALUE"""),"再製作")</f>
        <v>再製作</v>
      </c>
      <c r="N274" s="538" t="str">
        <f>IFERROR(__xludf.DUMMYFUNCTION("""COMPUTED_VALUE"""),"再製作")</f>
        <v>再製作</v>
      </c>
      <c r="O274" s="183" t="str">
        <f>IFERROR(__xludf.DUMMYFUNCTION("""COMPUTED_VALUE"""),"再製作")</f>
        <v>再製作</v>
      </c>
      <c r="P274" s="183"/>
      <c r="Q274" s="183"/>
      <c r="R274" s="544"/>
      <c r="S274" s="544"/>
      <c r="T274" s="544"/>
      <c r="U274" s="544"/>
      <c r="V274" s="544"/>
      <c r="W274" s="544"/>
      <c r="X274" s="544"/>
      <c r="Y274" s="544"/>
      <c r="Z274" s="544"/>
      <c r="AA274" s="544"/>
      <c r="AB274" s="544"/>
      <c r="AC274" s="544"/>
      <c r="AD274" s="544"/>
      <c r="AE274" s="183"/>
      <c r="AF274" s="183"/>
      <c r="AG274" s="183"/>
      <c r="AH274" s="183"/>
      <c r="AI274" s="183"/>
      <c r="AJ274" s="183"/>
      <c r="AK274" s="183"/>
      <c r="AL274" s="183"/>
      <c r="AM274" s="183"/>
    </row>
    <row r="275" hidden="1">
      <c r="A275" s="531" t="str">
        <f>IFERROR(__xludf.DUMMYFUNCTION("""COMPUTED_VALUE"""),"サイズ")</f>
        <v>サイズ</v>
      </c>
      <c r="B275" s="531" t="str">
        <f>IFERROR(__xludf.DUMMYFUNCTION("""COMPUTED_VALUE"""),"ショートステンカラーコート")</f>
        <v>ショートステンカラーコート</v>
      </c>
      <c r="C275" s="532" t="str">
        <f>IFERROR(__xludf.DUMMYFUNCTION("""COMPUTED_VALUE"""),"仕上げプレス")</f>
        <v>仕上げプレス</v>
      </c>
      <c r="D275" s="550"/>
      <c r="E275" s="533"/>
      <c r="F275" s="534" t="str">
        <f>IFERROR(__xludf.DUMMYFUNCTION("""COMPUTED_VALUE"""),"仕上げプレス")</f>
        <v>仕上げプレス</v>
      </c>
      <c r="G275" s="550" t="str">
        <f>IFERROR(__xludf.DUMMYFUNCTION("""COMPUTED_VALUE"""),"仕上げプレス")</f>
        <v>仕上げプレス</v>
      </c>
      <c r="H275" s="536"/>
      <c r="I275" s="536" t="str">
        <f>IFERROR(__xludf.DUMMYFUNCTION("""COMPUTED_VALUE"""),"店舗/CS")</f>
        <v>店舗/CS</v>
      </c>
      <c r="J275" s="538"/>
      <c r="K275" s="538"/>
      <c r="L275" s="539"/>
      <c r="M275" s="540"/>
      <c r="N275" s="539">
        <f>IFERROR(__xludf.DUMMYFUNCTION("""COMPUTED_VALUE"""),770.0)</f>
        <v>770</v>
      </c>
      <c r="O275" s="593">
        <f>IFERROR(__xludf.DUMMYFUNCTION("""COMPUTED_VALUE"""),700.0)</f>
        <v>700</v>
      </c>
      <c r="P275" s="594">
        <f>IFERROR(__xludf.DUMMYFUNCTION("""COMPUTED_VALUE"""),350.0)</f>
        <v>350</v>
      </c>
      <c r="Q275" s="183"/>
      <c r="R275" s="544"/>
      <c r="S275" s="544"/>
      <c r="T275" s="544"/>
      <c r="U275" s="544"/>
      <c r="V275" s="544"/>
      <c r="W275" s="544"/>
      <c r="X275" s="544"/>
      <c r="Y275" s="544"/>
      <c r="Z275" s="544"/>
      <c r="AA275" s="544"/>
      <c r="AB275" s="544"/>
      <c r="AC275" s="544"/>
      <c r="AD275" s="544"/>
      <c r="AE275" s="183"/>
      <c r="AF275" s="183"/>
      <c r="AG275" s="183"/>
      <c r="AH275" s="183"/>
      <c r="AI275" s="183"/>
      <c r="AJ275" s="183"/>
      <c r="AK275" s="183"/>
      <c r="AL275" s="183"/>
      <c r="AM275" s="183"/>
    </row>
    <row r="276" hidden="1">
      <c r="A276" s="531" t="str">
        <f>IFERROR(__xludf.DUMMYFUNCTION("""COMPUTED_VALUE"""),"縫製")</f>
        <v>縫製</v>
      </c>
      <c r="B276" s="531" t="str">
        <f>IFERROR(__xludf.DUMMYFUNCTION("""COMPUTED_VALUE"""),"ショートステンカラーコート")</f>
        <v>ショートステンカラーコート</v>
      </c>
      <c r="C276" s="531" t="str">
        <f>IFERROR(__xludf.DUMMYFUNCTION("""COMPUTED_VALUE"""),"仕上げプレス")</f>
        <v>仕上げプレス</v>
      </c>
      <c r="D276" s="550"/>
      <c r="E276" s="533"/>
      <c r="F276" s="534" t="str">
        <f>IFERROR(__xludf.DUMMYFUNCTION("""COMPUTED_VALUE"""),"仕上げプレス")</f>
        <v>仕上げプレス</v>
      </c>
      <c r="G276" s="550" t="str">
        <f>IFERROR(__xludf.DUMMYFUNCTION("""COMPUTED_VALUE"""),"仕上げプレス")</f>
        <v>仕上げプレス</v>
      </c>
      <c r="H276" s="536"/>
      <c r="I276" s="536" t="str">
        <f>IFERROR(__xludf.DUMMYFUNCTION("""COMPUTED_VALUE"""),"店舗/CS")</f>
        <v>店舗/CS</v>
      </c>
      <c r="J276" s="538"/>
      <c r="K276" s="538"/>
      <c r="L276" s="539"/>
      <c r="M276" s="540"/>
      <c r="N276" s="539">
        <f>IFERROR(__xludf.DUMMYFUNCTION("""COMPUTED_VALUE"""),770.0)</f>
        <v>770</v>
      </c>
      <c r="O276" s="593">
        <f>IFERROR(__xludf.DUMMYFUNCTION("""COMPUTED_VALUE"""),700.0)</f>
        <v>700</v>
      </c>
      <c r="P276" s="594">
        <f>IFERROR(__xludf.DUMMYFUNCTION("""COMPUTED_VALUE"""),350.0)</f>
        <v>350</v>
      </c>
      <c r="Q276" s="183"/>
      <c r="R276" s="544"/>
      <c r="S276" s="544"/>
      <c r="T276" s="544"/>
      <c r="U276" s="544"/>
      <c r="V276" s="544"/>
      <c r="W276" s="544"/>
      <c r="X276" s="544"/>
      <c r="Y276" s="544"/>
      <c r="Z276" s="544"/>
      <c r="AA276" s="544"/>
      <c r="AB276" s="544"/>
      <c r="AC276" s="544"/>
      <c r="AD276" s="544"/>
      <c r="AE276" s="183"/>
      <c r="AF276" s="183"/>
      <c r="AG276" s="183"/>
      <c r="AH276" s="183"/>
      <c r="AI276" s="183"/>
      <c r="AJ276" s="183"/>
      <c r="AK276" s="183"/>
      <c r="AL276" s="183"/>
      <c r="AM276" s="183"/>
    </row>
    <row r="277" hidden="1">
      <c r="A277" s="531" t="str">
        <f>IFERROR(__xludf.DUMMYFUNCTION("""COMPUTED_VALUE"""),"サイズ")</f>
        <v>サイズ</v>
      </c>
      <c r="B277" s="531" t="str">
        <f>IFERROR(__xludf.DUMMYFUNCTION("""COMPUTED_VALUE"""),"ショートステンカラーコート")</f>
        <v>ショートステンカラーコート</v>
      </c>
      <c r="C277" s="531" t="str">
        <f>IFERROR(__xludf.DUMMYFUNCTION("""COMPUTED_VALUE"""),"肩巾")</f>
        <v>肩巾</v>
      </c>
      <c r="D277" s="550"/>
      <c r="E277" s="533"/>
      <c r="F277" s="534" t="str">
        <f>IFERROR(__xludf.DUMMYFUNCTION("""COMPUTED_VALUE"""),"肩巾")</f>
        <v>肩巾</v>
      </c>
      <c r="G277" s="550" t="str">
        <f>IFERROR(__xludf.DUMMYFUNCTION("""COMPUTED_VALUE"""),"肩巾")</f>
        <v>肩巾</v>
      </c>
      <c r="H277" s="536"/>
      <c r="I277" s="536"/>
      <c r="J277" s="561" t="str">
        <f>IFERROR(__xludf.DUMMYFUNCTION("""COMPUTED_VALUE"""),"再製作")</f>
        <v>再製作</v>
      </c>
      <c r="K277" s="561" t="str">
        <f>IFERROR(__xludf.DUMMYFUNCTION("""COMPUTED_VALUE"""),"再製作")</f>
        <v>再製作</v>
      </c>
      <c r="L277" s="539" t="str">
        <f>IFERROR(__xludf.DUMMYFUNCTION("""COMPUTED_VALUE"""),"再製作")</f>
        <v>再製作</v>
      </c>
      <c r="M277" s="540" t="str">
        <f>IFERROR(__xludf.DUMMYFUNCTION("""COMPUTED_VALUE"""),"再製作")</f>
        <v>再製作</v>
      </c>
      <c r="N277" s="538" t="str">
        <f>IFERROR(__xludf.DUMMYFUNCTION("""COMPUTED_VALUE"""),"再製作")</f>
        <v>再製作</v>
      </c>
      <c r="O277" s="183" t="str">
        <f>IFERROR(__xludf.DUMMYFUNCTION("""COMPUTED_VALUE"""),"再製作")</f>
        <v>再製作</v>
      </c>
      <c r="P277" s="183"/>
      <c r="Q277" s="183"/>
      <c r="R277" s="544"/>
      <c r="S277" s="544"/>
      <c r="T277" s="544"/>
      <c r="U277" s="544"/>
      <c r="V277" s="544"/>
      <c r="W277" s="544"/>
      <c r="X277" s="544"/>
      <c r="Y277" s="544"/>
      <c r="Z277" s="544"/>
      <c r="AA277" s="544"/>
      <c r="AB277" s="544"/>
      <c r="AC277" s="544"/>
      <c r="AD277" s="544"/>
      <c r="AE277" s="183"/>
      <c r="AF277" s="183"/>
      <c r="AG277" s="183"/>
      <c r="AH277" s="183"/>
      <c r="AI277" s="183"/>
      <c r="AJ277" s="183"/>
      <c r="AK277" s="183"/>
      <c r="AL277" s="183"/>
      <c r="AM277" s="183"/>
    </row>
    <row r="278" hidden="1">
      <c r="A278" s="531" t="str">
        <f>IFERROR(__xludf.DUMMYFUNCTION("""COMPUTED_VALUE"""),"サイズ")</f>
        <v>サイズ</v>
      </c>
      <c r="B278" s="531" t="str">
        <f>IFERROR(__xludf.DUMMYFUNCTION("""COMPUTED_VALUE"""),"ショートステンカラーコート")</f>
        <v>ショートステンカラーコート</v>
      </c>
      <c r="C278" s="531" t="str">
        <f>IFERROR(__xludf.DUMMYFUNCTION("""COMPUTED_VALUE"""),"バスト")</f>
        <v>バスト</v>
      </c>
      <c r="D278" s="550"/>
      <c r="E278" s="533"/>
      <c r="F278" s="534" t="str">
        <f>IFERROR(__xludf.DUMMYFUNCTION("""COMPUTED_VALUE"""),"バスト")</f>
        <v>バスト</v>
      </c>
      <c r="G278" s="550" t="str">
        <f>IFERROR(__xludf.DUMMYFUNCTION("""COMPUTED_VALUE"""),"バスト")</f>
        <v>バスト</v>
      </c>
      <c r="H278" s="536"/>
      <c r="I278" s="536"/>
      <c r="J278" s="561" t="str">
        <f>IFERROR(__xludf.DUMMYFUNCTION("""COMPUTED_VALUE"""),"再製作")</f>
        <v>再製作</v>
      </c>
      <c r="K278" s="561" t="str">
        <f>IFERROR(__xludf.DUMMYFUNCTION("""COMPUTED_VALUE"""),"再製作")</f>
        <v>再製作</v>
      </c>
      <c r="L278" s="539" t="str">
        <f>IFERROR(__xludf.DUMMYFUNCTION("""COMPUTED_VALUE"""),"再製作")</f>
        <v>再製作</v>
      </c>
      <c r="M278" s="540" t="str">
        <f>IFERROR(__xludf.DUMMYFUNCTION("""COMPUTED_VALUE"""),"再製作")</f>
        <v>再製作</v>
      </c>
      <c r="N278" s="538" t="str">
        <f>IFERROR(__xludf.DUMMYFUNCTION("""COMPUTED_VALUE"""),"再製作")</f>
        <v>再製作</v>
      </c>
      <c r="O278" s="183" t="str">
        <f>IFERROR(__xludf.DUMMYFUNCTION("""COMPUTED_VALUE"""),"再製作")</f>
        <v>再製作</v>
      </c>
      <c r="P278" s="594">
        <f>IFERROR(__xludf.DUMMYFUNCTION("""COMPUTED_VALUE"""),4500.0)</f>
        <v>4500</v>
      </c>
      <c r="Q278" s="183"/>
      <c r="R278" s="544"/>
      <c r="S278" s="544"/>
      <c r="T278" s="544"/>
      <c r="U278" s="544"/>
      <c r="V278" s="544"/>
      <c r="W278" s="544"/>
      <c r="X278" s="544"/>
      <c r="Y278" s="544"/>
      <c r="Z278" s="544"/>
      <c r="AA278" s="544"/>
      <c r="AB278" s="544"/>
      <c r="AC278" s="544"/>
      <c r="AD278" s="544"/>
      <c r="AE278" s="183"/>
      <c r="AF278" s="183"/>
      <c r="AG278" s="183"/>
      <c r="AH278" s="183"/>
      <c r="AI278" s="183"/>
      <c r="AJ278" s="183"/>
      <c r="AK278" s="183"/>
      <c r="AL278" s="183"/>
      <c r="AM278" s="183"/>
    </row>
    <row r="279" hidden="1">
      <c r="A279" s="531" t="str">
        <f>IFERROR(__xludf.DUMMYFUNCTION("""COMPUTED_VALUE"""),"サイズ")</f>
        <v>サイズ</v>
      </c>
      <c r="B279" s="531" t="str">
        <f>IFERROR(__xludf.DUMMYFUNCTION("""COMPUTED_VALUE"""),"ショートステンカラーコート")</f>
        <v>ショートステンカラーコート</v>
      </c>
      <c r="C279" s="531" t="str">
        <f>IFERROR(__xludf.DUMMYFUNCTION("""COMPUTED_VALUE"""),"ウエスト")</f>
        <v>ウエスト</v>
      </c>
      <c r="D279" s="550"/>
      <c r="E279" s="533" t="str">
        <f>IFERROR(__xludf.DUMMYFUNCTION("""COMPUTED_VALUE"""),"パターン限界値から ±4cmの範囲内で調整すること")</f>
        <v>パターン限界値から ±4cmの範囲内で調整すること</v>
      </c>
      <c r="F279" s="534" t="str">
        <f>IFERROR(__xludf.DUMMYFUNCTION("""COMPUTED_VALUE"""),"ウエスト")</f>
        <v>ウエスト</v>
      </c>
      <c r="G279" s="550" t="str">
        <f>IFERROR(__xludf.DUMMYFUNCTION("""COMPUTED_VALUE"""),"ウエスト（パターン限界値から ±4cmの範囲内で調整すること）")</f>
        <v>ウエスト（パターン限界値から ±4cmの範囲内で調整すること）</v>
      </c>
      <c r="H279" s="572" t="str">
        <f>IFERROR(__xludf.DUMMYFUNCTION("""COMPUTED_VALUE"""),"-6")</f>
        <v>-6</v>
      </c>
      <c r="I279" s="536"/>
      <c r="J279" s="538">
        <f>IFERROR(__xludf.DUMMYFUNCTION("""COMPUTED_VALUE"""),7.0)</f>
        <v>7</v>
      </c>
      <c r="K279" s="537">
        <f>IFERROR(__xludf.DUMMYFUNCTION("""COMPUTED_VALUE"""),46000.0)</f>
        <v>46000</v>
      </c>
      <c r="L279" s="539">
        <f>IFERROR(__xludf.DUMMYFUNCTION("""COMPUTED_VALUE"""),46003.0)</f>
        <v>46003</v>
      </c>
      <c r="M279" s="540">
        <f>IFERROR(__xludf.DUMMYFUNCTION("""COMPUTED_VALUE"""),46008.0)</f>
        <v>46008</v>
      </c>
      <c r="N279" s="539">
        <f>IFERROR(__xludf.DUMMYFUNCTION("""COMPUTED_VALUE"""),13200.0)</f>
        <v>13200</v>
      </c>
      <c r="O279" s="593">
        <f>IFERROR(__xludf.DUMMYFUNCTION("""COMPUTED_VALUE"""),12000.0)</f>
        <v>12000</v>
      </c>
      <c r="P279" s="594">
        <f>IFERROR(__xludf.DUMMYFUNCTION("""COMPUTED_VALUE"""),8000.0)</f>
        <v>8000</v>
      </c>
      <c r="Q279" s="183"/>
      <c r="R279" s="544"/>
      <c r="S279" s="544"/>
      <c r="T279" s="544"/>
      <c r="U279" s="544"/>
      <c r="V279" s="544"/>
      <c r="W279" s="544"/>
      <c r="X279" s="544"/>
      <c r="Y279" s="544"/>
      <c r="Z279" s="544"/>
      <c r="AA279" s="544"/>
      <c r="AB279" s="544"/>
      <c r="AC279" s="544"/>
      <c r="AD279" s="544"/>
      <c r="AE279" s="183"/>
      <c r="AF279" s="183"/>
      <c r="AG279" s="183"/>
      <c r="AH279" s="183"/>
      <c r="AI279" s="183"/>
      <c r="AJ279" s="183"/>
      <c r="AK279" s="183"/>
      <c r="AL279" s="183"/>
      <c r="AM279" s="183"/>
    </row>
    <row r="280" hidden="1">
      <c r="A280" s="611" t="str">
        <f>IFERROR(__xludf.DUMMYFUNCTION("""COMPUTED_VALUE"""),"サイズ")</f>
        <v>サイズ</v>
      </c>
      <c r="B280" s="612" t="str">
        <f>IFERROR(__xludf.DUMMYFUNCTION("""COMPUTED_VALUE"""),"ショートステンカラーコート")</f>
        <v>ショートステンカラーコート</v>
      </c>
      <c r="C280" s="531" t="str">
        <f>IFERROR(__xludf.DUMMYFUNCTION("""COMPUTED_VALUE"""),"ウエスト")</f>
        <v>ウエスト</v>
      </c>
      <c r="D280" s="616"/>
      <c r="E280" s="533" t="str">
        <f>IFERROR(__xludf.DUMMYFUNCTION("""COMPUTED_VALUE"""),"パターン限界値から ±4cmの範囲内で調整すること")</f>
        <v>パターン限界値から ±4cmの範囲内で調整すること</v>
      </c>
      <c r="F280" s="637" t="str">
        <f>IFERROR(__xludf.DUMMYFUNCTION("""COMPUTED_VALUE"""),"ウエスト")</f>
        <v>ウエスト</v>
      </c>
      <c r="G280" s="616" t="str">
        <f>IFERROR(__xludf.DUMMYFUNCTION("""COMPUTED_VALUE"""),"ウエスト（パターン限界値から ±4cmの範囲内で調整すること）")</f>
        <v>ウエスト（パターン限界値から ±4cmの範囲内で調整すること）</v>
      </c>
      <c r="H280" s="572" t="str">
        <f>IFERROR(__xludf.DUMMYFUNCTION("""COMPUTED_VALUE"""),"-5")</f>
        <v>-5</v>
      </c>
      <c r="I280" s="536"/>
      <c r="J280" s="620">
        <f>IFERROR(__xludf.DUMMYFUNCTION("""COMPUTED_VALUE"""),7.0)</f>
        <v>7</v>
      </c>
      <c r="K280" s="620">
        <f>IFERROR(__xludf.DUMMYFUNCTION("""COMPUTED_VALUE"""),46000.0)</f>
        <v>46000</v>
      </c>
      <c r="L280" s="621">
        <f>IFERROR(__xludf.DUMMYFUNCTION("""COMPUTED_VALUE"""),46003.0)</f>
        <v>46003</v>
      </c>
      <c r="M280" s="638">
        <f>IFERROR(__xludf.DUMMYFUNCTION("""COMPUTED_VALUE"""),46008.0)</f>
        <v>46008</v>
      </c>
      <c r="N280" s="639">
        <f>IFERROR(__xludf.DUMMYFUNCTION("""COMPUTED_VALUE"""),13200.0)</f>
        <v>13200</v>
      </c>
      <c r="O280" s="593">
        <f>IFERROR(__xludf.DUMMYFUNCTION("""COMPUTED_VALUE"""),12000.0)</f>
        <v>12000</v>
      </c>
      <c r="P280" s="594">
        <f>IFERROR(__xludf.DUMMYFUNCTION("""COMPUTED_VALUE"""),8000.0)</f>
        <v>8000</v>
      </c>
      <c r="Q280" s="183"/>
      <c r="R280" s="544"/>
      <c r="S280" s="544"/>
      <c r="T280" s="544"/>
      <c r="U280" s="544"/>
      <c r="V280" s="544"/>
      <c r="W280" s="544"/>
      <c r="X280" s="544"/>
      <c r="Y280" s="544"/>
      <c r="Z280" s="544"/>
      <c r="AA280" s="544"/>
      <c r="AB280" s="544"/>
      <c r="AC280" s="544"/>
      <c r="AD280" s="544"/>
      <c r="AE280" s="183"/>
      <c r="AF280" s="183"/>
      <c r="AG280" s="183"/>
      <c r="AH280" s="183"/>
      <c r="AI280" s="183"/>
      <c r="AJ280" s="183"/>
      <c r="AK280" s="183"/>
      <c r="AL280" s="183"/>
      <c r="AM280" s="183"/>
    </row>
    <row r="281" hidden="1">
      <c r="A281" s="531" t="str">
        <f>IFERROR(__xludf.DUMMYFUNCTION("""COMPUTED_VALUE"""),"サイズ")</f>
        <v>サイズ</v>
      </c>
      <c r="B281" s="531" t="str">
        <f>IFERROR(__xludf.DUMMYFUNCTION("""COMPUTED_VALUE"""),"ショートステンカラーコート")</f>
        <v>ショートステンカラーコート</v>
      </c>
      <c r="C281" s="531" t="str">
        <f>IFERROR(__xludf.DUMMYFUNCTION("""COMPUTED_VALUE"""),"ウエスト")</f>
        <v>ウエスト</v>
      </c>
      <c r="D281" s="533"/>
      <c r="E281" s="533" t="str">
        <f>IFERROR(__xludf.DUMMYFUNCTION("""COMPUTED_VALUE"""),"パターン限界値から ±4cmの範囲内で調整すること")</f>
        <v>パターン限界値から ±4cmの範囲内で調整すること</v>
      </c>
      <c r="F281" s="534" t="str">
        <f>IFERROR(__xludf.DUMMYFUNCTION("""COMPUTED_VALUE"""),"ウエスト")</f>
        <v>ウエスト</v>
      </c>
      <c r="G281" s="533" t="str">
        <f>IFERROR(__xludf.DUMMYFUNCTION("""COMPUTED_VALUE"""),"ウエスト（パターン限界値から ±4cmの範囲内で調整すること）")</f>
        <v>ウエスト（パターン限界値から ±4cmの範囲内で調整すること）</v>
      </c>
      <c r="H281" s="572" t="str">
        <f>IFERROR(__xludf.DUMMYFUNCTION("""COMPUTED_VALUE"""),"-4")</f>
        <v>-4</v>
      </c>
      <c r="I281" s="537"/>
      <c r="J281" s="538">
        <f>IFERROR(__xludf.DUMMYFUNCTION("""COMPUTED_VALUE"""),7.0)</f>
        <v>7</v>
      </c>
      <c r="K281" s="537">
        <f>IFERROR(__xludf.DUMMYFUNCTION("""COMPUTED_VALUE"""),46000.0)</f>
        <v>46000</v>
      </c>
      <c r="L281" s="539">
        <f>IFERROR(__xludf.DUMMYFUNCTION("""COMPUTED_VALUE"""),46003.0)</f>
        <v>46003</v>
      </c>
      <c r="M281" s="540">
        <f>IFERROR(__xludf.DUMMYFUNCTION("""COMPUTED_VALUE"""),46008.0)</f>
        <v>46008</v>
      </c>
      <c r="N281" s="539">
        <f>IFERROR(__xludf.DUMMYFUNCTION("""COMPUTED_VALUE"""),13200.0)</f>
        <v>13200</v>
      </c>
      <c r="O281" s="593">
        <f>IFERROR(__xludf.DUMMYFUNCTION("""COMPUTED_VALUE"""),12000.0)</f>
        <v>12000</v>
      </c>
      <c r="P281" s="594">
        <f>IFERROR(__xludf.DUMMYFUNCTION("""COMPUTED_VALUE"""),8000.0)</f>
        <v>8000</v>
      </c>
      <c r="Q281" s="183"/>
      <c r="R281" s="544"/>
      <c r="S281" s="544"/>
      <c r="T281" s="544"/>
      <c r="U281" s="544"/>
      <c r="V281" s="544"/>
      <c r="W281" s="544"/>
      <c r="X281" s="544"/>
      <c r="Y281" s="544"/>
      <c r="Z281" s="544"/>
      <c r="AA281" s="544"/>
      <c r="AB281" s="544"/>
      <c r="AC281" s="544"/>
      <c r="AD281" s="544"/>
      <c r="AE281" s="183"/>
      <c r="AF281" s="183"/>
      <c r="AG281" s="183"/>
      <c r="AH281" s="183"/>
      <c r="AI281" s="183"/>
      <c r="AJ281" s="183"/>
      <c r="AK281" s="183"/>
      <c r="AL281" s="183"/>
      <c r="AM281" s="183"/>
    </row>
    <row r="282" hidden="1">
      <c r="A282" s="531" t="str">
        <f>IFERROR(__xludf.DUMMYFUNCTION("""COMPUTED_VALUE"""),"サイズ")</f>
        <v>サイズ</v>
      </c>
      <c r="B282" s="531" t="str">
        <f>IFERROR(__xludf.DUMMYFUNCTION("""COMPUTED_VALUE"""),"ショートステンカラーコート")</f>
        <v>ショートステンカラーコート</v>
      </c>
      <c r="C282" s="531" t="str">
        <f>IFERROR(__xludf.DUMMYFUNCTION("""COMPUTED_VALUE"""),"ウエスト")</f>
        <v>ウエスト</v>
      </c>
      <c r="D282" s="533"/>
      <c r="E282" s="533" t="str">
        <f>IFERROR(__xludf.DUMMYFUNCTION("""COMPUTED_VALUE"""),"パターン限界値から ±4cmの範囲内で調整すること")</f>
        <v>パターン限界値から ±4cmの範囲内で調整すること</v>
      </c>
      <c r="F282" s="534" t="str">
        <f>IFERROR(__xludf.DUMMYFUNCTION("""COMPUTED_VALUE"""),"ウエスト")</f>
        <v>ウエスト</v>
      </c>
      <c r="G282" s="533" t="str">
        <f>IFERROR(__xludf.DUMMYFUNCTION("""COMPUTED_VALUE"""),"ウエスト（パターン限界値から ±4cmの範囲内で調整すること）")</f>
        <v>ウエスト（パターン限界値から ±4cmの範囲内で調整すること）</v>
      </c>
      <c r="H282" s="572" t="str">
        <f>IFERROR(__xludf.DUMMYFUNCTION("""COMPUTED_VALUE"""),"-3")</f>
        <v>-3</v>
      </c>
      <c r="I282" s="537"/>
      <c r="J282" s="538">
        <f>IFERROR(__xludf.DUMMYFUNCTION("""COMPUTED_VALUE"""),7.0)</f>
        <v>7</v>
      </c>
      <c r="K282" s="537">
        <f>IFERROR(__xludf.DUMMYFUNCTION("""COMPUTED_VALUE"""),46000.0)</f>
        <v>46000</v>
      </c>
      <c r="L282" s="539">
        <f>IFERROR(__xludf.DUMMYFUNCTION("""COMPUTED_VALUE"""),46003.0)</f>
        <v>46003</v>
      </c>
      <c r="M282" s="540">
        <f>IFERROR(__xludf.DUMMYFUNCTION("""COMPUTED_VALUE"""),46008.0)</f>
        <v>46008</v>
      </c>
      <c r="N282" s="539">
        <f>IFERROR(__xludf.DUMMYFUNCTION("""COMPUTED_VALUE"""),13200.0)</f>
        <v>13200</v>
      </c>
      <c r="O282" s="593">
        <f>IFERROR(__xludf.DUMMYFUNCTION("""COMPUTED_VALUE"""),12000.0)</f>
        <v>12000</v>
      </c>
      <c r="P282" s="594">
        <f>IFERROR(__xludf.DUMMYFUNCTION("""COMPUTED_VALUE"""),8000.0)</f>
        <v>8000</v>
      </c>
      <c r="Q282" s="183"/>
      <c r="R282" s="544"/>
      <c r="S282" s="544"/>
      <c r="T282" s="544"/>
      <c r="U282" s="544"/>
      <c r="V282" s="544"/>
      <c r="W282" s="544"/>
      <c r="X282" s="544"/>
      <c r="Y282" s="544"/>
      <c r="Z282" s="544"/>
      <c r="AA282" s="544"/>
      <c r="AB282" s="544"/>
      <c r="AC282" s="544"/>
      <c r="AD282" s="544"/>
      <c r="AE282" s="183"/>
      <c r="AF282" s="183"/>
      <c r="AG282" s="183"/>
      <c r="AH282" s="183"/>
      <c r="AI282" s="183"/>
      <c r="AJ282" s="183"/>
      <c r="AK282" s="183"/>
      <c r="AL282" s="183"/>
      <c r="AM282" s="183"/>
    </row>
    <row r="283" hidden="1">
      <c r="A283" s="531" t="str">
        <f>IFERROR(__xludf.DUMMYFUNCTION("""COMPUTED_VALUE"""),"サイズ")</f>
        <v>サイズ</v>
      </c>
      <c r="B283" s="531" t="str">
        <f>IFERROR(__xludf.DUMMYFUNCTION("""COMPUTED_VALUE"""),"ショートステンカラーコート")</f>
        <v>ショートステンカラーコート</v>
      </c>
      <c r="C283" s="531" t="str">
        <f>IFERROR(__xludf.DUMMYFUNCTION("""COMPUTED_VALUE"""),"ウエスト")</f>
        <v>ウエスト</v>
      </c>
      <c r="D283" s="533"/>
      <c r="E283" s="533" t="str">
        <f>IFERROR(__xludf.DUMMYFUNCTION("""COMPUTED_VALUE"""),"パターン限界値から ±4cmの範囲内で調整すること")</f>
        <v>パターン限界値から ±4cmの範囲内で調整すること</v>
      </c>
      <c r="F283" s="534" t="str">
        <f>IFERROR(__xludf.DUMMYFUNCTION("""COMPUTED_VALUE"""),"ウエスト")</f>
        <v>ウエスト</v>
      </c>
      <c r="G283" s="533" t="str">
        <f>IFERROR(__xludf.DUMMYFUNCTION("""COMPUTED_VALUE"""),"ウエスト（パターン限界値から ±4cmの範囲内で調整すること）")</f>
        <v>ウエスト（パターン限界値から ±4cmの範囲内で調整すること）</v>
      </c>
      <c r="H283" s="572" t="str">
        <f>IFERROR(__xludf.DUMMYFUNCTION("""COMPUTED_VALUE"""),"-2")</f>
        <v>-2</v>
      </c>
      <c r="I283" s="537"/>
      <c r="J283" s="538">
        <f>IFERROR(__xludf.DUMMYFUNCTION("""COMPUTED_VALUE"""),7.0)</f>
        <v>7</v>
      </c>
      <c r="K283" s="537">
        <f>IFERROR(__xludf.DUMMYFUNCTION("""COMPUTED_VALUE"""),46000.0)</f>
        <v>46000</v>
      </c>
      <c r="L283" s="539">
        <f>IFERROR(__xludf.DUMMYFUNCTION("""COMPUTED_VALUE"""),46003.0)</f>
        <v>46003</v>
      </c>
      <c r="M283" s="540">
        <f>IFERROR(__xludf.DUMMYFUNCTION("""COMPUTED_VALUE"""),46008.0)</f>
        <v>46008</v>
      </c>
      <c r="N283" s="539">
        <f>IFERROR(__xludf.DUMMYFUNCTION("""COMPUTED_VALUE"""),13200.0)</f>
        <v>13200</v>
      </c>
      <c r="O283" s="593">
        <f>IFERROR(__xludf.DUMMYFUNCTION("""COMPUTED_VALUE"""),12000.0)</f>
        <v>12000</v>
      </c>
      <c r="P283" s="594">
        <f>IFERROR(__xludf.DUMMYFUNCTION("""COMPUTED_VALUE"""),8000.0)</f>
        <v>8000</v>
      </c>
      <c r="Q283" s="183"/>
      <c r="R283" s="544"/>
      <c r="S283" s="544"/>
      <c r="T283" s="544"/>
      <c r="U283" s="544"/>
      <c r="V283" s="544"/>
      <c r="W283" s="544"/>
      <c r="X283" s="544"/>
      <c r="Y283" s="544"/>
      <c r="Z283" s="544"/>
      <c r="AA283" s="544"/>
      <c r="AB283" s="544"/>
      <c r="AC283" s="544"/>
      <c r="AD283" s="544"/>
      <c r="AE283" s="183"/>
      <c r="AF283" s="183"/>
      <c r="AG283" s="183"/>
      <c r="AH283" s="183"/>
      <c r="AI283" s="183"/>
      <c r="AJ283" s="183"/>
      <c r="AK283" s="183"/>
      <c r="AL283" s="183"/>
      <c r="AM283" s="183"/>
    </row>
    <row r="284" hidden="1">
      <c r="A284" s="531" t="str">
        <f>IFERROR(__xludf.DUMMYFUNCTION("""COMPUTED_VALUE"""),"サイズ")</f>
        <v>サイズ</v>
      </c>
      <c r="B284" s="531" t="str">
        <f>IFERROR(__xludf.DUMMYFUNCTION("""COMPUTED_VALUE"""),"ショートステンカラーコート")</f>
        <v>ショートステンカラーコート</v>
      </c>
      <c r="C284" s="531" t="str">
        <f>IFERROR(__xludf.DUMMYFUNCTION("""COMPUTED_VALUE"""),"ウエスト")</f>
        <v>ウエスト</v>
      </c>
      <c r="D284" s="533"/>
      <c r="E284" s="533" t="str">
        <f>IFERROR(__xludf.DUMMYFUNCTION("""COMPUTED_VALUE"""),"パターン限界値から ±4cmの範囲内で調整すること")</f>
        <v>パターン限界値から ±4cmの範囲内で調整すること</v>
      </c>
      <c r="F284" s="534" t="str">
        <f>IFERROR(__xludf.DUMMYFUNCTION("""COMPUTED_VALUE"""),"ウエスト")</f>
        <v>ウエスト</v>
      </c>
      <c r="G284" s="533" t="str">
        <f>IFERROR(__xludf.DUMMYFUNCTION("""COMPUTED_VALUE"""),"ウエスト（パターン限界値から ±4cmの範囲内で調整すること）")</f>
        <v>ウエスト（パターン限界値から ±4cmの範囲内で調整すること）</v>
      </c>
      <c r="H284" s="572" t="str">
        <f>IFERROR(__xludf.DUMMYFUNCTION("""COMPUTED_VALUE"""),"-1")</f>
        <v>-1</v>
      </c>
      <c r="I284" s="537"/>
      <c r="J284" s="538">
        <f>IFERROR(__xludf.DUMMYFUNCTION("""COMPUTED_VALUE"""),7.0)</f>
        <v>7</v>
      </c>
      <c r="K284" s="537">
        <f>IFERROR(__xludf.DUMMYFUNCTION("""COMPUTED_VALUE"""),46000.0)</f>
        <v>46000</v>
      </c>
      <c r="L284" s="539">
        <f>IFERROR(__xludf.DUMMYFUNCTION("""COMPUTED_VALUE"""),46003.0)</f>
        <v>46003</v>
      </c>
      <c r="M284" s="540">
        <f>IFERROR(__xludf.DUMMYFUNCTION("""COMPUTED_VALUE"""),46008.0)</f>
        <v>46008</v>
      </c>
      <c r="N284" s="539">
        <f>IFERROR(__xludf.DUMMYFUNCTION("""COMPUTED_VALUE"""),13200.0)</f>
        <v>13200</v>
      </c>
      <c r="O284" s="593">
        <f>IFERROR(__xludf.DUMMYFUNCTION("""COMPUTED_VALUE"""),12000.0)</f>
        <v>12000</v>
      </c>
      <c r="P284" s="594">
        <f>IFERROR(__xludf.DUMMYFUNCTION("""COMPUTED_VALUE"""),8000.0)</f>
        <v>8000</v>
      </c>
      <c r="Q284" s="183"/>
      <c r="R284" s="544"/>
      <c r="S284" s="544"/>
      <c r="T284" s="544"/>
      <c r="U284" s="544"/>
      <c r="V284" s="544"/>
      <c r="W284" s="544"/>
      <c r="X284" s="544"/>
      <c r="Y284" s="544"/>
      <c r="Z284" s="544"/>
      <c r="AA284" s="544"/>
      <c r="AB284" s="544"/>
      <c r="AC284" s="544"/>
      <c r="AD284" s="544"/>
      <c r="AE284" s="183"/>
      <c r="AF284" s="183"/>
      <c r="AG284" s="183"/>
      <c r="AH284" s="183"/>
      <c r="AI284" s="183"/>
      <c r="AJ284" s="183"/>
      <c r="AK284" s="183"/>
      <c r="AL284" s="183"/>
      <c r="AM284" s="183"/>
    </row>
    <row r="285" hidden="1">
      <c r="A285" s="531" t="str">
        <f>IFERROR(__xludf.DUMMYFUNCTION("""COMPUTED_VALUE"""),"サイズ")</f>
        <v>サイズ</v>
      </c>
      <c r="B285" s="531" t="str">
        <f>IFERROR(__xludf.DUMMYFUNCTION("""COMPUTED_VALUE"""),"ショートステンカラーコート")</f>
        <v>ショートステンカラーコート</v>
      </c>
      <c r="C285" s="531" t="str">
        <f>IFERROR(__xludf.DUMMYFUNCTION("""COMPUTED_VALUE"""),"袖丈")</f>
        <v>袖丈</v>
      </c>
      <c r="D285" s="533"/>
      <c r="E285" s="533"/>
      <c r="F285" s="534" t="str">
        <f>IFERROR(__xludf.DUMMYFUNCTION("""COMPUTED_VALUE"""),"袖丈")</f>
        <v>袖丈</v>
      </c>
      <c r="G285" s="533" t="str">
        <f>IFERROR(__xludf.DUMMYFUNCTION("""COMPUTED_VALUE"""),"袖丈")</f>
        <v>袖丈</v>
      </c>
      <c r="H285" s="572" t="str">
        <f>IFERROR(__xludf.DUMMYFUNCTION("""COMPUTED_VALUE"""),"-2")</f>
        <v>-2</v>
      </c>
      <c r="I285" s="537"/>
      <c r="J285" s="538">
        <f>IFERROR(__xludf.DUMMYFUNCTION("""COMPUTED_VALUE"""),7.0)</f>
        <v>7</v>
      </c>
      <c r="K285" s="537">
        <f>IFERROR(__xludf.DUMMYFUNCTION("""COMPUTED_VALUE"""),46000.0)</f>
        <v>46000</v>
      </c>
      <c r="L285" s="539">
        <f>IFERROR(__xludf.DUMMYFUNCTION("""COMPUTED_VALUE"""),46003.0)</f>
        <v>46003</v>
      </c>
      <c r="M285" s="540">
        <f>IFERROR(__xludf.DUMMYFUNCTION("""COMPUTED_VALUE"""),46008.0)</f>
        <v>46008</v>
      </c>
      <c r="N285" s="539">
        <f>IFERROR(__xludf.DUMMYFUNCTION("""COMPUTED_VALUE"""),3300.0)</f>
        <v>3300</v>
      </c>
      <c r="O285" s="593">
        <f>IFERROR(__xludf.DUMMYFUNCTION("""COMPUTED_VALUE"""),3000.0)</f>
        <v>3000</v>
      </c>
      <c r="P285" s="594">
        <f>IFERROR(__xludf.DUMMYFUNCTION("""COMPUTED_VALUE"""),2000.0)</f>
        <v>2000</v>
      </c>
      <c r="Q285" s="183"/>
      <c r="R285" s="544"/>
      <c r="S285" s="544"/>
      <c r="T285" s="544"/>
      <c r="U285" s="544"/>
      <c r="V285" s="544"/>
      <c r="W285" s="544"/>
      <c r="X285" s="544"/>
      <c r="Y285" s="544"/>
      <c r="Z285" s="544"/>
      <c r="AA285" s="544"/>
      <c r="AB285" s="544"/>
      <c r="AC285" s="544"/>
      <c r="AD285" s="544"/>
      <c r="AE285" s="183"/>
      <c r="AF285" s="183"/>
      <c r="AG285" s="183"/>
      <c r="AH285" s="183"/>
      <c r="AI285" s="183"/>
      <c r="AJ285" s="183"/>
      <c r="AK285" s="183"/>
      <c r="AL285" s="183"/>
      <c r="AM285" s="183"/>
    </row>
    <row r="286" hidden="1">
      <c r="A286" s="531" t="str">
        <f>IFERROR(__xludf.DUMMYFUNCTION("""COMPUTED_VALUE"""),"サイズ")</f>
        <v>サイズ</v>
      </c>
      <c r="B286" s="531" t="str">
        <f>IFERROR(__xludf.DUMMYFUNCTION("""COMPUTED_VALUE"""),"ショートステンカラーコート")</f>
        <v>ショートステンカラーコート</v>
      </c>
      <c r="C286" s="531" t="str">
        <f>IFERROR(__xludf.DUMMYFUNCTION("""COMPUTED_VALUE"""),"袖丈")</f>
        <v>袖丈</v>
      </c>
      <c r="D286" s="533"/>
      <c r="E286" s="533"/>
      <c r="F286" s="534" t="str">
        <f>IFERROR(__xludf.DUMMYFUNCTION("""COMPUTED_VALUE"""),"袖丈")</f>
        <v>袖丈</v>
      </c>
      <c r="G286" s="533" t="str">
        <f>IFERROR(__xludf.DUMMYFUNCTION("""COMPUTED_VALUE"""),"袖丈")</f>
        <v>袖丈</v>
      </c>
      <c r="H286" s="572" t="str">
        <f>IFERROR(__xludf.DUMMYFUNCTION("""COMPUTED_VALUE"""),"-1.5")</f>
        <v>-1.5</v>
      </c>
      <c r="I286" s="537"/>
      <c r="J286" s="538">
        <f>IFERROR(__xludf.DUMMYFUNCTION("""COMPUTED_VALUE"""),7.0)</f>
        <v>7</v>
      </c>
      <c r="K286" s="537">
        <f>IFERROR(__xludf.DUMMYFUNCTION("""COMPUTED_VALUE"""),46000.0)</f>
        <v>46000</v>
      </c>
      <c r="L286" s="539">
        <f>IFERROR(__xludf.DUMMYFUNCTION("""COMPUTED_VALUE"""),46003.0)</f>
        <v>46003</v>
      </c>
      <c r="M286" s="540">
        <f>IFERROR(__xludf.DUMMYFUNCTION("""COMPUTED_VALUE"""),46008.0)</f>
        <v>46008</v>
      </c>
      <c r="N286" s="539">
        <f>IFERROR(__xludf.DUMMYFUNCTION("""COMPUTED_VALUE"""),3300.0)</f>
        <v>3300</v>
      </c>
      <c r="O286" s="593">
        <f>IFERROR(__xludf.DUMMYFUNCTION("""COMPUTED_VALUE"""),3000.0)</f>
        <v>3000</v>
      </c>
      <c r="P286" s="594">
        <f>IFERROR(__xludf.DUMMYFUNCTION("""COMPUTED_VALUE"""),2000.0)</f>
        <v>2000</v>
      </c>
      <c r="Q286" s="183"/>
      <c r="R286" s="544"/>
      <c r="S286" s="544"/>
      <c r="T286" s="544"/>
      <c r="U286" s="544"/>
      <c r="V286" s="544"/>
      <c r="W286" s="544"/>
      <c r="X286" s="544"/>
      <c r="Y286" s="544"/>
      <c r="Z286" s="544"/>
      <c r="AA286" s="544"/>
      <c r="AB286" s="544"/>
      <c r="AC286" s="544"/>
      <c r="AD286" s="544"/>
      <c r="AE286" s="183"/>
      <c r="AF286" s="183"/>
      <c r="AG286" s="183"/>
      <c r="AH286" s="183"/>
      <c r="AI286" s="183"/>
      <c r="AJ286" s="183"/>
      <c r="AK286" s="183"/>
      <c r="AL286" s="183"/>
      <c r="AM286" s="183"/>
    </row>
    <row r="287" hidden="1">
      <c r="A287" s="531" t="str">
        <f>IFERROR(__xludf.DUMMYFUNCTION("""COMPUTED_VALUE"""),"サイズ")</f>
        <v>サイズ</v>
      </c>
      <c r="B287" s="531" t="str">
        <f>IFERROR(__xludf.DUMMYFUNCTION("""COMPUTED_VALUE"""),"ショートステンカラーコート")</f>
        <v>ショートステンカラーコート</v>
      </c>
      <c r="C287" s="531" t="str">
        <f>IFERROR(__xludf.DUMMYFUNCTION("""COMPUTED_VALUE"""),"袖丈")</f>
        <v>袖丈</v>
      </c>
      <c r="D287" s="533"/>
      <c r="E287" s="533"/>
      <c r="F287" s="534" t="str">
        <f>IFERROR(__xludf.DUMMYFUNCTION("""COMPUTED_VALUE"""),"袖丈")</f>
        <v>袖丈</v>
      </c>
      <c r="G287" s="533" t="str">
        <f>IFERROR(__xludf.DUMMYFUNCTION("""COMPUTED_VALUE"""),"袖丈")</f>
        <v>袖丈</v>
      </c>
      <c r="H287" s="572" t="str">
        <f>IFERROR(__xludf.DUMMYFUNCTION("""COMPUTED_VALUE"""),"-1")</f>
        <v>-1</v>
      </c>
      <c r="I287" s="537"/>
      <c r="J287" s="538">
        <f>IFERROR(__xludf.DUMMYFUNCTION("""COMPUTED_VALUE"""),7.0)</f>
        <v>7</v>
      </c>
      <c r="K287" s="537">
        <f>IFERROR(__xludf.DUMMYFUNCTION("""COMPUTED_VALUE"""),46000.0)</f>
        <v>46000</v>
      </c>
      <c r="L287" s="539">
        <f>IFERROR(__xludf.DUMMYFUNCTION("""COMPUTED_VALUE"""),46003.0)</f>
        <v>46003</v>
      </c>
      <c r="M287" s="540">
        <f>IFERROR(__xludf.DUMMYFUNCTION("""COMPUTED_VALUE"""),46008.0)</f>
        <v>46008</v>
      </c>
      <c r="N287" s="539">
        <f>IFERROR(__xludf.DUMMYFUNCTION("""COMPUTED_VALUE"""),3300.0)</f>
        <v>3300</v>
      </c>
      <c r="O287" s="593">
        <f>IFERROR(__xludf.DUMMYFUNCTION("""COMPUTED_VALUE"""),3000.0)</f>
        <v>3000</v>
      </c>
      <c r="P287" s="594">
        <f>IFERROR(__xludf.DUMMYFUNCTION("""COMPUTED_VALUE"""),2000.0)</f>
        <v>2000</v>
      </c>
      <c r="Q287" s="183"/>
      <c r="R287" s="544"/>
      <c r="S287" s="544"/>
      <c r="T287" s="544"/>
      <c r="U287" s="544"/>
      <c r="V287" s="544"/>
      <c r="W287" s="544"/>
      <c r="X287" s="544"/>
      <c r="Y287" s="544"/>
      <c r="Z287" s="544"/>
      <c r="AA287" s="544"/>
      <c r="AB287" s="544"/>
      <c r="AC287" s="544"/>
      <c r="AD287" s="544"/>
      <c r="AE287" s="183"/>
      <c r="AF287" s="183"/>
      <c r="AG287" s="183"/>
      <c r="AH287" s="183"/>
      <c r="AI287" s="183"/>
      <c r="AJ287" s="183"/>
      <c r="AK287" s="183"/>
      <c r="AL287" s="183"/>
      <c r="AM287" s="183"/>
    </row>
    <row r="288" hidden="1">
      <c r="A288" s="531" t="str">
        <f>IFERROR(__xludf.DUMMYFUNCTION("""COMPUTED_VALUE"""),"サイズ")</f>
        <v>サイズ</v>
      </c>
      <c r="B288" s="531" t="str">
        <f>IFERROR(__xludf.DUMMYFUNCTION("""COMPUTED_VALUE"""),"ショートステンカラーコート")</f>
        <v>ショートステンカラーコート</v>
      </c>
      <c r="C288" s="531" t="str">
        <f>IFERROR(__xludf.DUMMYFUNCTION("""COMPUTED_VALUE"""),"袖丈")</f>
        <v>袖丈</v>
      </c>
      <c r="D288" s="533"/>
      <c r="E288" s="533"/>
      <c r="F288" s="534" t="str">
        <f>IFERROR(__xludf.DUMMYFUNCTION("""COMPUTED_VALUE"""),"袖丈")</f>
        <v>袖丈</v>
      </c>
      <c r="G288" s="533" t="str">
        <f>IFERROR(__xludf.DUMMYFUNCTION("""COMPUTED_VALUE"""),"袖丈")</f>
        <v>袖丈</v>
      </c>
      <c r="H288" s="572" t="str">
        <f>IFERROR(__xludf.DUMMYFUNCTION("""COMPUTED_VALUE"""),"-0.5")</f>
        <v>-0.5</v>
      </c>
      <c r="I288" s="537"/>
      <c r="J288" s="538">
        <f>IFERROR(__xludf.DUMMYFUNCTION("""COMPUTED_VALUE"""),7.0)</f>
        <v>7</v>
      </c>
      <c r="K288" s="537">
        <f>IFERROR(__xludf.DUMMYFUNCTION("""COMPUTED_VALUE"""),46000.0)</f>
        <v>46000</v>
      </c>
      <c r="L288" s="539">
        <f>IFERROR(__xludf.DUMMYFUNCTION("""COMPUTED_VALUE"""),46003.0)</f>
        <v>46003</v>
      </c>
      <c r="M288" s="540">
        <f>IFERROR(__xludf.DUMMYFUNCTION("""COMPUTED_VALUE"""),46008.0)</f>
        <v>46008</v>
      </c>
      <c r="N288" s="539">
        <f>IFERROR(__xludf.DUMMYFUNCTION("""COMPUTED_VALUE"""),3300.0)</f>
        <v>3300</v>
      </c>
      <c r="O288" s="593">
        <f>IFERROR(__xludf.DUMMYFUNCTION("""COMPUTED_VALUE"""),3000.0)</f>
        <v>3000</v>
      </c>
      <c r="P288" s="594">
        <f>IFERROR(__xludf.DUMMYFUNCTION("""COMPUTED_VALUE"""),2000.0)</f>
        <v>2000</v>
      </c>
      <c r="Q288" s="183"/>
      <c r="R288" s="544"/>
      <c r="S288" s="544"/>
      <c r="T288" s="544"/>
      <c r="U288" s="544"/>
      <c r="V288" s="544"/>
      <c r="W288" s="544"/>
      <c r="X288" s="544"/>
      <c r="Y288" s="544"/>
      <c r="Z288" s="544"/>
      <c r="AA288" s="544"/>
      <c r="AB288" s="544"/>
      <c r="AC288" s="544"/>
      <c r="AD288" s="544"/>
      <c r="AE288" s="183"/>
      <c r="AF288" s="183"/>
      <c r="AG288" s="183"/>
      <c r="AH288" s="183"/>
      <c r="AI288" s="183"/>
      <c r="AJ288" s="183"/>
      <c r="AK288" s="183"/>
      <c r="AL288" s="183"/>
      <c r="AM288" s="183"/>
    </row>
    <row r="289" hidden="1">
      <c r="A289" s="531" t="str">
        <f>IFERROR(__xludf.DUMMYFUNCTION("""COMPUTED_VALUE"""),"サイズ")</f>
        <v>サイズ</v>
      </c>
      <c r="B289" s="531" t="str">
        <f>IFERROR(__xludf.DUMMYFUNCTION("""COMPUTED_VALUE"""),"ショートステンカラーコート")</f>
        <v>ショートステンカラーコート</v>
      </c>
      <c r="C289" s="531" t="str">
        <f>IFERROR(__xludf.DUMMYFUNCTION("""COMPUTED_VALUE"""),"着丈")</f>
        <v>着丈</v>
      </c>
      <c r="D289" s="533"/>
      <c r="E289" s="533" t="str">
        <f>IFERROR(__xludf.DUMMYFUNCTION("""COMPUTED_VALUE"""),"パターン限界値から ±20cmの範囲内で調整すること")</f>
        <v>パターン限界値から ±20cmの範囲内で調整すること</v>
      </c>
      <c r="F289" s="534" t="str">
        <f>IFERROR(__xludf.DUMMYFUNCTION("""COMPUTED_VALUE"""),"着丈")</f>
        <v>着丈</v>
      </c>
      <c r="G289" s="533" t="str">
        <f>IFERROR(__xludf.DUMMYFUNCTION("""COMPUTED_VALUE"""),"着丈（パターン限界値から ±20cmの範囲内で調整すること）")</f>
        <v>着丈（パターン限界値から ±20cmの範囲内で調整すること）</v>
      </c>
      <c r="H289" s="572" t="str">
        <f>IFERROR(__xludf.DUMMYFUNCTION("""COMPUTED_VALUE"""),"-4")</f>
        <v>-4</v>
      </c>
      <c r="I289" s="537"/>
      <c r="J289" s="538">
        <f>IFERROR(__xludf.DUMMYFUNCTION("""COMPUTED_VALUE"""),7.0)</f>
        <v>7</v>
      </c>
      <c r="K289" s="537">
        <f>IFERROR(__xludf.DUMMYFUNCTION("""COMPUTED_VALUE"""),46000.0)</f>
        <v>46000</v>
      </c>
      <c r="L289" s="539">
        <f>IFERROR(__xludf.DUMMYFUNCTION("""COMPUTED_VALUE"""),46003.0)</f>
        <v>46003</v>
      </c>
      <c r="M289" s="540">
        <f>IFERROR(__xludf.DUMMYFUNCTION("""COMPUTED_VALUE"""),46008.0)</f>
        <v>46008</v>
      </c>
      <c r="N289" s="539">
        <f>IFERROR(__xludf.DUMMYFUNCTION("""COMPUTED_VALUE"""),9900.0)</f>
        <v>9900</v>
      </c>
      <c r="O289" s="593">
        <f>IFERROR(__xludf.DUMMYFUNCTION("""COMPUTED_VALUE"""),9000.0)</f>
        <v>9000</v>
      </c>
      <c r="P289" s="594">
        <f>IFERROR(__xludf.DUMMYFUNCTION("""COMPUTED_VALUE"""),6000.0)</f>
        <v>6000</v>
      </c>
      <c r="Q289" s="183"/>
      <c r="R289" s="544"/>
      <c r="S289" s="544"/>
      <c r="T289" s="544"/>
      <c r="U289" s="544"/>
      <c r="V289" s="544"/>
      <c r="W289" s="544"/>
      <c r="X289" s="544"/>
      <c r="Y289" s="544"/>
      <c r="Z289" s="544"/>
      <c r="AA289" s="544"/>
      <c r="AB289" s="544"/>
      <c r="AC289" s="544"/>
      <c r="AD289" s="544"/>
      <c r="AE289" s="183"/>
      <c r="AF289" s="183"/>
      <c r="AG289" s="183"/>
      <c r="AH289" s="183"/>
      <c r="AI289" s="183"/>
      <c r="AJ289" s="183"/>
      <c r="AK289" s="183"/>
      <c r="AL289" s="183"/>
      <c r="AM289" s="183"/>
    </row>
    <row r="290" hidden="1">
      <c r="A290" s="531" t="str">
        <f>IFERROR(__xludf.DUMMYFUNCTION("""COMPUTED_VALUE"""),"サイズ")</f>
        <v>サイズ</v>
      </c>
      <c r="B290" s="531" t="str">
        <f>IFERROR(__xludf.DUMMYFUNCTION("""COMPUTED_VALUE"""),"ショートステンカラーコート")</f>
        <v>ショートステンカラーコート</v>
      </c>
      <c r="C290" s="531" t="str">
        <f>IFERROR(__xludf.DUMMYFUNCTION("""COMPUTED_VALUE"""),"着丈")</f>
        <v>着丈</v>
      </c>
      <c r="D290" s="533"/>
      <c r="E290" s="533" t="str">
        <f>IFERROR(__xludf.DUMMYFUNCTION("""COMPUTED_VALUE"""),"パターン限界値から ±20cmの範囲内で調整すること")</f>
        <v>パターン限界値から ±20cmの範囲内で調整すること</v>
      </c>
      <c r="F290" s="534" t="str">
        <f>IFERROR(__xludf.DUMMYFUNCTION("""COMPUTED_VALUE"""),"着丈")</f>
        <v>着丈</v>
      </c>
      <c r="G290" s="533" t="str">
        <f>IFERROR(__xludf.DUMMYFUNCTION("""COMPUTED_VALUE"""),"着丈（パターン限界値から ±20cmの範囲内で調整すること）")</f>
        <v>着丈（パターン限界値から ±20cmの範囲内で調整すること）</v>
      </c>
      <c r="H290" s="572" t="str">
        <f>IFERROR(__xludf.DUMMYFUNCTION("""COMPUTED_VALUE"""),"-3")</f>
        <v>-3</v>
      </c>
      <c r="I290" s="537"/>
      <c r="J290" s="538">
        <f>IFERROR(__xludf.DUMMYFUNCTION("""COMPUTED_VALUE"""),7.0)</f>
        <v>7</v>
      </c>
      <c r="K290" s="537">
        <f>IFERROR(__xludf.DUMMYFUNCTION("""COMPUTED_VALUE"""),46000.0)</f>
        <v>46000</v>
      </c>
      <c r="L290" s="539">
        <f>IFERROR(__xludf.DUMMYFUNCTION("""COMPUTED_VALUE"""),46003.0)</f>
        <v>46003</v>
      </c>
      <c r="M290" s="540">
        <f>IFERROR(__xludf.DUMMYFUNCTION("""COMPUTED_VALUE"""),46008.0)</f>
        <v>46008</v>
      </c>
      <c r="N290" s="539">
        <f>IFERROR(__xludf.DUMMYFUNCTION("""COMPUTED_VALUE"""),9900.0)</f>
        <v>9900</v>
      </c>
      <c r="O290" s="593">
        <f>IFERROR(__xludf.DUMMYFUNCTION("""COMPUTED_VALUE"""),9000.0)</f>
        <v>9000</v>
      </c>
      <c r="P290" s="594">
        <f>IFERROR(__xludf.DUMMYFUNCTION("""COMPUTED_VALUE"""),6000.0)</f>
        <v>6000</v>
      </c>
      <c r="Q290" s="183"/>
      <c r="R290" s="544"/>
      <c r="S290" s="544"/>
      <c r="T290" s="544"/>
      <c r="U290" s="544"/>
      <c r="V290" s="544"/>
      <c r="W290" s="544"/>
      <c r="X290" s="544"/>
      <c r="Y290" s="544"/>
      <c r="Z290" s="544"/>
      <c r="AA290" s="544"/>
      <c r="AB290" s="544"/>
      <c r="AC290" s="544"/>
      <c r="AD290" s="544"/>
      <c r="AE290" s="183"/>
      <c r="AF290" s="183"/>
      <c r="AG290" s="183"/>
      <c r="AH290" s="183"/>
      <c r="AI290" s="183"/>
      <c r="AJ290" s="183"/>
      <c r="AK290" s="183"/>
      <c r="AL290" s="183"/>
      <c r="AM290" s="183"/>
    </row>
    <row r="291" hidden="1">
      <c r="A291" s="531" t="str">
        <f>IFERROR(__xludf.DUMMYFUNCTION("""COMPUTED_VALUE"""),"サイズ")</f>
        <v>サイズ</v>
      </c>
      <c r="B291" s="531" t="str">
        <f>IFERROR(__xludf.DUMMYFUNCTION("""COMPUTED_VALUE"""),"ショートステンカラーコート")</f>
        <v>ショートステンカラーコート</v>
      </c>
      <c r="C291" s="531" t="str">
        <f>IFERROR(__xludf.DUMMYFUNCTION("""COMPUTED_VALUE"""),"着丈")</f>
        <v>着丈</v>
      </c>
      <c r="D291" s="533"/>
      <c r="E291" s="533" t="str">
        <f>IFERROR(__xludf.DUMMYFUNCTION("""COMPUTED_VALUE"""),"パターン限界値から ±20cmの範囲内で調整すること")</f>
        <v>パターン限界値から ±20cmの範囲内で調整すること</v>
      </c>
      <c r="F291" s="534" t="str">
        <f>IFERROR(__xludf.DUMMYFUNCTION("""COMPUTED_VALUE"""),"着丈")</f>
        <v>着丈</v>
      </c>
      <c r="G291" s="533" t="str">
        <f>IFERROR(__xludf.DUMMYFUNCTION("""COMPUTED_VALUE"""),"着丈（パターン限界値から ±20cmの範囲内で調整すること）")</f>
        <v>着丈（パターン限界値から ±20cmの範囲内で調整すること）</v>
      </c>
      <c r="H291" s="572" t="str">
        <f>IFERROR(__xludf.DUMMYFUNCTION("""COMPUTED_VALUE"""),"-2")</f>
        <v>-2</v>
      </c>
      <c r="I291" s="537"/>
      <c r="J291" s="538">
        <f>IFERROR(__xludf.DUMMYFUNCTION("""COMPUTED_VALUE"""),7.0)</f>
        <v>7</v>
      </c>
      <c r="K291" s="537">
        <f>IFERROR(__xludf.DUMMYFUNCTION("""COMPUTED_VALUE"""),46000.0)</f>
        <v>46000</v>
      </c>
      <c r="L291" s="539">
        <f>IFERROR(__xludf.DUMMYFUNCTION("""COMPUTED_VALUE"""),46003.0)</f>
        <v>46003</v>
      </c>
      <c r="M291" s="540">
        <f>IFERROR(__xludf.DUMMYFUNCTION("""COMPUTED_VALUE"""),46008.0)</f>
        <v>46008</v>
      </c>
      <c r="N291" s="539">
        <f>IFERROR(__xludf.DUMMYFUNCTION("""COMPUTED_VALUE"""),9900.0)</f>
        <v>9900</v>
      </c>
      <c r="O291" s="593">
        <f>IFERROR(__xludf.DUMMYFUNCTION("""COMPUTED_VALUE"""),9000.0)</f>
        <v>9000</v>
      </c>
      <c r="P291" s="594">
        <f>IFERROR(__xludf.DUMMYFUNCTION("""COMPUTED_VALUE"""),6000.0)</f>
        <v>6000</v>
      </c>
      <c r="Q291" s="183"/>
      <c r="R291" s="544"/>
      <c r="S291" s="544"/>
      <c r="T291" s="544"/>
      <c r="U291" s="544"/>
      <c r="V291" s="544"/>
      <c r="W291" s="544"/>
      <c r="X291" s="544"/>
      <c r="Y291" s="544"/>
      <c r="Z291" s="544"/>
      <c r="AA291" s="544"/>
      <c r="AB291" s="544"/>
      <c r="AC291" s="544"/>
      <c r="AD291" s="544"/>
      <c r="AE291" s="183"/>
      <c r="AF291" s="183"/>
      <c r="AG291" s="183"/>
      <c r="AH291" s="183"/>
      <c r="AI291" s="183"/>
      <c r="AJ291" s="183"/>
      <c r="AK291" s="183"/>
      <c r="AL291" s="183"/>
      <c r="AM291" s="183"/>
    </row>
    <row r="292" hidden="1">
      <c r="A292" s="531" t="str">
        <f>IFERROR(__xludf.DUMMYFUNCTION("""COMPUTED_VALUE"""),"サイズ")</f>
        <v>サイズ</v>
      </c>
      <c r="B292" s="531" t="str">
        <f>IFERROR(__xludf.DUMMYFUNCTION("""COMPUTED_VALUE"""),"ショートステンカラーコート")</f>
        <v>ショートステンカラーコート</v>
      </c>
      <c r="C292" s="531" t="str">
        <f>IFERROR(__xludf.DUMMYFUNCTION("""COMPUTED_VALUE"""),"着丈")</f>
        <v>着丈</v>
      </c>
      <c r="D292" s="533"/>
      <c r="E292" s="533" t="str">
        <f>IFERROR(__xludf.DUMMYFUNCTION("""COMPUTED_VALUE"""),"パターン限界値から ±20cmの範囲内で調整すること")</f>
        <v>パターン限界値から ±20cmの範囲内で調整すること</v>
      </c>
      <c r="F292" s="534" t="str">
        <f>IFERROR(__xludf.DUMMYFUNCTION("""COMPUTED_VALUE"""),"着丈")</f>
        <v>着丈</v>
      </c>
      <c r="G292" s="533" t="str">
        <f>IFERROR(__xludf.DUMMYFUNCTION("""COMPUTED_VALUE"""),"着丈（パターン限界値から ±20cmの範囲内で調整すること）")</f>
        <v>着丈（パターン限界値から ±20cmの範囲内で調整すること）</v>
      </c>
      <c r="H292" s="572" t="str">
        <f>IFERROR(__xludf.DUMMYFUNCTION("""COMPUTED_VALUE"""),"-1")</f>
        <v>-1</v>
      </c>
      <c r="I292" s="537"/>
      <c r="J292" s="538">
        <f>IFERROR(__xludf.DUMMYFUNCTION("""COMPUTED_VALUE"""),7.0)</f>
        <v>7</v>
      </c>
      <c r="K292" s="537">
        <f>IFERROR(__xludf.DUMMYFUNCTION("""COMPUTED_VALUE"""),46000.0)</f>
        <v>46000</v>
      </c>
      <c r="L292" s="539">
        <f>IFERROR(__xludf.DUMMYFUNCTION("""COMPUTED_VALUE"""),46003.0)</f>
        <v>46003</v>
      </c>
      <c r="M292" s="540">
        <f>IFERROR(__xludf.DUMMYFUNCTION("""COMPUTED_VALUE"""),46008.0)</f>
        <v>46008</v>
      </c>
      <c r="N292" s="539">
        <f>IFERROR(__xludf.DUMMYFUNCTION("""COMPUTED_VALUE"""),9900.0)</f>
        <v>9900</v>
      </c>
      <c r="O292" s="593">
        <f>IFERROR(__xludf.DUMMYFUNCTION("""COMPUTED_VALUE"""),9000.0)</f>
        <v>9000</v>
      </c>
      <c r="P292" s="594">
        <f>IFERROR(__xludf.DUMMYFUNCTION("""COMPUTED_VALUE"""),6000.0)</f>
        <v>6000</v>
      </c>
      <c r="Q292" s="183"/>
      <c r="R292" s="544"/>
      <c r="S292" s="544"/>
      <c r="T292" s="544"/>
      <c r="U292" s="544"/>
      <c r="V292" s="544"/>
      <c r="W292" s="544"/>
      <c r="X292" s="544"/>
      <c r="Y292" s="544"/>
      <c r="Z292" s="544"/>
      <c r="AA292" s="544"/>
      <c r="AB292" s="544"/>
      <c r="AC292" s="544"/>
      <c r="AD292" s="544"/>
      <c r="AE292" s="183"/>
      <c r="AF292" s="183"/>
      <c r="AG292" s="183"/>
      <c r="AH292" s="183"/>
      <c r="AI292" s="183"/>
      <c r="AJ292" s="183"/>
      <c r="AK292" s="183"/>
      <c r="AL292" s="183"/>
      <c r="AM292" s="183"/>
    </row>
    <row r="293" hidden="1">
      <c r="A293" s="531" t="str">
        <f>IFERROR(__xludf.DUMMYFUNCTION("""COMPUTED_VALUE"""),"サイズ")</f>
        <v>サイズ</v>
      </c>
      <c r="B293" s="531" t="str">
        <f>IFERROR(__xludf.DUMMYFUNCTION("""COMPUTED_VALUE"""),"ショートステンカラーコート")</f>
        <v>ショートステンカラーコート</v>
      </c>
      <c r="C293" s="531" t="str">
        <f>IFERROR(__xludf.DUMMYFUNCTION("""COMPUTED_VALUE"""),"裾まわり")</f>
        <v>裾まわり</v>
      </c>
      <c r="D293" s="533"/>
      <c r="E293" s="533" t="str">
        <f>IFERROR(__xludf.DUMMYFUNCTION("""COMPUTED_VALUE"""),"パターン限界値から -4cm~+3cmの範囲内で調整すること")</f>
        <v>パターン限界値から -4cm~+3cmの範囲内で調整すること</v>
      </c>
      <c r="F293" s="534" t="str">
        <f>IFERROR(__xludf.DUMMYFUNCTION("""COMPUTED_VALUE"""),"裾まわり")</f>
        <v>裾まわり</v>
      </c>
      <c r="G293" s="533" t="str">
        <f>IFERROR(__xludf.DUMMYFUNCTION("""COMPUTED_VALUE"""),"裾まわり（パターン限界値から -4cm~+3cmの範囲内で調整すること）")</f>
        <v>裾まわり（パターン限界値から -4cm~+3cmの範囲内で調整すること）</v>
      </c>
      <c r="H293" s="572" t="str">
        <f>IFERROR(__xludf.DUMMYFUNCTION("""COMPUTED_VALUE"""),"-10")</f>
        <v>-10</v>
      </c>
      <c r="I293" s="537"/>
      <c r="J293" s="538">
        <f>IFERROR(__xludf.DUMMYFUNCTION("""COMPUTED_VALUE"""),10.0)</f>
        <v>10</v>
      </c>
      <c r="K293" s="537">
        <f>IFERROR(__xludf.DUMMYFUNCTION("""COMPUTED_VALUE"""),46003.0)</f>
        <v>46003</v>
      </c>
      <c r="L293" s="539">
        <f>IFERROR(__xludf.DUMMYFUNCTION("""COMPUTED_VALUE"""),46003.0)</f>
        <v>46003</v>
      </c>
      <c r="M293" s="540">
        <f>IFERROR(__xludf.DUMMYFUNCTION("""COMPUTED_VALUE"""),46008.0)</f>
        <v>46008</v>
      </c>
      <c r="N293" s="539">
        <f>IFERROR(__xludf.DUMMYFUNCTION("""COMPUTED_VALUE"""),13200.0)</f>
        <v>13200</v>
      </c>
      <c r="O293" s="593">
        <f>IFERROR(__xludf.DUMMYFUNCTION("""COMPUTED_VALUE"""),12000.0)</f>
        <v>12000</v>
      </c>
      <c r="P293" s="594">
        <f>IFERROR(__xludf.DUMMYFUNCTION("""COMPUTED_VALUE"""),8000.0)</f>
        <v>8000</v>
      </c>
      <c r="Q293" s="183"/>
      <c r="R293" s="544"/>
      <c r="S293" s="544"/>
      <c r="T293" s="544"/>
      <c r="U293" s="544"/>
      <c r="V293" s="544"/>
      <c r="W293" s="544"/>
      <c r="X293" s="544"/>
      <c r="Y293" s="544"/>
      <c r="Z293" s="544"/>
      <c r="AA293" s="544"/>
      <c r="AB293" s="544"/>
      <c r="AC293" s="544"/>
      <c r="AD293" s="544"/>
      <c r="AE293" s="183"/>
      <c r="AF293" s="183"/>
      <c r="AG293" s="183"/>
      <c r="AH293" s="183"/>
      <c r="AI293" s="183"/>
      <c r="AJ293" s="183"/>
      <c r="AK293" s="183"/>
      <c r="AL293" s="183"/>
      <c r="AM293" s="183"/>
    </row>
    <row r="294" hidden="1">
      <c r="A294" s="531" t="str">
        <f>IFERROR(__xludf.DUMMYFUNCTION("""COMPUTED_VALUE"""),"サイズ")</f>
        <v>サイズ</v>
      </c>
      <c r="B294" s="531" t="str">
        <f>IFERROR(__xludf.DUMMYFUNCTION("""COMPUTED_VALUE"""),"ショートステンカラーコート")</f>
        <v>ショートステンカラーコート</v>
      </c>
      <c r="C294" s="531" t="str">
        <f>IFERROR(__xludf.DUMMYFUNCTION("""COMPUTED_VALUE"""),"裾まわり")</f>
        <v>裾まわり</v>
      </c>
      <c r="D294" s="533"/>
      <c r="E294" s="533" t="str">
        <f>IFERROR(__xludf.DUMMYFUNCTION("""COMPUTED_VALUE"""),"パターン限界値から -4cm~+3cmの範囲内で調整すること")</f>
        <v>パターン限界値から -4cm~+3cmの範囲内で調整すること</v>
      </c>
      <c r="F294" s="534" t="str">
        <f>IFERROR(__xludf.DUMMYFUNCTION("""COMPUTED_VALUE"""),"裾まわり")</f>
        <v>裾まわり</v>
      </c>
      <c r="G294" s="533" t="str">
        <f>IFERROR(__xludf.DUMMYFUNCTION("""COMPUTED_VALUE"""),"裾まわり（パターン限界値から -4cm~+3cmの範囲内で調整すること）")</f>
        <v>裾まわり（パターン限界値から -4cm~+3cmの範囲内で調整すること）</v>
      </c>
      <c r="H294" s="572" t="str">
        <f>IFERROR(__xludf.DUMMYFUNCTION("""COMPUTED_VALUE"""),"-9")</f>
        <v>-9</v>
      </c>
      <c r="I294" s="537"/>
      <c r="J294" s="538">
        <f>IFERROR(__xludf.DUMMYFUNCTION("""COMPUTED_VALUE"""),10.0)</f>
        <v>10</v>
      </c>
      <c r="K294" s="537">
        <f>IFERROR(__xludf.DUMMYFUNCTION("""COMPUTED_VALUE"""),46003.0)</f>
        <v>46003</v>
      </c>
      <c r="L294" s="539">
        <f>IFERROR(__xludf.DUMMYFUNCTION("""COMPUTED_VALUE"""),46003.0)</f>
        <v>46003</v>
      </c>
      <c r="M294" s="540">
        <f>IFERROR(__xludf.DUMMYFUNCTION("""COMPUTED_VALUE"""),46008.0)</f>
        <v>46008</v>
      </c>
      <c r="N294" s="539">
        <f>IFERROR(__xludf.DUMMYFUNCTION("""COMPUTED_VALUE"""),13200.0)</f>
        <v>13200</v>
      </c>
      <c r="O294" s="593">
        <f>IFERROR(__xludf.DUMMYFUNCTION("""COMPUTED_VALUE"""),12000.0)</f>
        <v>12000</v>
      </c>
      <c r="P294" s="594">
        <f>IFERROR(__xludf.DUMMYFUNCTION("""COMPUTED_VALUE"""),8000.0)</f>
        <v>8000</v>
      </c>
      <c r="Q294" s="183"/>
      <c r="R294" s="544"/>
      <c r="S294" s="544"/>
      <c r="T294" s="544"/>
      <c r="U294" s="544"/>
      <c r="V294" s="544"/>
      <c r="W294" s="544"/>
      <c r="X294" s="544"/>
      <c r="Y294" s="544"/>
      <c r="Z294" s="544"/>
      <c r="AA294" s="544"/>
      <c r="AB294" s="544"/>
      <c r="AC294" s="544"/>
      <c r="AD294" s="544"/>
      <c r="AE294" s="183"/>
      <c r="AF294" s="183"/>
      <c r="AG294" s="183"/>
      <c r="AH294" s="183"/>
      <c r="AI294" s="183"/>
      <c r="AJ294" s="183"/>
      <c r="AK294" s="183"/>
      <c r="AL294" s="183"/>
      <c r="AM294" s="183"/>
    </row>
    <row r="295" hidden="1">
      <c r="A295" s="531" t="str">
        <f>IFERROR(__xludf.DUMMYFUNCTION("""COMPUTED_VALUE"""),"サイズ")</f>
        <v>サイズ</v>
      </c>
      <c r="B295" s="531" t="str">
        <f>IFERROR(__xludf.DUMMYFUNCTION("""COMPUTED_VALUE"""),"ショートステンカラーコート")</f>
        <v>ショートステンカラーコート</v>
      </c>
      <c r="C295" s="531" t="str">
        <f>IFERROR(__xludf.DUMMYFUNCTION("""COMPUTED_VALUE"""),"裾まわり")</f>
        <v>裾まわり</v>
      </c>
      <c r="D295" s="533"/>
      <c r="E295" s="533" t="str">
        <f>IFERROR(__xludf.DUMMYFUNCTION("""COMPUTED_VALUE"""),"パターン限界値から -4cm~+3cmの範囲内で調整すること")</f>
        <v>パターン限界値から -4cm~+3cmの範囲内で調整すること</v>
      </c>
      <c r="F295" s="534" t="str">
        <f>IFERROR(__xludf.DUMMYFUNCTION("""COMPUTED_VALUE"""),"裾まわり")</f>
        <v>裾まわり</v>
      </c>
      <c r="G295" s="533" t="str">
        <f>IFERROR(__xludf.DUMMYFUNCTION("""COMPUTED_VALUE"""),"裾まわり（パターン限界値から -4cm~+3cmの範囲内で調整すること）")</f>
        <v>裾まわり（パターン限界値から -4cm~+3cmの範囲内で調整すること）</v>
      </c>
      <c r="H295" s="572" t="str">
        <f>IFERROR(__xludf.DUMMYFUNCTION("""COMPUTED_VALUE"""),"-8")</f>
        <v>-8</v>
      </c>
      <c r="I295" s="537"/>
      <c r="J295" s="538">
        <f>IFERROR(__xludf.DUMMYFUNCTION("""COMPUTED_VALUE"""),10.0)</f>
        <v>10</v>
      </c>
      <c r="K295" s="537">
        <f>IFERROR(__xludf.DUMMYFUNCTION("""COMPUTED_VALUE"""),46003.0)</f>
        <v>46003</v>
      </c>
      <c r="L295" s="539">
        <f>IFERROR(__xludf.DUMMYFUNCTION("""COMPUTED_VALUE"""),46003.0)</f>
        <v>46003</v>
      </c>
      <c r="M295" s="540">
        <f>IFERROR(__xludf.DUMMYFUNCTION("""COMPUTED_VALUE"""),46008.0)</f>
        <v>46008</v>
      </c>
      <c r="N295" s="539">
        <f>IFERROR(__xludf.DUMMYFUNCTION("""COMPUTED_VALUE"""),13200.0)</f>
        <v>13200</v>
      </c>
      <c r="O295" s="593">
        <f>IFERROR(__xludf.DUMMYFUNCTION("""COMPUTED_VALUE"""),12000.0)</f>
        <v>12000</v>
      </c>
      <c r="P295" s="594">
        <f>IFERROR(__xludf.DUMMYFUNCTION("""COMPUTED_VALUE"""),8000.0)</f>
        <v>8000</v>
      </c>
      <c r="Q295" s="183"/>
      <c r="R295" s="544"/>
      <c r="S295" s="544"/>
      <c r="T295" s="544"/>
      <c r="U295" s="544"/>
      <c r="V295" s="544"/>
      <c r="W295" s="544"/>
      <c r="X295" s="544"/>
      <c r="Y295" s="544"/>
      <c r="Z295" s="544"/>
      <c r="AA295" s="544"/>
      <c r="AB295" s="544"/>
      <c r="AC295" s="544"/>
      <c r="AD295" s="544"/>
      <c r="AE295" s="183"/>
      <c r="AF295" s="183"/>
      <c r="AG295" s="183"/>
      <c r="AH295" s="183"/>
      <c r="AI295" s="183"/>
      <c r="AJ295" s="183"/>
      <c r="AK295" s="183"/>
      <c r="AL295" s="183"/>
      <c r="AM295" s="183"/>
    </row>
    <row r="296" hidden="1">
      <c r="A296" s="531" t="str">
        <f>IFERROR(__xludf.DUMMYFUNCTION("""COMPUTED_VALUE"""),"サイズ")</f>
        <v>サイズ</v>
      </c>
      <c r="B296" s="531" t="str">
        <f>IFERROR(__xludf.DUMMYFUNCTION("""COMPUTED_VALUE"""),"ショートステンカラーコート")</f>
        <v>ショートステンカラーコート</v>
      </c>
      <c r="C296" s="531" t="str">
        <f>IFERROR(__xludf.DUMMYFUNCTION("""COMPUTED_VALUE"""),"裾まわり")</f>
        <v>裾まわり</v>
      </c>
      <c r="D296" s="533"/>
      <c r="E296" s="533" t="str">
        <f>IFERROR(__xludf.DUMMYFUNCTION("""COMPUTED_VALUE"""),"パターン限界値から -4cm~+3cmの範囲内で調整すること")</f>
        <v>パターン限界値から -4cm~+3cmの範囲内で調整すること</v>
      </c>
      <c r="F296" s="534" t="str">
        <f>IFERROR(__xludf.DUMMYFUNCTION("""COMPUTED_VALUE"""),"裾まわり")</f>
        <v>裾まわり</v>
      </c>
      <c r="G296" s="533" t="str">
        <f>IFERROR(__xludf.DUMMYFUNCTION("""COMPUTED_VALUE"""),"裾まわり（パターン限界値から -4cm~+3cmの範囲内で調整すること）")</f>
        <v>裾まわり（パターン限界値から -4cm~+3cmの範囲内で調整すること）</v>
      </c>
      <c r="H296" s="572" t="str">
        <f>IFERROR(__xludf.DUMMYFUNCTION("""COMPUTED_VALUE"""),"-7")</f>
        <v>-7</v>
      </c>
      <c r="I296" s="537"/>
      <c r="J296" s="538">
        <f>IFERROR(__xludf.DUMMYFUNCTION("""COMPUTED_VALUE"""),10.0)</f>
        <v>10</v>
      </c>
      <c r="K296" s="537">
        <f>IFERROR(__xludf.DUMMYFUNCTION("""COMPUTED_VALUE"""),46003.0)</f>
        <v>46003</v>
      </c>
      <c r="L296" s="539">
        <f>IFERROR(__xludf.DUMMYFUNCTION("""COMPUTED_VALUE"""),46003.0)</f>
        <v>46003</v>
      </c>
      <c r="M296" s="540">
        <f>IFERROR(__xludf.DUMMYFUNCTION("""COMPUTED_VALUE"""),46008.0)</f>
        <v>46008</v>
      </c>
      <c r="N296" s="539">
        <f>IFERROR(__xludf.DUMMYFUNCTION("""COMPUTED_VALUE"""),13200.0)</f>
        <v>13200</v>
      </c>
      <c r="O296" s="593">
        <f>IFERROR(__xludf.DUMMYFUNCTION("""COMPUTED_VALUE"""),12000.0)</f>
        <v>12000</v>
      </c>
      <c r="P296" s="594">
        <f>IFERROR(__xludf.DUMMYFUNCTION("""COMPUTED_VALUE"""),8000.0)</f>
        <v>8000</v>
      </c>
      <c r="Q296" s="183"/>
      <c r="R296" s="544"/>
      <c r="S296" s="544"/>
      <c r="T296" s="544"/>
      <c r="U296" s="544"/>
      <c r="V296" s="544"/>
      <c r="W296" s="544"/>
      <c r="X296" s="544"/>
      <c r="Y296" s="544"/>
      <c r="Z296" s="544"/>
      <c r="AA296" s="544"/>
      <c r="AB296" s="544"/>
      <c r="AC296" s="544"/>
      <c r="AD296" s="544"/>
      <c r="AE296" s="183"/>
      <c r="AF296" s="183"/>
      <c r="AG296" s="183"/>
      <c r="AH296" s="183"/>
      <c r="AI296" s="183"/>
      <c r="AJ296" s="183"/>
      <c r="AK296" s="183"/>
      <c r="AL296" s="183"/>
      <c r="AM296" s="183"/>
    </row>
    <row r="297" hidden="1">
      <c r="A297" s="531" t="str">
        <f>IFERROR(__xludf.DUMMYFUNCTION("""COMPUTED_VALUE"""),"サイズ")</f>
        <v>サイズ</v>
      </c>
      <c r="B297" s="531" t="str">
        <f>IFERROR(__xludf.DUMMYFUNCTION("""COMPUTED_VALUE"""),"ショートステンカラーコート")</f>
        <v>ショートステンカラーコート</v>
      </c>
      <c r="C297" s="531" t="str">
        <f>IFERROR(__xludf.DUMMYFUNCTION("""COMPUTED_VALUE"""),"裾まわり")</f>
        <v>裾まわり</v>
      </c>
      <c r="D297" s="533"/>
      <c r="E297" s="533" t="str">
        <f>IFERROR(__xludf.DUMMYFUNCTION("""COMPUTED_VALUE"""),"パターン限界値から -4cm~+3cmの範囲内で調整すること")</f>
        <v>パターン限界値から -4cm~+3cmの範囲内で調整すること</v>
      </c>
      <c r="F297" s="534" t="str">
        <f>IFERROR(__xludf.DUMMYFUNCTION("""COMPUTED_VALUE"""),"裾まわり")</f>
        <v>裾まわり</v>
      </c>
      <c r="G297" s="533" t="str">
        <f>IFERROR(__xludf.DUMMYFUNCTION("""COMPUTED_VALUE"""),"裾まわり（パターン限界値から -4cm~+3cmの範囲内で調整すること）")</f>
        <v>裾まわり（パターン限界値から -4cm~+3cmの範囲内で調整すること）</v>
      </c>
      <c r="H297" s="572" t="str">
        <f>IFERROR(__xludf.DUMMYFUNCTION("""COMPUTED_VALUE"""),"-6")</f>
        <v>-6</v>
      </c>
      <c r="I297" s="537"/>
      <c r="J297" s="538">
        <f>IFERROR(__xludf.DUMMYFUNCTION("""COMPUTED_VALUE"""),10.0)</f>
        <v>10</v>
      </c>
      <c r="K297" s="537">
        <f>IFERROR(__xludf.DUMMYFUNCTION("""COMPUTED_VALUE"""),46003.0)</f>
        <v>46003</v>
      </c>
      <c r="L297" s="539">
        <f>IFERROR(__xludf.DUMMYFUNCTION("""COMPUTED_VALUE"""),46003.0)</f>
        <v>46003</v>
      </c>
      <c r="M297" s="539">
        <f>IFERROR(__xludf.DUMMYFUNCTION("""COMPUTED_VALUE"""),46008.0)</f>
        <v>46008</v>
      </c>
      <c r="N297" s="539">
        <f>IFERROR(__xludf.DUMMYFUNCTION("""COMPUTED_VALUE"""),13200.0)</f>
        <v>13200</v>
      </c>
      <c r="O297" s="593">
        <f>IFERROR(__xludf.DUMMYFUNCTION("""COMPUTED_VALUE"""),12000.0)</f>
        <v>12000</v>
      </c>
      <c r="P297" s="594">
        <f>IFERROR(__xludf.DUMMYFUNCTION("""COMPUTED_VALUE"""),8000.0)</f>
        <v>8000</v>
      </c>
      <c r="Q297" s="183"/>
      <c r="R297" s="544"/>
      <c r="S297" s="544"/>
      <c r="T297" s="544"/>
      <c r="U297" s="544"/>
      <c r="V297" s="544"/>
      <c r="W297" s="544"/>
      <c r="X297" s="544"/>
      <c r="Y297" s="544"/>
      <c r="Z297" s="544"/>
      <c r="AA297" s="544"/>
      <c r="AB297" s="544"/>
      <c r="AC297" s="544"/>
      <c r="AD297" s="544"/>
      <c r="AE297" s="183"/>
      <c r="AF297" s="183"/>
      <c r="AG297" s="183"/>
      <c r="AH297" s="183"/>
      <c r="AI297" s="183"/>
      <c r="AJ297" s="183"/>
      <c r="AK297" s="183"/>
      <c r="AL297" s="183"/>
      <c r="AM297" s="183"/>
    </row>
    <row r="298" hidden="1">
      <c r="A298" s="531" t="str">
        <f>IFERROR(__xludf.DUMMYFUNCTION("""COMPUTED_VALUE"""),"サイズ")</f>
        <v>サイズ</v>
      </c>
      <c r="B298" s="531" t="str">
        <f>IFERROR(__xludf.DUMMYFUNCTION("""COMPUTED_VALUE"""),"ショートステンカラーコート")</f>
        <v>ショートステンカラーコート</v>
      </c>
      <c r="C298" s="531" t="str">
        <f>IFERROR(__xludf.DUMMYFUNCTION("""COMPUTED_VALUE"""),"裾まわり")</f>
        <v>裾まわり</v>
      </c>
      <c r="D298" s="533"/>
      <c r="E298" s="533" t="str">
        <f>IFERROR(__xludf.DUMMYFUNCTION("""COMPUTED_VALUE"""),"パターン限界値から -4cm~+3cmの範囲内で調整すること")</f>
        <v>パターン限界値から -4cm~+3cmの範囲内で調整すること</v>
      </c>
      <c r="F298" s="534" t="str">
        <f>IFERROR(__xludf.DUMMYFUNCTION("""COMPUTED_VALUE"""),"裾まわり")</f>
        <v>裾まわり</v>
      </c>
      <c r="G298" s="533" t="str">
        <f>IFERROR(__xludf.DUMMYFUNCTION("""COMPUTED_VALUE"""),"裾まわり（パターン限界値から -4cm~+3cmの範囲内で調整すること）")</f>
        <v>裾まわり（パターン限界値から -4cm~+3cmの範囲内で調整すること）</v>
      </c>
      <c r="H298" s="572" t="str">
        <f>IFERROR(__xludf.DUMMYFUNCTION("""COMPUTED_VALUE"""),"-5")</f>
        <v>-5</v>
      </c>
      <c r="I298" s="537"/>
      <c r="J298" s="538">
        <f>IFERROR(__xludf.DUMMYFUNCTION("""COMPUTED_VALUE"""),10.0)</f>
        <v>10</v>
      </c>
      <c r="K298" s="537">
        <f>IFERROR(__xludf.DUMMYFUNCTION("""COMPUTED_VALUE"""),46003.0)</f>
        <v>46003</v>
      </c>
      <c r="L298" s="539">
        <f>IFERROR(__xludf.DUMMYFUNCTION("""COMPUTED_VALUE"""),46003.0)</f>
        <v>46003</v>
      </c>
      <c r="M298" s="539">
        <f>IFERROR(__xludf.DUMMYFUNCTION("""COMPUTED_VALUE"""),46008.0)</f>
        <v>46008</v>
      </c>
      <c r="N298" s="539">
        <f>IFERROR(__xludf.DUMMYFUNCTION("""COMPUTED_VALUE"""),13200.0)</f>
        <v>13200</v>
      </c>
      <c r="O298" s="593">
        <f>IFERROR(__xludf.DUMMYFUNCTION("""COMPUTED_VALUE"""),12000.0)</f>
        <v>12000</v>
      </c>
      <c r="P298" s="594">
        <f>IFERROR(__xludf.DUMMYFUNCTION("""COMPUTED_VALUE"""),8000.0)</f>
        <v>8000</v>
      </c>
      <c r="Q298" s="183"/>
      <c r="R298" s="544"/>
      <c r="S298" s="544"/>
      <c r="T298" s="544"/>
      <c r="U298" s="544"/>
      <c r="V298" s="544"/>
      <c r="W298" s="544"/>
      <c r="X298" s="544"/>
      <c r="Y298" s="544"/>
      <c r="Z298" s="544"/>
      <c r="AA298" s="544"/>
      <c r="AB298" s="544"/>
      <c r="AC298" s="544"/>
      <c r="AD298" s="544"/>
      <c r="AE298" s="183"/>
      <c r="AF298" s="183"/>
      <c r="AG298" s="183"/>
      <c r="AH298" s="183"/>
      <c r="AI298" s="183"/>
      <c r="AJ298" s="183"/>
      <c r="AK298" s="183"/>
      <c r="AL298" s="183"/>
      <c r="AM298" s="183"/>
    </row>
    <row r="299" hidden="1">
      <c r="A299" s="531" t="str">
        <f>IFERROR(__xludf.DUMMYFUNCTION("""COMPUTED_VALUE"""),"サイズ")</f>
        <v>サイズ</v>
      </c>
      <c r="B299" s="531" t="str">
        <f>IFERROR(__xludf.DUMMYFUNCTION("""COMPUTED_VALUE"""),"ショートステンカラーコート")</f>
        <v>ショートステンカラーコート</v>
      </c>
      <c r="C299" s="531" t="str">
        <f>IFERROR(__xludf.DUMMYFUNCTION("""COMPUTED_VALUE"""),"裾まわり")</f>
        <v>裾まわり</v>
      </c>
      <c r="D299" s="533"/>
      <c r="E299" s="533" t="str">
        <f>IFERROR(__xludf.DUMMYFUNCTION("""COMPUTED_VALUE"""),"パターン限界値から -4cm~+3cmの範囲内で調整すること")</f>
        <v>パターン限界値から -4cm~+3cmの範囲内で調整すること</v>
      </c>
      <c r="F299" s="534" t="str">
        <f>IFERROR(__xludf.DUMMYFUNCTION("""COMPUTED_VALUE"""),"裾まわり")</f>
        <v>裾まわり</v>
      </c>
      <c r="G299" s="533" t="str">
        <f>IFERROR(__xludf.DUMMYFUNCTION("""COMPUTED_VALUE"""),"裾まわり（パターン限界値から -4cm~+3cmの範囲内で調整すること）")</f>
        <v>裾まわり（パターン限界値から -4cm~+3cmの範囲内で調整すること）</v>
      </c>
      <c r="H299" s="572" t="str">
        <f>IFERROR(__xludf.DUMMYFUNCTION("""COMPUTED_VALUE"""),"-4")</f>
        <v>-4</v>
      </c>
      <c r="I299" s="537"/>
      <c r="J299" s="538">
        <f>IFERROR(__xludf.DUMMYFUNCTION("""COMPUTED_VALUE"""),10.0)</f>
        <v>10</v>
      </c>
      <c r="K299" s="537">
        <f>IFERROR(__xludf.DUMMYFUNCTION("""COMPUTED_VALUE"""),46003.0)</f>
        <v>46003</v>
      </c>
      <c r="L299" s="539">
        <f>IFERROR(__xludf.DUMMYFUNCTION("""COMPUTED_VALUE"""),46003.0)</f>
        <v>46003</v>
      </c>
      <c r="M299" s="539">
        <f>IFERROR(__xludf.DUMMYFUNCTION("""COMPUTED_VALUE"""),46008.0)</f>
        <v>46008</v>
      </c>
      <c r="N299" s="539">
        <f>IFERROR(__xludf.DUMMYFUNCTION("""COMPUTED_VALUE"""),13200.0)</f>
        <v>13200</v>
      </c>
      <c r="O299" s="593">
        <f>IFERROR(__xludf.DUMMYFUNCTION("""COMPUTED_VALUE"""),12000.0)</f>
        <v>12000</v>
      </c>
      <c r="P299" s="594">
        <f>IFERROR(__xludf.DUMMYFUNCTION("""COMPUTED_VALUE"""),8000.0)</f>
        <v>8000</v>
      </c>
      <c r="Q299" s="183"/>
      <c r="R299" s="544"/>
      <c r="S299" s="544"/>
      <c r="T299" s="544"/>
      <c r="U299" s="544"/>
      <c r="V299" s="544"/>
      <c r="W299" s="544"/>
      <c r="X299" s="544"/>
      <c r="Y299" s="544"/>
      <c r="Z299" s="544"/>
      <c r="AA299" s="544"/>
      <c r="AB299" s="544"/>
      <c r="AC299" s="544"/>
      <c r="AD299" s="544"/>
      <c r="AE299" s="183"/>
      <c r="AF299" s="183"/>
      <c r="AG299" s="183"/>
      <c r="AH299" s="183"/>
      <c r="AI299" s="183"/>
      <c r="AJ299" s="183"/>
      <c r="AK299" s="183"/>
      <c r="AL299" s="183"/>
      <c r="AM299" s="183"/>
    </row>
    <row r="300" hidden="1">
      <c r="A300" s="531" t="str">
        <f>IFERROR(__xludf.DUMMYFUNCTION("""COMPUTED_VALUE"""),"サイズ")</f>
        <v>サイズ</v>
      </c>
      <c r="B300" s="531" t="str">
        <f>IFERROR(__xludf.DUMMYFUNCTION("""COMPUTED_VALUE"""),"ショートステンカラーコート")</f>
        <v>ショートステンカラーコート</v>
      </c>
      <c r="C300" s="531" t="str">
        <f>IFERROR(__xludf.DUMMYFUNCTION("""COMPUTED_VALUE"""),"裾まわり")</f>
        <v>裾まわり</v>
      </c>
      <c r="D300" s="533"/>
      <c r="E300" s="533" t="str">
        <f>IFERROR(__xludf.DUMMYFUNCTION("""COMPUTED_VALUE"""),"パターン限界値から -4cm~+3cmの範囲内で調整すること")</f>
        <v>パターン限界値から -4cm~+3cmの範囲内で調整すること</v>
      </c>
      <c r="F300" s="534" t="str">
        <f>IFERROR(__xludf.DUMMYFUNCTION("""COMPUTED_VALUE"""),"裾まわり")</f>
        <v>裾まわり</v>
      </c>
      <c r="G300" s="533" t="str">
        <f>IFERROR(__xludf.DUMMYFUNCTION("""COMPUTED_VALUE"""),"裾まわり（パターン限界値から -4cm~+3cmの範囲内で調整すること）")</f>
        <v>裾まわり（パターン限界値から -4cm~+3cmの範囲内で調整すること）</v>
      </c>
      <c r="H300" s="572" t="str">
        <f>IFERROR(__xludf.DUMMYFUNCTION("""COMPUTED_VALUE"""),"-3")</f>
        <v>-3</v>
      </c>
      <c r="I300" s="537"/>
      <c r="J300" s="538">
        <f>IFERROR(__xludf.DUMMYFUNCTION("""COMPUTED_VALUE"""),10.0)</f>
        <v>10</v>
      </c>
      <c r="K300" s="537">
        <f>IFERROR(__xludf.DUMMYFUNCTION("""COMPUTED_VALUE"""),46003.0)</f>
        <v>46003</v>
      </c>
      <c r="L300" s="640">
        <f>IFERROR(__xludf.DUMMYFUNCTION("""COMPUTED_VALUE"""),46003.0)</f>
        <v>46003</v>
      </c>
      <c r="M300" s="640">
        <f>IFERROR(__xludf.DUMMYFUNCTION("""COMPUTED_VALUE"""),46008.0)</f>
        <v>46008</v>
      </c>
      <c r="N300" s="539">
        <f>IFERROR(__xludf.DUMMYFUNCTION("""COMPUTED_VALUE"""),13200.0)</f>
        <v>13200</v>
      </c>
      <c r="O300" s="593">
        <f>IFERROR(__xludf.DUMMYFUNCTION("""COMPUTED_VALUE"""),12000.0)</f>
        <v>12000</v>
      </c>
      <c r="P300" s="594">
        <f>IFERROR(__xludf.DUMMYFUNCTION("""COMPUTED_VALUE"""),8000.0)</f>
        <v>8000</v>
      </c>
      <c r="Q300" s="183"/>
      <c r="R300" s="544"/>
      <c r="S300" s="544"/>
      <c r="T300" s="544"/>
      <c r="U300" s="544"/>
      <c r="V300" s="544"/>
      <c r="W300" s="544"/>
      <c r="X300" s="544"/>
      <c r="Y300" s="544"/>
      <c r="Z300" s="544"/>
      <c r="AA300" s="544"/>
      <c r="AB300" s="544"/>
      <c r="AC300" s="544"/>
      <c r="AD300" s="544"/>
      <c r="AE300" s="183"/>
      <c r="AF300" s="183"/>
      <c r="AG300" s="183"/>
      <c r="AH300" s="183"/>
      <c r="AI300" s="183"/>
      <c r="AJ300" s="183"/>
      <c r="AK300" s="183"/>
      <c r="AL300" s="183"/>
      <c r="AM300" s="183"/>
    </row>
    <row r="301" hidden="1">
      <c r="A301" s="531" t="str">
        <f>IFERROR(__xludf.DUMMYFUNCTION("""COMPUTED_VALUE"""),"サイズ")</f>
        <v>サイズ</v>
      </c>
      <c r="B301" s="531" t="str">
        <f>IFERROR(__xludf.DUMMYFUNCTION("""COMPUTED_VALUE"""),"ショートステンカラーコート")</f>
        <v>ショートステンカラーコート</v>
      </c>
      <c r="C301" s="531" t="str">
        <f>IFERROR(__xludf.DUMMYFUNCTION("""COMPUTED_VALUE"""),"裾まわり")</f>
        <v>裾まわり</v>
      </c>
      <c r="D301" s="533"/>
      <c r="E301" s="533" t="str">
        <f>IFERROR(__xludf.DUMMYFUNCTION("""COMPUTED_VALUE"""),"パターン限界値から -4cm~+3cmの範囲内で調整すること")</f>
        <v>パターン限界値から -4cm~+3cmの範囲内で調整すること</v>
      </c>
      <c r="F301" s="534" t="str">
        <f>IFERROR(__xludf.DUMMYFUNCTION("""COMPUTED_VALUE"""),"裾まわり")</f>
        <v>裾まわり</v>
      </c>
      <c r="G301" s="533" t="str">
        <f>IFERROR(__xludf.DUMMYFUNCTION("""COMPUTED_VALUE"""),"裾まわり（パターン限界値から -4cm~+3cmの範囲内で調整すること）")</f>
        <v>裾まわり（パターン限界値から -4cm~+3cmの範囲内で調整すること）</v>
      </c>
      <c r="H301" s="572" t="str">
        <f>IFERROR(__xludf.DUMMYFUNCTION("""COMPUTED_VALUE"""),"-2")</f>
        <v>-2</v>
      </c>
      <c r="I301" s="537"/>
      <c r="J301" s="538">
        <f>IFERROR(__xludf.DUMMYFUNCTION("""COMPUTED_VALUE"""),10.0)</f>
        <v>10</v>
      </c>
      <c r="K301" s="537">
        <f>IFERROR(__xludf.DUMMYFUNCTION("""COMPUTED_VALUE"""),46003.0)</f>
        <v>46003</v>
      </c>
      <c r="L301" s="640">
        <f>IFERROR(__xludf.DUMMYFUNCTION("""COMPUTED_VALUE"""),46003.0)</f>
        <v>46003</v>
      </c>
      <c r="M301" s="640">
        <f>IFERROR(__xludf.DUMMYFUNCTION("""COMPUTED_VALUE"""),46008.0)</f>
        <v>46008</v>
      </c>
      <c r="N301" s="539">
        <f>IFERROR(__xludf.DUMMYFUNCTION("""COMPUTED_VALUE"""),13200.0)</f>
        <v>13200</v>
      </c>
      <c r="O301" s="593">
        <f>IFERROR(__xludf.DUMMYFUNCTION("""COMPUTED_VALUE"""),12000.0)</f>
        <v>12000</v>
      </c>
      <c r="P301" s="594">
        <f>IFERROR(__xludf.DUMMYFUNCTION("""COMPUTED_VALUE"""),8000.0)</f>
        <v>8000</v>
      </c>
      <c r="Q301" s="183"/>
      <c r="R301" s="544"/>
      <c r="S301" s="544"/>
      <c r="T301" s="544"/>
      <c r="U301" s="544"/>
      <c r="V301" s="544"/>
      <c r="W301" s="544"/>
      <c r="X301" s="544"/>
      <c r="Y301" s="544"/>
      <c r="Z301" s="544"/>
      <c r="AA301" s="544"/>
      <c r="AB301" s="544"/>
      <c r="AC301" s="544"/>
      <c r="AD301" s="544"/>
      <c r="AE301" s="183"/>
      <c r="AF301" s="183"/>
      <c r="AG301" s="183"/>
      <c r="AH301" s="183"/>
      <c r="AI301" s="183"/>
      <c r="AJ301" s="183"/>
      <c r="AK301" s="183"/>
      <c r="AL301" s="183"/>
      <c r="AM301" s="183"/>
    </row>
    <row r="302" hidden="1">
      <c r="A302" s="531" t="str">
        <f>IFERROR(__xludf.DUMMYFUNCTION("""COMPUTED_VALUE"""),"サイズ")</f>
        <v>サイズ</v>
      </c>
      <c r="B302" s="531" t="str">
        <f>IFERROR(__xludf.DUMMYFUNCTION("""COMPUTED_VALUE"""),"ショートステンカラーコート")</f>
        <v>ショートステンカラーコート</v>
      </c>
      <c r="C302" s="531" t="str">
        <f>IFERROR(__xludf.DUMMYFUNCTION("""COMPUTED_VALUE"""),"裾まわり")</f>
        <v>裾まわり</v>
      </c>
      <c r="D302" s="533"/>
      <c r="E302" s="533" t="str">
        <f>IFERROR(__xludf.DUMMYFUNCTION("""COMPUTED_VALUE"""),"パターン限界値から -4cm~+3cmの範囲内で調整すること")</f>
        <v>パターン限界値から -4cm~+3cmの範囲内で調整すること</v>
      </c>
      <c r="F302" s="534" t="str">
        <f>IFERROR(__xludf.DUMMYFUNCTION("""COMPUTED_VALUE"""),"裾まわり")</f>
        <v>裾まわり</v>
      </c>
      <c r="G302" s="533" t="str">
        <f>IFERROR(__xludf.DUMMYFUNCTION("""COMPUTED_VALUE"""),"裾まわり（パターン限界値から -4cm~+3cmの範囲内で調整すること）")</f>
        <v>裾まわり（パターン限界値から -4cm~+3cmの範囲内で調整すること）</v>
      </c>
      <c r="H302" s="572" t="str">
        <f>IFERROR(__xludf.DUMMYFUNCTION("""COMPUTED_VALUE"""),"-1")</f>
        <v>-1</v>
      </c>
      <c r="I302" s="537"/>
      <c r="J302" s="538">
        <f>IFERROR(__xludf.DUMMYFUNCTION("""COMPUTED_VALUE"""),10.0)</f>
        <v>10</v>
      </c>
      <c r="K302" s="537">
        <f>IFERROR(__xludf.DUMMYFUNCTION("""COMPUTED_VALUE"""),46003.0)</f>
        <v>46003</v>
      </c>
      <c r="L302" s="640">
        <f>IFERROR(__xludf.DUMMYFUNCTION("""COMPUTED_VALUE"""),46003.0)</f>
        <v>46003</v>
      </c>
      <c r="M302" s="641">
        <f>IFERROR(__xludf.DUMMYFUNCTION("""COMPUTED_VALUE"""),46008.0)</f>
        <v>46008</v>
      </c>
      <c r="N302" s="539">
        <f>IFERROR(__xludf.DUMMYFUNCTION("""COMPUTED_VALUE"""),13200.0)</f>
        <v>13200</v>
      </c>
      <c r="O302" s="593">
        <f>IFERROR(__xludf.DUMMYFUNCTION("""COMPUTED_VALUE"""),12000.0)</f>
        <v>12000</v>
      </c>
      <c r="P302" s="594">
        <f>IFERROR(__xludf.DUMMYFUNCTION("""COMPUTED_VALUE"""),8000.0)</f>
        <v>8000</v>
      </c>
      <c r="Q302" s="183"/>
      <c r="R302" s="544"/>
      <c r="S302" s="544"/>
      <c r="T302" s="544"/>
      <c r="U302" s="544"/>
      <c r="V302" s="544"/>
      <c r="W302" s="544"/>
      <c r="X302" s="544"/>
      <c r="Y302" s="544"/>
      <c r="Z302" s="544"/>
      <c r="AA302" s="544"/>
      <c r="AB302" s="544"/>
      <c r="AC302" s="544"/>
      <c r="AD302" s="544"/>
      <c r="AE302" s="183"/>
      <c r="AF302" s="183"/>
      <c r="AG302" s="183"/>
      <c r="AH302" s="183"/>
      <c r="AI302" s="183"/>
      <c r="AJ302" s="183"/>
      <c r="AK302" s="183"/>
      <c r="AL302" s="183"/>
      <c r="AM302" s="183"/>
    </row>
    <row r="303" hidden="1">
      <c r="A303" s="531" t="str">
        <f>IFERROR(__xludf.DUMMYFUNCTION("""COMPUTED_VALUE"""),"サイズ - ウィメンズ")</f>
        <v>サイズ - ウィメンズ</v>
      </c>
      <c r="B303" s="531" t="str">
        <f>IFERROR(__xludf.DUMMYFUNCTION("""COMPUTED_VALUE"""),"スカート")</f>
        <v>スカート</v>
      </c>
      <c r="C303" s="531" t="str">
        <f>IFERROR(__xludf.DUMMYFUNCTION("""COMPUTED_VALUE"""),"ウエスト")</f>
        <v>ウエスト</v>
      </c>
      <c r="D303" s="550"/>
      <c r="E303" s="533"/>
      <c r="F303" s="534" t="str">
        <f>IFERROR(__xludf.DUMMYFUNCTION("""COMPUTED_VALUE"""),"ウエスト")</f>
        <v>ウエスト</v>
      </c>
      <c r="G303" s="550" t="str">
        <f>IFERROR(__xludf.DUMMYFUNCTION("""COMPUTED_VALUE"""),"ウエスト")</f>
        <v>ウエスト</v>
      </c>
      <c r="H303" s="572" t="str">
        <f>IFERROR(__xludf.DUMMYFUNCTION("""COMPUTED_VALUE"""),"-4")</f>
        <v>-4</v>
      </c>
      <c r="I303" s="537"/>
      <c r="J303" s="538"/>
      <c r="K303" s="538"/>
      <c r="L303" s="640">
        <f>IFERROR(__xludf.DUMMYFUNCTION("""COMPUTED_VALUE"""),46003.0)</f>
        <v>46003</v>
      </c>
      <c r="M303" s="641">
        <f>IFERROR(__xludf.DUMMYFUNCTION("""COMPUTED_VALUE"""),46008.0)</f>
        <v>46008</v>
      </c>
      <c r="N303" s="539">
        <f>IFERROR(__xludf.DUMMYFUNCTION("""COMPUTED_VALUE"""),0.0)</f>
        <v>0</v>
      </c>
      <c r="O303" s="183"/>
      <c r="P303" s="594" t="str">
        <f>IFERROR(__xludf.DUMMYFUNCTION("""COMPUTED_VALUE"""),"未定")</f>
        <v>未定</v>
      </c>
      <c r="Q303" s="183"/>
      <c r="R303" s="544"/>
      <c r="S303" s="544"/>
      <c r="T303" s="544"/>
      <c r="U303" s="544"/>
      <c r="V303" s="544"/>
      <c r="W303" s="544"/>
      <c r="X303" s="544"/>
      <c r="Y303" s="544"/>
      <c r="Z303" s="544"/>
      <c r="AA303" s="544"/>
      <c r="AB303" s="544"/>
      <c r="AC303" s="544"/>
      <c r="AD303" s="544"/>
      <c r="AE303" s="183"/>
      <c r="AF303" s="183"/>
      <c r="AG303" s="183"/>
      <c r="AH303" s="183"/>
      <c r="AI303" s="183"/>
      <c r="AJ303" s="183"/>
      <c r="AK303" s="183"/>
      <c r="AL303" s="183"/>
      <c r="AM303" s="183"/>
    </row>
    <row r="304" hidden="1">
      <c r="A304" s="531" t="str">
        <f>IFERROR(__xludf.DUMMYFUNCTION("""COMPUTED_VALUE"""),"サイズ - ウィメンズ")</f>
        <v>サイズ - ウィメンズ</v>
      </c>
      <c r="B304" s="531" t="str">
        <f>IFERROR(__xludf.DUMMYFUNCTION("""COMPUTED_VALUE"""),"スカート")</f>
        <v>スカート</v>
      </c>
      <c r="C304" s="531" t="str">
        <f>IFERROR(__xludf.DUMMYFUNCTION("""COMPUTED_VALUE"""),"ウエスト")</f>
        <v>ウエスト</v>
      </c>
      <c r="D304" s="550"/>
      <c r="E304" s="533"/>
      <c r="F304" s="534" t="str">
        <f>IFERROR(__xludf.DUMMYFUNCTION("""COMPUTED_VALUE"""),"ウエスト")</f>
        <v>ウエスト</v>
      </c>
      <c r="G304" s="550" t="str">
        <f>IFERROR(__xludf.DUMMYFUNCTION("""COMPUTED_VALUE"""),"ウエスト")</f>
        <v>ウエスト</v>
      </c>
      <c r="H304" s="572" t="str">
        <f>IFERROR(__xludf.DUMMYFUNCTION("""COMPUTED_VALUE"""),"-3")</f>
        <v>-3</v>
      </c>
      <c r="I304" s="537"/>
      <c r="J304" s="538"/>
      <c r="K304" s="538"/>
      <c r="L304" s="640">
        <f>IFERROR(__xludf.DUMMYFUNCTION("""COMPUTED_VALUE"""),46003.0)</f>
        <v>46003</v>
      </c>
      <c r="M304" s="641">
        <f>IFERROR(__xludf.DUMMYFUNCTION("""COMPUTED_VALUE"""),46008.0)</f>
        <v>46008</v>
      </c>
      <c r="N304" s="539">
        <f>IFERROR(__xludf.DUMMYFUNCTION("""COMPUTED_VALUE"""),0.0)</f>
        <v>0</v>
      </c>
      <c r="O304" s="183"/>
      <c r="P304" s="594" t="str">
        <f>IFERROR(__xludf.DUMMYFUNCTION("""COMPUTED_VALUE"""),"未定")</f>
        <v>未定</v>
      </c>
      <c r="Q304" s="183"/>
      <c r="R304" s="544"/>
      <c r="S304" s="544"/>
      <c r="T304" s="544"/>
      <c r="U304" s="544"/>
      <c r="V304" s="544"/>
      <c r="W304" s="544"/>
      <c r="X304" s="544"/>
      <c r="Y304" s="544"/>
      <c r="Z304" s="544"/>
      <c r="AA304" s="544"/>
      <c r="AB304" s="544"/>
      <c r="AC304" s="544"/>
      <c r="AD304" s="544"/>
      <c r="AE304" s="183"/>
      <c r="AF304" s="183"/>
      <c r="AG304" s="183"/>
      <c r="AH304" s="183"/>
      <c r="AI304" s="183"/>
      <c r="AJ304" s="183"/>
      <c r="AK304" s="183"/>
      <c r="AL304" s="183"/>
      <c r="AM304" s="183"/>
    </row>
    <row r="305" hidden="1">
      <c r="A305" s="531" t="str">
        <f>IFERROR(__xludf.DUMMYFUNCTION("""COMPUTED_VALUE"""),"サイズ - ウィメンズ")</f>
        <v>サイズ - ウィメンズ</v>
      </c>
      <c r="B305" s="531" t="str">
        <f>IFERROR(__xludf.DUMMYFUNCTION("""COMPUTED_VALUE"""),"スカート")</f>
        <v>スカート</v>
      </c>
      <c r="C305" s="531" t="str">
        <f>IFERROR(__xludf.DUMMYFUNCTION("""COMPUTED_VALUE"""),"ウエスト")</f>
        <v>ウエスト</v>
      </c>
      <c r="D305" s="550"/>
      <c r="E305" s="533"/>
      <c r="F305" s="534" t="str">
        <f>IFERROR(__xludf.DUMMYFUNCTION("""COMPUTED_VALUE"""),"ウエスト")</f>
        <v>ウエスト</v>
      </c>
      <c r="G305" s="550" t="str">
        <f>IFERROR(__xludf.DUMMYFUNCTION("""COMPUTED_VALUE"""),"ウエスト")</f>
        <v>ウエスト</v>
      </c>
      <c r="H305" s="572" t="str">
        <f>IFERROR(__xludf.DUMMYFUNCTION("""COMPUTED_VALUE"""),"-2")</f>
        <v>-2</v>
      </c>
      <c r="I305" s="537"/>
      <c r="J305" s="538"/>
      <c r="K305" s="538"/>
      <c r="L305" s="640">
        <f>IFERROR(__xludf.DUMMYFUNCTION("""COMPUTED_VALUE"""),46003.0)</f>
        <v>46003</v>
      </c>
      <c r="M305" s="641">
        <f>IFERROR(__xludf.DUMMYFUNCTION("""COMPUTED_VALUE"""),46008.0)</f>
        <v>46008</v>
      </c>
      <c r="N305" s="539">
        <f>IFERROR(__xludf.DUMMYFUNCTION("""COMPUTED_VALUE"""),0.0)</f>
        <v>0</v>
      </c>
      <c r="O305" s="183"/>
      <c r="P305" s="594" t="str">
        <f>IFERROR(__xludf.DUMMYFUNCTION("""COMPUTED_VALUE"""),"未定")</f>
        <v>未定</v>
      </c>
      <c r="Q305" s="183"/>
      <c r="R305" s="544"/>
      <c r="S305" s="544"/>
      <c r="T305" s="544"/>
      <c r="U305" s="544"/>
      <c r="V305" s="544"/>
      <c r="W305" s="544"/>
      <c r="X305" s="544"/>
      <c r="Y305" s="544"/>
      <c r="Z305" s="544"/>
      <c r="AA305" s="544"/>
      <c r="AB305" s="544"/>
      <c r="AC305" s="544"/>
      <c r="AD305" s="544"/>
      <c r="AE305" s="183"/>
      <c r="AF305" s="183"/>
      <c r="AG305" s="183"/>
      <c r="AH305" s="183"/>
      <c r="AI305" s="183"/>
      <c r="AJ305" s="183"/>
      <c r="AK305" s="183"/>
      <c r="AL305" s="183"/>
      <c r="AM305" s="183"/>
    </row>
    <row r="306" hidden="1">
      <c r="A306" s="531" t="str">
        <f>IFERROR(__xludf.DUMMYFUNCTION("""COMPUTED_VALUE"""),"サイズ - ウィメンズ")</f>
        <v>サイズ - ウィメンズ</v>
      </c>
      <c r="B306" s="531" t="str">
        <f>IFERROR(__xludf.DUMMYFUNCTION("""COMPUTED_VALUE"""),"スカート")</f>
        <v>スカート</v>
      </c>
      <c r="C306" s="531" t="str">
        <f>IFERROR(__xludf.DUMMYFUNCTION("""COMPUTED_VALUE"""),"ウエスト")</f>
        <v>ウエスト</v>
      </c>
      <c r="D306" s="550"/>
      <c r="E306" s="533"/>
      <c r="F306" s="534" t="str">
        <f>IFERROR(__xludf.DUMMYFUNCTION("""COMPUTED_VALUE"""),"ウエスト")</f>
        <v>ウエスト</v>
      </c>
      <c r="G306" s="550" t="str">
        <f>IFERROR(__xludf.DUMMYFUNCTION("""COMPUTED_VALUE"""),"ウエスト")</f>
        <v>ウエスト</v>
      </c>
      <c r="H306" s="572" t="str">
        <f>IFERROR(__xludf.DUMMYFUNCTION("""COMPUTED_VALUE"""),"-1")</f>
        <v>-1</v>
      </c>
      <c r="I306" s="537"/>
      <c r="J306" s="538"/>
      <c r="K306" s="538"/>
      <c r="L306" s="640">
        <f>IFERROR(__xludf.DUMMYFUNCTION("""COMPUTED_VALUE"""),46003.0)</f>
        <v>46003</v>
      </c>
      <c r="M306" s="640">
        <f>IFERROR(__xludf.DUMMYFUNCTION("""COMPUTED_VALUE"""),46008.0)</f>
        <v>46008</v>
      </c>
      <c r="N306" s="539">
        <f>IFERROR(__xludf.DUMMYFUNCTION("""COMPUTED_VALUE"""),0.0)</f>
        <v>0</v>
      </c>
      <c r="O306" s="183"/>
      <c r="P306" s="594" t="str">
        <f>IFERROR(__xludf.DUMMYFUNCTION("""COMPUTED_VALUE"""),"未定")</f>
        <v>未定</v>
      </c>
      <c r="Q306" s="183"/>
      <c r="R306" s="544"/>
      <c r="S306" s="544"/>
      <c r="T306" s="544"/>
      <c r="U306" s="544"/>
      <c r="V306" s="544"/>
      <c r="W306" s="544"/>
      <c r="X306" s="544"/>
      <c r="Y306" s="544"/>
      <c r="Z306" s="544"/>
      <c r="AA306" s="544"/>
      <c r="AB306" s="544"/>
      <c r="AC306" s="544"/>
      <c r="AD306" s="544"/>
      <c r="AE306" s="183"/>
      <c r="AF306" s="183"/>
      <c r="AG306" s="183"/>
      <c r="AH306" s="183"/>
      <c r="AI306" s="183"/>
      <c r="AJ306" s="183"/>
      <c r="AK306" s="183"/>
      <c r="AL306" s="183"/>
      <c r="AM306" s="183"/>
    </row>
    <row r="307" hidden="1">
      <c r="A307" s="531" t="str">
        <f>IFERROR(__xludf.DUMMYFUNCTION("""COMPUTED_VALUE"""),"サイズ - ウィメンズ")</f>
        <v>サイズ - ウィメンズ</v>
      </c>
      <c r="B307" s="531" t="str">
        <f>IFERROR(__xludf.DUMMYFUNCTION("""COMPUTED_VALUE"""),"スカート")</f>
        <v>スカート</v>
      </c>
      <c r="C307" s="531" t="str">
        <f>IFERROR(__xludf.DUMMYFUNCTION("""COMPUTED_VALUE"""),"けまわし")</f>
        <v>けまわし</v>
      </c>
      <c r="D307" s="550"/>
      <c r="E307" s="533"/>
      <c r="F307" s="534" t="str">
        <f>IFERROR(__xludf.DUMMYFUNCTION("""COMPUTED_VALUE"""),"けまわし")</f>
        <v>けまわし</v>
      </c>
      <c r="G307" s="550" t="str">
        <f>IFERROR(__xludf.DUMMYFUNCTION("""COMPUTED_VALUE"""),"けまわし")</f>
        <v>けまわし</v>
      </c>
      <c r="H307" s="572" t="str">
        <f>IFERROR(__xludf.DUMMYFUNCTION("""COMPUTED_VALUE"""),"-1")</f>
        <v>-1</v>
      </c>
      <c r="I307" s="537"/>
      <c r="J307" s="538"/>
      <c r="K307" s="538"/>
      <c r="L307" s="640">
        <f>IFERROR(__xludf.DUMMYFUNCTION("""COMPUTED_VALUE"""),46003.0)</f>
        <v>46003</v>
      </c>
      <c r="M307" s="640">
        <f>IFERROR(__xludf.DUMMYFUNCTION("""COMPUTED_VALUE"""),46008.0)</f>
        <v>46008</v>
      </c>
      <c r="N307" s="539">
        <f>IFERROR(__xludf.DUMMYFUNCTION("""COMPUTED_VALUE"""),0.0)</f>
        <v>0</v>
      </c>
      <c r="O307" s="183"/>
      <c r="P307" s="594" t="str">
        <f>IFERROR(__xludf.DUMMYFUNCTION("""COMPUTED_VALUE"""),"未定")</f>
        <v>未定</v>
      </c>
      <c r="Q307" s="183"/>
      <c r="R307" s="544"/>
      <c r="S307" s="544"/>
      <c r="T307" s="544"/>
      <c r="U307" s="544"/>
      <c r="V307" s="544"/>
      <c r="W307" s="544"/>
      <c r="X307" s="544"/>
      <c r="Y307" s="544"/>
      <c r="Z307" s="544"/>
      <c r="AA307" s="544"/>
      <c r="AB307" s="544"/>
      <c r="AC307" s="544"/>
      <c r="AD307" s="544"/>
      <c r="AE307" s="183"/>
      <c r="AF307" s="183"/>
      <c r="AG307" s="183"/>
      <c r="AH307" s="183"/>
      <c r="AI307" s="183"/>
      <c r="AJ307" s="183"/>
      <c r="AK307" s="183"/>
      <c r="AL307" s="183"/>
      <c r="AM307" s="183"/>
    </row>
    <row r="308" hidden="1">
      <c r="A308" s="531" t="str">
        <f>IFERROR(__xludf.DUMMYFUNCTION("""COMPUTED_VALUE"""),"サイズ - ウィメンズ")</f>
        <v>サイズ - ウィメンズ</v>
      </c>
      <c r="B308" s="531" t="str">
        <f>IFERROR(__xludf.DUMMYFUNCTION("""COMPUTED_VALUE"""),"スカート")</f>
        <v>スカート</v>
      </c>
      <c r="C308" s="531" t="str">
        <f>IFERROR(__xludf.DUMMYFUNCTION("""COMPUTED_VALUE"""),"けまわし")</f>
        <v>けまわし</v>
      </c>
      <c r="D308" s="550"/>
      <c r="E308" s="533"/>
      <c r="F308" s="534" t="str">
        <f>IFERROR(__xludf.DUMMYFUNCTION("""COMPUTED_VALUE"""),"けまわし")</f>
        <v>けまわし</v>
      </c>
      <c r="G308" s="550" t="str">
        <f>IFERROR(__xludf.DUMMYFUNCTION("""COMPUTED_VALUE"""),"けまわし")</f>
        <v>けまわし</v>
      </c>
      <c r="H308" s="572" t="str">
        <f>IFERROR(__xludf.DUMMYFUNCTION("""COMPUTED_VALUE"""),"-0.5")</f>
        <v>-0.5</v>
      </c>
      <c r="I308" s="537"/>
      <c r="J308" s="538"/>
      <c r="K308" s="538"/>
      <c r="L308" s="640">
        <f>IFERROR(__xludf.DUMMYFUNCTION("""COMPUTED_VALUE"""),46003.0)</f>
        <v>46003</v>
      </c>
      <c r="M308" s="640">
        <f>IFERROR(__xludf.DUMMYFUNCTION("""COMPUTED_VALUE"""),46008.0)</f>
        <v>46008</v>
      </c>
      <c r="N308" s="539">
        <f>IFERROR(__xludf.DUMMYFUNCTION("""COMPUTED_VALUE"""),0.0)</f>
        <v>0</v>
      </c>
      <c r="O308" s="183"/>
      <c r="P308" s="594" t="str">
        <f>IFERROR(__xludf.DUMMYFUNCTION("""COMPUTED_VALUE"""),"未定")</f>
        <v>未定</v>
      </c>
      <c r="Q308" s="183"/>
      <c r="R308" s="544"/>
      <c r="S308" s="544"/>
      <c r="T308" s="544"/>
      <c r="U308" s="544"/>
      <c r="V308" s="544"/>
      <c r="W308" s="544"/>
      <c r="X308" s="544"/>
      <c r="Y308" s="544"/>
      <c r="Z308" s="544"/>
      <c r="AA308" s="544"/>
      <c r="AB308" s="544"/>
      <c r="AC308" s="544"/>
      <c r="AD308" s="544"/>
      <c r="AE308" s="183"/>
      <c r="AF308" s="183"/>
      <c r="AG308" s="183"/>
      <c r="AH308" s="183"/>
      <c r="AI308" s="183"/>
      <c r="AJ308" s="183"/>
      <c r="AK308" s="183"/>
      <c r="AL308" s="183"/>
      <c r="AM308" s="183"/>
    </row>
    <row r="309" hidden="1">
      <c r="A309" s="531" t="str">
        <f>IFERROR(__xludf.DUMMYFUNCTION("""COMPUTED_VALUE"""),"サイズ")</f>
        <v>サイズ</v>
      </c>
      <c r="B309" s="531" t="str">
        <f>IFERROR(__xludf.DUMMYFUNCTION("""COMPUTED_VALUE"""),"ステンカラーコート")</f>
        <v>ステンカラーコート</v>
      </c>
      <c r="C309" s="532" t="str">
        <f>IFERROR(__xludf.DUMMYFUNCTION("""COMPUTED_VALUE"""),"仕上げプレス")</f>
        <v>仕上げプレス</v>
      </c>
      <c r="D309" s="550"/>
      <c r="E309" s="533"/>
      <c r="F309" s="534" t="str">
        <f>IFERROR(__xludf.DUMMYFUNCTION("""COMPUTED_VALUE"""),"仕上げプレス")</f>
        <v>仕上げプレス</v>
      </c>
      <c r="G309" s="550" t="str">
        <f>IFERROR(__xludf.DUMMYFUNCTION("""COMPUTED_VALUE"""),"仕上げプレス")</f>
        <v>仕上げプレス</v>
      </c>
      <c r="H309" s="536"/>
      <c r="I309" s="537" t="str">
        <f>IFERROR(__xludf.DUMMYFUNCTION("""COMPUTED_VALUE"""),"店舗/CS")</f>
        <v>店舗/CS</v>
      </c>
      <c r="J309" s="538"/>
      <c r="K309" s="538"/>
      <c r="L309" s="640"/>
      <c r="M309" s="640"/>
      <c r="N309" s="539">
        <f>IFERROR(__xludf.DUMMYFUNCTION("""COMPUTED_VALUE"""),770.0)</f>
        <v>770</v>
      </c>
      <c r="O309" s="593">
        <f>IFERROR(__xludf.DUMMYFUNCTION("""COMPUTED_VALUE"""),700.0)</f>
        <v>700</v>
      </c>
      <c r="P309" s="594">
        <f>IFERROR(__xludf.DUMMYFUNCTION("""COMPUTED_VALUE"""),350.0)</f>
        <v>350</v>
      </c>
      <c r="Q309" s="183"/>
      <c r="R309" s="544"/>
      <c r="S309" s="544"/>
      <c r="T309" s="544"/>
      <c r="U309" s="544"/>
      <c r="V309" s="544"/>
      <c r="W309" s="544"/>
      <c r="X309" s="544"/>
      <c r="Y309" s="544"/>
      <c r="Z309" s="544"/>
      <c r="AA309" s="544"/>
      <c r="AB309" s="544"/>
      <c r="AC309" s="544"/>
      <c r="AD309" s="544"/>
      <c r="AE309" s="183"/>
      <c r="AF309" s="183"/>
      <c r="AG309" s="183"/>
      <c r="AH309" s="183"/>
      <c r="AI309" s="183"/>
      <c r="AJ309" s="183"/>
      <c r="AK309" s="183"/>
      <c r="AL309" s="183"/>
      <c r="AM309" s="183"/>
    </row>
    <row r="310" hidden="1">
      <c r="A310" s="531" t="str">
        <f>IFERROR(__xludf.DUMMYFUNCTION("""COMPUTED_VALUE"""),"縫製")</f>
        <v>縫製</v>
      </c>
      <c r="B310" s="531" t="str">
        <f>IFERROR(__xludf.DUMMYFUNCTION("""COMPUTED_VALUE"""),"ステンカラーコート")</f>
        <v>ステンカラーコート</v>
      </c>
      <c r="C310" s="531" t="str">
        <f>IFERROR(__xludf.DUMMYFUNCTION("""COMPUTED_VALUE"""),"仕上げプレス")</f>
        <v>仕上げプレス</v>
      </c>
      <c r="D310" s="550"/>
      <c r="E310" s="533"/>
      <c r="F310" s="534" t="str">
        <f>IFERROR(__xludf.DUMMYFUNCTION("""COMPUTED_VALUE"""),"仕上げプレス")</f>
        <v>仕上げプレス</v>
      </c>
      <c r="G310" s="550" t="str">
        <f>IFERROR(__xludf.DUMMYFUNCTION("""COMPUTED_VALUE"""),"仕上げプレス")</f>
        <v>仕上げプレス</v>
      </c>
      <c r="H310" s="536"/>
      <c r="I310" s="537" t="str">
        <f>IFERROR(__xludf.DUMMYFUNCTION("""COMPUTED_VALUE"""),"店舗/CS")</f>
        <v>店舗/CS</v>
      </c>
      <c r="J310" s="538"/>
      <c r="K310" s="538"/>
      <c r="L310" s="640"/>
      <c r="M310" s="640"/>
      <c r="N310" s="539">
        <f>IFERROR(__xludf.DUMMYFUNCTION("""COMPUTED_VALUE"""),770.0)</f>
        <v>770</v>
      </c>
      <c r="O310" s="593">
        <f>IFERROR(__xludf.DUMMYFUNCTION("""COMPUTED_VALUE"""),700.0)</f>
        <v>700</v>
      </c>
      <c r="P310" s="594">
        <f>IFERROR(__xludf.DUMMYFUNCTION("""COMPUTED_VALUE"""),350.0)</f>
        <v>350</v>
      </c>
      <c r="Q310" s="183"/>
      <c r="R310" s="544"/>
      <c r="S310" s="544"/>
      <c r="T310" s="544"/>
      <c r="U310" s="544"/>
      <c r="V310" s="544"/>
      <c r="W310" s="544"/>
      <c r="X310" s="544"/>
      <c r="Y310" s="544"/>
      <c r="Z310" s="544"/>
      <c r="AA310" s="544"/>
      <c r="AB310" s="544"/>
      <c r="AC310" s="544"/>
      <c r="AD310" s="544"/>
      <c r="AE310" s="183"/>
      <c r="AF310" s="183"/>
      <c r="AG310" s="183"/>
      <c r="AH310" s="183"/>
      <c r="AI310" s="183"/>
      <c r="AJ310" s="183"/>
      <c r="AK310" s="183"/>
      <c r="AL310" s="183"/>
      <c r="AM310" s="183"/>
    </row>
    <row r="311" hidden="1">
      <c r="A311" s="531" t="str">
        <f>IFERROR(__xludf.DUMMYFUNCTION("""COMPUTED_VALUE"""),"サイズ")</f>
        <v>サイズ</v>
      </c>
      <c r="B311" s="531" t="str">
        <f>IFERROR(__xludf.DUMMYFUNCTION("""COMPUTED_VALUE"""),"ステンカラーコート")</f>
        <v>ステンカラーコート</v>
      </c>
      <c r="C311" s="531" t="str">
        <f>IFERROR(__xludf.DUMMYFUNCTION("""COMPUTED_VALUE"""),"肩巾")</f>
        <v>肩巾</v>
      </c>
      <c r="D311" s="550"/>
      <c r="E311" s="533"/>
      <c r="F311" s="534" t="str">
        <f>IFERROR(__xludf.DUMMYFUNCTION("""COMPUTED_VALUE"""),"肩巾")</f>
        <v>肩巾</v>
      </c>
      <c r="G311" s="550" t="str">
        <f>IFERROR(__xludf.DUMMYFUNCTION("""COMPUTED_VALUE"""),"肩巾")</f>
        <v>肩巾</v>
      </c>
      <c r="H311" s="536"/>
      <c r="I311" s="537"/>
      <c r="J311" s="561" t="str">
        <f>IFERROR(__xludf.DUMMYFUNCTION("""COMPUTED_VALUE"""),"再製作")</f>
        <v>再製作</v>
      </c>
      <c r="K311" s="561" t="str">
        <f>IFERROR(__xludf.DUMMYFUNCTION("""COMPUTED_VALUE"""),"再製作")</f>
        <v>再製作</v>
      </c>
      <c r="L311" s="640" t="str">
        <f>IFERROR(__xludf.DUMMYFUNCTION("""COMPUTED_VALUE"""),"再製作")</f>
        <v>再製作</v>
      </c>
      <c r="M311" s="640" t="str">
        <f>IFERROR(__xludf.DUMMYFUNCTION("""COMPUTED_VALUE"""),"再製作")</f>
        <v>再製作</v>
      </c>
      <c r="N311" s="538" t="str">
        <f>IFERROR(__xludf.DUMMYFUNCTION("""COMPUTED_VALUE"""),"再製作")</f>
        <v>再製作</v>
      </c>
      <c r="O311" s="11" t="str">
        <f>IFERROR(__xludf.DUMMYFUNCTION("""COMPUTED_VALUE"""),"再製作")</f>
        <v>再製作</v>
      </c>
      <c r="P311" s="11"/>
      <c r="Q311" s="11"/>
      <c r="R311" s="623"/>
      <c r="S311" s="623"/>
      <c r="T311" s="623"/>
      <c r="U311" s="623"/>
      <c r="V311" s="623"/>
      <c r="W311" s="623"/>
      <c r="X311" s="623"/>
      <c r="Y311" s="623"/>
      <c r="Z311" s="623"/>
      <c r="AA311" s="623"/>
      <c r="AB311" s="623"/>
      <c r="AC311" s="623"/>
      <c r="AD311" s="623"/>
      <c r="AE311" s="11"/>
      <c r="AF311" s="11"/>
      <c r="AG311" s="11"/>
      <c r="AH311" s="11"/>
      <c r="AI311" s="11"/>
      <c r="AJ311" s="11"/>
      <c r="AK311" s="11"/>
      <c r="AL311" s="11"/>
      <c r="AM311" s="11"/>
    </row>
    <row r="312" hidden="1">
      <c r="A312" s="531" t="str">
        <f>IFERROR(__xludf.DUMMYFUNCTION("""COMPUTED_VALUE"""),"サイズ")</f>
        <v>サイズ</v>
      </c>
      <c r="B312" s="531" t="str">
        <f>IFERROR(__xludf.DUMMYFUNCTION("""COMPUTED_VALUE"""),"ステンカラーコート")</f>
        <v>ステンカラーコート</v>
      </c>
      <c r="C312" s="531" t="str">
        <f>IFERROR(__xludf.DUMMYFUNCTION("""COMPUTED_VALUE"""),"バスト")</f>
        <v>バスト</v>
      </c>
      <c r="D312" s="550"/>
      <c r="E312" s="533"/>
      <c r="F312" s="534" t="str">
        <f>IFERROR(__xludf.DUMMYFUNCTION("""COMPUTED_VALUE"""),"バスト")</f>
        <v>バスト</v>
      </c>
      <c r="G312" s="550" t="str">
        <f>IFERROR(__xludf.DUMMYFUNCTION("""COMPUTED_VALUE"""),"バスト")</f>
        <v>バスト</v>
      </c>
      <c r="H312" s="536"/>
      <c r="I312" s="537"/>
      <c r="J312" s="561" t="str">
        <f>IFERROR(__xludf.DUMMYFUNCTION("""COMPUTED_VALUE"""),"再製作")</f>
        <v>再製作</v>
      </c>
      <c r="K312" s="561" t="str">
        <f>IFERROR(__xludf.DUMMYFUNCTION("""COMPUTED_VALUE"""),"再製作")</f>
        <v>再製作</v>
      </c>
      <c r="L312" s="640" t="str">
        <f>IFERROR(__xludf.DUMMYFUNCTION("""COMPUTED_VALUE"""),"再製作")</f>
        <v>再製作</v>
      </c>
      <c r="M312" s="640" t="str">
        <f>IFERROR(__xludf.DUMMYFUNCTION("""COMPUTED_VALUE"""),"再製作")</f>
        <v>再製作</v>
      </c>
      <c r="N312" s="538" t="str">
        <f>IFERROR(__xludf.DUMMYFUNCTION("""COMPUTED_VALUE"""),"再製作")</f>
        <v>再製作</v>
      </c>
      <c r="O312" s="11" t="str">
        <f>IFERROR(__xludf.DUMMYFUNCTION("""COMPUTED_VALUE"""),"再製作")</f>
        <v>再製作</v>
      </c>
      <c r="P312" s="633">
        <f>IFERROR(__xludf.DUMMYFUNCTION("""COMPUTED_VALUE"""),4500.0)</f>
        <v>4500</v>
      </c>
      <c r="Q312" s="11"/>
      <c r="R312" s="623"/>
      <c r="S312" s="623"/>
      <c r="T312" s="623"/>
      <c r="U312" s="623"/>
      <c r="V312" s="623"/>
      <c r="W312" s="623"/>
      <c r="X312" s="623"/>
      <c r="Y312" s="623"/>
      <c r="Z312" s="623"/>
      <c r="AA312" s="623"/>
      <c r="AB312" s="623"/>
      <c r="AC312" s="623"/>
      <c r="AD312" s="623"/>
      <c r="AE312" s="11"/>
      <c r="AF312" s="11"/>
      <c r="AG312" s="11"/>
      <c r="AH312" s="11"/>
      <c r="AI312" s="11"/>
      <c r="AJ312" s="11"/>
      <c r="AK312" s="11"/>
      <c r="AL312" s="11"/>
      <c r="AM312" s="11"/>
    </row>
    <row r="313" hidden="1">
      <c r="A313" s="531" t="str">
        <f>IFERROR(__xludf.DUMMYFUNCTION("""COMPUTED_VALUE"""),"サイズ")</f>
        <v>サイズ</v>
      </c>
      <c r="B313" s="531" t="str">
        <f>IFERROR(__xludf.DUMMYFUNCTION("""COMPUTED_VALUE"""),"ステンカラーコート")</f>
        <v>ステンカラーコート</v>
      </c>
      <c r="C313" s="531" t="str">
        <f>IFERROR(__xludf.DUMMYFUNCTION("""COMPUTED_VALUE"""),"ウエスト")</f>
        <v>ウエスト</v>
      </c>
      <c r="D313" s="550"/>
      <c r="E313" s="533" t="str">
        <f>IFERROR(__xludf.DUMMYFUNCTION("""COMPUTED_VALUE"""),"パターン限界値から ±4cmの範囲内で調整すること")</f>
        <v>パターン限界値から ±4cmの範囲内で調整すること</v>
      </c>
      <c r="F313" s="534" t="str">
        <f>IFERROR(__xludf.DUMMYFUNCTION("""COMPUTED_VALUE"""),"ウエスト")</f>
        <v>ウエスト</v>
      </c>
      <c r="G313" s="550" t="str">
        <f>IFERROR(__xludf.DUMMYFUNCTION("""COMPUTED_VALUE"""),"ウエスト（パターン限界値から ±4cmの範囲内で調整すること）")</f>
        <v>ウエスト（パターン限界値から ±4cmの範囲内で調整すること）</v>
      </c>
      <c r="H313" s="572" t="str">
        <f>IFERROR(__xludf.DUMMYFUNCTION("""COMPUTED_VALUE"""),"-6")</f>
        <v>-6</v>
      </c>
      <c r="I313" s="537"/>
      <c r="J313" s="538">
        <f>IFERROR(__xludf.DUMMYFUNCTION("""COMPUTED_VALUE"""),7.0)</f>
        <v>7</v>
      </c>
      <c r="K313" s="537">
        <f>IFERROR(__xludf.DUMMYFUNCTION("""COMPUTED_VALUE"""),46000.0)</f>
        <v>46000</v>
      </c>
      <c r="L313" s="640">
        <f>IFERROR(__xludf.DUMMYFUNCTION("""COMPUTED_VALUE"""),46003.0)</f>
        <v>46003</v>
      </c>
      <c r="M313" s="640">
        <f>IFERROR(__xludf.DUMMYFUNCTION("""COMPUTED_VALUE"""),46008.0)</f>
        <v>46008</v>
      </c>
      <c r="N313" s="539">
        <f>IFERROR(__xludf.DUMMYFUNCTION("""COMPUTED_VALUE"""),13200.0)</f>
        <v>13200</v>
      </c>
      <c r="O313" s="121">
        <f>IFERROR(__xludf.DUMMYFUNCTION("""COMPUTED_VALUE"""),12000.0)</f>
        <v>12000</v>
      </c>
      <c r="P313" s="633">
        <f>IFERROR(__xludf.DUMMYFUNCTION("""COMPUTED_VALUE"""),8000.0)</f>
        <v>8000</v>
      </c>
      <c r="Q313" s="11"/>
      <c r="R313" s="623"/>
      <c r="S313" s="623"/>
      <c r="T313" s="623"/>
      <c r="U313" s="623"/>
      <c r="V313" s="623"/>
      <c r="W313" s="623"/>
      <c r="X313" s="623"/>
      <c r="Y313" s="623"/>
      <c r="Z313" s="623"/>
      <c r="AA313" s="623"/>
      <c r="AB313" s="623"/>
      <c r="AC313" s="623"/>
      <c r="AD313" s="623"/>
      <c r="AE313" s="11"/>
      <c r="AF313" s="11"/>
      <c r="AG313" s="11"/>
      <c r="AH313" s="11"/>
      <c r="AI313" s="11"/>
      <c r="AJ313" s="11"/>
      <c r="AK313" s="11"/>
      <c r="AL313" s="11"/>
      <c r="AM313" s="11"/>
    </row>
    <row r="314" hidden="1">
      <c r="A314" s="531" t="str">
        <f>IFERROR(__xludf.DUMMYFUNCTION("""COMPUTED_VALUE"""),"サイズ")</f>
        <v>サイズ</v>
      </c>
      <c r="B314" s="531" t="str">
        <f>IFERROR(__xludf.DUMMYFUNCTION("""COMPUTED_VALUE"""),"ステンカラーコート")</f>
        <v>ステンカラーコート</v>
      </c>
      <c r="C314" s="531" t="str">
        <f>IFERROR(__xludf.DUMMYFUNCTION("""COMPUTED_VALUE"""),"ウエスト")</f>
        <v>ウエスト</v>
      </c>
      <c r="D314" s="550"/>
      <c r="E314" s="533" t="str">
        <f>IFERROR(__xludf.DUMMYFUNCTION("""COMPUTED_VALUE"""),"パターン限界値から ±4cmの範囲内で調整すること")</f>
        <v>パターン限界値から ±4cmの範囲内で調整すること</v>
      </c>
      <c r="F314" s="534" t="str">
        <f>IFERROR(__xludf.DUMMYFUNCTION("""COMPUTED_VALUE"""),"ウエスト")</f>
        <v>ウエスト</v>
      </c>
      <c r="G314" s="550" t="str">
        <f>IFERROR(__xludf.DUMMYFUNCTION("""COMPUTED_VALUE"""),"ウエスト（パターン限界値から ±4cmの範囲内で調整すること）")</f>
        <v>ウエスト（パターン限界値から ±4cmの範囲内で調整すること）</v>
      </c>
      <c r="H314" s="572" t="str">
        <f>IFERROR(__xludf.DUMMYFUNCTION("""COMPUTED_VALUE"""),"-5")</f>
        <v>-5</v>
      </c>
      <c r="I314" s="537"/>
      <c r="J314" s="538">
        <f>IFERROR(__xludf.DUMMYFUNCTION("""COMPUTED_VALUE"""),7.0)</f>
        <v>7</v>
      </c>
      <c r="K314" s="537">
        <f>IFERROR(__xludf.DUMMYFUNCTION("""COMPUTED_VALUE"""),46000.0)</f>
        <v>46000</v>
      </c>
      <c r="L314" s="640">
        <f>IFERROR(__xludf.DUMMYFUNCTION("""COMPUTED_VALUE"""),46003.0)</f>
        <v>46003</v>
      </c>
      <c r="M314" s="640">
        <f>IFERROR(__xludf.DUMMYFUNCTION("""COMPUTED_VALUE"""),46008.0)</f>
        <v>46008</v>
      </c>
      <c r="N314" s="539">
        <f>IFERROR(__xludf.DUMMYFUNCTION("""COMPUTED_VALUE"""),13200.0)</f>
        <v>13200</v>
      </c>
      <c r="O314" s="121">
        <f>IFERROR(__xludf.DUMMYFUNCTION("""COMPUTED_VALUE"""),12000.0)</f>
        <v>12000</v>
      </c>
      <c r="P314" s="633">
        <f>IFERROR(__xludf.DUMMYFUNCTION("""COMPUTED_VALUE"""),8000.0)</f>
        <v>8000</v>
      </c>
      <c r="Q314" s="11"/>
      <c r="R314" s="623"/>
      <c r="S314" s="623"/>
      <c r="T314" s="623"/>
      <c r="U314" s="623"/>
      <c r="V314" s="623"/>
      <c r="W314" s="623"/>
      <c r="X314" s="623"/>
      <c r="Y314" s="623"/>
      <c r="Z314" s="623"/>
      <c r="AA314" s="623"/>
      <c r="AB314" s="623"/>
      <c r="AC314" s="623"/>
      <c r="AD314" s="623"/>
      <c r="AE314" s="11"/>
      <c r="AF314" s="11"/>
      <c r="AG314" s="11"/>
      <c r="AH314" s="11"/>
      <c r="AI314" s="11"/>
      <c r="AJ314" s="11"/>
      <c r="AK314" s="11"/>
      <c r="AL314" s="11"/>
      <c r="AM314" s="11"/>
    </row>
    <row r="315" hidden="1">
      <c r="A315" s="531" t="str">
        <f>IFERROR(__xludf.DUMMYFUNCTION("""COMPUTED_VALUE"""),"サイズ")</f>
        <v>サイズ</v>
      </c>
      <c r="B315" s="531" t="str">
        <f>IFERROR(__xludf.DUMMYFUNCTION("""COMPUTED_VALUE"""),"ステンカラーコート")</f>
        <v>ステンカラーコート</v>
      </c>
      <c r="C315" s="531" t="str">
        <f>IFERROR(__xludf.DUMMYFUNCTION("""COMPUTED_VALUE"""),"ウエスト")</f>
        <v>ウエスト</v>
      </c>
      <c r="D315" s="550"/>
      <c r="E315" s="533" t="str">
        <f>IFERROR(__xludf.DUMMYFUNCTION("""COMPUTED_VALUE"""),"パターン限界値から ±4cmの範囲内で調整すること")</f>
        <v>パターン限界値から ±4cmの範囲内で調整すること</v>
      </c>
      <c r="F315" s="534" t="str">
        <f>IFERROR(__xludf.DUMMYFUNCTION("""COMPUTED_VALUE"""),"ウエスト")</f>
        <v>ウエスト</v>
      </c>
      <c r="G315" s="550" t="str">
        <f>IFERROR(__xludf.DUMMYFUNCTION("""COMPUTED_VALUE"""),"ウエスト（パターン限界値から ±4cmの範囲内で調整すること）")</f>
        <v>ウエスト（パターン限界値から ±4cmの範囲内で調整すること）</v>
      </c>
      <c r="H315" s="572" t="str">
        <f>IFERROR(__xludf.DUMMYFUNCTION("""COMPUTED_VALUE"""),"-4")</f>
        <v>-4</v>
      </c>
      <c r="I315" s="537"/>
      <c r="J315" s="538">
        <f>IFERROR(__xludf.DUMMYFUNCTION("""COMPUTED_VALUE"""),7.0)</f>
        <v>7</v>
      </c>
      <c r="K315" s="537">
        <f>IFERROR(__xludf.DUMMYFUNCTION("""COMPUTED_VALUE"""),46000.0)</f>
        <v>46000</v>
      </c>
      <c r="L315" s="640">
        <f>IFERROR(__xludf.DUMMYFUNCTION("""COMPUTED_VALUE"""),46003.0)</f>
        <v>46003</v>
      </c>
      <c r="M315" s="640">
        <f>IFERROR(__xludf.DUMMYFUNCTION("""COMPUTED_VALUE"""),46008.0)</f>
        <v>46008</v>
      </c>
      <c r="N315" s="539">
        <f>IFERROR(__xludf.DUMMYFUNCTION("""COMPUTED_VALUE"""),13200.0)</f>
        <v>13200</v>
      </c>
      <c r="O315" s="121">
        <f>IFERROR(__xludf.DUMMYFUNCTION("""COMPUTED_VALUE"""),12000.0)</f>
        <v>12000</v>
      </c>
      <c r="P315" s="633">
        <f>IFERROR(__xludf.DUMMYFUNCTION("""COMPUTED_VALUE"""),8000.0)</f>
        <v>8000</v>
      </c>
      <c r="Q315" s="11"/>
      <c r="R315" s="623"/>
      <c r="S315" s="623"/>
      <c r="T315" s="623"/>
      <c r="U315" s="623"/>
      <c r="V315" s="623"/>
      <c r="W315" s="623"/>
      <c r="X315" s="623"/>
      <c r="Y315" s="623"/>
      <c r="Z315" s="623"/>
      <c r="AA315" s="623"/>
      <c r="AB315" s="623"/>
      <c r="AC315" s="623"/>
      <c r="AD315" s="623"/>
      <c r="AE315" s="11"/>
      <c r="AF315" s="11"/>
      <c r="AG315" s="11"/>
      <c r="AH315" s="11"/>
      <c r="AI315" s="11"/>
      <c r="AJ315" s="11"/>
      <c r="AK315" s="11"/>
      <c r="AL315" s="11"/>
      <c r="AM315" s="11"/>
    </row>
    <row r="316" hidden="1">
      <c r="A316" s="531" t="str">
        <f>IFERROR(__xludf.DUMMYFUNCTION("""COMPUTED_VALUE"""),"サイズ")</f>
        <v>サイズ</v>
      </c>
      <c r="B316" s="531" t="str">
        <f>IFERROR(__xludf.DUMMYFUNCTION("""COMPUTED_VALUE"""),"ステンカラーコート")</f>
        <v>ステンカラーコート</v>
      </c>
      <c r="C316" s="531" t="str">
        <f>IFERROR(__xludf.DUMMYFUNCTION("""COMPUTED_VALUE"""),"ウエスト")</f>
        <v>ウエスト</v>
      </c>
      <c r="D316" s="550"/>
      <c r="E316" s="533" t="str">
        <f>IFERROR(__xludf.DUMMYFUNCTION("""COMPUTED_VALUE"""),"パターン限界値から ±4cmの範囲内で調整すること")</f>
        <v>パターン限界値から ±4cmの範囲内で調整すること</v>
      </c>
      <c r="F316" s="534" t="str">
        <f>IFERROR(__xludf.DUMMYFUNCTION("""COMPUTED_VALUE"""),"ウエスト")</f>
        <v>ウエスト</v>
      </c>
      <c r="G316" s="550" t="str">
        <f>IFERROR(__xludf.DUMMYFUNCTION("""COMPUTED_VALUE"""),"ウエスト（パターン限界値から ±4cmの範囲内で調整すること）")</f>
        <v>ウエスト（パターン限界値から ±4cmの範囲内で調整すること）</v>
      </c>
      <c r="H316" s="572" t="str">
        <f>IFERROR(__xludf.DUMMYFUNCTION("""COMPUTED_VALUE"""),"-3")</f>
        <v>-3</v>
      </c>
      <c r="I316" s="537"/>
      <c r="J316" s="538">
        <f>IFERROR(__xludf.DUMMYFUNCTION("""COMPUTED_VALUE"""),7.0)</f>
        <v>7</v>
      </c>
      <c r="K316" s="537">
        <f>IFERROR(__xludf.DUMMYFUNCTION("""COMPUTED_VALUE"""),46000.0)</f>
        <v>46000</v>
      </c>
      <c r="L316" s="640">
        <f>IFERROR(__xludf.DUMMYFUNCTION("""COMPUTED_VALUE"""),46003.0)</f>
        <v>46003</v>
      </c>
      <c r="M316" s="640">
        <f>IFERROR(__xludf.DUMMYFUNCTION("""COMPUTED_VALUE"""),46008.0)</f>
        <v>46008</v>
      </c>
      <c r="N316" s="539">
        <f>IFERROR(__xludf.DUMMYFUNCTION("""COMPUTED_VALUE"""),13200.0)</f>
        <v>13200</v>
      </c>
      <c r="O316" s="121">
        <f>IFERROR(__xludf.DUMMYFUNCTION("""COMPUTED_VALUE"""),12000.0)</f>
        <v>12000</v>
      </c>
      <c r="P316" s="633">
        <f>IFERROR(__xludf.DUMMYFUNCTION("""COMPUTED_VALUE"""),8000.0)</f>
        <v>8000</v>
      </c>
      <c r="Q316" s="11"/>
      <c r="R316" s="623"/>
      <c r="S316" s="623"/>
      <c r="T316" s="623"/>
      <c r="U316" s="623"/>
      <c r="V316" s="623"/>
      <c r="W316" s="623"/>
      <c r="X316" s="623"/>
      <c r="Y316" s="623"/>
      <c r="Z316" s="623"/>
      <c r="AA316" s="623"/>
      <c r="AB316" s="623"/>
      <c r="AC316" s="623"/>
      <c r="AD316" s="623"/>
      <c r="AE316" s="11"/>
      <c r="AF316" s="11"/>
      <c r="AG316" s="11"/>
      <c r="AH316" s="11"/>
      <c r="AI316" s="11"/>
      <c r="AJ316" s="11"/>
      <c r="AK316" s="11"/>
      <c r="AL316" s="11"/>
      <c r="AM316" s="11"/>
    </row>
    <row r="317" hidden="1">
      <c r="A317" s="531" t="str">
        <f>IFERROR(__xludf.DUMMYFUNCTION("""COMPUTED_VALUE"""),"サイズ")</f>
        <v>サイズ</v>
      </c>
      <c r="B317" s="531" t="str">
        <f>IFERROR(__xludf.DUMMYFUNCTION("""COMPUTED_VALUE"""),"ステンカラーコート")</f>
        <v>ステンカラーコート</v>
      </c>
      <c r="C317" s="531" t="str">
        <f>IFERROR(__xludf.DUMMYFUNCTION("""COMPUTED_VALUE"""),"ウエスト")</f>
        <v>ウエスト</v>
      </c>
      <c r="D317" s="550"/>
      <c r="E317" s="533" t="str">
        <f>IFERROR(__xludf.DUMMYFUNCTION("""COMPUTED_VALUE"""),"パターン限界値から ±4cmの範囲内で調整すること")</f>
        <v>パターン限界値から ±4cmの範囲内で調整すること</v>
      </c>
      <c r="F317" s="534" t="str">
        <f>IFERROR(__xludf.DUMMYFUNCTION("""COMPUTED_VALUE"""),"ウエスト")</f>
        <v>ウエスト</v>
      </c>
      <c r="G317" s="550" t="str">
        <f>IFERROR(__xludf.DUMMYFUNCTION("""COMPUTED_VALUE"""),"ウエスト（パターン限界値から ±4cmの範囲内で調整すること）")</f>
        <v>ウエスト（パターン限界値から ±4cmの範囲内で調整すること）</v>
      </c>
      <c r="H317" s="572" t="str">
        <f>IFERROR(__xludf.DUMMYFUNCTION("""COMPUTED_VALUE"""),"-2")</f>
        <v>-2</v>
      </c>
      <c r="I317" s="537"/>
      <c r="J317" s="538">
        <f>IFERROR(__xludf.DUMMYFUNCTION("""COMPUTED_VALUE"""),7.0)</f>
        <v>7</v>
      </c>
      <c r="K317" s="537">
        <f>IFERROR(__xludf.DUMMYFUNCTION("""COMPUTED_VALUE"""),46000.0)</f>
        <v>46000</v>
      </c>
      <c r="L317" s="640">
        <f>IFERROR(__xludf.DUMMYFUNCTION("""COMPUTED_VALUE"""),46003.0)</f>
        <v>46003</v>
      </c>
      <c r="M317" s="640">
        <f>IFERROR(__xludf.DUMMYFUNCTION("""COMPUTED_VALUE"""),46008.0)</f>
        <v>46008</v>
      </c>
      <c r="N317" s="539">
        <f>IFERROR(__xludf.DUMMYFUNCTION("""COMPUTED_VALUE"""),13200.0)</f>
        <v>13200</v>
      </c>
      <c r="O317" s="121">
        <f>IFERROR(__xludf.DUMMYFUNCTION("""COMPUTED_VALUE"""),12000.0)</f>
        <v>12000</v>
      </c>
      <c r="P317" s="633">
        <f>IFERROR(__xludf.DUMMYFUNCTION("""COMPUTED_VALUE"""),8000.0)</f>
        <v>8000</v>
      </c>
      <c r="Q317" s="11"/>
      <c r="R317" s="623"/>
      <c r="S317" s="623"/>
      <c r="T317" s="623"/>
      <c r="U317" s="623"/>
      <c r="V317" s="623"/>
      <c r="W317" s="623"/>
      <c r="X317" s="623"/>
      <c r="Y317" s="623"/>
      <c r="Z317" s="623"/>
      <c r="AA317" s="623"/>
      <c r="AB317" s="623"/>
      <c r="AC317" s="623"/>
      <c r="AD317" s="623"/>
      <c r="AE317" s="11"/>
      <c r="AF317" s="11"/>
      <c r="AG317" s="11"/>
      <c r="AH317" s="11"/>
      <c r="AI317" s="11"/>
      <c r="AJ317" s="11"/>
      <c r="AK317" s="11"/>
      <c r="AL317" s="11"/>
      <c r="AM317" s="11"/>
    </row>
    <row r="318" hidden="1">
      <c r="A318" s="531" t="str">
        <f>IFERROR(__xludf.DUMMYFUNCTION("""COMPUTED_VALUE"""),"サイズ")</f>
        <v>サイズ</v>
      </c>
      <c r="B318" s="531" t="str">
        <f>IFERROR(__xludf.DUMMYFUNCTION("""COMPUTED_VALUE"""),"ステンカラーコート")</f>
        <v>ステンカラーコート</v>
      </c>
      <c r="C318" s="531" t="str">
        <f>IFERROR(__xludf.DUMMYFUNCTION("""COMPUTED_VALUE"""),"ウエスト")</f>
        <v>ウエスト</v>
      </c>
      <c r="D318" s="550"/>
      <c r="E318" s="533" t="str">
        <f>IFERROR(__xludf.DUMMYFUNCTION("""COMPUTED_VALUE"""),"パターン限界値から ±4cmの範囲内で調整すること")</f>
        <v>パターン限界値から ±4cmの範囲内で調整すること</v>
      </c>
      <c r="F318" s="534" t="str">
        <f>IFERROR(__xludf.DUMMYFUNCTION("""COMPUTED_VALUE"""),"ウエスト")</f>
        <v>ウエスト</v>
      </c>
      <c r="G318" s="550" t="str">
        <f>IFERROR(__xludf.DUMMYFUNCTION("""COMPUTED_VALUE"""),"ウエスト（パターン限界値から ±4cmの範囲内で調整すること）")</f>
        <v>ウエスト（パターン限界値から ±4cmの範囲内で調整すること）</v>
      </c>
      <c r="H318" s="572" t="str">
        <f>IFERROR(__xludf.DUMMYFUNCTION("""COMPUTED_VALUE"""),"-1")</f>
        <v>-1</v>
      </c>
      <c r="I318" s="537"/>
      <c r="J318" s="538">
        <f>IFERROR(__xludf.DUMMYFUNCTION("""COMPUTED_VALUE"""),7.0)</f>
        <v>7</v>
      </c>
      <c r="K318" s="537">
        <f>IFERROR(__xludf.DUMMYFUNCTION("""COMPUTED_VALUE"""),46000.0)</f>
        <v>46000</v>
      </c>
      <c r="L318" s="640">
        <f>IFERROR(__xludf.DUMMYFUNCTION("""COMPUTED_VALUE"""),46003.0)</f>
        <v>46003</v>
      </c>
      <c r="M318" s="640">
        <f>IFERROR(__xludf.DUMMYFUNCTION("""COMPUTED_VALUE"""),46008.0)</f>
        <v>46008</v>
      </c>
      <c r="N318" s="539">
        <f>IFERROR(__xludf.DUMMYFUNCTION("""COMPUTED_VALUE"""),13200.0)</f>
        <v>13200</v>
      </c>
      <c r="O318" s="593">
        <f>IFERROR(__xludf.DUMMYFUNCTION("""COMPUTED_VALUE"""),12000.0)</f>
        <v>12000</v>
      </c>
      <c r="P318" s="594">
        <f>IFERROR(__xludf.DUMMYFUNCTION("""COMPUTED_VALUE"""),8000.0)</f>
        <v>8000</v>
      </c>
      <c r="Q318" s="183"/>
      <c r="R318" s="544"/>
      <c r="S318" s="544"/>
      <c r="T318" s="544"/>
      <c r="U318" s="544"/>
      <c r="V318" s="544"/>
      <c r="W318" s="544"/>
      <c r="X318" s="544"/>
      <c r="Y318" s="544"/>
      <c r="Z318" s="544"/>
      <c r="AA318" s="544"/>
      <c r="AB318" s="544"/>
      <c r="AC318" s="544"/>
      <c r="AD318" s="544"/>
      <c r="AE318" s="183"/>
      <c r="AF318" s="183"/>
      <c r="AG318" s="183"/>
      <c r="AH318" s="183"/>
      <c r="AI318" s="183"/>
      <c r="AJ318" s="183"/>
      <c r="AK318" s="183"/>
      <c r="AL318" s="183"/>
      <c r="AM318" s="183"/>
    </row>
    <row r="319" hidden="1">
      <c r="A319" s="531" t="str">
        <f>IFERROR(__xludf.DUMMYFUNCTION("""COMPUTED_VALUE"""),"サイズ")</f>
        <v>サイズ</v>
      </c>
      <c r="B319" s="531" t="str">
        <f>IFERROR(__xludf.DUMMYFUNCTION("""COMPUTED_VALUE"""),"ステンカラーコート")</f>
        <v>ステンカラーコート</v>
      </c>
      <c r="C319" s="531" t="str">
        <f>IFERROR(__xludf.DUMMYFUNCTION("""COMPUTED_VALUE"""),"袖丈")</f>
        <v>袖丈</v>
      </c>
      <c r="D319" s="550"/>
      <c r="E319" s="533" t="str">
        <f>IFERROR(__xludf.DUMMYFUNCTION("""COMPUTED_VALUE"""),"パターン限界値から ±20cmの範囲内で調整すること")</f>
        <v>パターン限界値から ±20cmの範囲内で調整すること</v>
      </c>
      <c r="F319" s="534" t="str">
        <f>IFERROR(__xludf.DUMMYFUNCTION("""COMPUTED_VALUE"""),"袖丈")</f>
        <v>袖丈</v>
      </c>
      <c r="G319" s="550" t="str">
        <f>IFERROR(__xludf.DUMMYFUNCTION("""COMPUTED_VALUE"""),"袖丈（パターン限界値から ±20cmの範囲内で調整すること）")</f>
        <v>袖丈（パターン限界値から ±20cmの範囲内で調整すること）</v>
      </c>
      <c r="H319" s="572" t="str">
        <f>IFERROR(__xludf.DUMMYFUNCTION("""COMPUTED_VALUE"""),"-2")</f>
        <v>-2</v>
      </c>
      <c r="I319" s="536"/>
      <c r="J319" s="538">
        <f>IFERROR(__xludf.DUMMYFUNCTION("""COMPUTED_VALUE"""),7.0)</f>
        <v>7</v>
      </c>
      <c r="K319" s="537">
        <f>IFERROR(__xludf.DUMMYFUNCTION("""COMPUTED_VALUE"""),46000.0)</f>
        <v>46000</v>
      </c>
      <c r="L319" s="640">
        <f>IFERROR(__xludf.DUMMYFUNCTION("""COMPUTED_VALUE"""),46003.0)</f>
        <v>46003</v>
      </c>
      <c r="M319" s="640">
        <f>IFERROR(__xludf.DUMMYFUNCTION("""COMPUTED_VALUE"""),46008.0)</f>
        <v>46008</v>
      </c>
      <c r="N319" s="539">
        <f>IFERROR(__xludf.DUMMYFUNCTION("""COMPUTED_VALUE"""),3300.0)</f>
        <v>3300</v>
      </c>
      <c r="O319" s="593">
        <f>IFERROR(__xludf.DUMMYFUNCTION("""COMPUTED_VALUE"""),3000.0)</f>
        <v>3000</v>
      </c>
      <c r="P319" s="594">
        <f>IFERROR(__xludf.DUMMYFUNCTION("""COMPUTED_VALUE"""),2000.0)</f>
        <v>2000</v>
      </c>
      <c r="Q319" s="183"/>
      <c r="R319" s="544"/>
      <c r="S319" s="544"/>
      <c r="T319" s="544"/>
      <c r="U319" s="544"/>
      <c r="V319" s="544"/>
      <c r="W319" s="544"/>
      <c r="X319" s="544"/>
      <c r="Y319" s="544"/>
      <c r="Z319" s="544"/>
      <c r="AA319" s="544"/>
      <c r="AB319" s="544"/>
      <c r="AC319" s="544"/>
      <c r="AD319" s="544"/>
      <c r="AE319" s="183"/>
      <c r="AF319" s="183"/>
      <c r="AG319" s="183"/>
      <c r="AH319" s="183"/>
      <c r="AI319" s="183"/>
      <c r="AJ319" s="183"/>
      <c r="AK319" s="183"/>
      <c r="AL319" s="183"/>
      <c r="AM319" s="183"/>
    </row>
    <row r="320" hidden="1">
      <c r="A320" s="531" t="str">
        <f>IFERROR(__xludf.DUMMYFUNCTION("""COMPUTED_VALUE"""),"サイズ")</f>
        <v>サイズ</v>
      </c>
      <c r="B320" s="531" t="str">
        <f>IFERROR(__xludf.DUMMYFUNCTION("""COMPUTED_VALUE"""),"ステンカラーコート")</f>
        <v>ステンカラーコート</v>
      </c>
      <c r="C320" s="531" t="str">
        <f>IFERROR(__xludf.DUMMYFUNCTION("""COMPUTED_VALUE"""),"袖丈")</f>
        <v>袖丈</v>
      </c>
      <c r="D320" s="550"/>
      <c r="E320" s="533" t="str">
        <f>IFERROR(__xludf.DUMMYFUNCTION("""COMPUTED_VALUE"""),"パターン限界値から ±20cmの範囲内で調整すること")</f>
        <v>パターン限界値から ±20cmの範囲内で調整すること</v>
      </c>
      <c r="F320" s="534" t="str">
        <f>IFERROR(__xludf.DUMMYFUNCTION("""COMPUTED_VALUE"""),"袖丈")</f>
        <v>袖丈</v>
      </c>
      <c r="G320" s="550" t="str">
        <f>IFERROR(__xludf.DUMMYFUNCTION("""COMPUTED_VALUE"""),"袖丈（パターン限界値から ±20cmの範囲内で調整すること）")</f>
        <v>袖丈（パターン限界値から ±20cmの範囲内で調整すること）</v>
      </c>
      <c r="H320" s="572" t="str">
        <f>IFERROR(__xludf.DUMMYFUNCTION("""COMPUTED_VALUE"""),"-1.5")</f>
        <v>-1.5</v>
      </c>
      <c r="I320" s="536"/>
      <c r="J320" s="538">
        <f>IFERROR(__xludf.DUMMYFUNCTION("""COMPUTED_VALUE"""),7.0)</f>
        <v>7</v>
      </c>
      <c r="K320" s="537">
        <f>IFERROR(__xludf.DUMMYFUNCTION("""COMPUTED_VALUE"""),46000.0)</f>
        <v>46000</v>
      </c>
      <c r="L320" s="640">
        <f>IFERROR(__xludf.DUMMYFUNCTION("""COMPUTED_VALUE"""),46003.0)</f>
        <v>46003</v>
      </c>
      <c r="M320" s="640">
        <f>IFERROR(__xludf.DUMMYFUNCTION("""COMPUTED_VALUE"""),46008.0)</f>
        <v>46008</v>
      </c>
      <c r="N320" s="539">
        <f>IFERROR(__xludf.DUMMYFUNCTION("""COMPUTED_VALUE"""),3300.0)</f>
        <v>3300</v>
      </c>
      <c r="O320" s="593">
        <f>IFERROR(__xludf.DUMMYFUNCTION("""COMPUTED_VALUE"""),3000.0)</f>
        <v>3000</v>
      </c>
      <c r="P320" s="594">
        <f>IFERROR(__xludf.DUMMYFUNCTION("""COMPUTED_VALUE"""),2000.0)</f>
        <v>2000</v>
      </c>
      <c r="Q320" s="183"/>
      <c r="R320" s="544"/>
      <c r="S320" s="544"/>
      <c r="T320" s="544"/>
      <c r="U320" s="544"/>
      <c r="V320" s="544"/>
      <c r="W320" s="544"/>
      <c r="X320" s="544"/>
      <c r="Y320" s="544"/>
      <c r="Z320" s="544"/>
      <c r="AA320" s="544"/>
      <c r="AB320" s="544"/>
      <c r="AC320" s="544"/>
      <c r="AD320" s="544"/>
      <c r="AE320" s="183"/>
      <c r="AF320" s="183"/>
      <c r="AG320" s="183"/>
      <c r="AH320" s="183"/>
      <c r="AI320" s="183"/>
      <c r="AJ320" s="183"/>
      <c r="AK320" s="183"/>
      <c r="AL320" s="183"/>
      <c r="AM320" s="183"/>
    </row>
    <row r="321" hidden="1">
      <c r="A321" s="531" t="str">
        <f>IFERROR(__xludf.DUMMYFUNCTION("""COMPUTED_VALUE"""),"サイズ")</f>
        <v>サイズ</v>
      </c>
      <c r="B321" s="531" t="str">
        <f>IFERROR(__xludf.DUMMYFUNCTION("""COMPUTED_VALUE"""),"ステンカラーコート")</f>
        <v>ステンカラーコート</v>
      </c>
      <c r="C321" s="531" t="str">
        <f>IFERROR(__xludf.DUMMYFUNCTION("""COMPUTED_VALUE"""),"袖丈")</f>
        <v>袖丈</v>
      </c>
      <c r="D321" s="550"/>
      <c r="E321" s="533" t="str">
        <f>IFERROR(__xludf.DUMMYFUNCTION("""COMPUTED_VALUE"""),"パターン限界値から ±20cmの範囲内で調整すること")</f>
        <v>パターン限界値から ±20cmの範囲内で調整すること</v>
      </c>
      <c r="F321" s="534" t="str">
        <f>IFERROR(__xludf.DUMMYFUNCTION("""COMPUTED_VALUE"""),"袖丈")</f>
        <v>袖丈</v>
      </c>
      <c r="G321" s="550" t="str">
        <f>IFERROR(__xludf.DUMMYFUNCTION("""COMPUTED_VALUE"""),"袖丈（パターン限界値から ±20cmの範囲内で調整すること）")</f>
        <v>袖丈（パターン限界値から ±20cmの範囲内で調整すること）</v>
      </c>
      <c r="H321" s="572" t="str">
        <f>IFERROR(__xludf.DUMMYFUNCTION("""COMPUTED_VALUE"""),"-1")</f>
        <v>-1</v>
      </c>
      <c r="I321" s="537"/>
      <c r="J321" s="538">
        <f>IFERROR(__xludf.DUMMYFUNCTION("""COMPUTED_VALUE"""),7.0)</f>
        <v>7</v>
      </c>
      <c r="K321" s="537">
        <f>IFERROR(__xludf.DUMMYFUNCTION("""COMPUTED_VALUE"""),46000.0)</f>
        <v>46000</v>
      </c>
      <c r="L321" s="640">
        <f>IFERROR(__xludf.DUMMYFUNCTION("""COMPUTED_VALUE"""),46003.0)</f>
        <v>46003</v>
      </c>
      <c r="M321" s="641">
        <f>IFERROR(__xludf.DUMMYFUNCTION("""COMPUTED_VALUE"""),46008.0)</f>
        <v>46008</v>
      </c>
      <c r="N321" s="539">
        <f>IFERROR(__xludf.DUMMYFUNCTION("""COMPUTED_VALUE"""),3300.0)</f>
        <v>3300</v>
      </c>
      <c r="O321" s="593">
        <f>IFERROR(__xludf.DUMMYFUNCTION("""COMPUTED_VALUE"""),3000.0)</f>
        <v>3000</v>
      </c>
      <c r="P321" s="594">
        <f>IFERROR(__xludf.DUMMYFUNCTION("""COMPUTED_VALUE"""),2000.0)</f>
        <v>2000</v>
      </c>
      <c r="Q321" s="183"/>
      <c r="R321" s="544"/>
      <c r="S321" s="544"/>
      <c r="T321" s="544"/>
      <c r="U321" s="544"/>
      <c r="V321" s="544"/>
      <c r="W321" s="544"/>
      <c r="X321" s="544"/>
      <c r="Y321" s="544"/>
      <c r="Z321" s="544"/>
      <c r="AA321" s="544"/>
      <c r="AB321" s="544"/>
      <c r="AC321" s="544"/>
      <c r="AD321" s="544"/>
      <c r="AE321" s="183"/>
      <c r="AF321" s="183"/>
      <c r="AG321" s="183"/>
      <c r="AH321" s="183"/>
      <c r="AI321" s="183"/>
      <c r="AJ321" s="183"/>
      <c r="AK321" s="183"/>
      <c r="AL321" s="183"/>
      <c r="AM321" s="183"/>
    </row>
    <row r="322" hidden="1">
      <c r="A322" s="531" t="str">
        <f>IFERROR(__xludf.DUMMYFUNCTION("""COMPUTED_VALUE"""),"サイズ")</f>
        <v>サイズ</v>
      </c>
      <c r="B322" s="531" t="str">
        <f>IFERROR(__xludf.DUMMYFUNCTION("""COMPUTED_VALUE"""),"ステンカラーコート")</f>
        <v>ステンカラーコート</v>
      </c>
      <c r="C322" s="531" t="str">
        <f>IFERROR(__xludf.DUMMYFUNCTION("""COMPUTED_VALUE"""),"袖丈")</f>
        <v>袖丈</v>
      </c>
      <c r="D322" s="550"/>
      <c r="E322" s="533" t="str">
        <f>IFERROR(__xludf.DUMMYFUNCTION("""COMPUTED_VALUE"""),"パターン限界値から ±20cmの範囲内で調整すること")</f>
        <v>パターン限界値から ±20cmの範囲内で調整すること</v>
      </c>
      <c r="F322" s="534" t="str">
        <f>IFERROR(__xludf.DUMMYFUNCTION("""COMPUTED_VALUE"""),"袖丈")</f>
        <v>袖丈</v>
      </c>
      <c r="G322" s="550" t="str">
        <f>IFERROR(__xludf.DUMMYFUNCTION("""COMPUTED_VALUE"""),"袖丈（パターン限界値から ±20cmの範囲内で調整すること）")</f>
        <v>袖丈（パターン限界値から ±20cmの範囲内で調整すること）</v>
      </c>
      <c r="H322" s="572" t="str">
        <f>IFERROR(__xludf.DUMMYFUNCTION("""COMPUTED_VALUE"""),"-0.5")</f>
        <v>-0.5</v>
      </c>
      <c r="I322" s="537"/>
      <c r="J322" s="538">
        <f>IFERROR(__xludf.DUMMYFUNCTION("""COMPUTED_VALUE"""),7.0)</f>
        <v>7</v>
      </c>
      <c r="K322" s="537">
        <f>IFERROR(__xludf.DUMMYFUNCTION("""COMPUTED_VALUE"""),46000.0)</f>
        <v>46000</v>
      </c>
      <c r="L322" s="640">
        <f>IFERROR(__xludf.DUMMYFUNCTION("""COMPUTED_VALUE"""),46003.0)</f>
        <v>46003</v>
      </c>
      <c r="M322" s="641">
        <f>IFERROR(__xludf.DUMMYFUNCTION("""COMPUTED_VALUE"""),46008.0)</f>
        <v>46008</v>
      </c>
      <c r="N322" s="539">
        <f>IFERROR(__xludf.DUMMYFUNCTION("""COMPUTED_VALUE"""),3300.0)</f>
        <v>3300</v>
      </c>
      <c r="O322" s="593">
        <f>IFERROR(__xludf.DUMMYFUNCTION("""COMPUTED_VALUE"""),3000.0)</f>
        <v>3000</v>
      </c>
      <c r="P322" s="594">
        <f>IFERROR(__xludf.DUMMYFUNCTION("""COMPUTED_VALUE"""),2000.0)</f>
        <v>2000</v>
      </c>
      <c r="Q322" s="183"/>
      <c r="R322" s="544"/>
      <c r="S322" s="544"/>
      <c r="T322" s="544"/>
      <c r="U322" s="544"/>
      <c r="V322" s="544"/>
      <c r="W322" s="544"/>
      <c r="X322" s="544"/>
      <c r="Y322" s="544"/>
      <c r="Z322" s="544"/>
      <c r="AA322" s="544"/>
      <c r="AB322" s="544"/>
      <c r="AC322" s="544"/>
      <c r="AD322" s="544"/>
      <c r="AE322" s="183"/>
      <c r="AF322" s="183"/>
      <c r="AG322" s="183"/>
      <c r="AH322" s="183"/>
      <c r="AI322" s="183"/>
      <c r="AJ322" s="183"/>
      <c r="AK322" s="183"/>
      <c r="AL322" s="183"/>
      <c r="AM322" s="183"/>
    </row>
    <row r="323" hidden="1">
      <c r="A323" s="531" t="str">
        <f>IFERROR(__xludf.DUMMYFUNCTION("""COMPUTED_VALUE"""),"サイズ")</f>
        <v>サイズ</v>
      </c>
      <c r="B323" s="531" t="str">
        <f>IFERROR(__xludf.DUMMYFUNCTION("""COMPUTED_VALUE"""),"ステンカラーコート")</f>
        <v>ステンカラーコート</v>
      </c>
      <c r="C323" s="531" t="str">
        <f>IFERROR(__xludf.DUMMYFUNCTION("""COMPUTED_VALUE"""),"着丈")</f>
        <v>着丈</v>
      </c>
      <c r="D323" s="550"/>
      <c r="E323" s="533" t="str">
        <f>IFERROR(__xludf.DUMMYFUNCTION("""COMPUTED_VALUE"""),"パターン限界値から ±20cmの範囲内で調整すること")</f>
        <v>パターン限界値から ±20cmの範囲内で調整すること</v>
      </c>
      <c r="F323" s="534" t="str">
        <f>IFERROR(__xludf.DUMMYFUNCTION("""COMPUTED_VALUE"""),"着丈")</f>
        <v>着丈</v>
      </c>
      <c r="G323" s="550" t="str">
        <f>IFERROR(__xludf.DUMMYFUNCTION("""COMPUTED_VALUE"""),"着丈（パターン限界値から ±20cmの範囲内で調整すること）")</f>
        <v>着丈（パターン限界値から ±20cmの範囲内で調整すること）</v>
      </c>
      <c r="H323" s="572" t="str">
        <f>IFERROR(__xludf.DUMMYFUNCTION("""COMPUTED_VALUE"""),"-5")</f>
        <v>-5</v>
      </c>
      <c r="I323" s="537"/>
      <c r="J323" s="538">
        <f>IFERROR(__xludf.DUMMYFUNCTION("""COMPUTED_VALUE"""),7.0)</f>
        <v>7</v>
      </c>
      <c r="K323" s="537">
        <f>IFERROR(__xludf.DUMMYFUNCTION("""COMPUTED_VALUE"""),46000.0)</f>
        <v>46000</v>
      </c>
      <c r="L323" s="640">
        <f>IFERROR(__xludf.DUMMYFUNCTION("""COMPUTED_VALUE"""),46003.0)</f>
        <v>46003</v>
      </c>
      <c r="M323" s="641">
        <f>IFERROR(__xludf.DUMMYFUNCTION("""COMPUTED_VALUE"""),46008.0)</f>
        <v>46008</v>
      </c>
      <c r="N323" s="539">
        <f>IFERROR(__xludf.DUMMYFUNCTION("""COMPUTED_VALUE"""),9900.0)</f>
        <v>9900</v>
      </c>
      <c r="O323" s="593">
        <f>IFERROR(__xludf.DUMMYFUNCTION("""COMPUTED_VALUE"""),9000.0)</f>
        <v>9000</v>
      </c>
      <c r="P323" s="594">
        <f>IFERROR(__xludf.DUMMYFUNCTION("""COMPUTED_VALUE"""),6000.0)</f>
        <v>6000</v>
      </c>
      <c r="Q323" s="183"/>
      <c r="R323" s="544"/>
      <c r="S323" s="544"/>
      <c r="T323" s="544"/>
      <c r="U323" s="544"/>
      <c r="V323" s="544"/>
      <c r="W323" s="544"/>
      <c r="X323" s="544"/>
      <c r="Y323" s="544"/>
      <c r="Z323" s="544"/>
      <c r="AA323" s="544"/>
      <c r="AB323" s="544"/>
      <c r="AC323" s="544"/>
      <c r="AD323" s="544"/>
      <c r="AE323" s="183"/>
      <c r="AF323" s="183"/>
      <c r="AG323" s="183"/>
      <c r="AH323" s="183"/>
      <c r="AI323" s="183"/>
      <c r="AJ323" s="183"/>
      <c r="AK323" s="183"/>
      <c r="AL323" s="183"/>
      <c r="AM323" s="183"/>
    </row>
    <row r="324" hidden="1">
      <c r="A324" s="531" t="str">
        <f>IFERROR(__xludf.DUMMYFUNCTION("""COMPUTED_VALUE"""),"サイズ")</f>
        <v>サイズ</v>
      </c>
      <c r="B324" s="531" t="str">
        <f>IFERROR(__xludf.DUMMYFUNCTION("""COMPUTED_VALUE"""),"ステンカラーコート")</f>
        <v>ステンカラーコート</v>
      </c>
      <c r="C324" s="531" t="str">
        <f>IFERROR(__xludf.DUMMYFUNCTION("""COMPUTED_VALUE"""),"着丈")</f>
        <v>着丈</v>
      </c>
      <c r="D324" s="550"/>
      <c r="E324" s="533" t="str">
        <f>IFERROR(__xludf.DUMMYFUNCTION("""COMPUTED_VALUE"""),"パターン限界値から ±20cmの範囲内で調整すること")</f>
        <v>パターン限界値から ±20cmの範囲内で調整すること</v>
      </c>
      <c r="F324" s="534" t="str">
        <f>IFERROR(__xludf.DUMMYFUNCTION("""COMPUTED_VALUE"""),"着丈")</f>
        <v>着丈</v>
      </c>
      <c r="G324" s="550" t="str">
        <f>IFERROR(__xludf.DUMMYFUNCTION("""COMPUTED_VALUE"""),"着丈（パターン限界値から ±20cmの範囲内で調整すること）")</f>
        <v>着丈（パターン限界値から ±20cmの範囲内で調整すること）</v>
      </c>
      <c r="H324" s="572" t="str">
        <f>IFERROR(__xludf.DUMMYFUNCTION("""COMPUTED_VALUE"""),"-4")</f>
        <v>-4</v>
      </c>
      <c r="I324" s="537"/>
      <c r="J324" s="538">
        <f>IFERROR(__xludf.DUMMYFUNCTION("""COMPUTED_VALUE"""),7.0)</f>
        <v>7</v>
      </c>
      <c r="K324" s="537">
        <f>IFERROR(__xludf.DUMMYFUNCTION("""COMPUTED_VALUE"""),46000.0)</f>
        <v>46000</v>
      </c>
      <c r="L324" s="640">
        <f>IFERROR(__xludf.DUMMYFUNCTION("""COMPUTED_VALUE"""),46003.0)</f>
        <v>46003</v>
      </c>
      <c r="M324" s="641">
        <f>IFERROR(__xludf.DUMMYFUNCTION("""COMPUTED_VALUE"""),46008.0)</f>
        <v>46008</v>
      </c>
      <c r="N324" s="539">
        <f>IFERROR(__xludf.DUMMYFUNCTION("""COMPUTED_VALUE"""),9900.0)</f>
        <v>9900</v>
      </c>
      <c r="O324" s="593">
        <f>IFERROR(__xludf.DUMMYFUNCTION("""COMPUTED_VALUE"""),9000.0)</f>
        <v>9000</v>
      </c>
      <c r="P324" s="594">
        <f>IFERROR(__xludf.DUMMYFUNCTION("""COMPUTED_VALUE"""),6000.0)</f>
        <v>6000</v>
      </c>
      <c r="Q324" s="183"/>
      <c r="R324" s="544"/>
      <c r="S324" s="544"/>
      <c r="T324" s="544"/>
      <c r="U324" s="544"/>
      <c r="V324" s="544"/>
      <c r="W324" s="544"/>
      <c r="X324" s="544"/>
      <c r="Y324" s="544"/>
      <c r="Z324" s="544"/>
      <c r="AA324" s="544"/>
      <c r="AB324" s="544"/>
      <c r="AC324" s="544"/>
      <c r="AD324" s="544"/>
      <c r="AE324" s="183"/>
      <c r="AF324" s="183"/>
      <c r="AG324" s="183"/>
      <c r="AH324" s="183"/>
      <c r="AI324" s="183"/>
      <c r="AJ324" s="183"/>
      <c r="AK324" s="183"/>
      <c r="AL324" s="183"/>
      <c r="AM324" s="183"/>
    </row>
    <row r="325" hidden="1">
      <c r="A325" s="531" t="str">
        <f>IFERROR(__xludf.DUMMYFUNCTION("""COMPUTED_VALUE"""),"サイズ")</f>
        <v>サイズ</v>
      </c>
      <c r="B325" s="531" t="str">
        <f>IFERROR(__xludf.DUMMYFUNCTION("""COMPUTED_VALUE"""),"ステンカラーコート")</f>
        <v>ステンカラーコート</v>
      </c>
      <c r="C325" s="531" t="str">
        <f>IFERROR(__xludf.DUMMYFUNCTION("""COMPUTED_VALUE"""),"着丈")</f>
        <v>着丈</v>
      </c>
      <c r="D325" s="550"/>
      <c r="E325" s="533" t="str">
        <f>IFERROR(__xludf.DUMMYFUNCTION("""COMPUTED_VALUE"""),"パターン限界値から ±20cmの範囲内で調整すること")</f>
        <v>パターン限界値から ±20cmの範囲内で調整すること</v>
      </c>
      <c r="F325" s="534" t="str">
        <f>IFERROR(__xludf.DUMMYFUNCTION("""COMPUTED_VALUE"""),"着丈")</f>
        <v>着丈</v>
      </c>
      <c r="G325" s="550" t="str">
        <f>IFERROR(__xludf.DUMMYFUNCTION("""COMPUTED_VALUE"""),"着丈（パターン限界値から ±20cmの範囲内で調整すること）")</f>
        <v>着丈（パターン限界値から ±20cmの範囲内で調整すること）</v>
      </c>
      <c r="H325" s="572" t="str">
        <f>IFERROR(__xludf.DUMMYFUNCTION("""COMPUTED_VALUE"""),"-3")</f>
        <v>-3</v>
      </c>
      <c r="I325" s="537"/>
      <c r="J325" s="538">
        <f>IFERROR(__xludf.DUMMYFUNCTION("""COMPUTED_VALUE"""),7.0)</f>
        <v>7</v>
      </c>
      <c r="K325" s="537">
        <f>IFERROR(__xludf.DUMMYFUNCTION("""COMPUTED_VALUE"""),46000.0)</f>
        <v>46000</v>
      </c>
      <c r="L325" s="640">
        <f>IFERROR(__xludf.DUMMYFUNCTION("""COMPUTED_VALUE"""),46003.0)</f>
        <v>46003</v>
      </c>
      <c r="M325" s="640">
        <f>IFERROR(__xludf.DUMMYFUNCTION("""COMPUTED_VALUE"""),46008.0)</f>
        <v>46008</v>
      </c>
      <c r="N325" s="539">
        <f>IFERROR(__xludf.DUMMYFUNCTION("""COMPUTED_VALUE"""),9900.0)</f>
        <v>9900</v>
      </c>
      <c r="O325" s="593">
        <f>IFERROR(__xludf.DUMMYFUNCTION("""COMPUTED_VALUE"""),9000.0)</f>
        <v>9000</v>
      </c>
      <c r="P325" s="594">
        <f>IFERROR(__xludf.DUMMYFUNCTION("""COMPUTED_VALUE"""),6000.0)</f>
        <v>6000</v>
      </c>
      <c r="Q325" s="183"/>
      <c r="R325" s="544"/>
      <c r="S325" s="544"/>
      <c r="T325" s="544"/>
      <c r="U325" s="544"/>
      <c r="V325" s="544"/>
      <c r="W325" s="544"/>
      <c r="X325" s="544"/>
      <c r="Y325" s="544"/>
      <c r="Z325" s="544"/>
      <c r="AA325" s="544"/>
      <c r="AB325" s="544"/>
      <c r="AC325" s="544"/>
      <c r="AD325" s="544"/>
      <c r="AE325" s="183"/>
      <c r="AF325" s="183"/>
      <c r="AG325" s="183"/>
      <c r="AH325" s="183"/>
      <c r="AI325" s="183"/>
      <c r="AJ325" s="183"/>
      <c r="AK325" s="183"/>
      <c r="AL325" s="183"/>
      <c r="AM325" s="183"/>
    </row>
    <row r="326">
      <c r="A326" s="531" t="str">
        <f>IFERROR(__xludf.DUMMYFUNCTION("""COMPUTED_VALUE"""),"サイズ")</f>
        <v>サイズ</v>
      </c>
      <c r="B326" s="531" t="str">
        <f>IFERROR(__xludf.DUMMYFUNCTION("""COMPUTED_VALUE"""),"ステンカラーコート")</f>
        <v>ステンカラーコート</v>
      </c>
      <c r="C326" s="531" t="str">
        <f>IFERROR(__xludf.DUMMYFUNCTION("""COMPUTED_VALUE"""),"着丈")</f>
        <v>着丈</v>
      </c>
      <c r="D326" s="550"/>
      <c r="E326" s="533" t="str">
        <f>IFERROR(__xludf.DUMMYFUNCTION("""COMPUTED_VALUE"""),"パターン限界値から ±20cmの範囲内で調整すること")</f>
        <v>パターン限界値から ±20cmの範囲内で調整すること</v>
      </c>
      <c r="F326" s="534" t="str">
        <f>IFERROR(__xludf.DUMMYFUNCTION("""COMPUTED_VALUE"""),"着丈")</f>
        <v>着丈</v>
      </c>
      <c r="G326" s="550" t="str">
        <f>IFERROR(__xludf.DUMMYFUNCTION("""COMPUTED_VALUE"""),"着丈（パターン限界値から ±20cmの範囲内で調整すること）")</f>
        <v>着丈（パターン限界値から ±20cmの範囲内で調整すること）</v>
      </c>
      <c r="H326" s="572" t="str">
        <f>IFERROR(__xludf.DUMMYFUNCTION("""COMPUTED_VALUE"""),"-2")</f>
        <v>-2</v>
      </c>
      <c r="I326" s="537"/>
      <c r="J326" s="538">
        <f>IFERROR(__xludf.DUMMYFUNCTION("""COMPUTED_VALUE"""),7.0)</f>
        <v>7</v>
      </c>
      <c r="K326" s="537">
        <f>IFERROR(__xludf.DUMMYFUNCTION("""COMPUTED_VALUE"""),46000.0)</f>
        <v>46000</v>
      </c>
      <c r="L326" s="640">
        <f>IFERROR(__xludf.DUMMYFUNCTION("""COMPUTED_VALUE"""),46003.0)</f>
        <v>46003</v>
      </c>
      <c r="M326" s="640">
        <f>IFERROR(__xludf.DUMMYFUNCTION("""COMPUTED_VALUE"""),46008.0)</f>
        <v>46008</v>
      </c>
      <c r="N326" s="539">
        <f>IFERROR(__xludf.DUMMYFUNCTION("""COMPUTED_VALUE"""),9900.0)</f>
        <v>9900</v>
      </c>
      <c r="O326" s="593">
        <f>IFERROR(__xludf.DUMMYFUNCTION("""COMPUTED_VALUE"""),9000.0)</f>
        <v>9000</v>
      </c>
      <c r="P326" s="594">
        <f>IFERROR(__xludf.DUMMYFUNCTION("""COMPUTED_VALUE"""),6000.0)</f>
        <v>6000</v>
      </c>
      <c r="Q326" s="183"/>
      <c r="R326" s="544"/>
      <c r="S326" s="544"/>
      <c r="T326" s="544"/>
      <c r="U326" s="544"/>
      <c r="V326" s="544"/>
      <c r="W326" s="544"/>
      <c r="X326" s="544"/>
      <c r="Y326" s="544"/>
      <c r="Z326" s="544"/>
      <c r="AA326" s="544"/>
      <c r="AB326" s="544"/>
      <c r="AC326" s="544"/>
      <c r="AD326" s="544"/>
      <c r="AE326" s="183"/>
      <c r="AF326" s="183"/>
      <c r="AG326" s="183"/>
      <c r="AH326" s="183"/>
      <c r="AI326" s="183"/>
      <c r="AJ326" s="183"/>
      <c r="AK326" s="183"/>
      <c r="AL326" s="183"/>
      <c r="AM326" s="183"/>
    </row>
    <row r="327">
      <c r="A327" s="531" t="str">
        <f>IFERROR(__xludf.DUMMYFUNCTION("""COMPUTED_VALUE"""),"サイズ")</f>
        <v>サイズ</v>
      </c>
      <c r="B327" s="531" t="str">
        <f>IFERROR(__xludf.DUMMYFUNCTION("""COMPUTED_VALUE"""),"ステンカラーコート")</f>
        <v>ステンカラーコート</v>
      </c>
      <c r="C327" s="531" t="str">
        <f>IFERROR(__xludf.DUMMYFUNCTION("""COMPUTED_VALUE"""),"着丈")</f>
        <v>着丈</v>
      </c>
      <c r="D327" s="550"/>
      <c r="E327" s="533" t="str">
        <f>IFERROR(__xludf.DUMMYFUNCTION("""COMPUTED_VALUE"""),"パターン限界値から ±20cmの範囲内で調整すること")</f>
        <v>パターン限界値から ±20cmの範囲内で調整すること</v>
      </c>
      <c r="F327" s="534" t="str">
        <f>IFERROR(__xludf.DUMMYFUNCTION("""COMPUTED_VALUE"""),"着丈")</f>
        <v>着丈</v>
      </c>
      <c r="G327" s="550" t="str">
        <f>IFERROR(__xludf.DUMMYFUNCTION("""COMPUTED_VALUE"""),"着丈（パターン限界値から ±20cmの範囲内で調整すること）")</f>
        <v>着丈（パターン限界値から ±20cmの範囲内で調整すること）</v>
      </c>
      <c r="H327" s="572" t="str">
        <f>IFERROR(__xludf.DUMMYFUNCTION("""COMPUTED_VALUE"""),"-1")</f>
        <v>-1</v>
      </c>
      <c r="I327" s="537"/>
      <c r="J327" s="538">
        <f>IFERROR(__xludf.DUMMYFUNCTION("""COMPUTED_VALUE"""),7.0)</f>
        <v>7</v>
      </c>
      <c r="K327" s="537">
        <f>IFERROR(__xludf.DUMMYFUNCTION("""COMPUTED_VALUE"""),46000.0)</f>
        <v>46000</v>
      </c>
      <c r="L327" s="640">
        <f>IFERROR(__xludf.DUMMYFUNCTION("""COMPUTED_VALUE"""),46003.0)</f>
        <v>46003</v>
      </c>
      <c r="M327" s="640">
        <f>IFERROR(__xludf.DUMMYFUNCTION("""COMPUTED_VALUE"""),46008.0)</f>
        <v>46008</v>
      </c>
      <c r="N327" s="539">
        <f>IFERROR(__xludf.DUMMYFUNCTION("""COMPUTED_VALUE"""),9900.0)</f>
        <v>9900</v>
      </c>
      <c r="O327" s="593">
        <f>IFERROR(__xludf.DUMMYFUNCTION("""COMPUTED_VALUE"""),9000.0)</f>
        <v>9000</v>
      </c>
      <c r="P327" s="594">
        <f>IFERROR(__xludf.DUMMYFUNCTION("""COMPUTED_VALUE"""),6000.0)</f>
        <v>6000</v>
      </c>
      <c r="Q327" s="183"/>
      <c r="R327" s="544"/>
      <c r="S327" s="544"/>
      <c r="T327" s="544"/>
      <c r="U327" s="544"/>
      <c r="V327" s="544"/>
      <c r="W327" s="544"/>
      <c r="X327" s="544"/>
      <c r="Y327" s="544"/>
      <c r="Z327" s="544"/>
      <c r="AA327" s="544"/>
      <c r="AB327" s="544"/>
      <c r="AC327" s="544"/>
      <c r="AD327" s="544"/>
      <c r="AE327" s="183"/>
      <c r="AF327" s="183"/>
      <c r="AG327" s="183"/>
      <c r="AH327" s="183"/>
      <c r="AI327" s="183"/>
      <c r="AJ327" s="183"/>
      <c r="AK327" s="183"/>
      <c r="AL327" s="183"/>
      <c r="AM327" s="183"/>
    </row>
    <row r="328">
      <c r="A328" s="531" t="str">
        <f>IFERROR(__xludf.DUMMYFUNCTION("""COMPUTED_VALUE"""),"サイズ")</f>
        <v>サイズ</v>
      </c>
      <c r="B328" s="531" t="str">
        <f>IFERROR(__xludf.DUMMYFUNCTION("""COMPUTED_VALUE"""),"ステンカラーコート")</f>
        <v>ステンカラーコート</v>
      </c>
      <c r="C328" s="531" t="str">
        <f>IFERROR(__xludf.DUMMYFUNCTION("""COMPUTED_VALUE"""),"裾まわり")</f>
        <v>裾まわり</v>
      </c>
      <c r="D328" s="550"/>
      <c r="E328" s="533" t="str">
        <f>IFERROR(__xludf.DUMMYFUNCTION("""COMPUTED_VALUE"""),"パターン限界値から ±8cmの範囲内で調整すること")</f>
        <v>パターン限界値から ±8cmの範囲内で調整すること</v>
      </c>
      <c r="F328" s="534" t="str">
        <f>IFERROR(__xludf.DUMMYFUNCTION("""COMPUTED_VALUE"""),"裾まわり")</f>
        <v>裾まわり</v>
      </c>
      <c r="G328" s="550" t="str">
        <f>IFERROR(__xludf.DUMMYFUNCTION("""COMPUTED_VALUE"""),"裾まわり（パターン限界値から ±8cmの範囲内で調整すること）")</f>
        <v>裾まわり（パターン限界値から ±8cmの範囲内で調整すること）</v>
      </c>
      <c r="H328" s="572" t="str">
        <f>IFERROR(__xludf.DUMMYFUNCTION("""COMPUTED_VALUE"""),"-10")</f>
        <v>-10</v>
      </c>
      <c r="I328" s="537"/>
      <c r="J328" s="538">
        <f>IFERROR(__xludf.DUMMYFUNCTION("""COMPUTED_VALUE"""),10.0)</f>
        <v>10</v>
      </c>
      <c r="K328" s="537">
        <f>IFERROR(__xludf.DUMMYFUNCTION("""COMPUTED_VALUE"""),46003.0)</f>
        <v>46003</v>
      </c>
      <c r="L328" s="640">
        <f>IFERROR(__xludf.DUMMYFUNCTION("""COMPUTED_VALUE"""),46003.0)</f>
        <v>46003</v>
      </c>
      <c r="M328" s="640">
        <f>IFERROR(__xludf.DUMMYFUNCTION("""COMPUTED_VALUE"""),46008.0)</f>
        <v>46008</v>
      </c>
      <c r="N328" s="539">
        <f>IFERROR(__xludf.DUMMYFUNCTION("""COMPUTED_VALUE"""),13200.0)</f>
        <v>13200</v>
      </c>
      <c r="O328" s="593">
        <f>IFERROR(__xludf.DUMMYFUNCTION("""COMPUTED_VALUE"""),12000.0)</f>
        <v>12000</v>
      </c>
      <c r="P328" s="594">
        <f>IFERROR(__xludf.DUMMYFUNCTION("""COMPUTED_VALUE"""),8000.0)</f>
        <v>8000</v>
      </c>
      <c r="Q328" s="183"/>
      <c r="R328" s="544"/>
      <c r="S328" s="544"/>
      <c r="T328" s="544"/>
      <c r="U328" s="544"/>
      <c r="V328" s="544"/>
      <c r="W328" s="544"/>
      <c r="X328" s="544"/>
      <c r="Y328" s="544"/>
      <c r="Z328" s="544"/>
      <c r="AA328" s="544"/>
      <c r="AB328" s="544"/>
      <c r="AC328" s="544"/>
      <c r="AD328" s="544"/>
      <c r="AE328" s="183"/>
      <c r="AF328" s="183"/>
      <c r="AG328" s="183"/>
      <c r="AH328" s="183"/>
      <c r="AI328" s="183"/>
      <c r="AJ328" s="183"/>
      <c r="AK328" s="183"/>
      <c r="AL328" s="183"/>
      <c r="AM328" s="183"/>
    </row>
    <row r="329">
      <c r="A329" s="531" t="str">
        <f>IFERROR(__xludf.DUMMYFUNCTION("""COMPUTED_VALUE"""),"サイズ")</f>
        <v>サイズ</v>
      </c>
      <c r="B329" s="531" t="str">
        <f>IFERROR(__xludf.DUMMYFUNCTION("""COMPUTED_VALUE"""),"ステンカラーコート")</f>
        <v>ステンカラーコート</v>
      </c>
      <c r="C329" s="531" t="str">
        <f>IFERROR(__xludf.DUMMYFUNCTION("""COMPUTED_VALUE"""),"裾まわり")</f>
        <v>裾まわり</v>
      </c>
      <c r="D329" s="550"/>
      <c r="E329" s="533" t="str">
        <f>IFERROR(__xludf.DUMMYFUNCTION("""COMPUTED_VALUE"""),"パターン限界値から ±8cmの範囲内で調整すること")</f>
        <v>パターン限界値から ±8cmの範囲内で調整すること</v>
      </c>
      <c r="F329" s="534" t="str">
        <f>IFERROR(__xludf.DUMMYFUNCTION("""COMPUTED_VALUE"""),"裾まわり")</f>
        <v>裾まわり</v>
      </c>
      <c r="G329" s="550" t="str">
        <f>IFERROR(__xludf.DUMMYFUNCTION("""COMPUTED_VALUE"""),"裾まわり（パターン限界値から ±8cmの範囲内で調整すること）")</f>
        <v>裾まわり（パターン限界値から ±8cmの範囲内で調整すること）</v>
      </c>
      <c r="H329" s="572" t="str">
        <f>IFERROR(__xludf.DUMMYFUNCTION("""COMPUTED_VALUE"""),"-9")</f>
        <v>-9</v>
      </c>
      <c r="I329" s="537"/>
      <c r="J329" s="538">
        <f>IFERROR(__xludf.DUMMYFUNCTION("""COMPUTED_VALUE"""),10.0)</f>
        <v>10</v>
      </c>
      <c r="K329" s="537">
        <f>IFERROR(__xludf.DUMMYFUNCTION("""COMPUTED_VALUE"""),46003.0)</f>
        <v>46003</v>
      </c>
      <c r="L329" s="640">
        <f>IFERROR(__xludf.DUMMYFUNCTION("""COMPUTED_VALUE"""),46003.0)</f>
        <v>46003</v>
      </c>
      <c r="M329" s="640">
        <f>IFERROR(__xludf.DUMMYFUNCTION("""COMPUTED_VALUE"""),46008.0)</f>
        <v>46008</v>
      </c>
      <c r="N329" s="539">
        <f>IFERROR(__xludf.DUMMYFUNCTION("""COMPUTED_VALUE"""),13200.0)</f>
        <v>13200</v>
      </c>
      <c r="O329" s="593">
        <f>IFERROR(__xludf.DUMMYFUNCTION("""COMPUTED_VALUE"""),12000.0)</f>
        <v>12000</v>
      </c>
      <c r="P329" s="594">
        <f>IFERROR(__xludf.DUMMYFUNCTION("""COMPUTED_VALUE"""),8000.0)</f>
        <v>8000</v>
      </c>
      <c r="Q329" s="183"/>
      <c r="R329" s="544"/>
      <c r="S329" s="544"/>
      <c r="T329" s="544"/>
      <c r="U329" s="544"/>
      <c r="V329" s="544"/>
      <c r="W329" s="544"/>
      <c r="X329" s="544"/>
      <c r="Y329" s="544"/>
      <c r="Z329" s="544"/>
      <c r="AA329" s="544"/>
      <c r="AB329" s="544"/>
      <c r="AC329" s="544"/>
      <c r="AD329" s="544"/>
      <c r="AE329" s="183"/>
      <c r="AF329" s="183"/>
      <c r="AG329" s="183"/>
      <c r="AH329" s="183"/>
      <c r="AI329" s="183"/>
      <c r="AJ329" s="183"/>
      <c r="AK329" s="183"/>
      <c r="AL329" s="183"/>
      <c r="AM329" s="183"/>
    </row>
    <row r="330">
      <c r="A330" s="531" t="str">
        <f>IFERROR(__xludf.DUMMYFUNCTION("""COMPUTED_VALUE"""),"サイズ")</f>
        <v>サイズ</v>
      </c>
      <c r="B330" s="531" t="str">
        <f>IFERROR(__xludf.DUMMYFUNCTION("""COMPUTED_VALUE"""),"ステンカラーコート")</f>
        <v>ステンカラーコート</v>
      </c>
      <c r="C330" s="531" t="str">
        <f>IFERROR(__xludf.DUMMYFUNCTION("""COMPUTED_VALUE"""),"裾まわり")</f>
        <v>裾まわり</v>
      </c>
      <c r="D330" s="550"/>
      <c r="E330" s="533" t="str">
        <f>IFERROR(__xludf.DUMMYFUNCTION("""COMPUTED_VALUE"""),"パターン限界値から ±8cmの範囲内で調整すること")</f>
        <v>パターン限界値から ±8cmの範囲内で調整すること</v>
      </c>
      <c r="F330" s="534" t="str">
        <f>IFERROR(__xludf.DUMMYFUNCTION("""COMPUTED_VALUE"""),"裾まわり")</f>
        <v>裾まわり</v>
      </c>
      <c r="G330" s="550" t="str">
        <f>IFERROR(__xludf.DUMMYFUNCTION("""COMPUTED_VALUE"""),"裾まわり（パターン限界値から ±8cmの範囲内で調整すること）")</f>
        <v>裾まわり（パターン限界値から ±8cmの範囲内で調整すること）</v>
      </c>
      <c r="H330" s="572" t="str">
        <f>IFERROR(__xludf.DUMMYFUNCTION("""COMPUTED_VALUE"""),"-8")</f>
        <v>-8</v>
      </c>
      <c r="I330" s="537"/>
      <c r="J330" s="538">
        <f>IFERROR(__xludf.DUMMYFUNCTION("""COMPUTED_VALUE"""),10.0)</f>
        <v>10</v>
      </c>
      <c r="K330" s="537">
        <f>IFERROR(__xludf.DUMMYFUNCTION("""COMPUTED_VALUE"""),46003.0)</f>
        <v>46003</v>
      </c>
      <c r="L330" s="640">
        <f>IFERROR(__xludf.DUMMYFUNCTION("""COMPUTED_VALUE"""),46003.0)</f>
        <v>46003</v>
      </c>
      <c r="M330" s="640">
        <f>IFERROR(__xludf.DUMMYFUNCTION("""COMPUTED_VALUE"""),46008.0)</f>
        <v>46008</v>
      </c>
      <c r="N330" s="539">
        <f>IFERROR(__xludf.DUMMYFUNCTION("""COMPUTED_VALUE"""),13200.0)</f>
        <v>13200</v>
      </c>
      <c r="O330" s="593">
        <f>IFERROR(__xludf.DUMMYFUNCTION("""COMPUTED_VALUE"""),12000.0)</f>
        <v>12000</v>
      </c>
      <c r="P330" s="594">
        <f>IFERROR(__xludf.DUMMYFUNCTION("""COMPUTED_VALUE"""),8000.0)</f>
        <v>8000</v>
      </c>
      <c r="Q330" s="183"/>
      <c r="R330" s="544"/>
      <c r="S330" s="544"/>
      <c r="T330" s="544"/>
      <c r="U330" s="544"/>
      <c r="V330" s="544"/>
      <c r="W330" s="544"/>
      <c r="X330" s="544"/>
      <c r="Y330" s="544"/>
      <c r="Z330" s="544"/>
      <c r="AA330" s="544"/>
      <c r="AB330" s="544"/>
      <c r="AC330" s="544"/>
      <c r="AD330" s="544"/>
      <c r="AE330" s="183"/>
      <c r="AF330" s="183"/>
      <c r="AG330" s="183"/>
      <c r="AH330" s="183"/>
      <c r="AI330" s="183"/>
      <c r="AJ330" s="183"/>
      <c r="AK330" s="183"/>
      <c r="AL330" s="183"/>
      <c r="AM330" s="183"/>
    </row>
    <row r="331">
      <c r="A331" s="531" t="str">
        <f>IFERROR(__xludf.DUMMYFUNCTION("""COMPUTED_VALUE"""),"サイズ")</f>
        <v>サイズ</v>
      </c>
      <c r="B331" s="531" t="str">
        <f>IFERROR(__xludf.DUMMYFUNCTION("""COMPUTED_VALUE"""),"ステンカラーコート")</f>
        <v>ステンカラーコート</v>
      </c>
      <c r="C331" s="531" t="str">
        <f>IFERROR(__xludf.DUMMYFUNCTION("""COMPUTED_VALUE"""),"裾まわり")</f>
        <v>裾まわり</v>
      </c>
      <c r="D331" s="550"/>
      <c r="E331" s="533" t="str">
        <f>IFERROR(__xludf.DUMMYFUNCTION("""COMPUTED_VALUE"""),"パターン限界値から ±8cmの範囲内で調整すること")</f>
        <v>パターン限界値から ±8cmの範囲内で調整すること</v>
      </c>
      <c r="F331" s="534" t="str">
        <f>IFERROR(__xludf.DUMMYFUNCTION("""COMPUTED_VALUE"""),"裾まわり")</f>
        <v>裾まわり</v>
      </c>
      <c r="G331" s="550" t="str">
        <f>IFERROR(__xludf.DUMMYFUNCTION("""COMPUTED_VALUE"""),"裾まわり（パターン限界値から ±8cmの範囲内で調整すること）")</f>
        <v>裾まわり（パターン限界値から ±8cmの範囲内で調整すること）</v>
      </c>
      <c r="H331" s="572" t="str">
        <f>IFERROR(__xludf.DUMMYFUNCTION("""COMPUTED_VALUE"""),"-7")</f>
        <v>-7</v>
      </c>
      <c r="I331" s="537"/>
      <c r="J331" s="538">
        <f>IFERROR(__xludf.DUMMYFUNCTION("""COMPUTED_VALUE"""),10.0)</f>
        <v>10</v>
      </c>
      <c r="K331" s="537">
        <f>IFERROR(__xludf.DUMMYFUNCTION("""COMPUTED_VALUE"""),46003.0)</f>
        <v>46003</v>
      </c>
      <c r="L331" s="640">
        <f>IFERROR(__xludf.DUMMYFUNCTION("""COMPUTED_VALUE"""),46003.0)</f>
        <v>46003</v>
      </c>
      <c r="M331" s="640">
        <f>IFERROR(__xludf.DUMMYFUNCTION("""COMPUTED_VALUE"""),46008.0)</f>
        <v>46008</v>
      </c>
      <c r="N331" s="539">
        <f>IFERROR(__xludf.DUMMYFUNCTION("""COMPUTED_VALUE"""),13200.0)</f>
        <v>13200</v>
      </c>
      <c r="O331" s="593">
        <f>IFERROR(__xludf.DUMMYFUNCTION("""COMPUTED_VALUE"""),12000.0)</f>
        <v>12000</v>
      </c>
      <c r="P331" s="594">
        <f>IFERROR(__xludf.DUMMYFUNCTION("""COMPUTED_VALUE"""),8000.0)</f>
        <v>8000</v>
      </c>
      <c r="Q331" s="183"/>
      <c r="R331" s="544"/>
      <c r="S331" s="544"/>
      <c r="T331" s="544"/>
      <c r="U331" s="544"/>
      <c r="V331" s="544"/>
      <c r="W331" s="544"/>
      <c r="X331" s="544"/>
      <c r="Y331" s="544"/>
      <c r="Z331" s="544"/>
      <c r="AA331" s="544"/>
      <c r="AB331" s="544"/>
      <c r="AC331" s="544"/>
      <c r="AD331" s="544"/>
      <c r="AE331" s="183"/>
      <c r="AF331" s="183"/>
      <c r="AG331" s="183"/>
      <c r="AH331" s="183"/>
      <c r="AI331" s="183"/>
      <c r="AJ331" s="183"/>
      <c r="AK331" s="183"/>
      <c r="AL331" s="183"/>
      <c r="AM331" s="183"/>
    </row>
    <row r="332">
      <c r="A332" s="531" t="str">
        <f>IFERROR(__xludf.DUMMYFUNCTION("""COMPUTED_VALUE"""),"サイズ")</f>
        <v>サイズ</v>
      </c>
      <c r="B332" s="531" t="str">
        <f>IFERROR(__xludf.DUMMYFUNCTION("""COMPUTED_VALUE"""),"ステンカラーコート")</f>
        <v>ステンカラーコート</v>
      </c>
      <c r="C332" s="531" t="str">
        <f>IFERROR(__xludf.DUMMYFUNCTION("""COMPUTED_VALUE"""),"裾まわり")</f>
        <v>裾まわり</v>
      </c>
      <c r="D332" s="550"/>
      <c r="E332" s="533" t="str">
        <f>IFERROR(__xludf.DUMMYFUNCTION("""COMPUTED_VALUE"""),"パターン限界値から ±8cmの範囲内で調整すること")</f>
        <v>パターン限界値から ±8cmの範囲内で調整すること</v>
      </c>
      <c r="F332" s="534" t="str">
        <f>IFERROR(__xludf.DUMMYFUNCTION("""COMPUTED_VALUE"""),"裾まわり")</f>
        <v>裾まわり</v>
      </c>
      <c r="G332" s="550" t="str">
        <f>IFERROR(__xludf.DUMMYFUNCTION("""COMPUTED_VALUE"""),"裾まわり（パターン限界値から ±8cmの範囲内で調整すること）")</f>
        <v>裾まわり（パターン限界値から ±8cmの範囲内で調整すること）</v>
      </c>
      <c r="H332" s="572" t="str">
        <f>IFERROR(__xludf.DUMMYFUNCTION("""COMPUTED_VALUE"""),"-6")</f>
        <v>-6</v>
      </c>
      <c r="I332" s="537"/>
      <c r="J332" s="538">
        <f>IFERROR(__xludf.DUMMYFUNCTION("""COMPUTED_VALUE"""),10.0)</f>
        <v>10</v>
      </c>
      <c r="K332" s="537">
        <f>IFERROR(__xludf.DUMMYFUNCTION("""COMPUTED_VALUE"""),46003.0)</f>
        <v>46003</v>
      </c>
      <c r="L332" s="640">
        <f>IFERROR(__xludf.DUMMYFUNCTION("""COMPUTED_VALUE"""),46003.0)</f>
        <v>46003</v>
      </c>
      <c r="M332" s="640">
        <f>IFERROR(__xludf.DUMMYFUNCTION("""COMPUTED_VALUE"""),46008.0)</f>
        <v>46008</v>
      </c>
      <c r="N332" s="539">
        <f>IFERROR(__xludf.DUMMYFUNCTION("""COMPUTED_VALUE"""),13200.0)</f>
        <v>13200</v>
      </c>
      <c r="O332" s="593">
        <f>IFERROR(__xludf.DUMMYFUNCTION("""COMPUTED_VALUE"""),12000.0)</f>
        <v>12000</v>
      </c>
      <c r="P332" s="594">
        <f>IFERROR(__xludf.DUMMYFUNCTION("""COMPUTED_VALUE"""),8000.0)</f>
        <v>8000</v>
      </c>
      <c r="Q332" s="183"/>
      <c r="R332" s="544"/>
      <c r="S332" s="544"/>
      <c r="T332" s="544"/>
      <c r="U332" s="544"/>
      <c r="V332" s="544"/>
      <c r="W332" s="544"/>
      <c r="X332" s="544"/>
      <c r="Y332" s="544"/>
      <c r="Z332" s="544"/>
      <c r="AA332" s="544"/>
      <c r="AB332" s="544"/>
      <c r="AC332" s="544"/>
      <c r="AD332" s="544"/>
      <c r="AE332" s="183"/>
      <c r="AF332" s="183"/>
      <c r="AG332" s="183"/>
      <c r="AH332" s="183"/>
      <c r="AI332" s="183"/>
      <c r="AJ332" s="183"/>
      <c r="AK332" s="183"/>
      <c r="AL332" s="183"/>
      <c r="AM332" s="183"/>
    </row>
    <row r="333">
      <c r="A333" s="642" t="str">
        <f>IFERROR(__xludf.DUMMYFUNCTION("""COMPUTED_VALUE"""),"サイズ")</f>
        <v>サイズ</v>
      </c>
      <c r="B333" s="531" t="str">
        <f>IFERROR(__xludf.DUMMYFUNCTION("""COMPUTED_VALUE"""),"ステンカラーコート")</f>
        <v>ステンカラーコート</v>
      </c>
      <c r="C333" s="643" t="str">
        <f>IFERROR(__xludf.DUMMYFUNCTION("""COMPUTED_VALUE"""),"裾まわり")</f>
        <v>裾まわり</v>
      </c>
      <c r="D333" s="627"/>
      <c r="E333" s="533" t="str">
        <f>IFERROR(__xludf.DUMMYFUNCTION("""COMPUTED_VALUE"""),"パターン限界値から ±8cmの範囲内で調整すること")</f>
        <v>パターン限界値から ±8cmの範囲内で調整すること</v>
      </c>
      <c r="F333" s="644" t="str">
        <f>IFERROR(__xludf.DUMMYFUNCTION("""COMPUTED_VALUE"""),"裾まわり")</f>
        <v>裾まわり</v>
      </c>
      <c r="G333" s="627" t="str">
        <f>IFERROR(__xludf.DUMMYFUNCTION("""COMPUTED_VALUE"""),"裾まわり（パターン限界値から ±8cmの範囲内で調整すること）")</f>
        <v>裾まわり（パターン限界値から ±8cmの範囲内で調整すること）</v>
      </c>
      <c r="H333" s="645" t="str">
        <f>IFERROR(__xludf.DUMMYFUNCTION("""COMPUTED_VALUE"""),"-5")</f>
        <v>-5</v>
      </c>
      <c r="I333" s="646"/>
      <c r="J333" s="629">
        <f>IFERROR(__xludf.DUMMYFUNCTION("""COMPUTED_VALUE"""),10.0)</f>
        <v>10</v>
      </c>
      <c r="K333" s="629">
        <f>IFERROR(__xludf.DUMMYFUNCTION("""COMPUTED_VALUE"""),46003.0)</f>
        <v>46003</v>
      </c>
      <c r="L333" s="647">
        <f>IFERROR(__xludf.DUMMYFUNCTION("""COMPUTED_VALUE"""),46003.0)</f>
        <v>46003</v>
      </c>
      <c r="M333" s="648">
        <f>IFERROR(__xludf.DUMMYFUNCTION("""COMPUTED_VALUE"""),46008.0)</f>
        <v>46008</v>
      </c>
      <c r="N333" s="631">
        <f>IFERROR(__xludf.DUMMYFUNCTION("""COMPUTED_VALUE"""),13200.0)</f>
        <v>13200</v>
      </c>
      <c r="O333" s="593">
        <f>IFERROR(__xludf.DUMMYFUNCTION("""COMPUTED_VALUE"""),12000.0)</f>
        <v>12000</v>
      </c>
      <c r="P333" s="594">
        <f>IFERROR(__xludf.DUMMYFUNCTION("""COMPUTED_VALUE"""),8000.0)</f>
        <v>8000</v>
      </c>
      <c r="Q333" s="183"/>
      <c r="R333" s="544"/>
      <c r="S333" s="544"/>
      <c r="T333" s="544"/>
      <c r="U333" s="544"/>
      <c r="V333" s="544"/>
      <c r="W333" s="544"/>
      <c r="X333" s="544"/>
      <c r="Y333" s="544"/>
      <c r="Z333" s="544"/>
      <c r="AA333" s="544"/>
      <c r="AB333" s="544"/>
      <c r="AC333" s="544"/>
      <c r="AD333" s="544"/>
      <c r="AE333" s="183"/>
      <c r="AF333" s="183"/>
      <c r="AG333" s="183"/>
      <c r="AH333" s="183"/>
      <c r="AI333" s="183"/>
      <c r="AJ333" s="183"/>
      <c r="AK333" s="183"/>
      <c r="AL333" s="183"/>
      <c r="AM333" s="183"/>
    </row>
    <row r="334">
      <c r="A334" s="611" t="str">
        <f>IFERROR(__xludf.DUMMYFUNCTION("""COMPUTED_VALUE"""),"サイズ")</f>
        <v>サイズ</v>
      </c>
      <c r="B334" s="531" t="str">
        <f>IFERROR(__xludf.DUMMYFUNCTION("""COMPUTED_VALUE"""),"ステンカラーコート")</f>
        <v>ステンカラーコート</v>
      </c>
      <c r="C334" s="612" t="str">
        <f>IFERROR(__xludf.DUMMYFUNCTION("""COMPUTED_VALUE"""),"裾まわり")</f>
        <v>裾まわり</v>
      </c>
      <c r="D334" s="616"/>
      <c r="E334" s="533" t="str">
        <f>IFERROR(__xludf.DUMMYFUNCTION("""COMPUTED_VALUE"""),"パターン限界値から ±8cmの範囲内で調整すること")</f>
        <v>パターン限界値から ±8cmの範囲内で調整すること</v>
      </c>
      <c r="F334" s="649" t="str">
        <f>IFERROR(__xludf.DUMMYFUNCTION("""COMPUTED_VALUE"""),"裾まわり")</f>
        <v>裾まわり</v>
      </c>
      <c r="G334" s="616" t="str">
        <f>IFERROR(__xludf.DUMMYFUNCTION("""COMPUTED_VALUE"""),"裾まわり（パターン限界値から ±8cmの範囲内で調整すること）")</f>
        <v>裾まわり（パターン限界値から ±8cmの範囲内で調整すること）</v>
      </c>
      <c r="H334" s="617" t="str">
        <f>IFERROR(__xludf.DUMMYFUNCTION("""COMPUTED_VALUE"""),"-4")</f>
        <v>-4</v>
      </c>
      <c r="I334" s="618"/>
      <c r="J334" s="620">
        <f>IFERROR(__xludf.DUMMYFUNCTION("""COMPUTED_VALUE"""),10.0)</f>
        <v>10</v>
      </c>
      <c r="K334" s="620">
        <f>IFERROR(__xludf.DUMMYFUNCTION("""COMPUTED_VALUE"""),46003.0)</f>
        <v>46003</v>
      </c>
      <c r="L334" s="650">
        <f>IFERROR(__xludf.DUMMYFUNCTION("""COMPUTED_VALUE"""),46003.0)</f>
        <v>46003</v>
      </c>
      <c r="M334" s="651">
        <f>IFERROR(__xludf.DUMMYFUNCTION("""COMPUTED_VALUE"""),46008.0)</f>
        <v>46008</v>
      </c>
      <c r="N334" s="639">
        <f>IFERROR(__xludf.DUMMYFUNCTION("""COMPUTED_VALUE"""),13200.0)</f>
        <v>13200</v>
      </c>
      <c r="O334" s="593">
        <f>IFERROR(__xludf.DUMMYFUNCTION("""COMPUTED_VALUE"""),12000.0)</f>
        <v>12000</v>
      </c>
      <c r="P334" s="594">
        <f>IFERROR(__xludf.DUMMYFUNCTION("""COMPUTED_VALUE"""),8000.0)</f>
        <v>8000</v>
      </c>
      <c r="Q334" s="183"/>
      <c r="R334" s="544"/>
      <c r="S334" s="544"/>
      <c r="T334" s="544"/>
      <c r="U334" s="544"/>
      <c r="V334" s="544"/>
      <c r="W334" s="544"/>
      <c r="X334" s="544"/>
      <c r="Y334" s="544"/>
      <c r="Z334" s="544"/>
      <c r="AA334" s="544"/>
      <c r="AB334" s="544"/>
      <c r="AC334" s="544"/>
      <c r="AD334" s="544"/>
      <c r="AE334" s="183"/>
      <c r="AF334" s="183"/>
      <c r="AG334" s="183"/>
      <c r="AH334" s="183"/>
      <c r="AI334" s="183"/>
      <c r="AJ334" s="183"/>
      <c r="AK334" s="183"/>
      <c r="AL334" s="183"/>
      <c r="AM334" s="183"/>
    </row>
    <row r="335">
      <c r="A335" s="624" t="str">
        <f>IFERROR(__xludf.DUMMYFUNCTION("""COMPUTED_VALUE"""),"サイズ")</f>
        <v>サイズ</v>
      </c>
      <c r="B335" s="531" t="str">
        <f>IFERROR(__xludf.DUMMYFUNCTION("""COMPUTED_VALUE"""),"ステンカラーコート")</f>
        <v>ステンカラーコート</v>
      </c>
      <c r="C335" s="625" t="str">
        <f>IFERROR(__xludf.DUMMYFUNCTION("""COMPUTED_VALUE"""),"裾まわり")</f>
        <v>裾まわり</v>
      </c>
      <c r="D335" s="627"/>
      <c r="E335" s="533" t="str">
        <f>IFERROR(__xludf.DUMMYFUNCTION("""COMPUTED_VALUE"""),"パターン限界値から ±8cmの範囲内で調整すること")</f>
        <v>パターン限界値から ±8cmの範囲内で調整すること</v>
      </c>
      <c r="F335" s="644" t="str">
        <f>IFERROR(__xludf.DUMMYFUNCTION("""COMPUTED_VALUE"""),"裾まわり")</f>
        <v>裾まわり</v>
      </c>
      <c r="G335" s="627" t="str">
        <f>IFERROR(__xludf.DUMMYFUNCTION("""COMPUTED_VALUE"""),"裾まわり（パターン限界値から ±8cmの範囲内で調整すること）")</f>
        <v>裾まわり（パターン限界値から ±8cmの範囲内で調整すること）</v>
      </c>
      <c r="H335" s="645" t="str">
        <f>IFERROR(__xludf.DUMMYFUNCTION("""COMPUTED_VALUE"""),"-3")</f>
        <v>-3</v>
      </c>
      <c r="I335" s="646"/>
      <c r="J335" s="629">
        <f>IFERROR(__xludf.DUMMYFUNCTION("""COMPUTED_VALUE"""),10.0)</f>
        <v>10</v>
      </c>
      <c r="K335" s="629">
        <f>IFERROR(__xludf.DUMMYFUNCTION("""COMPUTED_VALUE"""),46003.0)</f>
        <v>46003</v>
      </c>
      <c r="L335" s="647">
        <f>IFERROR(__xludf.DUMMYFUNCTION("""COMPUTED_VALUE"""),46003.0)</f>
        <v>46003</v>
      </c>
      <c r="M335" s="648">
        <f>IFERROR(__xludf.DUMMYFUNCTION("""COMPUTED_VALUE"""),46008.0)</f>
        <v>46008</v>
      </c>
      <c r="N335" s="631">
        <f>IFERROR(__xludf.DUMMYFUNCTION("""COMPUTED_VALUE"""),13200.0)</f>
        <v>13200</v>
      </c>
      <c r="O335" s="593">
        <f>IFERROR(__xludf.DUMMYFUNCTION("""COMPUTED_VALUE"""),12000.0)</f>
        <v>12000</v>
      </c>
      <c r="P335" s="594">
        <f>IFERROR(__xludf.DUMMYFUNCTION("""COMPUTED_VALUE"""),8000.0)</f>
        <v>8000</v>
      </c>
      <c r="Q335" s="183"/>
      <c r="R335" s="544"/>
      <c r="S335" s="544"/>
      <c r="T335" s="544"/>
      <c r="U335" s="544"/>
      <c r="V335" s="544"/>
      <c r="W335" s="544"/>
      <c r="X335" s="544"/>
      <c r="Y335" s="544"/>
      <c r="Z335" s="544"/>
      <c r="AA335" s="544"/>
      <c r="AB335" s="544"/>
      <c r="AC335" s="544"/>
      <c r="AD335" s="544"/>
      <c r="AE335" s="183"/>
      <c r="AF335" s="183"/>
      <c r="AG335" s="183"/>
      <c r="AH335" s="183"/>
      <c r="AI335" s="183"/>
      <c r="AJ335" s="183"/>
      <c r="AK335" s="183"/>
      <c r="AL335" s="183"/>
      <c r="AM335" s="183"/>
    </row>
    <row r="336">
      <c r="A336" s="611" t="str">
        <f>IFERROR(__xludf.DUMMYFUNCTION("""COMPUTED_VALUE"""),"サイズ")</f>
        <v>サイズ</v>
      </c>
      <c r="B336" s="531" t="str">
        <f>IFERROR(__xludf.DUMMYFUNCTION("""COMPUTED_VALUE"""),"ステンカラーコート")</f>
        <v>ステンカラーコート</v>
      </c>
      <c r="C336" s="612" t="str">
        <f>IFERROR(__xludf.DUMMYFUNCTION("""COMPUTED_VALUE"""),"裾まわり")</f>
        <v>裾まわり</v>
      </c>
      <c r="D336" s="616"/>
      <c r="E336" s="533" t="str">
        <f>IFERROR(__xludf.DUMMYFUNCTION("""COMPUTED_VALUE"""),"パターン限界値から ±8cmの範囲内で調整すること")</f>
        <v>パターン限界値から ±8cmの範囲内で調整すること</v>
      </c>
      <c r="F336" s="649" t="str">
        <f>IFERROR(__xludf.DUMMYFUNCTION("""COMPUTED_VALUE"""),"裾まわり")</f>
        <v>裾まわり</v>
      </c>
      <c r="G336" s="616" t="str">
        <f>IFERROR(__xludf.DUMMYFUNCTION("""COMPUTED_VALUE"""),"裾まわり（パターン限界値から ±8cmの範囲内で調整すること）")</f>
        <v>裾まわり（パターン限界値から ±8cmの範囲内で調整すること）</v>
      </c>
      <c r="H336" s="617" t="str">
        <f>IFERROR(__xludf.DUMMYFUNCTION("""COMPUTED_VALUE"""),"-2")</f>
        <v>-2</v>
      </c>
      <c r="I336" s="618"/>
      <c r="J336" s="620">
        <f>IFERROR(__xludf.DUMMYFUNCTION("""COMPUTED_VALUE"""),10.0)</f>
        <v>10</v>
      </c>
      <c r="K336" s="620">
        <f>IFERROR(__xludf.DUMMYFUNCTION("""COMPUTED_VALUE"""),46003.0)</f>
        <v>46003</v>
      </c>
      <c r="L336" s="650">
        <f>IFERROR(__xludf.DUMMYFUNCTION("""COMPUTED_VALUE"""),46003.0)</f>
        <v>46003</v>
      </c>
      <c r="M336" s="651">
        <f>IFERROR(__xludf.DUMMYFUNCTION("""COMPUTED_VALUE"""),46008.0)</f>
        <v>46008</v>
      </c>
      <c r="N336" s="639">
        <f>IFERROR(__xludf.DUMMYFUNCTION("""COMPUTED_VALUE"""),13200.0)</f>
        <v>13200</v>
      </c>
      <c r="O336" s="593">
        <f>IFERROR(__xludf.DUMMYFUNCTION("""COMPUTED_VALUE"""),12000.0)</f>
        <v>12000</v>
      </c>
      <c r="P336" s="594">
        <f>IFERROR(__xludf.DUMMYFUNCTION("""COMPUTED_VALUE"""),8000.0)</f>
        <v>8000</v>
      </c>
      <c r="Q336" s="183"/>
      <c r="R336" s="544"/>
      <c r="S336" s="544"/>
      <c r="T336" s="544"/>
      <c r="U336" s="544"/>
      <c r="V336" s="544"/>
      <c r="W336" s="544"/>
      <c r="X336" s="544"/>
      <c r="Y336" s="544"/>
      <c r="Z336" s="544"/>
      <c r="AA336" s="544"/>
      <c r="AB336" s="544"/>
      <c r="AC336" s="544"/>
      <c r="AD336" s="544"/>
      <c r="AE336" s="183"/>
      <c r="AF336" s="183"/>
      <c r="AG336" s="183"/>
      <c r="AH336" s="183"/>
      <c r="AI336" s="183"/>
      <c r="AJ336" s="183"/>
      <c r="AK336" s="183"/>
      <c r="AL336" s="183"/>
      <c r="AM336" s="183"/>
    </row>
    <row r="337">
      <c r="A337" s="624" t="str">
        <f>IFERROR(__xludf.DUMMYFUNCTION("""COMPUTED_VALUE"""),"サイズ")</f>
        <v>サイズ</v>
      </c>
      <c r="B337" s="531" t="str">
        <f>IFERROR(__xludf.DUMMYFUNCTION("""COMPUTED_VALUE"""),"ステンカラーコート")</f>
        <v>ステンカラーコート</v>
      </c>
      <c r="C337" s="625" t="str">
        <f>IFERROR(__xludf.DUMMYFUNCTION("""COMPUTED_VALUE"""),"裾まわり")</f>
        <v>裾まわり</v>
      </c>
      <c r="D337" s="627"/>
      <c r="E337" s="533" t="str">
        <f>IFERROR(__xludf.DUMMYFUNCTION("""COMPUTED_VALUE"""),"パターン限界値から ±8cmの範囲内で調整すること")</f>
        <v>パターン限界値から ±8cmの範囲内で調整すること</v>
      </c>
      <c r="F337" s="644" t="str">
        <f>IFERROR(__xludf.DUMMYFUNCTION("""COMPUTED_VALUE"""),"裾まわり")</f>
        <v>裾まわり</v>
      </c>
      <c r="G337" s="627" t="str">
        <f>IFERROR(__xludf.DUMMYFUNCTION("""COMPUTED_VALUE"""),"裾まわり（パターン限界値から ±8cmの範囲内で調整すること）")</f>
        <v>裾まわり（パターン限界値から ±8cmの範囲内で調整すること）</v>
      </c>
      <c r="H337" s="645" t="str">
        <f>IFERROR(__xludf.DUMMYFUNCTION("""COMPUTED_VALUE"""),"-1")</f>
        <v>-1</v>
      </c>
      <c r="I337" s="646"/>
      <c r="J337" s="629">
        <f>IFERROR(__xludf.DUMMYFUNCTION("""COMPUTED_VALUE"""),10.0)</f>
        <v>10</v>
      </c>
      <c r="K337" s="629">
        <f>IFERROR(__xludf.DUMMYFUNCTION("""COMPUTED_VALUE"""),46003.0)</f>
        <v>46003</v>
      </c>
      <c r="L337" s="647">
        <f>IFERROR(__xludf.DUMMYFUNCTION("""COMPUTED_VALUE"""),46003.0)</f>
        <v>46003</v>
      </c>
      <c r="M337" s="648">
        <f>IFERROR(__xludf.DUMMYFUNCTION("""COMPUTED_VALUE"""),46008.0)</f>
        <v>46008</v>
      </c>
      <c r="N337" s="631">
        <f>IFERROR(__xludf.DUMMYFUNCTION("""COMPUTED_VALUE"""),13200.0)</f>
        <v>13200</v>
      </c>
      <c r="O337" s="593">
        <f>IFERROR(__xludf.DUMMYFUNCTION("""COMPUTED_VALUE"""),12000.0)</f>
        <v>12000</v>
      </c>
      <c r="P337" s="594">
        <f>IFERROR(__xludf.DUMMYFUNCTION("""COMPUTED_VALUE"""),8000.0)</f>
        <v>8000</v>
      </c>
      <c r="Q337" s="183"/>
      <c r="R337" s="544"/>
      <c r="S337" s="544"/>
      <c r="T337" s="544"/>
      <c r="U337" s="544"/>
      <c r="V337" s="544"/>
      <c r="W337" s="544"/>
      <c r="X337" s="544"/>
      <c r="Y337" s="544"/>
      <c r="Z337" s="544"/>
      <c r="AA337" s="544"/>
      <c r="AB337" s="544"/>
      <c r="AC337" s="544"/>
      <c r="AD337" s="544"/>
      <c r="AE337" s="183"/>
      <c r="AF337" s="183"/>
      <c r="AG337" s="183"/>
      <c r="AH337" s="183"/>
      <c r="AI337" s="183"/>
      <c r="AJ337" s="183"/>
      <c r="AK337" s="183"/>
      <c r="AL337" s="183"/>
      <c r="AM337" s="183"/>
    </row>
    <row r="338">
      <c r="A338" s="611" t="str">
        <f>IFERROR(__xludf.DUMMYFUNCTION("""COMPUTED_VALUE"""),"サイズ")</f>
        <v>サイズ</v>
      </c>
      <c r="B338" s="531" t="str">
        <f>IFERROR(__xludf.DUMMYFUNCTION("""COMPUTED_VALUE"""),"スラックス / カジュアルパンツ")</f>
        <v>スラックス / カジュアルパンツ</v>
      </c>
      <c r="C338" s="652" t="str">
        <f>IFERROR(__xludf.DUMMYFUNCTION("""COMPUTED_VALUE"""),"仕上げプレス")</f>
        <v>仕上げプレス</v>
      </c>
      <c r="D338" s="616"/>
      <c r="E338" s="533"/>
      <c r="F338" s="649" t="str">
        <f>IFERROR(__xludf.DUMMYFUNCTION("""COMPUTED_VALUE"""),"仕上げプレス")</f>
        <v>仕上げプレス</v>
      </c>
      <c r="G338" s="616" t="str">
        <f>IFERROR(__xludf.DUMMYFUNCTION("""COMPUTED_VALUE"""),"仕上げプレス")</f>
        <v>仕上げプレス</v>
      </c>
      <c r="H338" s="619"/>
      <c r="I338" s="618" t="str">
        <f>IFERROR(__xludf.DUMMYFUNCTION("""COMPUTED_VALUE"""),"店舗/CS")</f>
        <v>店舗/CS</v>
      </c>
      <c r="J338" s="620"/>
      <c r="K338" s="620"/>
      <c r="L338" s="650"/>
      <c r="M338" s="651"/>
      <c r="N338" s="639">
        <f>IFERROR(__xludf.DUMMYFUNCTION("""COMPUTED_VALUE"""),250.0)</f>
        <v>250</v>
      </c>
      <c r="O338" s="593">
        <f>IFERROR(__xludf.DUMMYFUNCTION("""COMPUTED_VALUE"""),227.0)</f>
        <v>227</v>
      </c>
      <c r="P338" s="594">
        <f>IFERROR(__xludf.DUMMYFUNCTION("""COMPUTED_VALUE"""),150.0)</f>
        <v>150</v>
      </c>
      <c r="Q338" s="183"/>
      <c r="R338" s="544"/>
      <c r="S338" s="544"/>
      <c r="T338" s="544"/>
      <c r="U338" s="544"/>
      <c r="V338" s="544"/>
      <c r="W338" s="544"/>
      <c r="X338" s="544"/>
      <c r="Y338" s="544"/>
      <c r="Z338" s="544"/>
      <c r="AA338" s="544"/>
      <c r="AB338" s="544"/>
      <c r="AC338" s="544"/>
      <c r="AD338" s="544"/>
      <c r="AE338" s="183"/>
      <c r="AF338" s="183"/>
      <c r="AG338" s="183"/>
      <c r="AH338" s="183"/>
      <c r="AI338" s="183"/>
      <c r="AJ338" s="183"/>
      <c r="AK338" s="183"/>
      <c r="AL338" s="183"/>
      <c r="AM338" s="183"/>
    </row>
    <row r="339" hidden="1">
      <c r="A339" s="611" t="str">
        <f>IFERROR(__xludf.DUMMYFUNCTION("""COMPUTED_VALUE"""),"縫製")</f>
        <v>縫製</v>
      </c>
      <c r="B339" s="531" t="str">
        <f>IFERROR(__xludf.DUMMYFUNCTION("""COMPUTED_VALUE"""),"スラックス / カジュアルパンツ")</f>
        <v>スラックス / カジュアルパンツ</v>
      </c>
      <c r="C339" s="625" t="str">
        <f>IFERROR(__xludf.DUMMYFUNCTION("""COMPUTED_VALUE"""),"仕上げプレス")</f>
        <v>仕上げプレス</v>
      </c>
      <c r="D339" s="616"/>
      <c r="E339" s="533"/>
      <c r="F339" s="653" t="str">
        <f>IFERROR(__xludf.DUMMYFUNCTION("""COMPUTED_VALUE"""),"仕上げプレス")</f>
        <v>仕上げプレス</v>
      </c>
      <c r="G339" s="616" t="str">
        <f>IFERROR(__xludf.DUMMYFUNCTION("""COMPUTED_VALUE"""),"仕上げプレス")</f>
        <v>仕上げプレス</v>
      </c>
      <c r="H339" s="654"/>
      <c r="I339" s="646" t="str">
        <f>IFERROR(__xludf.DUMMYFUNCTION("""COMPUTED_VALUE"""),"店舗/CS")</f>
        <v>店舗/CS</v>
      </c>
      <c r="J339" s="620"/>
      <c r="K339" s="620"/>
      <c r="L339" s="650"/>
      <c r="M339" s="651"/>
      <c r="N339" s="639">
        <f>IFERROR(__xludf.DUMMYFUNCTION("""COMPUTED_VALUE"""),550.0)</f>
        <v>550</v>
      </c>
      <c r="O339" s="593">
        <f>IFERROR(__xludf.DUMMYFUNCTION("""COMPUTED_VALUE"""),500.0)</f>
        <v>500</v>
      </c>
      <c r="P339" s="594">
        <f>IFERROR(__xludf.DUMMYFUNCTION("""COMPUTED_VALUE"""),150.0)</f>
        <v>150</v>
      </c>
      <c r="Q339" s="183"/>
      <c r="R339" s="544"/>
      <c r="S339" s="544"/>
      <c r="T339" s="544"/>
      <c r="U339" s="544"/>
      <c r="V339" s="544"/>
      <c r="W339" s="544"/>
      <c r="X339" s="544"/>
      <c r="Y339" s="544"/>
      <c r="Z339" s="544"/>
      <c r="AA339" s="544"/>
      <c r="AB339" s="544"/>
      <c r="AC339" s="544"/>
      <c r="AD339" s="544"/>
      <c r="AE339" s="183"/>
      <c r="AF339" s="183"/>
      <c r="AG339" s="183"/>
      <c r="AH339" s="183"/>
      <c r="AI339" s="183"/>
      <c r="AJ339" s="183"/>
      <c r="AK339" s="183"/>
      <c r="AL339" s="183"/>
      <c r="AM339" s="183"/>
    </row>
    <row r="340" hidden="1">
      <c r="A340" s="531" t="str">
        <f>IFERROR(__xludf.DUMMYFUNCTION("""COMPUTED_VALUE"""),"縫製")</f>
        <v>縫製</v>
      </c>
      <c r="B340" s="531" t="str">
        <f>IFERROR(__xludf.DUMMYFUNCTION("""COMPUTED_VALUE"""),"スラックス / カジュアルパンツ")</f>
        <v>スラックス / カジュアルパンツ</v>
      </c>
      <c r="C340" s="531" t="str">
        <f>IFERROR(__xludf.DUMMYFUNCTION("""COMPUTED_VALUE"""),"再プレスのみ")</f>
        <v>再プレスのみ</v>
      </c>
      <c r="D340" s="533"/>
      <c r="E340" s="533"/>
      <c r="F340" s="534" t="str">
        <f>IFERROR(__xludf.DUMMYFUNCTION("""COMPUTED_VALUE"""),"再プレスのみ")</f>
        <v>再プレスのみ</v>
      </c>
      <c r="G340" s="550" t="str">
        <f>IFERROR(__xludf.DUMMYFUNCTION("""COMPUTED_VALUE"""),"再プレスのみ")</f>
        <v>再プレスのみ</v>
      </c>
      <c r="H340" s="536"/>
      <c r="I340" s="537" t="str">
        <f>IFERROR(__xludf.DUMMYFUNCTION("""COMPUTED_VALUE"""),"店舗/CS")</f>
        <v>店舗/CS</v>
      </c>
      <c r="J340" s="538"/>
      <c r="K340" s="538" t="str">
        <f>IFERROR(__xludf.DUMMYFUNCTION("""COMPUTED_VALUE"""),"3営業日前後")</f>
        <v>3営業日前後</v>
      </c>
      <c r="L340" s="640"/>
      <c r="M340" s="641"/>
      <c r="N340" s="539">
        <f>IFERROR(__xludf.DUMMYFUNCTION("""COMPUTED_VALUE"""),550.0)</f>
        <v>550</v>
      </c>
      <c r="O340" s="593">
        <f>IFERROR(__xludf.DUMMYFUNCTION("""COMPUTED_VALUE"""),500.0)</f>
        <v>500</v>
      </c>
      <c r="P340" s="594">
        <f>IFERROR(__xludf.DUMMYFUNCTION("""COMPUTED_VALUE"""),150.0)</f>
        <v>150</v>
      </c>
      <c r="Q340" s="183"/>
      <c r="R340" s="544"/>
      <c r="S340" s="544"/>
      <c r="T340" s="544"/>
      <c r="U340" s="544"/>
      <c r="V340" s="544"/>
      <c r="W340" s="544"/>
      <c r="X340" s="544"/>
      <c r="Y340" s="544"/>
      <c r="Z340" s="544"/>
      <c r="AA340" s="544"/>
      <c r="AB340" s="544"/>
      <c r="AC340" s="544"/>
      <c r="AD340" s="544"/>
      <c r="AE340" s="183"/>
      <c r="AF340" s="183"/>
      <c r="AG340" s="183"/>
      <c r="AH340" s="183"/>
      <c r="AI340" s="183"/>
      <c r="AJ340" s="183"/>
      <c r="AK340" s="183"/>
      <c r="AL340" s="183"/>
      <c r="AM340" s="183"/>
    </row>
    <row r="341" hidden="1">
      <c r="A341" s="531" t="str">
        <f>IFERROR(__xludf.DUMMYFUNCTION("""COMPUTED_VALUE"""),"サイズ")</f>
        <v>サイズ</v>
      </c>
      <c r="B341" s="531" t="str">
        <f>IFERROR(__xludf.DUMMYFUNCTION("""COMPUTED_VALUE"""),"スラックス / カジュアルパンツ")</f>
        <v>スラックス / カジュアルパンツ</v>
      </c>
      <c r="C341" s="531" t="str">
        <f>IFERROR(__xludf.DUMMYFUNCTION("""COMPUTED_VALUE"""),"パンツウエスト")</f>
        <v>パンツウエスト</v>
      </c>
      <c r="D341" s="533"/>
      <c r="E341" s="533"/>
      <c r="F341" s="534" t="str">
        <f>IFERROR(__xludf.DUMMYFUNCTION("""COMPUTED_VALUE"""),"パンツウエスト")</f>
        <v>パンツウエスト</v>
      </c>
      <c r="G341" s="550" t="str">
        <f>IFERROR(__xludf.DUMMYFUNCTION("""COMPUTED_VALUE"""),"パンツウエスト")</f>
        <v>パンツウエスト</v>
      </c>
      <c r="H341" s="572" t="str">
        <f>IFERROR(__xludf.DUMMYFUNCTION("""COMPUTED_VALUE"""),"1")</f>
        <v>1</v>
      </c>
      <c r="I341" s="537"/>
      <c r="J341" s="538">
        <f>IFERROR(__xludf.DUMMYFUNCTION("""COMPUTED_VALUE"""),5.0)</f>
        <v>5</v>
      </c>
      <c r="K341" s="537">
        <f>IFERROR(__xludf.DUMMYFUNCTION("""COMPUTED_VALUE"""),45996.0)</f>
        <v>45996</v>
      </c>
      <c r="L341" s="640">
        <f>IFERROR(__xludf.DUMMYFUNCTION("""COMPUTED_VALUE"""),46002.0)</f>
        <v>46002</v>
      </c>
      <c r="M341" s="641">
        <f>IFERROR(__xludf.DUMMYFUNCTION("""COMPUTED_VALUE"""),46002.0)</f>
        <v>46002</v>
      </c>
      <c r="N341" s="539">
        <f>IFERROR(__xludf.DUMMYFUNCTION("""COMPUTED_VALUE"""),4950.0)</f>
        <v>4950</v>
      </c>
      <c r="O341" s="593">
        <f>IFERROR(__xludf.DUMMYFUNCTION("""COMPUTED_VALUE"""),4500.0)</f>
        <v>4500</v>
      </c>
      <c r="P341" s="594">
        <f>IFERROR(__xludf.DUMMYFUNCTION("""COMPUTED_VALUE"""),3000.0)</f>
        <v>3000</v>
      </c>
      <c r="Q341" s="183"/>
      <c r="R341" s="544"/>
      <c r="S341" s="544"/>
      <c r="T341" s="544"/>
      <c r="U341" s="544"/>
      <c r="V341" s="544"/>
      <c r="W341" s="544"/>
      <c r="X341" s="544"/>
      <c r="Y341" s="544"/>
      <c r="Z341" s="544"/>
      <c r="AA341" s="544"/>
      <c r="AB341" s="544"/>
      <c r="AC341" s="544"/>
      <c r="AD341" s="544"/>
      <c r="AE341" s="183"/>
      <c r="AF341" s="183"/>
      <c r="AG341" s="183"/>
      <c r="AH341" s="183"/>
      <c r="AI341" s="183"/>
      <c r="AJ341" s="183"/>
      <c r="AK341" s="183"/>
      <c r="AL341" s="183"/>
      <c r="AM341" s="183"/>
    </row>
    <row r="342" hidden="1">
      <c r="A342" s="531" t="str">
        <f>IFERROR(__xludf.DUMMYFUNCTION("""COMPUTED_VALUE"""),"サイズ")</f>
        <v>サイズ</v>
      </c>
      <c r="B342" s="531" t="str">
        <f>IFERROR(__xludf.DUMMYFUNCTION("""COMPUTED_VALUE"""),"スラックス / カジュアルパンツ")</f>
        <v>スラックス / カジュアルパンツ</v>
      </c>
      <c r="C342" s="531" t="str">
        <f>IFERROR(__xludf.DUMMYFUNCTION("""COMPUTED_VALUE"""),"パンツウエスト")</f>
        <v>パンツウエスト</v>
      </c>
      <c r="D342" s="533"/>
      <c r="E342" s="533"/>
      <c r="F342" s="534" t="str">
        <f>IFERROR(__xludf.DUMMYFUNCTION("""COMPUTED_VALUE"""),"パンツウエスト")</f>
        <v>パンツウエスト</v>
      </c>
      <c r="G342" s="550" t="str">
        <f>IFERROR(__xludf.DUMMYFUNCTION("""COMPUTED_VALUE"""),"パンツウエスト")</f>
        <v>パンツウエスト</v>
      </c>
      <c r="H342" s="572" t="str">
        <f>IFERROR(__xludf.DUMMYFUNCTION("""COMPUTED_VALUE"""),"2")</f>
        <v>2</v>
      </c>
      <c r="I342" s="537"/>
      <c r="J342" s="538">
        <f>IFERROR(__xludf.DUMMYFUNCTION("""COMPUTED_VALUE"""),5.0)</f>
        <v>5</v>
      </c>
      <c r="K342" s="537">
        <f>IFERROR(__xludf.DUMMYFUNCTION("""COMPUTED_VALUE"""),45996.0)</f>
        <v>45996</v>
      </c>
      <c r="L342" s="640">
        <f>IFERROR(__xludf.DUMMYFUNCTION("""COMPUTED_VALUE"""),46002.0)</f>
        <v>46002</v>
      </c>
      <c r="M342" s="641">
        <f>IFERROR(__xludf.DUMMYFUNCTION("""COMPUTED_VALUE"""),46002.0)</f>
        <v>46002</v>
      </c>
      <c r="N342" s="539">
        <f>IFERROR(__xludf.DUMMYFUNCTION("""COMPUTED_VALUE"""),4950.0)</f>
        <v>4950</v>
      </c>
      <c r="O342" s="593">
        <f>IFERROR(__xludf.DUMMYFUNCTION("""COMPUTED_VALUE"""),4500.0)</f>
        <v>4500</v>
      </c>
      <c r="P342" s="594">
        <f>IFERROR(__xludf.DUMMYFUNCTION("""COMPUTED_VALUE"""),3000.0)</f>
        <v>3000</v>
      </c>
      <c r="Q342" s="183"/>
      <c r="R342" s="544"/>
      <c r="S342" s="544"/>
      <c r="T342" s="544"/>
      <c r="U342" s="544"/>
      <c r="V342" s="544"/>
      <c r="W342" s="544"/>
      <c r="X342" s="544"/>
      <c r="Y342" s="544"/>
      <c r="Z342" s="544"/>
      <c r="AA342" s="544"/>
      <c r="AB342" s="544"/>
      <c r="AC342" s="544"/>
      <c r="AD342" s="544"/>
      <c r="AE342" s="183"/>
      <c r="AF342" s="183"/>
      <c r="AG342" s="183"/>
      <c r="AH342" s="183"/>
      <c r="AI342" s="183"/>
      <c r="AJ342" s="183"/>
      <c r="AK342" s="183"/>
      <c r="AL342" s="183"/>
      <c r="AM342" s="183"/>
    </row>
    <row r="343">
      <c r="A343" s="531" t="str">
        <f>IFERROR(__xludf.DUMMYFUNCTION("""COMPUTED_VALUE"""),"サイズ")</f>
        <v>サイズ</v>
      </c>
      <c r="B343" s="531" t="str">
        <f>IFERROR(__xludf.DUMMYFUNCTION("""COMPUTED_VALUE"""),"スラックス / カジュアルパンツ")</f>
        <v>スラックス / カジュアルパンツ</v>
      </c>
      <c r="C343" s="531" t="str">
        <f>IFERROR(__xludf.DUMMYFUNCTION("""COMPUTED_VALUE"""),"パンツウエスト")</f>
        <v>パンツウエスト</v>
      </c>
      <c r="D343" s="533"/>
      <c r="E343" s="533"/>
      <c r="F343" s="534" t="str">
        <f>IFERROR(__xludf.DUMMYFUNCTION("""COMPUTED_VALUE"""),"パンツウエスト")</f>
        <v>パンツウエスト</v>
      </c>
      <c r="G343" s="550" t="str">
        <f>IFERROR(__xludf.DUMMYFUNCTION("""COMPUTED_VALUE"""),"パンツウエスト")</f>
        <v>パンツウエスト</v>
      </c>
      <c r="H343" s="572" t="str">
        <f>IFERROR(__xludf.DUMMYFUNCTION("""COMPUTED_VALUE"""),"3")</f>
        <v>3</v>
      </c>
      <c r="I343" s="537"/>
      <c r="J343" s="538">
        <f>IFERROR(__xludf.DUMMYFUNCTION("""COMPUTED_VALUE"""),5.0)</f>
        <v>5</v>
      </c>
      <c r="K343" s="537">
        <f>IFERROR(__xludf.DUMMYFUNCTION("""COMPUTED_VALUE"""),45996.0)</f>
        <v>45996</v>
      </c>
      <c r="L343" s="640">
        <f>IFERROR(__xludf.DUMMYFUNCTION("""COMPUTED_VALUE"""),46002.0)</f>
        <v>46002</v>
      </c>
      <c r="M343" s="641">
        <f>IFERROR(__xludf.DUMMYFUNCTION("""COMPUTED_VALUE"""),46002.0)</f>
        <v>46002</v>
      </c>
      <c r="N343" s="539">
        <f>IFERROR(__xludf.DUMMYFUNCTION("""COMPUTED_VALUE"""),4950.0)</f>
        <v>4950</v>
      </c>
      <c r="O343" s="593">
        <f>IFERROR(__xludf.DUMMYFUNCTION("""COMPUTED_VALUE"""),4500.0)</f>
        <v>4500</v>
      </c>
      <c r="P343" s="594">
        <f>IFERROR(__xludf.DUMMYFUNCTION("""COMPUTED_VALUE"""),3000.0)</f>
        <v>3000</v>
      </c>
      <c r="Q343" s="183"/>
      <c r="R343" s="544"/>
      <c r="S343" s="544"/>
      <c r="T343" s="544"/>
      <c r="U343" s="544"/>
      <c r="V343" s="544"/>
      <c r="W343" s="544"/>
      <c r="X343" s="544"/>
      <c r="Y343" s="544"/>
      <c r="Z343" s="544"/>
      <c r="AA343" s="544"/>
      <c r="AB343" s="544"/>
      <c r="AC343" s="544"/>
      <c r="AD343" s="544"/>
      <c r="AE343" s="183"/>
      <c r="AF343" s="183"/>
      <c r="AG343" s="183"/>
      <c r="AH343" s="183"/>
      <c r="AI343" s="183"/>
      <c r="AJ343" s="183"/>
      <c r="AK343" s="183"/>
      <c r="AL343" s="183"/>
      <c r="AM343" s="183"/>
    </row>
    <row r="344">
      <c r="A344" s="531" t="str">
        <f>IFERROR(__xludf.DUMMYFUNCTION("""COMPUTED_VALUE"""),"サイズ")</f>
        <v>サイズ</v>
      </c>
      <c r="B344" s="531" t="str">
        <f>IFERROR(__xludf.DUMMYFUNCTION("""COMPUTED_VALUE"""),"スラックス / カジュアルパンツ")</f>
        <v>スラックス / カジュアルパンツ</v>
      </c>
      <c r="C344" s="531" t="str">
        <f>IFERROR(__xludf.DUMMYFUNCTION("""COMPUTED_VALUE"""),"パンツウエスト")</f>
        <v>パンツウエスト</v>
      </c>
      <c r="D344" s="533"/>
      <c r="E344" s="533"/>
      <c r="F344" s="534" t="str">
        <f>IFERROR(__xludf.DUMMYFUNCTION("""COMPUTED_VALUE"""),"パンツウエスト")</f>
        <v>パンツウエスト</v>
      </c>
      <c r="G344" s="550" t="str">
        <f>IFERROR(__xludf.DUMMYFUNCTION("""COMPUTED_VALUE"""),"パンツウエスト")</f>
        <v>パンツウエスト</v>
      </c>
      <c r="H344" s="572" t="str">
        <f>IFERROR(__xludf.DUMMYFUNCTION("""COMPUTED_VALUE"""),"4")</f>
        <v>4</v>
      </c>
      <c r="I344" s="537"/>
      <c r="J344" s="538">
        <f>IFERROR(__xludf.DUMMYFUNCTION("""COMPUTED_VALUE"""),5.0)</f>
        <v>5</v>
      </c>
      <c r="K344" s="537">
        <f>IFERROR(__xludf.DUMMYFUNCTION("""COMPUTED_VALUE"""),45996.0)</f>
        <v>45996</v>
      </c>
      <c r="L344" s="640">
        <f>IFERROR(__xludf.DUMMYFUNCTION("""COMPUTED_VALUE"""),46002.0)</f>
        <v>46002</v>
      </c>
      <c r="M344" s="641">
        <f>IFERROR(__xludf.DUMMYFUNCTION("""COMPUTED_VALUE"""),46002.0)</f>
        <v>46002</v>
      </c>
      <c r="N344" s="539">
        <f>IFERROR(__xludf.DUMMYFUNCTION("""COMPUTED_VALUE"""),4950.0)</f>
        <v>4950</v>
      </c>
      <c r="O344" s="593">
        <f>IFERROR(__xludf.DUMMYFUNCTION("""COMPUTED_VALUE"""),4500.0)</f>
        <v>4500</v>
      </c>
      <c r="P344" s="594">
        <f>IFERROR(__xludf.DUMMYFUNCTION("""COMPUTED_VALUE"""),3000.0)</f>
        <v>3000</v>
      </c>
      <c r="Q344" s="183"/>
      <c r="R344" s="544"/>
      <c r="S344" s="544"/>
      <c r="T344" s="544"/>
      <c r="U344" s="544"/>
      <c r="V344" s="544"/>
      <c r="W344" s="544"/>
      <c r="X344" s="544"/>
      <c r="Y344" s="544"/>
      <c r="Z344" s="544"/>
      <c r="AA344" s="544"/>
      <c r="AB344" s="544"/>
      <c r="AC344" s="544"/>
      <c r="AD344" s="544"/>
      <c r="AE344" s="183"/>
      <c r="AF344" s="183"/>
      <c r="AG344" s="183"/>
      <c r="AH344" s="183"/>
      <c r="AI344" s="183"/>
      <c r="AJ344" s="183"/>
      <c r="AK344" s="183"/>
      <c r="AL344" s="183"/>
      <c r="AM344" s="183"/>
    </row>
    <row r="345">
      <c r="A345" s="531" t="str">
        <f>IFERROR(__xludf.DUMMYFUNCTION("""COMPUTED_VALUE"""),"サイズ")</f>
        <v>サイズ</v>
      </c>
      <c r="B345" s="531" t="str">
        <f>IFERROR(__xludf.DUMMYFUNCTION("""COMPUTED_VALUE"""),"スラックス / カジュアルパンツ")</f>
        <v>スラックス / カジュアルパンツ</v>
      </c>
      <c r="C345" s="531" t="str">
        <f>IFERROR(__xludf.DUMMYFUNCTION("""COMPUTED_VALUE"""),"パンツウエスト")</f>
        <v>パンツウエスト</v>
      </c>
      <c r="D345" s="533"/>
      <c r="E345" s="533"/>
      <c r="F345" s="534" t="str">
        <f>IFERROR(__xludf.DUMMYFUNCTION("""COMPUTED_VALUE"""),"パンツウエスト")</f>
        <v>パンツウエスト</v>
      </c>
      <c r="G345" s="550" t="str">
        <f>IFERROR(__xludf.DUMMYFUNCTION("""COMPUTED_VALUE"""),"パンツウエスト")</f>
        <v>パンツウエスト</v>
      </c>
      <c r="H345" s="572" t="str">
        <f>IFERROR(__xludf.DUMMYFUNCTION("""COMPUTED_VALUE"""),"-4")</f>
        <v>-4</v>
      </c>
      <c r="I345" s="537"/>
      <c r="J345" s="538">
        <f>IFERROR(__xludf.DUMMYFUNCTION("""COMPUTED_VALUE"""),5.0)</f>
        <v>5</v>
      </c>
      <c r="K345" s="537">
        <f>IFERROR(__xludf.DUMMYFUNCTION("""COMPUTED_VALUE"""),45996.0)</f>
        <v>45996</v>
      </c>
      <c r="L345" s="640">
        <f>IFERROR(__xludf.DUMMYFUNCTION("""COMPUTED_VALUE"""),46002.0)</f>
        <v>46002</v>
      </c>
      <c r="M345" s="641">
        <f>IFERROR(__xludf.DUMMYFUNCTION("""COMPUTED_VALUE"""),46002.0)</f>
        <v>46002</v>
      </c>
      <c r="N345" s="539">
        <f>IFERROR(__xludf.DUMMYFUNCTION("""COMPUTED_VALUE"""),2530.0)</f>
        <v>2530</v>
      </c>
      <c r="O345" s="593">
        <f>IFERROR(__xludf.DUMMYFUNCTION("""COMPUTED_VALUE"""),2300.0)</f>
        <v>2300</v>
      </c>
      <c r="P345" s="594">
        <f>IFERROR(__xludf.DUMMYFUNCTION("""COMPUTED_VALUE"""),1500.0)</f>
        <v>1500</v>
      </c>
      <c r="Q345" s="183"/>
      <c r="R345" s="544"/>
      <c r="S345" s="544"/>
      <c r="T345" s="544"/>
      <c r="U345" s="544"/>
      <c r="V345" s="544"/>
      <c r="W345" s="544"/>
      <c r="X345" s="544"/>
      <c r="Y345" s="544"/>
      <c r="Z345" s="544"/>
      <c r="AA345" s="544"/>
      <c r="AB345" s="544"/>
      <c r="AC345" s="544"/>
      <c r="AD345" s="544"/>
      <c r="AE345" s="183"/>
      <c r="AF345" s="183"/>
      <c r="AG345" s="183"/>
      <c r="AH345" s="183"/>
      <c r="AI345" s="183"/>
      <c r="AJ345" s="183"/>
      <c r="AK345" s="183"/>
      <c r="AL345" s="183"/>
      <c r="AM345" s="183"/>
    </row>
    <row r="346" hidden="1">
      <c r="A346" s="531" t="str">
        <f>IFERROR(__xludf.DUMMYFUNCTION("""COMPUTED_VALUE"""),"サイズ")</f>
        <v>サイズ</v>
      </c>
      <c r="B346" s="531" t="str">
        <f>IFERROR(__xludf.DUMMYFUNCTION("""COMPUTED_VALUE"""),"スラックス / カジュアルパンツ")</f>
        <v>スラックス / カジュアルパンツ</v>
      </c>
      <c r="C346" s="531" t="str">
        <f>IFERROR(__xludf.DUMMYFUNCTION("""COMPUTED_VALUE"""),"パンツウエスト")</f>
        <v>パンツウエスト</v>
      </c>
      <c r="D346" s="533"/>
      <c r="E346" s="533"/>
      <c r="F346" s="534" t="str">
        <f>IFERROR(__xludf.DUMMYFUNCTION("""COMPUTED_VALUE"""),"パンツウエスト")</f>
        <v>パンツウエスト</v>
      </c>
      <c r="G346" s="550" t="str">
        <f>IFERROR(__xludf.DUMMYFUNCTION("""COMPUTED_VALUE"""),"パンツウエスト")</f>
        <v>パンツウエスト</v>
      </c>
      <c r="H346" s="572" t="str">
        <f>IFERROR(__xludf.DUMMYFUNCTION("""COMPUTED_VALUE"""),"-3")</f>
        <v>-3</v>
      </c>
      <c r="I346" s="537"/>
      <c r="J346" s="538">
        <f>IFERROR(__xludf.DUMMYFUNCTION("""COMPUTED_VALUE"""),5.0)</f>
        <v>5</v>
      </c>
      <c r="K346" s="537">
        <f>IFERROR(__xludf.DUMMYFUNCTION("""COMPUTED_VALUE"""),45996.0)</f>
        <v>45996</v>
      </c>
      <c r="L346" s="640">
        <f>IFERROR(__xludf.DUMMYFUNCTION("""COMPUTED_VALUE"""),46002.0)</f>
        <v>46002</v>
      </c>
      <c r="M346" s="641">
        <f>IFERROR(__xludf.DUMMYFUNCTION("""COMPUTED_VALUE"""),46002.0)</f>
        <v>46002</v>
      </c>
      <c r="N346" s="539">
        <f>IFERROR(__xludf.DUMMYFUNCTION("""COMPUTED_VALUE"""),2530.0)</f>
        <v>2530</v>
      </c>
      <c r="O346" s="593">
        <f>IFERROR(__xludf.DUMMYFUNCTION("""COMPUTED_VALUE"""),2300.0)</f>
        <v>2300</v>
      </c>
      <c r="P346" s="594">
        <f>IFERROR(__xludf.DUMMYFUNCTION("""COMPUTED_VALUE"""),1500.0)</f>
        <v>1500</v>
      </c>
      <c r="Q346" s="183"/>
      <c r="R346" s="544"/>
      <c r="S346" s="544"/>
      <c r="T346" s="544"/>
      <c r="U346" s="544"/>
      <c r="V346" s="544"/>
      <c r="W346" s="544"/>
      <c r="X346" s="544"/>
      <c r="Y346" s="544"/>
      <c r="Z346" s="544"/>
      <c r="AA346" s="544"/>
      <c r="AB346" s="544"/>
      <c r="AC346" s="544"/>
      <c r="AD346" s="544"/>
      <c r="AE346" s="183"/>
      <c r="AF346" s="183"/>
      <c r="AG346" s="183"/>
      <c r="AH346" s="183"/>
      <c r="AI346" s="183"/>
      <c r="AJ346" s="183"/>
      <c r="AK346" s="183"/>
      <c r="AL346" s="183"/>
      <c r="AM346" s="183"/>
    </row>
    <row r="347" hidden="1">
      <c r="A347" s="531" t="str">
        <f>IFERROR(__xludf.DUMMYFUNCTION("""COMPUTED_VALUE"""),"サイズ")</f>
        <v>サイズ</v>
      </c>
      <c r="B347" s="531" t="str">
        <f>IFERROR(__xludf.DUMMYFUNCTION("""COMPUTED_VALUE"""),"スラックス / カジュアルパンツ")</f>
        <v>スラックス / カジュアルパンツ</v>
      </c>
      <c r="C347" s="531" t="str">
        <f>IFERROR(__xludf.DUMMYFUNCTION("""COMPUTED_VALUE"""),"パンツウエスト")</f>
        <v>パンツウエスト</v>
      </c>
      <c r="D347" s="533"/>
      <c r="E347" s="533"/>
      <c r="F347" s="534" t="str">
        <f>IFERROR(__xludf.DUMMYFUNCTION("""COMPUTED_VALUE"""),"パンツウエスト")</f>
        <v>パンツウエスト</v>
      </c>
      <c r="G347" s="550" t="str">
        <f>IFERROR(__xludf.DUMMYFUNCTION("""COMPUTED_VALUE"""),"パンツウエスト")</f>
        <v>パンツウエスト</v>
      </c>
      <c r="H347" s="572" t="str">
        <f>IFERROR(__xludf.DUMMYFUNCTION("""COMPUTED_VALUE"""),"-2")</f>
        <v>-2</v>
      </c>
      <c r="I347" s="537"/>
      <c r="J347" s="538">
        <f>IFERROR(__xludf.DUMMYFUNCTION("""COMPUTED_VALUE"""),5.0)</f>
        <v>5</v>
      </c>
      <c r="K347" s="537">
        <f>IFERROR(__xludf.DUMMYFUNCTION("""COMPUTED_VALUE"""),45996.0)</f>
        <v>45996</v>
      </c>
      <c r="L347" s="640">
        <f>IFERROR(__xludf.DUMMYFUNCTION("""COMPUTED_VALUE"""),46002.0)</f>
        <v>46002</v>
      </c>
      <c r="M347" s="641">
        <f>IFERROR(__xludf.DUMMYFUNCTION("""COMPUTED_VALUE"""),46002.0)</f>
        <v>46002</v>
      </c>
      <c r="N347" s="539">
        <f>IFERROR(__xludf.DUMMYFUNCTION("""COMPUTED_VALUE"""),2530.0)</f>
        <v>2530</v>
      </c>
      <c r="O347" s="593">
        <f>IFERROR(__xludf.DUMMYFUNCTION("""COMPUTED_VALUE"""),2300.0)</f>
        <v>2300</v>
      </c>
      <c r="P347" s="594">
        <f>IFERROR(__xludf.DUMMYFUNCTION("""COMPUTED_VALUE"""),1500.0)</f>
        <v>1500</v>
      </c>
      <c r="Q347" s="183"/>
      <c r="R347" s="544"/>
      <c r="S347" s="544"/>
      <c r="T347" s="544"/>
      <c r="U347" s="544"/>
      <c r="V347" s="544"/>
      <c r="W347" s="544"/>
      <c r="X347" s="544"/>
      <c r="Y347" s="544"/>
      <c r="Z347" s="544"/>
      <c r="AA347" s="544"/>
      <c r="AB347" s="544"/>
      <c r="AC347" s="544"/>
      <c r="AD347" s="544"/>
      <c r="AE347" s="183"/>
      <c r="AF347" s="183"/>
      <c r="AG347" s="183"/>
      <c r="AH347" s="183"/>
      <c r="AI347" s="183"/>
      <c r="AJ347" s="183"/>
      <c r="AK347" s="183"/>
      <c r="AL347" s="183"/>
      <c r="AM347" s="183"/>
    </row>
    <row r="348" hidden="1">
      <c r="A348" s="531" t="str">
        <f>IFERROR(__xludf.DUMMYFUNCTION("""COMPUTED_VALUE"""),"サイズ")</f>
        <v>サイズ</v>
      </c>
      <c r="B348" s="531" t="str">
        <f>IFERROR(__xludf.DUMMYFUNCTION("""COMPUTED_VALUE"""),"スラックス / カジュアルパンツ")</f>
        <v>スラックス / カジュアルパンツ</v>
      </c>
      <c r="C348" s="531" t="str">
        <f>IFERROR(__xludf.DUMMYFUNCTION("""COMPUTED_VALUE"""),"パンツウエスト")</f>
        <v>パンツウエスト</v>
      </c>
      <c r="D348" s="533"/>
      <c r="E348" s="533"/>
      <c r="F348" s="534" t="str">
        <f>IFERROR(__xludf.DUMMYFUNCTION("""COMPUTED_VALUE"""),"パンツウエスト")</f>
        <v>パンツウエスト</v>
      </c>
      <c r="G348" s="550" t="str">
        <f>IFERROR(__xludf.DUMMYFUNCTION("""COMPUTED_VALUE"""),"パンツウエスト")</f>
        <v>パンツウエスト</v>
      </c>
      <c r="H348" s="572" t="str">
        <f>IFERROR(__xludf.DUMMYFUNCTION("""COMPUTED_VALUE"""),"-1")</f>
        <v>-1</v>
      </c>
      <c r="I348" s="537"/>
      <c r="J348" s="538">
        <f>IFERROR(__xludf.DUMMYFUNCTION("""COMPUTED_VALUE"""),5.0)</f>
        <v>5</v>
      </c>
      <c r="K348" s="537">
        <f>IFERROR(__xludf.DUMMYFUNCTION("""COMPUTED_VALUE"""),45996.0)</f>
        <v>45996</v>
      </c>
      <c r="L348" s="640">
        <f>IFERROR(__xludf.DUMMYFUNCTION("""COMPUTED_VALUE"""),46002.0)</f>
        <v>46002</v>
      </c>
      <c r="M348" s="641">
        <f>IFERROR(__xludf.DUMMYFUNCTION("""COMPUTED_VALUE"""),46002.0)</f>
        <v>46002</v>
      </c>
      <c r="N348" s="539">
        <f>IFERROR(__xludf.DUMMYFUNCTION("""COMPUTED_VALUE"""),2530.0)</f>
        <v>2530</v>
      </c>
      <c r="O348" s="593">
        <f>IFERROR(__xludf.DUMMYFUNCTION("""COMPUTED_VALUE"""),2300.0)</f>
        <v>2300</v>
      </c>
      <c r="P348" s="594">
        <f>IFERROR(__xludf.DUMMYFUNCTION("""COMPUTED_VALUE"""),1500.0)</f>
        <v>1500</v>
      </c>
      <c r="Q348" s="183"/>
      <c r="R348" s="544"/>
      <c r="S348" s="544"/>
      <c r="T348" s="544"/>
      <c r="U348" s="544"/>
      <c r="V348" s="544"/>
      <c r="W348" s="544"/>
      <c r="X348" s="544"/>
      <c r="Y348" s="544"/>
      <c r="Z348" s="544"/>
      <c r="AA348" s="544"/>
      <c r="AB348" s="544"/>
      <c r="AC348" s="544"/>
      <c r="AD348" s="544"/>
      <c r="AE348" s="183"/>
      <c r="AF348" s="183"/>
      <c r="AG348" s="183"/>
      <c r="AH348" s="183"/>
      <c r="AI348" s="183"/>
      <c r="AJ348" s="183"/>
      <c r="AK348" s="183"/>
      <c r="AL348" s="183"/>
      <c r="AM348" s="183"/>
    </row>
    <row r="349" hidden="1">
      <c r="A349" s="531" t="str">
        <f>IFERROR(__xludf.DUMMYFUNCTION("""COMPUTED_VALUE"""),"縫製")</f>
        <v>縫製</v>
      </c>
      <c r="B349" s="531" t="str">
        <f>IFERROR(__xludf.DUMMYFUNCTION("""COMPUTED_VALUE"""),"スラックス / カジュアルパンツ")</f>
        <v>スラックス / カジュアルパンツ</v>
      </c>
      <c r="C349" s="531" t="str">
        <f>IFERROR(__xludf.DUMMYFUNCTION("""COMPUTED_VALUE"""),"ボタン購入のみ")</f>
        <v>ボタン購入のみ</v>
      </c>
      <c r="D349" s="533"/>
      <c r="E349" s="533" t="str">
        <f>IFERROR(__xludf.DUMMYFUNCTION("""COMPUTED_VALUE"""),"配送料不要")</f>
        <v>配送料不要</v>
      </c>
      <c r="F349" s="534" t="str">
        <f>IFERROR(__xludf.DUMMYFUNCTION("""COMPUTED_VALUE"""),"ボタン購入のみ")</f>
        <v>ボタン購入のみ</v>
      </c>
      <c r="G349" s="550" t="str">
        <f>IFERROR(__xludf.DUMMYFUNCTION("""COMPUTED_VALUE"""),"ボタン購入のみ（配送料不要）")</f>
        <v>ボタン購入のみ（配送料不要）</v>
      </c>
      <c r="H349" s="536"/>
      <c r="I349" s="537" t="str">
        <f>IFERROR(__xludf.DUMMYFUNCTION("""COMPUTED_VALUE"""),"店舗/CS")</f>
        <v>店舗/CS</v>
      </c>
      <c r="J349" s="538"/>
      <c r="K349" s="538" t="str">
        <f>IFERROR(__xludf.DUMMYFUNCTION("""COMPUTED_VALUE"""),"7営業日前後")</f>
        <v>7営業日前後</v>
      </c>
      <c r="L349" s="640"/>
      <c r="M349" s="641"/>
      <c r="N349" s="539">
        <f>IFERROR(__xludf.DUMMYFUNCTION("""COMPUTED_VALUE"""),1000.0)</f>
        <v>1000</v>
      </c>
      <c r="O349" s="593">
        <f>IFERROR(__xludf.DUMMYFUNCTION("""COMPUTED_VALUE"""),909.0)</f>
        <v>909</v>
      </c>
      <c r="P349" s="594" t="str">
        <f>IFERROR(__xludf.DUMMYFUNCTION("""COMPUTED_VALUE"""),"未定")</f>
        <v>未定</v>
      </c>
      <c r="Q349" s="183"/>
      <c r="R349" s="544"/>
      <c r="S349" s="544"/>
      <c r="T349" s="544"/>
      <c r="U349" s="544"/>
      <c r="V349" s="544"/>
      <c r="W349" s="544"/>
      <c r="X349" s="544"/>
      <c r="Y349" s="544"/>
      <c r="Z349" s="544"/>
      <c r="AA349" s="544"/>
      <c r="AB349" s="544"/>
      <c r="AC349" s="544"/>
      <c r="AD349" s="544"/>
      <c r="AE349" s="183"/>
      <c r="AF349" s="183"/>
      <c r="AG349" s="183"/>
      <c r="AH349" s="183"/>
      <c r="AI349" s="183"/>
      <c r="AJ349" s="183"/>
      <c r="AK349" s="183"/>
      <c r="AL349" s="183"/>
      <c r="AM349" s="183"/>
    </row>
    <row r="350" hidden="1">
      <c r="A350" s="531" t="str">
        <f>IFERROR(__xludf.DUMMYFUNCTION("""COMPUTED_VALUE"""),"縫製")</f>
        <v>縫製</v>
      </c>
      <c r="B350" s="531" t="str">
        <f>IFERROR(__xludf.DUMMYFUNCTION("""COMPUTED_VALUE"""),"スラックス / カジュアルパンツ")</f>
        <v>スラックス / カジュアルパンツ</v>
      </c>
      <c r="C350" s="531" t="str">
        <f>IFERROR(__xludf.DUMMYFUNCTION("""COMPUTED_VALUE"""),"ボタンお直し (購入＋つけ直し)")</f>
        <v>ボタンお直し (購入＋つけ直し)</v>
      </c>
      <c r="D350" s="550"/>
      <c r="E350" s="533"/>
      <c r="F350" s="534" t="str">
        <f>IFERROR(__xludf.DUMMYFUNCTION("""COMPUTED_VALUE"""),"ボタンお直し (購入＋つけ直し)")</f>
        <v>ボタンお直し (購入＋つけ直し)</v>
      </c>
      <c r="G350" s="550" t="str">
        <f>IFERROR(__xludf.DUMMYFUNCTION("""COMPUTED_VALUE"""),"ボタンお直し (購入＋つけ直し)")</f>
        <v>ボタンお直し (購入＋つけ直し)</v>
      </c>
      <c r="H350" s="536"/>
      <c r="I350" s="537" t="str">
        <f>IFERROR(__xludf.DUMMYFUNCTION("""COMPUTED_VALUE"""),"店舗/CS")</f>
        <v>店舗/CS</v>
      </c>
      <c r="J350" s="538"/>
      <c r="K350" s="538" t="str">
        <f>IFERROR(__xludf.DUMMYFUNCTION("""COMPUTED_VALUE"""),"約2週間")</f>
        <v>約2週間</v>
      </c>
      <c r="L350" s="640"/>
      <c r="M350" s="641"/>
      <c r="N350" s="539">
        <f>IFERROR(__xludf.DUMMYFUNCTION("""COMPUTED_VALUE"""),1650.0)</f>
        <v>1650</v>
      </c>
      <c r="O350" s="593">
        <f>IFERROR(__xludf.DUMMYFUNCTION("""COMPUTED_VALUE"""),1500.0)</f>
        <v>1500</v>
      </c>
      <c r="P350" s="594">
        <f>IFERROR(__xludf.DUMMYFUNCTION("""COMPUTED_VALUE"""),800.0)</f>
        <v>800</v>
      </c>
      <c r="Q350" s="183"/>
      <c r="R350" s="544"/>
      <c r="S350" s="544"/>
      <c r="T350" s="544"/>
      <c r="U350" s="544"/>
      <c r="V350" s="544"/>
      <c r="W350" s="544"/>
      <c r="X350" s="544"/>
      <c r="Y350" s="544"/>
      <c r="Z350" s="544"/>
      <c r="AA350" s="544"/>
      <c r="AB350" s="544"/>
      <c r="AC350" s="544"/>
      <c r="AD350" s="544"/>
      <c r="AE350" s="183"/>
      <c r="AF350" s="183"/>
      <c r="AG350" s="183"/>
      <c r="AH350" s="183"/>
      <c r="AI350" s="183"/>
      <c r="AJ350" s="183"/>
      <c r="AK350" s="183"/>
      <c r="AL350" s="183"/>
      <c r="AM350" s="183"/>
    </row>
    <row r="351" hidden="1">
      <c r="A351" s="531" t="str">
        <f>IFERROR(__xludf.DUMMYFUNCTION("""COMPUTED_VALUE"""),"縫製")</f>
        <v>縫製</v>
      </c>
      <c r="B351" s="531" t="str">
        <f>IFERROR(__xludf.DUMMYFUNCTION("""COMPUTED_VALUE"""),"スラックス / カジュアルパンツ")</f>
        <v>スラックス / カジュアルパンツ</v>
      </c>
      <c r="C351" s="531" t="str">
        <f>IFERROR(__xludf.DUMMYFUNCTION("""COMPUTED_VALUE"""),"緩くなったボタンの付け直し")</f>
        <v>緩くなったボタンの付け直し</v>
      </c>
      <c r="D351" s="550"/>
      <c r="E351" s="533"/>
      <c r="F351" s="534" t="str">
        <f>IFERROR(__xludf.DUMMYFUNCTION("""COMPUTED_VALUE"""),"緩くなったボタンの付け直し")</f>
        <v>緩くなったボタンの付け直し</v>
      </c>
      <c r="G351" s="550" t="str">
        <f>IFERROR(__xludf.DUMMYFUNCTION("""COMPUTED_VALUE"""),"緩くなったボタンの付け直し")</f>
        <v>緩くなったボタンの付け直し</v>
      </c>
      <c r="H351" s="536"/>
      <c r="I351" s="537" t="str">
        <f>IFERROR(__xludf.DUMMYFUNCTION("""COMPUTED_VALUE"""),"店舗/CS")</f>
        <v>店舗/CS</v>
      </c>
      <c r="J351" s="538"/>
      <c r="K351" s="538" t="str">
        <f>IFERROR(__xludf.DUMMYFUNCTION("""COMPUTED_VALUE"""),"約2週間")</f>
        <v>約2週間</v>
      </c>
      <c r="L351" s="640"/>
      <c r="M351" s="641"/>
      <c r="N351" s="539">
        <f>IFERROR(__xludf.DUMMYFUNCTION("""COMPUTED_VALUE"""),660.0)</f>
        <v>660</v>
      </c>
      <c r="O351" s="593">
        <f>IFERROR(__xludf.DUMMYFUNCTION("""COMPUTED_VALUE"""),600.0)</f>
        <v>600</v>
      </c>
      <c r="P351" s="594">
        <f>IFERROR(__xludf.DUMMYFUNCTION("""COMPUTED_VALUE"""),120.0)</f>
        <v>120</v>
      </c>
      <c r="Q351" s="183"/>
      <c r="R351" s="544"/>
      <c r="S351" s="544"/>
      <c r="T351" s="544"/>
      <c r="U351" s="544"/>
      <c r="V351" s="544"/>
      <c r="W351" s="544"/>
      <c r="X351" s="544"/>
      <c r="Y351" s="544"/>
      <c r="Z351" s="544"/>
      <c r="AA351" s="544"/>
      <c r="AB351" s="544"/>
      <c r="AC351" s="544"/>
      <c r="AD351" s="544"/>
      <c r="AE351" s="183"/>
      <c r="AF351" s="183"/>
      <c r="AG351" s="183"/>
      <c r="AH351" s="183"/>
      <c r="AI351" s="183"/>
      <c r="AJ351" s="183"/>
      <c r="AK351" s="183"/>
      <c r="AL351" s="183"/>
      <c r="AM351" s="183"/>
    </row>
    <row r="352" hidden="1">
      <c r="A352" s="531" t="str">
        <f>IFERROR(__xludf.DUMMYFUNCTION("""COMPUTED_VALUE"""),"縫製")</f>
        <v>縫製</v>
      </c>
      <c r="B352" s="531" t="str">
        <f>IFERROR(__xludf.DUMMYFUNCTION("""COMPUTED_VALUE"""),"スラックス / カジュアルパンツ")</f>
        <v>スラックス / カジュアルパンツ</v>
      </c>
      <c r="C352" s="531" t="str">
        <f>IFERROR(__xludf.DUMMYFUNCTION("""COMPUTED_VALUE"""),"ダブルすそスナップ付け直し")</f>
        <v>ダブルすそスナップ付け直し</v>
      </c>
      <c r="D352" s="550"/>
      <c r="E352" s="533"/>
      <c r="F352" s="534" t="str">
        <f>IFERROR(__xludf.DUMMYFUNCTION("""COMPUTED_VALUE"""),"ダブルすそスナップ付け直し")</f>
        <v>ダブルすそスナップ付け直し</v>
      </c>
      <c r="G352" s="550" t="str">
        <f>IFERROR(__xludf.DUMMYFUNCTION("""COMPUTED_VALUE"""),"ダブルすそスナップ付け直し")</f>
        <v>ダブルすそスナップ付け直し</v>
      </c>
      <c r="H352" s="536"/>
      <c r="I352" s="537" t="str">
        <f>IFERROR(__xludf.DUMMYFUNCTION("""COMPUTED_VALUE"""),"店舗/CS")</f>
        <v>店舗/CS</v>
      </c>
      <c r="J352" s="538"/>
      <c r="K352" s="538" t="str">
        <f>IFERROR(__xludf.DUMMYFUNCTION("""COMPUTED_VALUE"""),"3営業日前後")</f>
        <v>3営業日前後</v>
      </c>
      <c r="L352" s="640"/>
      <c r="M352" s="641"/>
      <c r="N352" s="539">
        <f>IFERROR(__xludf.DUMMYFUNCTION("""COMPUTED_VALUE"""),1650.0)</f>
        <v>1650</v>
      </c>
      <c r="O352" s="593">
        <f>IFERROR(__xludf.DUMMYFUNCTION("""COMPUTED_VALUE"""),1500.0)</f>
        <v>1500</v>
      </c>
      <c r="P352" s="594">
        <f>IFERROR(__xludf.DUMMYFUNCTION("""COMPUTED_VALUE"""),800.0)</f>
        <v>800</v>
      </c>
      <c r="Q352" s="183"/>
      <c r="R352" s="544"/>
      <c r="S352" s="544"/>
      <c r="T352" s="544"/>
      <c r="U352" s="544"/>
      <c r="V352" s="544"/>
      <c r="W352" s="544"/>
      <c r="X352" s="544"/>
      <c r="Y352" s="544"/>
      <c r="Z352" s="544"/>
      <c r="AA352" s="544"/>
      <c r="AB352" s="544"/>
      <c r="AC352" s="544"/>
      <c r="AD352" s="544"/>
      <c r="AE352" s="183"/>
      <c r="AF352" s="183"/>
      <c r="AG352" s="183"/>
      <c r="AH352" s="183"/>
      <c r="AI352" s="183"/>
      <c r="AJ352" s="183"/>
      <c r="AK352" s="183"/>
      <c r="AL352" s="183"/>
      <c r="AM352" s="183"/>
    </row>
    <row r="353" hidden="1">
      <c r="A353" s="531" t="str">
        <f>IFERROR(__xludf.DUMMYFUNCTION("""COMPUTED_VALUE"""),"縫製")</f>
        <v>縫製</v>
      </c>
      <c r="B353" s="531" t="str">
        <f>IFERROR(__xludf.DUMMYFUNCTION("""COMPUTED_VALUE"""),"スラックス / カジュアルパンツ")</f>
        <v>スラックス / カジュアルパンツ</v>
      </c>
      <c r="C353" s="531" t="str">
        <f>IFERROR(__xludf.DUMMYFUNCTION("""COMPUTED_VALUE"""),"すそほつれ直し (ルイス直し)")</f>
        <v>すそほつれ直し (ルイス直し)</v>
      </c>
      <c r="D353" s="550"/>
      <c r="E353" s="533" t="str">
        <f>IFERROR(__xludf.DUMMYFUNCTION("""COMPUTED_VALUE"""),"対応NG：生地破損がおきているもの")</f>
        <v>対応NG：生地破損がおきているもの</v>
      </c>
      <c r="F353" s="534" t="str">
        <f>IFERROR(__xludf.DUMMYFUNCTION("""COMPUTED_VALUE"""),"すそほつれ直し (ルイス直し)")</f>
        <v>すそほつれ直し (ルイス直し)</v>
      </c>
      <c r="G353" s="550" t="str">
        <f>IFERROR(__xludf.DUMMYFUNCTION("""COMPUTED_VALUE"""),"すそほつれ直し (ルイス直し)（対応NG：生地破損がおきているもの）")</f>
        <v>すそほつれ直し (ルイス直し)（対応NG：生地破損がおきているもの）</v>
      </c>
      <c r="H353" s="536"/>
      <c r="I353" s="537" t="str">
        <f>IFERROR(__xludf.DUMMYFUNCTION("""COMPUTED_VALUE"""),"店舗/CS")</f>
        <v>店舗/CS</v>
      </c>
      <c r="J353" s="538">
        <f>IFERROR(__xludf.DUMMYFUNCTION("""COMPUTED_VALUE"""),4.0)</f>
        <v>4</v>
      </c>
      <c r="K353" s="537">
        <f>IFERROR(__xludf.DUMMYFUNCTION("""COMPUTED_VALUE"""),45995.0)</f>
        <v>45995</v>
      </c>
      <c r="L353" s="640"/>
      <c r="M353" s="641"/>
      <c r="N353" s="539">
        <f>IFERROR(__xludf.DUMMYFUNCTION("""COMPUTED_VALUE"""),2530.0)</f>
        <v>2530</v>
      </c>
      <c r="O353" s="593">
        <f>IFERROR(__xludf.DUMMYFUNCTION("""COMPUTED_VALUE"""),2300.0)</f>
        <v>2300</v>
      </c>
      <c r="P353" s="594">
        <f>IFERROR(__xludf.DUMMYFUNCTION("""COMPUTED_VALUE"""),1500.0)</f>
        <v>1500</v>
      </c>
      <c r="Q353" s="183"/>
      <c r="R353" s="544"/>
      <c r="S353" s="544"/>
      <c r="T353" s="544"/>
      <c r="U353" s="544"/>
      <c r="V353" s="544"/>
      <c r="W353" s="544"/>
      <c r="X353" s="544"/>
      <c r="Y353" s="544"/>
      <c r="Z353" s="544"/>
      <c r="AA353" s="544"/>
      <c r="AB353" s="544"/>
      <c r="AC353" s="544"/>
      <c r="AD353" s="544"/>
      <c r="AE353" s="183"/>
      <c r="AF353" s="183"/>
      <c r="AG353" s="183"/>
      <c r="AH353" s="183"/>
      <c r="AI353" s="183"/>
      <c r="AJ353" s="183"/>
      <c r="AK353" s="183"/>
      <c r="AL353" s="183"/>
      <c r="AM353" s="183"/>
    </row>
    <row r="354" hidden="1">
      <c r="A354" s="531" t="str">
        <f>IFERROR(__xludf.DUMMYFUNCTION("""COMPUTED_VALUE"""),"縫製")</f>
        <v>縫製</v>
      </c>
      <c r="B354" s="531" t="str">
        <f>IFERROR(__xludf.DUMMYFUNCTION("""COMPUTED_VALUE"""),"スラックス / カジュアルパンツ")</f>
        <v>スラックス / カジュアルパンツ</v>
      </c>
      <c r="C354" s="531" t="str">
        <f>IFERROR(__xludf.DUMMYFUNCTION("""COMPUTED_VALUE"""),"地糸切れ (パンク) 縫いなおし")</f>
        <v>地糸切れ (パンク) 縫いなおし</v>
      </c>
      <c r="D354" s="550"/>
      <c r="E354" s="533"/>
      <c r="F354" s="534" t="str">
        <f>IFERROR(__xludf.DUMMYFUNCTION("""COMPUTED_VALUE"""),"地糸切れ (パンク) 縫いなおし")</f>
        <v>地糸切れ (パンク) 縫いなおし</v>
      </c>
      <c r="G354" s="550" t="str">
        <f>IFERROR(__xludf.DUMMYFUNCTION("""COMPUTED_VALUE"""),"地糸切れ (パンク) 縫いなおし")</f>
        <v>地糸切れ (パンク) 縫いなおし</v>
      </c>
      <c r="H354" s="536"/>
      <c r="I354" s="537" t="str">
        <f>IFERROR(__xludf.DUMMYFUNCTION("""COMPUTED_VALUE"""),"店舗/CS")</f>
        <v>店舗/CS</v>
      </c>
      <c r="J354" s="538"/>
      <c r="K354" s="538" t="str">
        <f>IFERROR(__xludf.DUMMYFUNCTION("""COMPUTED_VALUE"""),"3営業日前後")</f>
        <v>3営業日前後</v>
      </c>
      <c r="L354" s="640"/>
      <c r="M354" s="641"/>
      <c r="N354" s="539">
        <f>IFERROR(__xludf.DUMMYFUNCTION("""COMPUTED_VALUE"""),2530.0)</f>
        <v>2530</v>
      </c>
      <c r="O354" s="593">
        <f>IFERROR(__xludf.DUMMYFUNCTION("""COMPUTED_VALUE"""),2300.0)</f>
        <v>2300</v>
      </c>
      <c r="P354" s="594">
        <f>IFERROR(__xludf.DUMMYFUNCTION("""COMPUTED_VALUE"""),1500.0)</f>
        <v>1500</v>
      </c>
      <c r="Q354" s="183"/>
      <c r="R354" s="544"/>
      <c r="S354" s="544"/>
      <c r="T354" s="544"/>
      <c r="U354" s="544"/>
      <c r="V354" s="544"/>
      <c r="W354" s="544"/>
      <c r="X354" s="544"/>
      <c r="Y354" s="544"/>
      <c r="Z354" s="544"/>
      <c r="AA354" s="544"/>
      <c r="AB354" s="544"/>
      <c r="AC354" s="544"/>
      <c r="AD354" s="544"/>
      <c r="AE354" s="183"/>
      <c r="AF354" s="183"/>
      <c r="AG354" s="183"/>
      <c r="AH354" s="183"/>
      <c r="AI354" s="183"/>
      <c r="AJ354" s="183"/>
      <c r="AK354" s="183"/>
      <c r="AL354" s="183"/>
      <c r="AM354" s="183"/>
    </row>
    <row r="355" hidden="1">
      <c r="A355" s="531" t="str">
        <f>IFERROR(__xludf.DUMMYFUNCTION("""COMPUTED_VALUE"""),"縫製")</f>
        <v>縫製</v>
      </c>
      <c r="B355" s="531" t="str">
        <f>IFERROR(__xludf.DUMMYFUNCTION("""COMPUTED_VALUE"""),"スラックス / カジュアルパンツ")</f>
        <v>スラックス / カジュアルパンツ</v>
      </c>
      <c r="C355" s="531" t="str">
        <f>IFERROR(__xludf.DUMMYFUNCTION("""COMPUTED_VALUE"""),"裏地ほつれ補修 ")</f>
        <v>裏地ほつれ補修 </v>
      </c>
      <c r="D355" s="550"/>
      <c r="E355" s="533" t="str">
        <f>IFERROR(__xludf.DUMMYFUNCTION("""COMPUTED_VALUE"""),"※膝裏地裾部分のみ")</f>
        <v>※膝裏地裾部分のみ</v>
      </c>
      <c r="F355" s="534" t="str">
        <f>IFERROR(__xludf.DUMMYFUNCTION("""COMPUTED_VALUE"""),"裏地ほつれ補修 ")</f>
        <v>裏地ほつれ補修 </v>
      </c>
      <c r="G355" s="550" t="str">
        <f>IFERROR(__xludf.DUMMYFUNCTION("""COMPUTED_VALUE"""),"裏地ほつれ補修 （※膝裏地裾部分のみ）")</f>
        <v>裏地ほつれ補修 （※膝裏地裾部分のみ）</v>
      </c>
      <c r="H355" s="536"/>
      <c r="I355" s="537" t="str">
        <f>IFERROR(__xludf.DUMMYFUNCTION("""COMPUTED_VALUE"""),"店舗/CS")</f>
        <v>店舗/CS</v>
      </c>
      <c r="J355" s="538"/>
      <c r="K355" s="537">
        <f>IFERROR(__xludf.DUMMYFUNCTION("""COMPUTED_VALUE"""),45991.0)</f>
        <v>45991</v>
      </c>
      <c r="L355" s="640"/>
      <c r="M355" s="641"/>
      <c r="N355" s="539">
        <f>IFERROR(__xludf.DUMMYFUNCTION("""COMPUTED_VALUE"""),1320.0)</f>
        <v>1320</v>
      </c>
      <c r="O355" s="593">
        <f>IFERROR(__xludf.DUMMYFUNCTION("""COMPUTED_VALUE"""),1200.0)</f>
        <v>1200</v>
      </c>
      <c r="P355" s="594">
        <f>IFERROR(__xludf.DUMMYFUNCTION("""COMPUTED_VALUE"""),800.0)</f>
        <v>800</v>
      </c>
      <c r="Q355" s="183"/>
      <c r="R355" s="544"/>
      <c r="S355" s="544"/>
      <c r="T355" s="544"/>
      <c r="U355" s="544"/>
      <c r="V355" s="544"/>
      <c r="W355" s="544"/>
      <c r="X355" s="544"/>
      <c r="Y355" s="544"/>
      <c r="Z355" s="544"/>
      <c r="AA355" s="544"/>
      <c r="AB355" s="544"/>
      <c r="AC355" s="544"/>
      <c r="AD355" s="544"/>
      <c r="AE355" s="183"/>
      <c r="AF355" s="183"/>
      <c r="AG355" s="183"/>
      <c r="AH355" s="183"/>
      <c r="AI355" s="183"/>
      <c r="AJ355" s="183"/>
      <c r="AK355" s="183"/>
      <c r="AL355" s="183"/>
      <c r="AM355" s="183"/>
    </row>
    <row r="356" hidden="1">
      <c r="A356" s="531" t="str">
        <f>IFERROR(__xludf.DUMMYFUNCTION("""COMPUTED_VALUE"""),"縫製")</f>
        <v>縫製</v>
      </c>
      <c r="B356" s="531" t="str">
        <f>IFERROR(__xludf.DUMMYFUNCTION("""COMPUTED_VALUE"""),"スラックス / カジュアルパンツ")</f>
        <v>スラックス / カジュアルパンツ</v>
      </c>
      <c r="C356" s="531" t="str">
        <f>IFERROR(__xludf.DUMMYFUNCTION("""COMPUTED_VALUE"""),"途中で切れたクリースステッチのお直し")</f>
        <v>途中で切れたクリースステッチのお直し</v>
      </c>
      <c r="D356" s="550"/>
      <c r="E356" s="533"/>
      <c r="F356" s="534" t="str">
        <f>IFERROR(__xludf.DUMMYFUNCTION("""COMPUTED_VALUE"""),"途中で切れたクリースステッチのお直し")</f>
        <v>途中で切れたクリースステッチのお直し</v>
      </c>
      <c r="G356" s="550" t="str">
        <f>IFERROR(__xludf.DUMMYFUNCTION("""COMPUTED_VALUE"""),"途中で切れたクリースステッチのお直し")</f>
        <v>途中で切れたクリースステッチのお直し</v>
      </c>
      <c r="H356" s="536"/>
      <c r="I356" s="537" t="str">
        <f>IFERROR(__xludf.DUMMYFUNCTION("""COMPUTED_VALUE"""),"店舗/CS")</f>
        <v>店舗/CS</v>
      </c>
      <c r="J356" s="538">
        <f>IFERROR(__xludf.DUMMYFUNCTION("""COMPUTED_VALUE"""),12.0)</f>
        <v>12</v>
      </c>
      <c r="K356" s="537">
        <f>IFERROR(__xludf.DUMMYFUNCTION("""COMPUTED_VALUE"""),46007.0)</f>
        <v>46007</v>
      </c>
      <c r="L356" s="640"/>
      <c r="M356" s="641"/>
      <c r="N356" s="539">
        <f>IFERROR(__xludf.DUMMYFUNCTION("""COMPUTED_VALUE"""),4500.0)</f>
        <v>4500</v>
      </c>
      <c r="O356" s="593">
        <f>IFERROR(__xludf.DUMMYFUNCTION("""COMPUTED_VALUE"""),4091.0)</f>
        <v>4091</v>
      </c>
      <c r="P356" s="594">
        <f>IFERROR(__xludf.DUMMYFUNCTION("""COMPUTED_VALUE"""),3500.0)</f>
        <v>3500</v>
      </c>
      <c r="Q356" s="183"/>
      <c r="R356" s="544"/>
      <c r="S356" s="544"/>
      <c r="T356" s="544"/>
      <c r="U356" s="544"/>
      <c r="V356" s="544"/>
      <c r="W356" s="544"/>
      <c r="X356" s="544"/>
      <c r="Y356" s="544"/>
      <c r="Z356" s="544"/>
      <c r="AA356" s="544"/>
      <c r="AB356" s="544"/>
      <c r="AC356" s="544"/>
      <c r="AD356" s="544"/>
      <c r="AE356" s="183"/>
      <c r="AF356" s="183"/>
      <c r="AG356" s="183"/>
      <c r="AH356" s="183"/>
      <c r="AI356" s="183"/>
      <c r="AJ356" s="183"/>
      <c r="AK356" s="183"/>
      <c r="AL356" s="183"/>
      <c r="AM356" s="183"/>
    </row>
    <row r="357" hidden="1">
      <c r="A357" s="531" t="str">
        <f>IFERROR(__xludf.DUMMYFUNCTION("""COMPUTED_VALUE"""),"縫製")</f>
        <v>縫製</v>
      </c>
      <c r="B357" s="531" t="str">
        <f>IFERROR(__xludf.DUMMYFUNCTION("""COMPUTED_VALUE"""),"スラックス / カジュアルパンツ")</f>
        <v>スラックス / カジュアルパンツ</v>
      </c>
      <c r="C357" s="531" t="str">
        <f>IFERROR(__xludf.DUMMYFUNCTION("""COMPUTED_VALUE"""),"ファスナーのお直し")</f>
        <v>ファスナーのお直し</v>
      </c>
      <c r="D357" s="550"/>
      <c r="E357" s="533" t="str">
        <f>IFERROR(__xludf.DUMMYFUNCTION("""COMPUTED_VALUE"""),"どうしても弊社でのお直しを希望の場合のみ。FT瑕疵（サポート期間内）でない限り、一次判断の時点ですべて「対応不可」")</f>
        <v>どうしても弊社でのお直しを希望の場合のみ。FT瑕疵（サポート期間内）でない限り、一次判断の時点ですべて「対応不可」</v>
      </c>
      <c r="F357" s="534" t="str">
        <f>IFERROR(__xludf.DUMMYFUNCTION("""COMPUTED_VALUE"""),"ファスナーのお直し")</f>
        <v>ファスナーのお直し</v>
      </c>
      <c r="G357" s="550" t="str">
        <f>IFERROR(__xludf.DUMMYFUNCTION("""COMPUTED_VALUE"""),"ファスナーのお直し（どうしても弊社でのお直しを希望の場合のみ。FT瑕疵（サポート期間内）でない限り、一次判断の時点ですべて「対応不可」）")</f>
        <v>ファスナーのお直し（どうしても弊社でのお直しを希望の場合のみ。FT瑕疵（サポート期間内）でない限り、一次判断の時点ですべて「対応不可」）</v>
      </c>
      <c r="H357" s="536"/>
      <c r="I357" s="537" t="str">
        <f>IFERROR(__xludf.DUMMYFUNCTION("""COMPUTED_VALUE"""),"店舗/CS")</f>
        <v>店舗/CS</v>
      </c>
      <c r="J357" s="538"/>
      <c r="K357" s="537">
        <f>IFERROR(__xludf.DUMMYFUNCTION("""COMPUTED_VALUE"""),45991.0)</f>
        <v>45991</v>
      </c>
      <c r="L357" s="640"/>
      <c r="M357" s="641"/>
      <c r="N357" s="539">
        <f>IFERROR(__xludf.DUMMYFUNCTION("""COMPUTED_VALUE"""),15000.0)</f>
        <v>15000</v>
      </c>
      <c r="O357" s="593">
        <f>IFERROR(__xludf.DUMMYFUNCTION("""COMPUTED_VALUE"""),13637.0)</f>
        <v>13637</v>
      </c>
      <c r="P357" s="594">
        <f>IFERROR(__xludf.DUMMYFUNCTION("""COMPUTED_VALUE"""),5000.0)</f>
        <v>5000</v>
      </c>
      <c r="Q357" s="183"/>
      <c r="R357" s="544"/>
      <c r="S357" s="544"/>
      <c r="T357" s="544"/>
      <c r="U357" s="544"/>
      <c r="V357" s="544"/>
      <c r="W357" s="544"/>
      <c r="X357" s="544"/>
      <c r="Y357" s="544"/>
      <c r="Z357" s="544"/>
      <c r="AA357" s="544"/>
      <c r="AB357" s="544"/>
      <c r="AC357" s="544"/>
      <c r="AD357" s="544"/>
      <c r="AE357" s="183"/>
      <c r="AF357" s="183"/>
      <c r="AG357" s="183"/>
      <c r="AH357" s="183"/>
      <c r="AI357" s="183"/>
      <c r="AJ357" s="183"/>
      <c r="AK357" s="183"/>
      <c r="AL357" s="183"/>
      <c r="AM357" s="183"/>
    </row>
    <row r="358" hidden="1">
      <c r="A358" s="531" t="str">
        <f>IFERROR(__xludf.DUMMYFUNCTION("""COMPUTED_VALUE"""),"縫製")</f>
        <v>縫製</v>
      </c>
      <c r="B358" s="531" t="str">
        <f>IFERROR(__xludf.DUMMYFUNCTION("""COMPUTED_VALUE"""),"スラックス / カジュアルパンツ")</f>
        <v>スラックス / カジュアルパンツ</v>
      </c>
      <c r="C358" s="531" t="str">
        <f>IFERROR(__xludf.DUMMYFUNCTION("""COMPUTED_VALUE"""),"ベルトループの付け直し")</f>
        <v>ベルトループの付け直し</v>
      </c>
      <c r="D358" s="550"/>
      <c r="E358" s="533" t="str">
        <f>IFERROR(__xludf.DUMMYFUNCTION("""COMPUTED_VALUE"""),"対応NG：生地破損がおきているもの")</f>
        <v>対応NG：生地破損がおきているもの</v>
      </c>
      <c r="F358" s="534" t="str">
        <f>IFERROR(__xludf.DUMMYFUNCTION("""COMPUTED_VALUE"""),"ベルトループの付け直し")</f>
        <v>ベルトループの付け直し</v>
      </c>
      <c r="G358" s="550" t="str">
        <f>IFERROR(__xludf.DUMMYFUNCTION("""COMPUTED_VALUE"""),"ベルトループの付け直し（対応NG：生地破損がおきているもの）")</f>
        <v>ベルトループの付け直し（対応NG：生地破損がおきているもの）</v>
      </c>
      <c r="H358" s="536"/>
      <c r="I358" s="537" t="str">
        <f>IFERROR(__xludf.DUMMYFUNCTION("""COMPUTED_VALUE"""),"店舗/CS")</f>
        <v>店舗/CS</v>
      </c>
      <c r="J358" s="538"/>
      <c r="K358" s="538" t="str">
        <f>IFERROR(__xludf.DUMMYFUNCTION("""COMPUTED_VALUE"""),"1本につき7営業日")</f>
        <v>1本につき7営業日</v>
      </c>
      <c r="L358" s="640"/>
      <c r="M358" s="641"/>
      <c r="N358" s="539">
        <f>IFERROR(__xludf.DUMMYFUNCTION("""COMPUTED_VALUE"""),2480.0)</f>
        <v>2480</v>
      </c>
      <c r="O358" s="593">
        <f>IFERROR(__xludf.DUMMYFUNCTION("""COMPUTED_VALUE"""),2254.5)</f>
        <v>2254.5</v>
      </c>
      <c r="P358" s="594">
        <f>IFERROR(__xludf.DUMMYFUNCTION("""COMPUTED_VALUE"""),1500.0)</f>
        <v>1500</v>
      </c>
      <c r="Q358" s="183"/>
      <c r="R358" s="544"/>
      <c r="S358" s="544"/>
      <c r="T358" s="544"/>
      <c r="U358" s="544"/>
      <c r="V358" s="544"/>
      <c r="W358" s="544"/>
      <c r="X358" s="544"/>
      <c r="Y358" s="544"/>
      <c r="Z358" s="544"/>
      <c r="AA358" s="544"/>
      <c r="AB358" s="544"/>
      <c r="AC358" s="544"/>
      <c r="AD358" s="544"/>
      <c r="AE358" s="183"/>
      <c r="AF358" s="183"/>
      <c r="AG358" s="183"/>
      <c r="AH358" s="183"/>
      <c r="AI358" s="183"/>
      <c r="AJ358" s="183"/>
      <c r="AK358" s="183"/>
      <c r="AL358" s="183"/>
      <c r="AM358" s="183"/>
    </row>
    <row r="359" hidden="1">
      <c r="A359" s="531" t="str">
        <f>IFERROR(__xludf.DUMMYFUNCTION("""COMPUTED_VALUE"""),"縫製")</f>
        <v>縫製</v>
      </c>
      <c r="B359" s="531" t="str">
        <f>IFERROR(__xludf.DUMMYFUNCTION("""COMPUTED_VALUE"""),"スラックス / カジュアルパンツ")</f>
        <v>スラックス / カジュアルパンツ</v>
      </c>
      <c r="C359" s="531" t="str">
        <f>IFERROR(__xludf.DUMMYFUNCTION("""COMPUTED_VALUE"""),"ベルトループ自体の破損")</f>
        <v>ベルトループ自体の破損</v>
      </c>
      <c r="D359" s="550"/>
      <c r="E359" s="533" t="str">
        <f>IFERROR(__xludf.DUMMYFUNCTION("""COMPUTED_VALUE"""),"・共布必要
・裾がシングルの場合、過去にすそお直ししていなければ共布無しでも2本までは対応可
対応NG：生地破損がおきているもの。共布がなく、ダブルすそ。共布がなく、過去にすそお直しをしているシングルすそ。")</f>
        <v>・共布必要
・裾がシングルの場合、過去にすそお直ししていなければ共布無しでも2本までは対応可
対応NG：生地破損がおきているもの。共布がなく、ダブルすそ。共布がなく、過去にすそお直しをしているシングルすそ。</v>
      </c>
      <c r="F359" s="534" t="str">
        <f>IFERROR(__xludf.DUMMYFUNCTION("""COMPUTED_VALUE"""),"ベルトループ自体の破損")</f>
        <v>ベルトループ自体の破損</v>
      </c>
      <c r="G359" s="550" t="str">
        <f>IFERROR(__xludf.DUMMYFUNCTION("""COMPUTED_VALUE"""),"ベルトループ自体の破損（・共布必要
・裾がシングルの場合、過去にすそお直ししていなければ共布無しでも2本までは対応可
対応NG：生地破損がおきているもの。共布がなく、ダブルすそ。共布がなく、過去にすそお直しをしているシングルすそ。）")</f>
        <v>ベルトループ自体の破損（・共布必要
・裾がシングルの場合、過去にすそお直ししていなければ共布無しでも2本までは対応可
対応NG：生地破損がおきているもの。共布がなく、ダブルすそ。共布がなく、過去にすそお直しをしているシングルすそ。）</v>
      </c>
      <c r="H359" s="536"/>
      <c r="I359" s="537" t="str">
        <f>IFERROR(__xludf.DUMMYFUNCTION("""COMPUTED_VALUE"""),"店舗/CS")</f>
        <v>店舗/CS</v>
      </c>
      <c r="J359" s="538"/>
      <c r="K359" s="538" t="str">
        <f>IFERROR(__xludf.DUMMYFUNCTION("""COMPUTED_VALUE"""),"7営業日前後")</f>
        <v>7営業日前後</v>
      </c>
      <c r="L359" s="640"/>
      <c r="M359" s="641"/>
      <c r="N359" s="539">
        <f>IFERROR(__xludf.DUMMYFUNCTION("""COMPUTED_VALUE"""),4950.0)</f>
        <v>4950</v>
      </c>
      <c r="O359" s="593">
        <f>IFERROR(__xludf.DUMMYFUNCTION("""COMPUTED_VALUE"""),4500.0)</f>
        <v>4500</v>
      </c>
      <c r="P359" s="594">
        <f>IFERROR(__xludf.DUMMYFUNCTION("""COMPUTED_VALUE"""),3000.0)</f>
        <v>3000</v>
      </c>
      <c r="Q359" s="183"/>
      <c r="R359" s="544"/>
      <c r="S359" s="544"/>
      <c r="T359" s="544"/>
      <c r="U359" s="544"/>
      <c r="V359" s="544"/>
      <c r="W359" s="544"/>
      <c r="X359" s="544"/>
      <c r="Y359" s="544"/>
      <c r="Z359" s="544"/>
      <c r="AA359" s="544"/>
      <c r="AB359" s="544"/>
      <c r="AC359" s="544"/>
      <c r="AD359" s="544"/>
      <c r="AE359" s="183"/>
      <c r="AF359" s="183"/>
      <c r="AG359" s="183"/>
      <c r="AH359" s="183"/>
      <c r="AI359" s="183"/>
      <c r="AJ359" s="183"/>
      <c r="AK359" s="183"/>
      <c r="AL359" s="183"/>
      <c r="AM359" s="183"/>
    </row>
    <row r="360" hidden="1">
      <c r="A360" s="531" t="str">
        <f>IFERROR(__xludf.DUMMYFUNCTION("""COMPUTED_VALUE"""),"縫製")</f>
        <v>縫製</v>
      </c>
      <c r="B360" s="531" t="str">
        <f>IFERROR(__xludf.DUMMYFUNCTION("""COMPUTED_VALUE"""),"スラックス / カジュアルパンツ")</f>
        <v>スラックス / カジュアルパンツ</v>
      </c>
      <c r="C360" s="531" t="str">
        <f>IFERROR(__xludf.DUMMYFUNCTION("""COMPUTED_VALUE"""),"かけはぎ　縦横5㎝×5cm以内")</f>
        <v>かけはぎ　縦横5㎝×5cm以内</v>
      </c>
      <c r="D360" s="550"/>
      <c r="E360" s="533" t="str">
        <f>IFERROR(__xludf.DUMMYFUNCTION("""COMPUTED_VALUE"""),"※ 共布必要
股ずれ等の生地が摩耗している場合、繊維をつむぐことが出来ない為、対応不可。
※裾シングルの場合、縫い代で4cm×4cmまで対応可、過去に裾お直ししている場合は不可")</f>
        <v>※ 共布必要
股ずれ等の生地が摩耗している場合、繊維をつむぐことが出来ない為、対応不可。
※裾シングルの場合、縫い代で4cm×4cmまで対応可、過去に裾お直ししている場合は不可</v>
      </c>
      <c r="F360" s="534" t="str">
        <f>IFERROR(__xludf.DUMMYFUNCTION("""COMPUTED_VALUE"""),"かけはぎ　縦横5㎝×5cm以内")</f>
        <v>かけはぎ　縦横5㎝×5cm以内</v>
      </c>
      <c r="G360" s="550" t="str">
        <f>IFERROR(__xludf.DUMMYFUNCTION("""COMPUTED_VALUE"""),"かけはぎ　縦横5㎝×5cm以内（※ 共布必要
股ずれ等の生地が摩耗している場合、繊維をつむぐことが出来ない為、対応不可。
※裾シングルの場合、縫い代で4cm×4cmまで対応可、過去に裾お直ししている場合は不可）")</f>
        <v>かけはぎ　縦横5㎝×5cm以内（※ 共布必要
股ずれ等の生地が摩耗している場合、繊維をつむぐことが出来ない為、対応不可。
※裾シングルの場合、縫い代で4cm×4cmまで対応可、過去に裾お直ししている場合は不可）</v>
      </c>
      <c r="H360" s="536"/>
      <c r="I360" s="537" t="str">
        <f>IFERROR(__xludf.DUMMYFUNCTION("""COMPUTED_VALUE"""),"店舗/CS")</f>
        <v>店舗/CS</v>
      </c>
      <c r="J360" s="538"/>
      <c r="K360" s="538" t="str">
        <f>IFERROR(__xludf.DUMMYFUNCTION("""COMPUTED_VALUE"""),"約4週間")</f>
        <v>約4週間</v>
      </c>
      <c r="L360" s="640"/>
      <c r="M360" s="641"/>
      <c r="N360" s="539">
        <f>IFERROR(__xludf.DUMMYFUNCTION("""COMPUTED_VALUE"""),22440.0)</f>
        <v>22440</v>
      </c>
      <c r="O360" s="593">
        <f>IFERROR(__xludf.DUMMYFUNCTION("""COMPUTED_VALUE"""),20400.0)</f>
        <v>20400</v>
      </c>
      <c r="P360" s="594">
        <f>IFERROR(__xludf.DUMMYFUNCTION("""COMPUTED_VALUE"""),15000.0)</f>
        <v>15000</v>
      </c>
      <c r="Q360" s="183"/>
      <c r="R360" s="544"/>
      <c r="S360" s="544"/>
      <c r="T360" s="544"/>
      <c r="U360" s="544"/>
      <c r="V360" s="544"/>
      <c r="W360" s="544"/>
      <c r="X360" s="544"/>
      <c r="Y360" s="544"/>
      <c r="Z360" s="544"/>
      <c r="AA360" s="544"/>
      <c r="AB360" s="544"/>
      <c r="AC360" s="544"/>
      <c r="AD360" s="544"/>
      <c r="AE360" s="183"/>
      <c r="AF360" s="183"/>
      <c r="AG360" s="183"/>
      <c r="AH360" s="183"/>
      <c r="AI360" s="183"/>
      <c r="AJ360" s="183"/>
      <c r="AK360" s="183"/>
      <c r="AL360" s="183"/>
      <c r="AM360" s="183"/>
    </row>
    <row r="361" hidden="1">
      <c r="A361" s="531" t="str">
        <f>IFERROR(__xludf.DUMMYFUNCTION("""COMPUTED_VALUE"""),"縫製")</f>
        <v>縫製</v>
      </c>
      <c r="B361" s="531" t="str">
        <f>IFERROR(__xludf.DUMMYFUNCTION("""COMPUTED_VALUE"""),"スラックス / カジュアルパンツ")</f>
        <v>スラックス / カジュアルパンツ</v>
      </c>
      <c r="C361" s="531" t="str">
        <f>IFERROR(__xludf.DUMMYFUNCTION("""COMPUTED_VALUE"""),"タタキ (小) 4cm四方以内")</f>
        <v>タタキ (小) 4cm四方以内</v>
      </c>
      <c r="D361" s="550"/>
      <c r="E361" s="533" t="str">
        <f>IFERROR(__xludf.DUMMYFUNCTION("""COMPUTED_VALUE"""),"補修布必要。似寄り生地で対応可")</f>
        <v>補修布必要。似寄り生地で対応可</v>
      </c>
      <c r="F361" s="534" t="str">
        <f>IFERROR(__xludf.DUMMYFUNCTION("""COMPUTED_VALUE"""),"タタキ (小) 4cm四方以内")</f>
        <v>タタキ (小) 4cm四方以内</v>
      </c>
      <c r="G361" s="550" t="str">
        <f>IFERROR(__xludf.DUMMYFUNCTION("""COMPUTED_VALUE"""),"タタキ (小) 4cm四方以内（補修布必要。似寄り生地で対応可）")</f>
        <v>タタキ (小) 4cm四方以内（補修布必要。似寄り生地で対応可）</v>
      </c>
      <c r="H361" s="536"/>
      <c r="I361" s="537" t="str">
        <f>IFERROR(__xludf.DUMMYFUNCTION("""COMPUTED_VALUE"""),"店舗/CS")</f>
        <v>店舗/CS</v>
      </c>
      <c r="J361" s="538">
        <f>IFERROR(__xludf.DUMMYFUNCTION("""COMPUTED_VALUE"""),7.0)</f>
        <v>7</v>
      </c>
      <c r="K361" s="537">
        <f>IFERROR(__xludf.DUMMYFUNCTION("""COMPUTED_VALUE"""),46000.0)</f>
        <v>46000</v>
      </c>
      <c r="L361" s="640"/>
      <c r="M361" s="641"/>
      <c r="N361" s="539">
        <f>IFERROR(__xludf.DUMMYFUNCTION("""COMPUTED_VALUE"""),1320.0)</f>
        <v>1320</v>
      </c>
      <c r="O361" s="593">
        <f>IFERROR(__xludf.DUMMYFUNCTION("""COMPUTED_VALUE"""),1200.0)</f>
        <v>1200</v>
      </c>
      <c r="P361" s="594">
        <f>IFERROR(__xludf.DUMMYFUNCTION("""COMPUTED_VALUE"""),800.0)</f>
        <v>800</v>
      </c>
      <c r="Q361" s="183"/>
      <c r="R361" s="544"/>
      <c r="S361" s="544"/>
      <c r="T361" s="544"/>
      <c r="U361" s="544"/>
      <c r="V361" s="544"/>
      <c r="W361" s="544"/>
      <c r="X361" s="544"/>
      <c r="Y361" s="544"/>
      <c r="Z361" s="544"/>
      <c r="AA361" s="544"/>
      <c r="AB361" s="544"/>
      <c r="AC361" s="544"/>
      <c r="AD361" s="544"/>
      <c r="AE361" s="183"/>
      <c r="AF361" s="183"/>
      <c r="AG361" s="183"/>
      <c r="AH361" s="183"/>
      <c r="AI361" s="183"/>
      <c r="AJ361" s="183"/>
      <c r="AK361" s="183"/>
      <c r="AL361" s="183"/>
      <c r="AM361" s="183"/>
    </row>
    <row r="362" hidden="1">
      <c r="A362" s="531" t="str">
        <f>IFERROR(__xludf.DUMMYFUNCTION("""COMPUTED_VALUE"""),"縫製")</f>
        <v>縫製</v>
      </c>
      <c r="B362" s="531" t="str">
        <f>IFERROR(__xludf.DUMMYFUNCTION("""COMPUTED_VALUE"""),"スラックス / カジュアルパンツ")</f>
        <v>スラックス / カジュアルパンツ</v>
      </c>
      <c r="C362" s="531" t="str">
        <f>IFERROR(__xludf.DUMMYFUNCTION("""COMPUTED_VALUE"""),"タタキ (大) 4㎝四方以上")</f>
        <v>タタキ (大) 4㎝四方以上</v>
      </c>
      <c r="D362" s="550"/>
      <c r="E362" s="533" t="str">
        <f>IFERROR(__xludf.DUMMYFUNCTION("""COMPUTED_VALUE"""),"※技術的には10cm四方以上も修繕できるが、5cm×5cm以上は見た目としても、耐久性としても品質担保ができない")</f>
        <v>※技術的には10cm四方以上も修繕できるが、5cm×5cm以上は見た目としても、耐久性としても品質担保ができない</v>
      </c>
      <c r="F362" s="534" t="str">
        <f>IFERROR(__xludf.DUMMYFUNCTION("""COMPUTED_VALUE"""),"タタキ (大) 4㎝四方以上")</f>
        <v>タタキ (大) 4㎝四方以上</v>
      </c>
      <c r="G362" s="550" t="str">
        <f>IFERROR(__xludf.DUMMYFUNCTION("""COMPUTED_VALUE"""),"タタキ (大) 4㎝四方以上（※技術的には10cm四方以上も修繕できるが、5cm×5cm以上は見た目としても、耐久性としても品質担保ができない）")</f>
        <v>タタキ (大) 4㎝四方以上（※技術的には10cm四方以上も修繕できるが、5cm×5cm以上は見た目としても、耐久性としても品質担保ができない）</v>
      </c>
      <c r="H362" s="536"/>
      <c r="I362" s="537" t="str">
        <f>IFERROR(__xludf.DUMMYFUNCTION("""COMPUTED_VALUE"""),"SCM⇄TB")</f>
        <v>SCM⇄TB</v>
      </c>
      <c r="J362" s="538">
        <f>IFERROR(__xludf.DUMMYFUNCTION("""COMPUTED_VALUE"""),7.0)</f>
        <v>7</v>
      </c>
      <c r="K362" s="537">
        <f>IFERROR(__xludf.DUMMYFUNCTION("""COMPUTED_VALUE"""),46000.0)</f>
        <v>46000</v>
      </c>
      <c r="L362" s="640"/>
      <c r="M362" s="641"/>
      <c r="N362" s="539">
        <f>IFERROR(__xludf.DUMMYFUNCTION("""COMPUTED_VALUE"""),2530.0)</f>
        <v>2530</v>
      </c>
      <c r="O362" s="593">
        <f>IFERROR(__xludf.DUMMYFUNCTION("""COMPUTED_VALUE"""),2300.0)</f>
        <v>2300</v>
      </c>
      <c r="P362" s="594">
        <f>IFERROR(__xludf.DUMMYFUNCTION("""COMPUTED_VALUE"""),1400.0)</f>
        <v>1400</v>
      </c>
      <c r="Q362" s="183"/>
      <c r="R362" s="544"/>
      <c r="S362" s="544"/>
      <c r="T362" s="544"/>
      <c r="U362" s="544"/>
      <c r="V362" s="544"/>
      <c r="W362" s="544"/>
      <c r="X362" s="544"/>
      <c r="Y362" s="544"/>
      <c r="Z362" s="544"/>
      <c r="AA362" s="544"/>
      <c r="AB362" s="544"/>
      <c r="AC362" s="544"/>
      <c r="AD362" s="544"/>
      <c r="AE362" s="183"/>
      <c r="AF362" s="183"/>
      <c r="AG362" s="183"/>
      <c r="AH362" s="183"/>
      <c r="AI362" s="183"/>
      <c r="AJ362" s="183"/>
      <c r="AK362" s="183"/>
      <c r="AL362" s="183"/>
      <c r="AM362" s="183"/>
    </row>
    <row r="363" hidden="1">
      <c r="A363" s="531" t="str">
        <f>IFERROR(__xludf.DUMMYFUNCTION("""COMPUTED_VALUE"""),"縫製")</f>
        <v>縫製</v>
      </c>
      <c r="B363" s="531" t="str">
        <f>IFERROR(__xludf.DUMMYFUNCTION("""COMPUTED_VALUE"""),"スラックス / カジュアルパンツ")</f>
        <v>スラックス / カジュアルパンツ</v>
      </c>
      <c r="C363" s="531" t="str">
        <f>IFERROR(__xludf.DUMMYFUNCTION("""COMPUTED_VALUE"""),"サイドアジャスター修理")</f>
        <v>サイドアジャスター修理</v>
      </c>
      <c r="D363" s="550"/>
      <c r="E363" s="533" t="str">
        <f>IFERROR(__xludf.DUMMYFUNCTION("""COMPUTED_VALUE"""),"サポート外の場合、状況判断後、対応不可の可能性もあり")</f>
        <v>サポート外の場合、状況判断後、対応不可の可能性もあり</v>
      </c>
      <c r="F363" s="534" t="str">
        <f>IFERROR(__xludf.DUMMYFUNCTION("""COMPUTED_VALUE"""),"サイドアジャスター修理")</f>
        <v>サイドアジャスター修理</v>
      </c>
      <c r="G363" s="550" t="str">
        <f>IFERROR(__xludf.DUMMYFUNCTION("""COMPUTED_VALUE"""),"サイドアジャスター修理（サポート外の場合、状況判断後、対応不可の可能性もあり）")</f>
        <v>サイドアジャスター修理（サポート外の場合、状況判断後、対応不可の可能性もあり）</v>
      </c>
      <c r="H363" s="536"/>
      <c r="I363" s="537" t="str">
        <f>IFERROR(__xludf.DUMMYFUNCTION("""COMPUTED_VALUE"""),"TB")</f>
        <v>TB</v>
      </c>
      <c r="J363" s="538"/>
      <c r="K363" s="538" t="str">
        <f>IFERROR(__xludf.DUMMYFUNCTION("""COMPUTED_VALUE"""),"約3週間前後")</f>
        <v>約3週間前後</v>
      </c>
      <c r="L363" s="640"/>
      <c r="M363" s="641"/>
      <c r="N363" s="539">
        <f>IFERROR(__xludf.DUMMYFUNCTION("""COMPUTED_VALUE"""),6500.0)</f>
        <v>6500</v>
      </c>
      <c r="O363" s="593">
        <f>IFERROR(__xludf.DUMMYFUNCTION("""COMPUTED_VALUE"""),5909.0)</f>
        <v>5909</v>
      </c>
      <c r="P363" s="594">
        <f>IFERROR(__xludf.DUMMYFUNCTION("""COMPUTED_VALUE"""),4500.0)</f>
        <v>4500</v>
      </c>
      <c r="Q363" s="183"/>
      <c r="R363" s="544"/>
      <c r="S363" s="544"/>
      <c r="T363" s="544"/>
      <c r="U363" s="544"/>
      <c r="V363" s="544"/>
      <c r="W363" s="544"/>
      <c r="X363" s="544"/>
      <c r="Y363" s="544"/>
      <c r="Z363" s="544"/>
      <c r="AA363" s="544"/>
      <c r="AB363" s="544"/>
      <c r="AC363" s="544"/>
      <c r="AD363" s="544"/>
      <c r="AE363" s="183"/>
      <c r="AF363" s="183"/>
      <c r="AG363" s="183"/>
      <c r="AH363" s="183"/>
      <c r="AI363" s="183"/>
      <c r="AJ363" s="183"/>
      <c r="AK363" s="183"/>
      <c r="AL363" s="183"/>
      <c r="AM363" s="183"/>
    </row>
    <row r="364" hidden="1">
      <c r="A364" s="531" t="str">
        <f>IFERROR(__xludf.DUMMYFUNCTION("""COMPUTED_VALUE"""),"サイズ - ウィメンズ")</f>
        <v>サイズ - ウィメンズ</v>
      </c>
      <c r="B364" s="531" t="str">
        <f>IFERROR(__xludf.DUMMYFUNCTION("""COMPUTED_VALUE"""),"スラックス / カジュアルパンツ")</f>
        <v>スラックス / カジュアルパンツ</v>
      </c>
      <c r="C364" s="531" t="str">
        <f>IFERROR(__xludf.DUMMYFUNCTION("""COMPUTED_VALUE"""),"パンツウエスト")</f>
        <v>パンツウエスト</v>
      </c>
      <c r="D364" s="550" t="str">
        <f>IFERROR(__xludf.DUMMYFUNCTION("""COMPUTED_VALUE"""),"アジャスターゴム")</f>
        <v>アジャスターゴム</v>
      </c>
      <c r="E364" s="533"/>
      <c r="F364" s="534" t="str">
        <f>IFERROR(__xludf.DUMMYFUNCTION("""COMPUTED_VALUE"""),"パンツウエスト / アジャスターゴム")</f>
        <v>パンツウエスト / アジャスターゴム</v>
      </c>
      <c r="G364" s="550" t="str">
        <f>IFERROR(__xludf.DUMMYFUNCTION("""COMPUTED_VALUE"""),"パンツウエスト / アジャスターゴム")</f>
        <v>パンツウエスト / アジャスターゴム</v>
      </c>
      <c r="H364" s="572" t="str">
        <f>IFERROR(__xludf.DUMMYFUNCTION("""COMPUTED_VALUE"""),"-4")</f>
        <v>-4</v>
      </c>
      <c r="I364" s="537"/>
      <c r="J364" s="538">
        <f>IFERROR(__xludf.DUMMYFUNCTION("""COMPUTED_VALUE"""),5.0)</f>
        <v>5</v>
      </c>
      <c r="K364" s="537">
        <f>IFERROR(__xludf.DUMMYFUNCTION("""COMPUTED_VALUE"""),45996.0)</f>
        <v>45996</v>
      </c>
      <c r="L364" s="640">
        <f>IFERROR(__xludf.DUMMYFUNCTION("""COMPUTED_VALUE"""),46003.0)</f>
        <v>46003</v>
      </c>
      <c r="M364" s="641">
        <f>IFERROR(__xludf.DUMMYFUNCTION("""COMPUTED_VALUE"""),46008.0)</f>
        <v>46008</v>
      </c>
      <c r="N364" s="539">
        <f>IFERROR(__xludf.DUMMYFUNCTION("""COMPUTED_VALUE"""),2480.0)</f>
        <v>2480</v>
      </c>
      <c r="O364" s="594">
        <f>IFERROR(__xludf.DUMMYFUNCTION("""COMPUTED_VALUE"""),2250.0)</f>
        <v>2250</v>
      </c>
      <c r="P364" s="594">
        <f>IFERROR(__xludf.DUMMYFUNCTION("""COMPUTED_VALUE"""),1500.0)</f>
        <v>1500</v>
      </c>
      <c r="Q364" s="183"/>
      <c r="R364" s="544"/>
      <c r="S364" s="544"/>
      <c r="T364" s="544"/>
      <c r="U364" s="544"/>
      <c r="V364" s="544"/>
      <c r="W364" s="544"/>
      <c r="X364" s="544"/>
      <c r="Y364" s="544"/>
      <c r="Z364" s="544"/>
      <c r="AA364" s="544"/>
      <c r="AB364" s="544"/>
      <c r="AC364" s="544"/>
      <c r="AD364" s="544"/>
      <c r="AE364" s="183"/>
      <c r="AF364" s="183"/>
      <c r="AG364" s="183"/>
      <c r="AH364" s="183"/>
      <c r="AI364" s="183"/>
      <c r="AJ364" s="183"/>
      <c r="AK364" s="183"/>
      <c r="AL364" s="183"/>
      <c r="AM364" s="183"/>
    </row>
    <row r="365" hidden="1">
      <c r="A365" s="531" t="str">
        <f>IFERROR(__xludf.DUMMYFUNCTION("""COMPUTED_VALUE"""),"サイズ - ウィメンズ")</f>
        <v>サイズ - ウィメンズ</v>
      </c>
      <c r="B365" s="531" t="str">
        <f>IFERROR(__xludf.DUMMYFUNCTION("""COMPUTED_VALUE"""),"スラックス / カジュアルパンツ")</f>
        <v>スラックス / カジュアルパンツ</v>
      </c>
      <c r="C365" s="531" t="str">
        <f>IFERROR(__xludf.DUMMYFUNCTION("""COMPUTED_VALUE"""),"パンツウエスト")</f>
        <v>パンツウエスト</v>
      </c>
      <c r="D365" s="533" t="str">
        <f>IFERROR(__xludf.DUMMYFUNCTION("""COMPUTED_VALUE"""),"アジャスターゴム")</f>
        <v>アジャスターゴム</v>
      </c>
      <c r="E365" s="533"/>
      <c r="F365" s="534" t="str">
        <f>IFERROR(__xludf.DUMMYFUNCTION("""COMPUTED_VALUE"""),"パンツウエスト / アジャスターゴム")</f>
        <v>パンツウエスト / アジャスターゴム</v>
      </c>
      <c r="G365" s="550" t="str">
        <f>IFERROR(__xludf.DUMMYFUNCTION("""COMPUTED_VALUE"""),"パンツウエスト / アジャスターゴム")</f>
        <v>パンツウエスト / アジャスターゴム</v>
      </c>
      <c r="H365" s="572" t="str">
        <f>IFERROR(__xludf.DUMMYFUNCTION("""COMPUTED_VALUE"""),"-3")</f>
        <v>-3</v>
      </c>
      <c r="I365" s="537"/>
      <c r="J365" s="538">
        <f>IFERROR(__xludf.DUMMYFUNCTION("""COMPUTED_VALUE"""),5.0)</f>
        <v>5</v>
      </c>
      <c r="K365" s="537">
        <f>IFERROR(__xludf.DUMMYFUNCTION("""COMPUTED_VALUE"""),45996.0)</f>
        <v>45996</v>
      </c>
      <c r="L365" s="640">
        <f>IFERROR(__xludf.DUMMYFUNCTION("""COMPUTED_VALUE"""),46003.0)</f>
        <v>46003</v>
      </c>
      <c r="M365" s="641">
        <f>IFERROR(__xludf.DUMMYFUNCTION("""COMPUTED_VALUE"""),46008.0)</f>
        <v>46008</v>
      </c>
      <c r="N365" s="539">
        <f>IFERROR(__xludf.DUMMYFUNCTION("""COMPUTED_VALUE"""),2480.0)</f>
        <v>2480</v>
      </c>
      <c r="O365" s="594">
        <f>IFERROR(__xludf.DUMMYFUNCTION("""COMPUTED_VALUE"""),2250.0)</f>
        <v>2250</v>
      </c>
      <c r="P365" s="594">
        <f>IFERROR(__xludf.DUMMYFUNCTION("""COMPUTED_VALUE"""),1500.0)</f>
        <v>1500</v>
      </c>
      <c r="Q365" s="183"/>
      <c r="R365" s="544"/>
      <c r="S365" s="544"/>
      <c r="T365" s="544"/>
      <c r="U365" s="544"/>
      <c r="V365" s="544"/>
      <c r="W365" s="544"/>
      <c r="X365" s="544"/>
      <c r="Y365" s="544"/>
      <c r="Z365" s="544"/>
      <c r="AA365" s="544"/>
      <c r="AB365" s="544"/>
      <c r="AC365" s="544"/>
      <c r="AD365" s="544"/>
      <c r="AE365" s="183"/>
      <c r="AF365" s="183"/>
      <c r="AG365" s="183"/>
      <c r="AH365" s="183"/>
      <c r="AI365" s="183"/>
      <c r="AJ365" s="183"/>
      <c r="AK365" s="183"/>
      <c r="AL365" s="183"/>
      <c r="AM365" s="183"/>
    </row>
    <row r="366" hidden="1">
      <c r="A366" s="531" t="str">
        <f>IFERROR(__xludf.DUMMYFUNCTION("""COMPUTED_VALUE"""),"サイズ - ウィメンズ")</f>
        <v>サイズ - ウィメンズ</v>
      </c>
      <c r="B366" s="531" t="str">
        <f>IFERROR(__xludf.DUMMYFUNCTION("""COMPUTED_VALUE"""),"スラックス / カジュアルパンツ")</f>
        <v>スラックス / カジュアルパンツ</v>
      </c>
      <c r="C366" s="531" t="str">
        <f>IFERROR(__xludf.DUMMYFUNCTION("""COMPUTED_VALUE"""),"パンツウエスト")</f>
        <v>パンツウエスト</v>
      </c>
      <c r="D366" s="533" t="str">
        <f>IFERROR(__xludf.DUMMYFUNCTION("""COMPUTED_VALUE"""),"アジャスターゴム")</f>
        <v>アジャスターゴム</v>
      </c>
      <c r="E366" s="533"/>
      <c r="F366" s="534" t="str">
        <f>IFERROR(__xludf.DUMMYFUNCTION("""COMPUTED_VALUE"""),"パンツウエスト / アジャスターゴム")</f>
        <v>パンツウエスト / アジャスターゴム</v>
      </c>
      <c r="G366" s="550" t="str">
        <f>IFERROR(__xludf.DUMMYFUNCTION("""COMPUTED_VALUE"""),"パンツウエスト / アジャスターゴム")</f>
        <v>パンツウエスト / アジャスターゴム</v>
      </c>
      <c r="H366" s="572" t="str">
        <f>IFERROR(__xludf.DUMMYFUNCTION("""COMPUTED_VALUE"""),"-2")</f>
        <v>-2</v>
      </c>
      <c r="I366" s="537"/>
      <c r="J366" s="538">
        <f>IFERROR(__xludf.DUMMYFUNCTION("""COMPUTED_VALUE"""),5.0)</f>
        <v>5</v>
      </c>
      <c r="K366" s="537">
        <f>IFERROR(__xludf.DUMMYFUNCTION("""COMPUTED_VALUE"""),45996.0)</f>
        <v>45996</v>
      </c>
      <c r="L366" s="640">
        <f>IFERROR(__xludf.DUMMYFUNCTION("""COMPUTED_VALUE"""),46003.0)</f>
        <v>46003</v>
      </c>
      <c r="M366" s="641">
        <f>IFERROR(__xludf.DUMMYFUNCTION("""COMPUTED_VALUE"""),46008.0)</f>
        <v>46008</v>
      </c>
      <c r="N366" s="539">
        <f>IFERROR(__xludf.DUMMYFUNCTION("""COMPUTED_VALUE"""),2480.0)</f>
        <v>2480</v>
      </c>
      <c r="O366" s="594">
        <f>IFERROR(__xludf.DUMMYFUNCTION("""COMPUTED_VALUE"""),2250.0)</f>
        <v>2250</v>
      </c>
      <c r="P366" s="594">
        <f>IFERROR(__xludf.DUMMYFUNCTION("""COMPUTED_VALUE"""),1500.0)</f>
        <v>1500</v>
      </c>
      <c r="Q366" s="183"/>
      <c r="R366" s="544"/>
      <c r="S366" s="544"/>
      <c r="T366" s="544"/>
      <c r="U366" s="544"/>
      <c r="V366" s="544"/>
      <c r="W366" s="544"/>
      <c r="X366" s="544"/>
      <c r="Y366" s="544"/>
      <c r="Z366" s="544"/>
      <c r="AA366" s="544"/>
      <c r="AB366" s="544"/>
      <c r="AC366" s="544"/>
      <c r="AD366" s="544"/>
      <c r="AE366" s="183"/>
      <c r="AF366" s="183"/>
      <c r="AG366" s="183"/>
      <c r="AH366" s="183"/>
      <c r="AI366" s="183"/>
      <c r="AJ366" s="183"/>
      <c r="AK366" s="183"/>
      <c r="AL366" s="183"/>
      <c r="AM366" s="183"/>
    </row>
    <row r="367" hidden="1">
      <c r="A367" s="531" t="str">
        <f>IFERROR(__xludf.DUMMYFUNCTION("""COMPUTED_VALUE"""),"サイズ - ウィメンズ")</f>
        <v>サイズ - ウィメンズ</v>
      </c>
      <c r="B367" s="531" t="str">
        <f>IFERROR(__xludf.DUMMYFUNCTION("""COMPUTED_VALUE"""),"スラックス / カジュアルパンツ")</f>
        <v>スラックス / カジュアルパンツ</v>
      </c>
      <c r="C367" s="531" t="str">
        <f>IFERROR(__xludf.DUMMYFUNCTION("""COMPUTED_VALUE"""),"パンツウエスト")</f>
        <v>パンツウエスト</v>
      </c>
      <c r="D367" s="533" t="str">
        <f>IFERROR(__xludf.DUMMYFUNCTION("""COMPUTED_VALUE"""),"アジャスターゴム")</f>
        <v>アジャスターゴム</v>
      </c>
      <c r="E367" s="533"/>
      <c r="F367" s="534" t="str">
        <f>IFERROR(__xludf.DUMMYFUNCTION("""COMPUTED_VALUE"""),"パンツウエスト / アジャスターゴム")</f>
        <v>パンツウエスト / アジャスターゴム</v>
      </c>
      <c r="G367" s="550" t="str">
        <f>IFERROR(__xludf.DUMMYFUNCTION("""COMPUTED_VALUE"""),"パンツウエスト / アジャスターゴム")</f>
        <v>パンツウエスト / アジャスターゴム</v>
      </c>
      <c r="H367" s="572" t="str">
        <f>IFERROR(__xludf.DUMMYFUNCTION("""COMPUTED_VALUE"""),"-1")</f>
        <v>-1</v>
      </c>
      <c r="I367" s="537"/>
      <c r="J367" s="538">
        <f>IFERROR(__xludf.DUMMYFUNCTION("""COMPUTED_VALUE"""),5.0)</f>
        <v>5</v>
      </c>
      <c r="K367" s="537">
        <f>IFERROR(__xludf.DUMMYFUNCTION("""COMPUTED_VALUE"""),45996.0)</f>
        <v>45996</v>
      </c>
      <c r="L367" s="640">
        <f>IFERROR(__xludf.DUMMYFUNCTION("""COMPUTED_VALUE"""),46003.0)</f>
        <v>46003</v>
      </c>
      <c r="M367" s="641">
        <f>IFERROR(__xludf.DUMMYFUNCTION("""COMPUTED_VALUE"""),46008.0)</f>
        <v>46008</v>
      </c>
      <c r="N367" s="539">
        <f>IFERROR(__xludf.DUMMYFUNCTION("""COMPUTED_VALUE"""),2480.0)</f>
        <v>2480</v>
      </c>
      <c r="O367" s="594">
        <f>IFERROR(__xludf.DUMMYFUNCTION("""COMPUTED_VALUE"""),2250.0)</f>
        <v>2250</v>
      </c>
      <c r="P367" s="594">
        <f>IFERROR(__xludf.DUMMYFUNCTION("""COMPUTED_VALUE"""),1500.0)</f>
        <v>1500</v>
      </c>
      <c r="Q367" s="183"/>
      <c r="R367" s="544"/>
      <c r="S367" s="544"/>
      <c r="T367" s="544"/>
      <c r="U367" s="544"/>
      <c r="V367" s="544"/>
      <c r="W367" s="544"/>
      <c r="X367" s="544"/>
      <c r="Y367" s="544"/>
      <c r="Z367" s="544"/>
      <c r="AA367" s="544"/>
      <c r="AB367" s="544"/>
      <c r="AC367" s="544"/>
      <c r="AD367" s="544"/>
      <c r="AE367" s="183"/>
      <c r="AF367" s="183"/>
      <c r="AG367" s="183"/>
      <c r="AH367" s="183"/>
      <c r="AI367" s="183"/>
      <c r="AJ367" s="183"/>
      <c r="AK367" s="183"/>
      <c r="AL367" s="183"/>
      <c r="AM367" s="183"/>
    </row>
    <row r="368" hidden="1">
      <c r="A368" s="531" t="str">
        <f>IFERROR(__xludf.DUMMYFUNCTION("""COMPUTED_VALUE"""),"サイズ - ウィメンズ")</f>
        <v>サイズ - ウィメンズ</v>
      </c>
      <c r="B368" s="531" t="str">
        <f>IFERROR(__xludf.DUMMYFUNCTION("""COMPUTED_VALUE"""),"スラックス / カジュアルパンツ")</f>
        <v>スラックス / カジュアルパンツ</v>
      </c>
      <c r="C368" s="531" t="str">
        <f>IFERROR(__xludf.DUMMYFUNCTION("""COMPUTED_VALUE"""),"パンツウエスト")</f>
        <v>パンツウエスト</v>
      </c>
      <c r="D368" s="533" t="str">
        <f>IFERROR(__xludf.DUMMYFUNCTION("""COMPUTED_VALUE"""),"アジャスターゴム")</f>
        <v>アジャスターゴム</v>
      </c>
      <c r="E368" s="533"/>
      <c r="F368" s="534" t="str">
        <f>IFERROR(__xludf.DUMMYFUNCTION("""COMPUTED_VALUE"""),"パンツウエスト / アジャスターゴム")</f>
        <v>パンツウエスト / アジャスターゴム</v>
      </c>
      <c r="G368" s="550" t="str">
        <f>IFERROR(__xludf.DUMMYFUNCTION("""COMPUTED_VALUE"""),"パンツウエスト / アジャスターゴム")</f>
        <v>パンツウエスト / アジャスターゴム</v>
      </c>
      <c r="H368" s="572" t="str">
        <f>IFERROR(__xludf.DUMMYFUNCTION("""COMPUTED_VALUE"""),"1")</f>
        <v>1</v>
      </c>
      <c r="I368" s="537"/>
      <c r="J368" s="538">
        <f>IFERROR(__xludf.DUMMYFUNCTION("""COMPUTED_VALUE"""),5.0)</f>
        <v>5</v>
      </c>
      <c r="K368" s="537">
        <f>IFERROR(__xludf.DUMMYFUNCTION("""COMPUTED_VALUE"""),45996.0)</f>
        <v>45996</v>
      </c>
      <c r="L368" s="640">
        <f>IFERROR(__xludf.DUMMYFUNCTION("""COMPUTED_VALUE"""),46003.0)</f>
        <v>46003</v>
      </c>
      <c r="M368" s="641">
        <f>IFERROR(__xludf.DUMMYFUNCTION("""COMPUTED_VALUE"""),46008.0)</f>
        <v>46008</v>
      </c>
      <c r="N368" s="539">
        <f>IFERROR(__xludf.DUMMYFUNCTION("""COMPUTED_VALUE"""),4950.0)</f>
        <v>4950</v>
      </c>
      <c r="O368" s="594">
        <f>IFERROR(__xludf.DUMMYFUNCTION("""COMPUTED_VALUE"""),4500.0)</f>
        <v>4500</v>
      </c>
      <c r="P368" s="594">
        <f>IFERROR(__xludf.DUMMYFUNCTION("""COMPUTED_VALUE"""),3000.0)</f>
        <v>3000</v>
      </c>
      <c r="Q368" s="183"/>
      <c r="R368" s="544"/>
      <c r="S368" s="544"/>
      <c r="T368" s="544"/>
      <c r="U368" s="544"/>
      <c r="V368" s="544"/>
      <c r="W368" s="544"/>
      <c r="X368" s="544"/>
      <c r="Y368" s="544"/>
      <c r="Z368" s="544"/>
      <c r="AA368" s="544"/>
      <c r="AB368" s="544"/>
      <c r="AC368" s="544"/>
      <c r="AD368" s="544"/>
      <c r="AE368" s="183"/>
      <c r="AF368" s="183"/>
      <c r="AG368" s="183"/>
      <c r="AH368" s="183"/>
      <c r="AI368" s="183"/>
      <c r="AJ368" s="183"/>
      <c r="AK368" s="183"/>
      <c r="AL368" s="183"/>
      <c r="AM368" s="183"/>
    </row>
    <row r="369" hidden="1">
      <c r="A369" s="531" t="str">
        <f>IFERROR(__xludf.DUMMYFUNCTION("""COMPUTED_VALUE"""),"サイズ - ウィメンズ")</f>
        <v>サイズ - ウィメンズ</v>
      </c>
      <c r="B369" s="531" t="str">
        <f>IFERROR(__xludf.DUMMYFUNCTION("""COMPUTED_VALUE"""),"スラックス / カジュアルパンツ")</f>
        <v>スラックス / カジュアルパンツ</v>
      </c>
      <c r="C369" s="531" t="str">
        <f>IFERROR(__xludf.DUMMYFUNCTION("""COMPUTED_VALUE"""),"パンツウエスト")</f>
        <v>パンツウエスト</v>
      </c>
      <c r="D369" s="533" t="str">
        <f>IFERROR(__xludf.DUMMYFUNCTION("""COMPUTED_VALUE"""),"タックなし / タック1本")</f>
        <v>タックなし / タック1本</v>
      </c>
      <c r="E369" s="550" t="str">
        <f>IFERROR(__xludf.DUMMYFUNCTION("""COMPUTED_VALUE"""),"パワーネット有無でお直し限界値は変わらない。お直し後のキズ・伝線注意")</f>
        <v>パワーネット有無でお直し限界値は変わらない。お直し後のキズ・伝線注意</v>
      </c>
      <c r="F369" s="534" t="str">
        <f>IFERROR(__xludf.DUMMYFUNCTION("""COMPUTED_VALUE"""),"パンツウエスト / タックなし / タック1本")</f>
        <v>パンツウエスト / タックなし / タック1本</v>
      </c>
      <c r="G369" s="550" t="str">
        <f>IFERROR(__xludf.DUMMYFUNCTION("""COMPUTED_VALUE"""),"パンツウエスト / タックなし / タック1本（パワーネット有無でお直し限界値は変わらない。お直し後のキズ・伝線注意）")</f>
        <v>パンツウエスト / タックなし / タック1本（パワーネット有無でお直し限界値は変わらない。お直し後のキズ・伝線注意）</v>
      </c>
      <c r="H369" s="572" t="str">
        <f>IFERROR(__xludf.DUMMYFUNCTION("""COMPUTED_VALUE"""),"-4")</f>
        <v>-4</v>
      </c>
      <c r="I369" s="537"/>
      <c r="J369" s="538">
        <f>IFERROR(__xludf.DUMMYFUNCTION("""COMPUTED_VALUE"""),5.0)</f>
        <v>5</v>
      </c>
      <c r="K369" s="537">
        <f>IFERROR(__xludf.DUMMYFUNCTION("""COMPUTED_VALUE"""),45996.0)</f>
        <v>45996</v>
      </c>
      <c r="L369" s="640">
        <f>IFERROR(__xludf.DUMMYFUNCTION("""COMPUTED_VALUE"""),46003.0)</f>
        <v>46003</v>
      </c>
      <c r="M369" s="641">
        <f>IFERROR(__xludf.DUMMYFUNCTION("""COMPUTED_VALUE"""),46008.0)</f>
        <v>46008</v>
      </c>
      <c r="N369" s="539">
        <f>IFERROR(__xludf.DUMMYFUNCTION("""COMPUTED_VALUE"""),2480.0)</f>
        <v>2480</v>
      </c>
      <c r="O369" s="594">
        <f>IFERROR(__xludf.DUMMYFUNCTION("""COMPUTED_VALUE"""),2250.0)</f>
        <v>2250</v>
      </c>
      <c r="P369" s="594">
        <f>IFERROR(__xludf.DUMMYFUNCTION("""COMPUTED_VALUE"""),1500.0)</f>
        <v>1500</v>
      </c>
      <c r="Q369" s="183"/>
      <c r="R369" s="544"/>
      <c r="S369" s="544"/>
      <c r="T369" s="544"/>
      <c r="U369" s="544"/>
      <c r="V369" s="544"/>
      <c r="W369" s="544"/>
      <c r="X369" s="544"/>
      <c r="Y369" s="544"/>
      <c r="Z369" s="544"/>
      <c r="AA369" s="544"/>
      <c r="AB369" s="544"/>
      <c r="AC369" s="544"/>
      <c r="AD369" s="544"/>
      <c r="AE369" s="183"/>
      <c r="AF369" s="183"/>
      <c r="AG369" s="183"/>
      <c r="AH369" s="183"/>
      <c r="AI369" s="183"/>
      <c r="AJ369" s="183"/>
      <c r="AK369" s="183"/>
      <c r="AL369" s="183"/>
      <c r="AM369" s="183"/>
    </row>
    <row r="370" hidden="1">
      <c r="A370" s="531" t="str">
        <f>IFERROR(__xludf.DUMMYFUNCTION("""COMPUTED_VALUE"""),"サイズ - ウィメンズ")</f>
        <v>サイズ - ウィメンズ</v>
      </c>
      <c r="B370" s="531" t="str">
        <f>IFERROR(__xludf.DUMMYFUNCTION("""COMPUTED_VALUE"""),"スラックス / カジュアルパンツ")</f>
        <v>スラックス / カジュアルパンツ</v>
      </c>
      <c r="C370" s="531" t="str">
        <f>IFERROR(__xludf.DUMMYFUNCTION("""COMPUTED_VALUE"""),"パンツウエスト")</f>
        <v>パンツウエスト</v>
      </c>
      <c r="D370" s="533" t="str">
        <f>IFERROR(__xludf.DUMMYFUNCTION("""COMPUTED_VALUE"""),"タックなし / タック1本")</f>
        <v>タックなし / タック1本</v>
      </c>
      <c r="E370" s="550" t="str">
        <f>IFERROR(__xludf.DUMMYFUNCTION("""COMPUTED_VALUE"""),"パワーネット有無でお直し限界値は変わらない。お直し後のキズ・伝線注意")</f>
        <v>パワーネット有無でお直し限界値は変わらない。お直し後のキズ・伝線注意</v>
      </c>
      <c r="F370" s="534" t="str">
        <f>IFERROR(__xludf.DUMMYFUNCTION("""COMPUTED_VALUE"""),"パンツウエスト / タックなし / タック1本")</f>
        <v>パンツウエスト / タックなし / タック1本</v>
      </c>
      <c r="G370" s="550" t="str">
        <f>IFERROR(__xludf.DUMMYFUNCTION("""COMPUTED_VALUE"""),"パンツウエスト / タックなし / タック1本（パワーネット有無でお直し限界値は変わらない。お直し後のキズ・伝線注意）")</f>
        <v>パンツウエスト / タックなし / タック1本（パワーネット有無でお直し限界値は変わらない。お直し後のキズ・伝線注意）</v>
      </c>
      <c r="H370" s="572" t="str">
        <f>IFERROR(__xludf.DUMMYFUNCTION("""COMPUTED_VALUE"""),"-3")</f>
        <v>-3</v>
      </c>
      <c r="I370" s="537"/>
      <c r="J370" s="538">
        <f>IFERROR(__xludf.DUMMYFUNCTION("""COMPUTED_VALUE"""),5.0)</f>
        <v>5</v>
      </c>
      <c r="K370" s="537">
        <f>IFERROR(__xludf.DUMMYFUNCTION("""COMPUTED_VALUE"""),45996.0)</f>
        <v>45996</v>
      </c>
      <c r="L370" s="640">
        <f>IFERROR(__xludf.DUMMYFUNCTION("""COMPUTED_VALUE"""),46003.0)</f>
        <v>46003</v>
      </c>
      <c r="M370" s="641">
        <f>IFERROR(__xludf.DUMMYFUNCTION("""COMPUTED_VALUE"""),46008.0)</f>
        <v>46008</v>
      </c>
      <c r="N370" s="539">
        <f>IFERROR(__xludf.DUMMYFUNCTION("""COMPUTED_VALUE"""),2480.0)</f>
        <v>2480</v>
      </c>
      <c r="O370" s="594">
        <f>IFERROR(__xludf.DUMMYFUNCTION("""COMPUTED_VALUE"""),2250.0)</f>
        <v>2250</v>
      </c>
      <c r="P370" s="594">
        <f>IFERROR(__xludf.DUMMYFUNCTION("""COMPUTED_VALUE"""),1500.0)</f>
        <v>1500</v>
      </c>
      <c r="Q370" s="183"/>
      <c r="R370" s="544"/>
      <c r="S370" s="544"/>
      <c r="T370" s="544"/>
      <c r="U370" s="544"/>
      <c r="V370" s="544"/>
      <c r="W370" s="544"/>
      <c r="X370" s="544"/>
      <c r="Y370" s="544"/>
      <c r="Z370" s="544"/>
      <c r="AA370" s="544"/>
      <c r="AB370" s="544"/>
      <c r="AC370" s="544"/>
      <c r="AD370" s="544"/>
      <c r="AE370" s="183"/>
      <c r="AF370" s="183"/>
      <c r="AG370" s="183"/>
      <c r="AH370" s="183"/>
      <c r="AI370" s="183"/>
      <c r="AJ370" s="183"/>
      <c r="AK370" s="183"/>
      <c r="AL370" s="183"/>
      <c r="AM370" s="183"/>
    </row>
    <row r="371" hidden="1">
      <c r="A371" s="531" t="str">
        <f>IFERROR(__xludf.DUMMYFUNCTION("""COMPUTED_VALUE"""),"サイズ - ウィメンズ")</f>
        <v>サイズ - ウィメンズ</v>
      </c>
      <c r="B371" s="531" t="str">
        <f>IFERROR(__xludf.DUMMYFUNCTION("""COMPUTED_VALUE"""),"スラックス / カジュアルパンツ")</f>
        <v>スラックス / カジュアルパンツ</v>
      </c>
      <c r="C371" s="531" t="str">
        <f>IFERROR(__xludf.DUMMYFUNCTION("""COMPUTED_VALUE"""),"パンツウエスト")</f>
        <v>パンツウエスト</v>
      </c>
      <c r="D371" s="533" t="str">
        <f>IFERROR(__xludf.DUMMYFUNCTION("""COMPUTED_VALUE"""),"タックなし / タック1本")</f>
        <v>タックなし / タック1本</v>
      </c>
      <c r="E371" s="550" t="str">
        <f>IFERROR(__xludf.DUMMYFUNCTION("""COMPUTED_VALUE"""),"パワーネット有無でお直し限界値は変わらない。お直し後のキズ・伝線注意")</f>
        <v>パワーネット有無でお直し限界値は変わらない。お直し後のキズ・伝線注意</v>
      </c>
      <c r="F371" s="534" t="str">
        <f>IFERROR(__xludf.DUMMYFUNCTION("""COMPUTED_VALUE"""),"パンツウエスト / タックなし / タック1本")</f>
        <v>パンツウエスト / タックなし / タック1本</v>
      </c>
      <c r="G371" s="550" t="str">
        <f>IFERROR(__xludf.DUMMYFUNCTION("""COMPUTED_VALUE"""),"パンツウエスト / タックなし / タック1本（パワーネット有無でお直し限界値は変わらない。お直し後のキズ・伝線注意）")</f>
        <v>パンツウエスト / タックなし / タック1本（パワーネット有無でお直し限界値は変わらない。お直し後のキズ・伝線注意）</v>
      </c>
      <c r="H371" s="572" t="str">
        <f>IFERROR(__xludf.DUMMYFUNCTION("""COMPUTED_VALUE"""),"-2")</f>
        <v>-2</v>
      </c>
      <c r="I371" s="537"/>
      <c r="J371" s="538">
        <f>IFERROR(__xludf.DUMMYFUNCTION("""COMPUTED_VALUE"""),5.0)</f>
        <v>5</v>
      </c>
      <c r="K371" s="537">
        <f>IFERROR(__xludf.DUMMYFUNCTION("""COMPUTED_VALUE"""),45996.0)</f>
        <v>45996</v>
      </c>
      <c r="L371" s="640">
        <f>IFERROR(__xludf.DUMMYFUNCTION("""COMPUTED_VALUE"""),46003.0)</f>
        <v>46003</v>
      </c>
      <c r="M371" s="641">
        <f>IFERROR(__xludf.DUMMYFUNCTION("""COMPUTED_VALUE"""),46008.0)</f>
        <v>46008</v>
      </c>
      <c r="N371" s="539">
        <f>IFERROR(__xludf.DUMMYFUNCTION("""COMPUTED_VALUE"""),2480.0)</f>
        <v>2480</v>
      </c>
      <c r="O371" s="594">
        <f>IFERROR(__xludf.DUMMYFUNCTION("""COMPUTED_VALUE"""),2250.0)</f>
        <v>2250</v>
      </c>
      <c r="P371" s="594">
        <f>IFERROR(__xludf.DUMMYFUNCTION("""COMPUTED_VALUE"""),1500.0)</f>
        <v>1500</v>
      </c>
      <c r="Q371" s="183"/>
      <c r="R371" s="544"/>
      <c r="S371" s="544"/>
      <c r="T371" s="544"/>
      <c r="U371" s="544"/>
      <c r="V371" s="544"/>
      <c r="W371" s="544"/>
      <c r="X371" s="544"/>
      <c r="Y371" s="544"/>
      <c r="Z371" s="544"/>
      <c r="AA371" s="544"/>
      <c r="AB371" s="544"/>
      <c r="AC371" s="544"/>
      <c r="AD371" s="544"/>
      <c r="AE371" s="183"/>
      <c r="AF371" s="183"/>
      <c r="AG371" s="183"/>
      <c r="AH371" s="183"/>
      <c r="AI371" s="183"/>
      <c r="AJ371" s="183"/>
      <c r="AK371" s="183"/>
      <c r="AL371" s="183"/>
      <c r="AM371" s="183"/>
    </row>
    <row r="372" hidden="1">
      <c r="A372" s="531" t="str">
        <f>IFERROR(__xludf.DUMMYFUNCTION("""COMPUTED_VALUE"""),"サイズ - ウィメンズ")</f>
        <v>サイズ - ウィメンズ</v>
      </c>
      <c r="B372" s="531" t="str">
        <f>IFERROR(__xludf.DUMMYFUNCTION("""COMPUTED_VALUE"""),"スラックス / カジュアルパンツ")</f>
        <v>スラックス / カジュアルパンツ</v>
      </c>
      <c r="C372" s="531" t="str">
        <f>IFERROR(__xludf.DUMMYFUNCTION("""COMPUTED_VALUE"""),"パンツウエスト")</f>
        <v>パンツウエスト</v>
      </c>
      <c r="D372" s="533" t="str">
        <f>IFERROR(__xludf.DUMMYFUNCTION("""COMPUTED_VALUE"""),"タックなし / タック1本")</f>
        <v>タックなし / タック1本</v>
      </c>
      <c r="E372" s="550" t="str">
        <f>IFERROR(__xludf.DUMMYFUNCTION("""COMPUTED_VALUE"""),"パワーネット有無でお直し限界値は変わらない。お直し後のキズ・伝線注意")</f>
        <v>パワーネット有無でお直し限界値は変わらない。お直し後のキズ・伝線注意</v>
      </c>
      <c r="F372" s="534" t="str">
        <f>IFERROR(__xludf.DUMMYFUNCTION("""COMPUTED_VALUE"""),"パンツウエスト / タックなし / タック1本")</f>
        <v>パンツウエスト / タックなし / タック1本</v>
      </c>
      <c r="G372" s="550" t="str">
        <f>IFERROR(__xludf.DUMMYFUNCTION("""COMPUTED_VALUE"""),"パンツウエスト / タックなし / タック1本（パワーネット有無でお直し限界値は変わらない。お直し後のキズ・伝線注意）")</f>
        <v>パンツウエスト / タックなし / タック1本（パワーネット有無でお直し限界値は変わらない。お直し後のキズ・伝線注意）</v>
      </c>
      <c r="H372" s="572" t="str">
        <f>IFERROR(__xludf.DUMMYFUNCTION("""COMPUTED_VALUE"""),"-1")</f>
        <v>-1</v>
      </c>
      <c r="I372" s="537"/>
      <c r="J372" s="538">
        <f>IFERROR(__xludf.DUMMYFUNCTION("""COMPUTED_VALUE"""),5.0)</f>
        <v>5</v>
      </c>
      <c r="K372" s="537">
        <f>IFERROR(__xludf.DUMMYFUNCTION("""COMPUTED_VALUE"""),45996.0)</f>
        <v>45996</v>
      </c>
      <c r="L372" s="640">
        <f>IFERROR(__xludf.DUMMYFUNCTION("""COMPUTED_VALUE"""),46003.0)</f>
        <v>46003</v>
      </c>
      <c r="M372" s="641">
        <f>IFERROR(__xludf.DUMMYFUNCTION("""COMPUTED_VALUE"""),46008.0)</f>
        <v>46008</v>
      </c>
      <c r="N372" s="539">
        <f>IFERROR(__xludf.DUMMYFUNCTION("""COMPUTED_VALUE"""),2480.0)</f>
        <v>2480</v>
      </c>
      <c r="O372" s="594">
        <f>IFERROR(__xludf.DUMMYFUNCTION("""COMPUTED_VALUE"""),2250.0)</f>
        <v>2250</v>
      </c>
      <c r="P372" s="594">
        <f>IFERROR(__xludf.DUMMYFUNCTION("""COMPUTED_VALUE"""),1500.0)</f>
        <v>1500</v>
      </c>
      <c r="Q372" s="183"/>
      <c r="R372" s="544"/>
      <c r="S372" s="544"/>
      <c r="T372" s="544"/>
      <c r="U372" s="544"/>
      <c r="V372" s="544"/>
      <c r="W372" s="544"/>
      <c r="X372" s="544"/>
      <c r="Y372" s="544"/>
      <c r="Z372" s="544"/>
      <c r="AA372" s="544"/>
      <c r="AB372" s="544"/>
      <c r="AC372" s="544"/>
      <c r="AD372" s="544"/>
      <c r="AE372" s="183"/>
      <c r="AF372" s="183"/>
      <c r="AG372" s="183"/>
      <c r="AH372" s="183"/>
      <c r="AI372" s="183"/>
      <c r="AJ372" s="183"/>
      <c r="AK372" s="183"/>
      <c r="AL372" s="183"/>
      <c r="AM372" s="183"/>
    </row>
    <row r="373" hidden="1">
      <c r="A373" s="531" t="str">
        <f>IFERROR(__xludf.DUMMYFUNCTION("""COMPUTED_VALUE"""),"サイズ - ウィメンズ")</f>
        <v>サイズ - ウィメンズ</v>
      </c>
      <c r="B373" s="531" t="str">
        <f>IFERROR(__xludf.DUMMYFUNCTION("""COMPUTED_VALUE"""),"スラックス / カジュアルパンツ")</f>
        <v>スラックス / カジュアルパンツ</v>
      </c>
      <c r="C373" s="531" t="str">
        <f>IFERROR(__xludf.DUMMYFUNCTION("""COMPUTED_VALUE"""),"パンツウエスト")</f>
        <v>パンツウエスト</v>
      </c>
      <c r="D373" s="533" t="str">
        <f>IFERROR(__xludf.DUMMYFUNCTION("""COMPUTED_VALUE"""),"タックなし / タック1本")</f>
        <v>タックなし / タック1本</v>
      </c>
      <c r="E373" s="550" t="str">
        <f>IFERROR(__xludf.DUMMYFUNCTION("""COMPUTED_VALUE"""),"パワーネット有無でお直し限界値は変わらない。お直し後のキズ・伝線注意")</f>
        <v>パワーネット有無でお直し限界値は変わらない。お直し後のキズ・伝線注意</v>
      </c>
      <c r="F373" s="534" t="str">
        <f>IFERROR(__xludf.DUMMYFUNCTION("""COMPUTED_VALUE"""),"パンツウエスト / タックなし / タック1本")</f>
        <v>パンツウエスト / タックなし / タック1本</v>
      </c>
      <c r="G373" s="550" t="str">
        <f>IFERROR(__xludf.DUMMYFUNCTION("""COMPUTED_VALUE"""),"パンツウエスト / タックなし / タック1本（パワーネット有無でお直し限界値は変わらない。お直し後のキズ・伝線注意）")</f>
        <v>パンツウエスト / タックなし / タック1本（パワーネット有無でお直し限界値は変わらない。お直し後のキズ・伝線注意）</v>
      </c>
      <c r="H373" s="572" t="str">
        <f>IFERROR(__xludf.DUMMYFUNCTION("""COMPUTED_VALUE"""),"1")</f>
        <v>1</v>
      </c>
      <c r="I373" s="537"/>
      <c r="J373" s="538">
        <f>IFERROR(__xludf.DUMMYFUNCTION("""COMPUTED_VALUE"""),5.0)</f>
        <v>5</v>
      </c>
      <c r="K373" s="537">
        <f>IFERROR(__xludf.DUMMYFUNCTION("""COMPUTED_VALUE"""),45996.0)</f>
        <v>45996</v>
      </c>
      <c r="L373" s="640">
        <f>IFERROR(__xludf.DUMMYFUNCTION("""COMPUTED_VALUE"""),46003.0)</f>
        <v>46003</v>
      </c>
      <c r="M373" s="641">
        <f>IFERROR(__xludf.DUMMYFUNCTION("""COMPUTED_VALUE"""),46008.0)</f>
        <v>46008</v>
      </c>
      <c r="N373" s="539">
        <f>IFERROR(__xludf.DUMMYFUNCTION("""COMPUTED_VALUE"""),4950.0)</f>
        <v>4950</v>
      </c>
      <c r="O373" s="594">
        <f>IFERROR(__xludf.DUMMYFUNCTION("""COMPUTED_VALUE"""),4500.0)</f>
        <v>4500</v>
      </c>
      <c r="P373" s="594">
        <f>IFERROR(__xludf.DUMMYFUNCTION("""COMPUTED_VALUE"""),3000.0)</f>
        <v>3000</v>
      </c>
      <c r="Q373" s="183"/>
      <c r="R373" s="544"/>
      <c r="S373" s="544"/>
      <c r="T373" s="544"/>
      <c r="U373" s="544"/>
      <c r="V373" s="544"/>
      <c r="W373" s="544"/>
      <c r="X373" s="544"/>
      <c r="Y373" s="544"/>
      <c r="Z373" s="544"/>
      <c r="AA373" s="544"/>
      <c r="AB373" s="544"/>
      <c r="AC373" s="544"/>
      <c r="AD373" s="544"/>
      <c r="AE373" s="183"/>
      <c r="AF373" s="183"/>
      <c r="AG373" s="183"/>
      <c r="AH373" s="183"/>
      <c r="AI373" s="183"/>
      <c r="AJ373" s="183"/>
      <c r="AK373" s="183"/>
      <c r="AL373" s="183"/>
      <c r="AM373" s="183"/>
    </row>
    <row r="374" hidden="1">
      <c r="A374" s="531" t="str">
        <f>IFERROR(__xludf.DUMMYFUNCTION("""COMPUTED_VALUE"""),"サイズ - ウィメンズ")</f>
        <v>サイズ - ウィメンズ</v>
      </c>
      <c r="B374" s="531" t="str">
        <f>IFERROR(__xludf.DUMMYFUNCTION("""COMPUTED_VALUE"""),"スラックス / カジュアルパンツ")</f>
        <v>スラックス / カジュアルパンツ</v>
      </c>
      <c r="C374" s="531" t="str">
        <f>IFERROR(__xludf.DUMMYFUNCTION("""COMPUTED_VALUE"""),"パンツウエスト")</f>
        <v>パンツウエスト</v>
      </c>
      <c r="D374" s="533" t="str">
        <f>IFERROR(__xludf.DUMMYFUNCTION("""COMPUTED_VALUE"""),"タックなし / タック1本")</f>
        <v>タックなし / タック1本</v>
      </c>
      <c r="E374" s="550" t="str">
        <f>IFERROR(__xludf.DUMMYFUNCTION("""COMPUTED_VALUE"""),"パワーネット有無でお直し限界値は変わらない。お直し後のキズ・伝線注意")</f>
        <v>パワーネット有無でお直し限界値は変わらない。お直し後のキズ・伝線注意</v>
      </c>
      <c r="F374" s="534" t="str">
        <f>IFERROR(__xludf.DUMMYFUNCTION("""COMPUTED_VALUE"""),"パンツウエスト / タックなし / タック1本")</f>
        <v>パンツウエスト / タックなし / タック1本</v>
      </c>
      <c r="G374" s="550" t="str">
        <f>IFERROR(__xludf.DUMMYFUNCTION("""COMPUTED_VALUE"""),"パンツウエスト / タックなし / タック1本（パワーネット有無でお直し限界値は変わらない。お直し後のキズ・伝線注意）")</f>
        <v>パンツウエスト / タックなし / タック1本（パワーネット有無でお直し限界値は変わらない。お直し後のキズ・伝線注意）</v>
      </c>
      <c r="H374" s="572" t="str">
        <f>IFERROR(__xludf.DUMMYFUNCTION("""COMPUTED_VALUE"""),"2")</f>
        <v>2</v>
      </c>
      <c r="I374" s="537"/>
      <c r="J374" s="538">
        <f>IFERROR(__xludf.DUMMYFUNCTION("""COMPUTED_VALUE"""),5.0)</f>
        <v>5</v>
      </c>
      <c r="K374" s="537">
        <f>IFERROR(__xludf.DUMMYFUNCTION("""COMPUTED_VALUE"""),45996.0)</f>
        <v>45996</v>
      </c>
      <c r="L374" s="640">
        <f>IFERROR(__xludf.DUMMYFUNCTION("""COMPUTED_VALUE"""),46003.0)</f>
        <v>46003</v>
      </c>
      <c r="M374" s="641">
        <f>IFERROR(__xludf.DUMMYFUNCTION("""COMPUTED_VALUE"""),46008.0)</f>
        <v>46008</v>
      </c>
      <c r="N374" s="539">
        <f>IFERROR(__xludf.DUMMYFUNCTION("""COMPUTED_VALUE"""),4950.0)</f>
        <v>4950</v>
      </c>
      <c r="O374" s="594">
        <f>IFERROR(__xludf.DUMMYFUNCTION("""COMPUTED_VALUE"""),4500.0)</f>
        <v>4500</v>
      </c>
      <c r="P374" s="594">
        <f>IFERROR(__xludf.DUMMYFUNCTION("""COMPUTED_VALUE"""),3000.0)</f>
        <v>3000</v>
      </c>
      <c r="Q374" s="183"/>
      <c r="R374" s="544"/>
      <c r="S374" s="544"/>
      <c r="T374" s="544"/>
      <c r="U374" s="544"/>
      <c r="V374" s="544"/>
      <c r="W374" s="544"/>
      <c r="X374" s="544"/>
      <c r="Y374" s="544"/>
      <c r="Z374" s="544"/>
      <c r="AA374" s="544"/>
      <c r="AB374" s="544"/>
      <c r="AC374" s="544"/>
      <c r="AD374" s="544"/>
      <c r="AE374" s="183"/>
      <c r="AF374" s="183"/>
      <c r="AG374" s="183"/>
      <c r="AH374" s="183"/>
      <c r="AI374" s="183"/>
      <c r="AJ374" s="183"/>
      <c r="AK374" s="183"/>
      <c r="AL374" s="183"/>
      <c r="AM374" s="183"/>
    </row>
    <row r="375" hidden="1">
      <c r="A375" s="531" t="str">
        <f>IFERROR(__xludf.DUMMYFUNCTION("""COMPUTED_VALUE"""),"サイズ - ウィメンズ")</f>
        <v>サイズ - ウィメンズ</v>
      </c>
      <c r="B375" s="531" t="str">
        <f>IFERROR(__xludf.DUMMYFUNCTION("""COMPUTED_VALUE"""),"スラックス / カジュアルパンツ")</f>
        <v>スラックス / カジュアルパンツ</v>
      </c>
      <c r="C375" s="531" t="str">
        <f>IFERROR(__xludf.DUMMYFUNCTION("""COMPUTED_VALUE"""),"パンツウエスト")</f>
        <v>パンツウエスト</v>
      </c>
      <c r="D375" s="550" t="str">
        <f>IFERROR(__xludf.DUMMYFUNCTION("""COMPUTED_VALUE"""),"タックなし / タック1本")</f>
        <v>タックなし / タック1本</v>
      </c>
      <c r="E375" s="550" t="str">
        <f>IFERROR(__xludf.DUMMYFUNCTION("""COMPUTED_VALUE"""),"パワーネット有無でお直し限界値は変わらない。お直し後のキズ・伝線注意")</f>
        <v>パワーネット有無でお直し限界値は変わらない。お直し後のキズ・伝線注意</v>
      </c>
      <c r="F375" s="534" t="str">
        <f>IFERROR(__xludf.DUMMYFUNCTION("""COMPUTED_VALUE"""),"パンツウエスト / タックなし / タック1本")</f>
        <v>パンツウエスト / タックなし / タック1本</v>
      </c>
      <c r="G375" s="550" t="str">
        <f>IFERROR(__xludf.DUMMYFUNCTION("""COMPUTED_VALUE"""),"パンツウエスト / タックなし / タック1本（パワーネット有無でお直し限界値は変わらない。お直し後のキズ・伝線注意）")</f>
        <v>パンツウエスト / タックなし / タック1本（パワーネット有無でお直し限界値は変わらない。お直し後のキズ・伝線注意）</v>
      </c>
      <c r="H375" s="572" t="str">
        <f>IFERROR(__xludf.DUMMYFUNCTION("""COMPUTED_VALUE"""),"3")</f>
        <v>3</v>
      </c>
      <c r="I375" s="537"/>
      <c r="J375" s="538">
        <f>IFERROR(__xludf.DUMMYFUNCTION("""COMPUTED_VALUE"""),5.0)</f>
        <v>5</v>
      </c>
      <c r="K375" s="537">
        <f>IFERROR(__xludf.DUMMYFUNCTION("""COMPUTED_VALUE"""),45996.0)</f>
        <v>45996</v>
      </c>
      <c r="L375" s="640">
        <f>IFERROR(__xludf.DUMMYFUNCTION("""COMPUTED_VALUE"""),46003.0)</f>
        <v>46003</v>
      </c>
      <c r="M375" s="641">
        <f>IFERROR(__xludf.DUMMYFUNCTION("""COMPUTED_VALUE"""),46008.0)</f>
        <v>46008</v>
      </c>
      <c r="N375" s="539">
        <f>IFERROR(__xludf.DUMMYFUNCTION("""COMPUTED_VALUE"""),4950.0)</f>
        <v>4950</v>
      </c>
      <c r="O375" s="594">
        <f>IFERROR(__xludf.DUMMYFUNCTION("""COMPUTED_VALUE"""),4500.0)</f>
        <v>4500</v>
      </c>
      <c r="P375" s="594">
        <f>IFERROR(__xludf.DUMMYFUNCTION("""COMPUTED_VALUE"""),3000.0)</f>
        <v>3000</v>
      </c>
      <c r="Q375" s="183"/>
      <c r="R375" s="544"/>
      <c r="S375" s="544"/>
      <c r="T375" s="544"/>
      <c r="U375" s="544"/>
      <c r="V375" s="544"/>
      <c r="W375" s="544"/>
      <c r="X375" s="544"/>
      <c r="Y375" s="544"/>
      <c r="Z375" s="544"/>
      <c r="AA375" s="544"/>
      <c r="AB375" s="544"/>
      <c r="AC375" s="544"/>
      <c r="AD375" s="544"/>
      <c r="AE375" s="183"/>
      <c r="AF375" s="183"/>
      <c r="AG375" s="183"/>
      <c r="AH375" s="183"/>
      <c r="AI375" s="183"/>
      <c r="AJ375" s="183"/>
      <c r="AK375" s="183"/>
      <c r="AL375" s="183"/>
      <c r="AM375" s="183"/>
    </row>
    <row r="376" hidden="1">
      <c r="A376" s="531" t="str">
        <f>IFERROR(__xludf.DUMMYFUNCTION("""COMPUTED_VALUE"""),"サイズ - ウィメンズ")</f>
        <v>サイズ - ウィメンズ</v>
      </c>
      <c r="B376" s="531" t="str">
        <f>IFERROR(__xludf.DUMMYFUNCTION("""COMPUTED_VALUE"""),"スラックス / カジュアルパンツ")</f>
        <v>スラックス / カジュアルパンツ</v>
      </c>
      <c r="C376" s="531" t="str">
        <f>IFERROR(__xludf.DUMMYFUNCTION("""COMPUTED_VALUE"""),"パンツウエスト")</f>
        <v>パンツウエスト</v>
      </c>
      <c r="D376" s="550" t="str">
        <f>IFERROR(__xludf.DUMMYFUNCTION("""COMPUTED_VALUE"""),"タックなし / タック1本")</f>
        <v>タックなし / タック1本</v>
      </c>
      <c r="E376" s="550" t="str">
        <f>IFERROR(__xludf.DUMMYFUNCTION("""COMPUTED_VALUE"""),"パワーネット有無でお直し限界値は変わらない。お直し後のキズ・伝線注意")</f>
        <v>パワーネット有無でお直し限界値は変わらない。お直し後のキズ・伝線注意</v>
      </c>
      <c r="F376" s="534" t="str">
        <f>IFERROR(__xludf.DUMMYFUNCTION("""COMPUTED_VALUE"""),"パンツウエスト / タックなし / タック1本")</f>
        <v>パンツウエスト / タックなし / タック1本</v>
      </c>
      <c r="G376" s="550" t="str">
        <f>IFERROR(__xludf.DUMMYFUNCTION("""COMPUTED_VALUE"""),"パンツウエスト / タックなし / タック1本（パワーネット有無でお直し限界値は変わらない。お直し後のキズ・伝線注意）")</f>
        <v>パンツウエスト / タックなし / タック1本（パワーネット有無でお直し限界値は変わらない。お直し後のキズ・伝線注意）</v>
      </c>
      <c r="H376" s="572" t="str">
        <f>IFERROR(__xludf.DUMMYFUNCTION("""COMPUTED_VALUE"""),"4")</f>
        <v>4</v>
      </c>
      <c r="I376" s="537"/>
      <c r="J376" s="538">
        <f>IFERROR(__xludf.DUMMYFUNCTION("""COMPUTED_VALUE"""),5.0)</f>
        <v>5</v>
      </c>
      <c r="K376" s="537">
        <f>IFERROR(__xludf.DUMMYFUNCTION("""COMPUTED_VALUE"""),45996.0)</f>
        <v>45996</v>
      </c>
      <c r="L376" s="640">
        <f>IFERROR(__xludf.DUMMYFUNCTION("""COMPUTED_VALUE"""),46003.0)</f>
        <v>46003</v>
      </c>
      <c r="M376" s="641">
        <f>IFERROR(__xludf.DUMMYFUNCTION("""COMPUTED_VALUE"""),46008.0)</f>
        <v>46008</v>
      </c>
      <c r="N376" s="539">
        <f>IFERROR(__xludf.DUMMYFUNCTION("""COMPUTED_VALUE"""),4950.0)</f>
        <v>4950</v>
      </c>
      <c r="O376" s="594">
        <f>IFERROR(__xludf.DUMMYFUNCTION("""COMPUTED_VALUE"""),4500.0)</f>
        <v>4500</v>
      </c>
      <c r="P376" s="594">
        <f>IFERROR(__xludf.DUMMYFUNCTION("""COMPUTED_VALUE"""),3000.0)</f>
        <v>3000</v>
      </c>
      <c r="Q376" s="183"/>
      <c r="R376" s="544"/>
      <c r="S376" s="544"/>
      <c r="T376" s="544"/>
      <c r="U376" s="544"/>
      <c r="V376" s="544"/>
      <c r="W376" s="544"/>
      <c r="X376" s="544"/>
      <c r="Y376" s="544"/>
      <c r="Z376" s="544"/>
      <c r="AA376" s="544"/>
      <c r="AB376" s="544"/>
      <c r="AC376" s="544"/>
      <c r="AD376" s="544"/>
      <c r="AE376" s="183"/>
      <c r="AF376" s="183"/>
      <c r="AG376" s="183"/>
      <c r="AH376" s="183"/>
      <c r="AI376" s="183"/>
      <c r="AJ376" s="183"/>
      <c r="AK376" s="183"/>
      <c r="AL376" s="183"/>
      <c r="AM376" s="183"/>
    </row>
    <row r="377" hidden="1">
      <c r="A377" s="531" t="str">
        <f>IFERROR(__xludf.DUMMYFUNCTION("""COMPUTED_VALUE"""),"サイズ")</f>
        <v>サイズ</v>
      </c>
      <c r="B377" s="531" t="str">
        <f>IFERROR(__xludf.DUMMYFUNCTION("""COMPUTED_VALUE"""),"スラックス / カジュアルパンツ")</f>
        <v>スラックス / カジュアルパンツ</v>
      </c>
      <c r="C377" s="531" t="str">
        <f>IFERROR(__xludf.DUMMYFUNCTION("""COMPUTED_VALUE"""),"股上")</f>
        <v>股上</v>
      </c>
      <c r="D377" s="550"/>
      <c r="E377" s="533"/>
      <c r="F377" s="534" t="str">
        <f>IFERROR(__xludf.DUMMYFUNCTION("""COMPUTED_VALUE"""),"股上")</f>
        <v>股上</v>
      </c>
      <c r="G377" s="550" t="str">
        <f>IFERROR(__xludf.DUMMYFUNCTION("""COMPUTED_VALUE"""),"股上")</f>
        <v>股上</v>
      </c>
      <c r="H377" s="572" t="str">
        <f>IFERROR(__xludf.DUMMYFUNCTION("""COMPUTED_VALUE"""),"-1")</f>
        <v>-1</v>
      </c>
      <c r="I377" s="537"/>
      <c r="J377" s="538" t="str">
        <f>IFERROR(__xludf.DUMMYFUNCTION("""COMPUTED_VALUE"""),"再製作")</f>
        <v>再製作</v>
      </c>
      <c r="K377" s="538" t="str">
        <f>IFERROR(__xludf.DUMMYFUNCTION("""COMPUTED_VALUE"""),"再製作")</f>
        <v>再製作</v>
      </c>
      <c r="L377" s="640" t="str">
        <f>IFERROR(__xludf.DUMMYFUNCTION("""COMPUTED_VALUE"""),"再製作")</f>
        <v>再製作</v>
      </c>
      <c r="M377" s="641" t="str">
        <f>IFERROR(__xludf.DUMMYFUNCTION("""COMPUTED_VALUE"""),"再製作")</f>
        <v>再製作</v>
      </c>
      <c r="N377" s="539">
        <f>IFERROR(__xludf.DUMMYFUNCTION("""COMPUTED_VALUE"""),13200.000000000002)</f>
        <v>13200</v>
      </c>
      <c r="O377" s="593">
        <f>IFERROR(__xludf.DUMMYFUNCTION("""COMPUTED_VALUE"""),12000.0)</f>
        <v>12000</v>
      </c>
      <c r="P377" s="594">
        <f>IFERROR(__xludf.DUMMYFUNCTION("""COMPUTED_VALUE"""),2500.0)</f>
        <v>2500</v>
      </c>
      <c r="Q377" s="183"/>
      <c r="R377" s="544"/>
      <c r="S377" s="544"/>
      <c r="T377" s="544"/>
      <c r="U377" s="544"/>
      <c r="V377" s="544"/>
      <c r="W377" s="544"/>
      <c r="X377" s="544"/>
      <c r="Y377" s="544"/>
      <c r="Z377" s="544"/>
      <c r="AA377" s="544"/>
      <c r="AB377" s="544"/>
      <c r="AC377" s="544"/>
      <c r="AD377" s="544"/>
      <c r="AE377" s="183"/>
      <c r="AF377" s="183"/>
      <c r="AG377" s="183"/>
      <c r="AH377" s="183"/>
      <c r="AI377" s="183"/>
      <c r="AJ377" s="183"/>
      <c r="AK377" s="183"/>
      <c r="AL377" s="183"/>
      <c r="AM377" s="183"/>
    </row>
    <row r="378" hidden="1">
      <c r="A378" s="531" t="str">
        <f>IFERROR(__xludf.DUMMYFUNCTION("""COMPUTED_VALUE"""),"サイズ")</f>
        <v>サイズ</v>
      </c>
      <c r="B378" s="531" t="str">
        <f>IFERROR(__xludf.DUMMYFUNCTION("""COMPUTED_VALUE"""),"スラックス / カジュアルパンツ")</f>
        <v>スラックス / カジュアルパンツ</v>
      </c>
      <c r="C378" s="531" t="str">
        <f>IFERROR(__xludf.DUMMYFUNCTION("""COMPUTED_VALUE"""),"股上")</f>
        <v>股上</v>
      </c>
      <c r="D378" s="550"/>
      <c r="E378" s="533"/>
      <c r="F378" s="534" t="str">
        <f>IFERROR(__xludf.DUMMYFUNCTION("""COMPUTED_VALUE"""),"股上")</f>
        <v>股上</v>
      </c>
      <c r="G378" s="550" t="str">
        <f>IFERROR(__xludf.DUMMYFUNCTION("""COMPUTED_VALUE"""),"股上")</f>
        <v>股上</v>
      </c>
      <c r="H378" s="572" t="str">
        <f>IFERROR(__xludf.DUMMYFUNCTION("""COMPUTED_VALUE"""),"-0.5")</f>
        <v>-0.5</v>
      </c>
      <c r="I378" s="537"/>
      <c r="J378" s="538">
        <f>IFERROR(__xludf.DUMMYFUNCTION("""COMPUTED_VALUE"""),7.0)</f>
        <v>7</v>
      </c>
      <c r="K378" s="537">
        <f>IFERROR(__xludf.DUMMYFUNCTION("""COMPUTED_VALUE"""),46000.0)</f>
        <v>46000</v>
      </c>
      <c r="L378" s="640">
        <f>IFERROR(__xludf.DUMMYFUNCTION("""COMPUTED_VALUE"""),46002.0)</f>
        <v>46002</v>
      </c>
      <c r="M378" s="641">
        <f>IFERROR(__xludf.DUMMYFUNCTION("""COMPUTED_VALUE"""),46002.0)</f>
        <v>46002</v>
      </c>
      <c r="N378" s="539">
        <f>IFERROR(__xludf.DUMMYFUNCTION("""COMPUTED_VALUE"""),13200.0)</f>
        <v>13200</v>
      </c>
      <c r="O378" s="593">
        <f>IFERROR(__xludf.DUMMYFUNCTION("""COMPUTED_VALUE"""),12000.0)</f>
        <v>12000</v>
      </c>
      <c r="P378" s="594">
        <f>IFERROR(__xludf.DUMMYFUNCTION("""COMPUTED_VALUE"""),2500.0)</f>
        <v>2500</v>
      </c>
      <c r="Q378" s="183"/>
      <c r="R378" s="544"/>
      <c r="S378" s="544"/>
      <c r="T378" s="544"/>
      <c r="U378" s="544"/>
      <c r="V378" s="544"/>
      <c r="W378" s="544"/>
      <c r="X378" s="544"/>
      <c r="Y378" s="544"/>
      <c r="Z378" s="544"/>
      <c r="AA378" s="544"/>
      <c r="AB378" s="544"/>
      <c r="AC378" s="544"/>
      <c r="AD378" s="544"/>
      <c r="AE378" s="183"/>
      <c r="AF378" s="183"/>
      <c r="AG378" s="183"/>
      <c r="AH378" s="183"/>
      <c r="AI378" s="183"/>
      <c r="AJ378" s="183"/>
      <c r="AK378" s="183"/>
      <c r="AL378" s="183"/>
      <c r="AM378" s="183"/>
    </row>
    <row r="379" hidden="1">
      <c r="A379" s="531" t="str">
        <f>IFERROR(__xludf.DUMMYFUNCTION("""COMPUTED_VALUE"""),"サイズ")</f>
        <v>サイズ</v>
      </c>
      <c r="B379" s="531" t="str">
        <f>IFERROR(__xludf.DUMMYFUNCTION("""COMPUTED_VALUE"""),"スラックス / カジュアルパンツ")</f>
        <v>スラックス / カジュアルパンツ</v>
      </c>
      <c r="C379" s="531" t="str">
        <f>IFERROR(__xludf.DUMMYFUNCTION("""COMPUTED_VALUE"""),"股上")</f>
        <v>股上</v>
      </c>
      <c r="D379" s="550"/>
      <c r="E379" s="533"/>
      <c r="F379" s="534" t="str">
        <f>IFERROR(__xludf.DUMMYFUNCTION("""COMPUTED_VALUE"""),"股上")</f>
        <v>股上</v>
      </c>
      <c r="G379" s="550" t="str">
        <f>IFERROR(__xludf.DUMMYFUNCTION("""COMPUTED_VALUE"""),"股上")</f>
        <v>股上</v>
      </c>
      <c r="H379" s="572" t="str">
        <f>IFERROR(__xludf.DUMMYFUNCTION("""COMPUTED_VALUE"""),"0.5")</f>
        <v>0.5</v>
      </c>
      <c r="I379" s="537"/>
      <c r="J379" s="538">
        <f>IFERROR(__xludf.DUMMYFUNCTION("""COMPUTED_VALUE"""),7.0)</f>
        <v>7</v>
      </c>
      <c r="K379" s="537">
        <f>IFERROR(__xludf.DUMMYFUNCTION("""COMPUTED_VALUE"""),46000.0)</f>
        <v>46000</v>
      </c>
      <c r="L379" s="640">
        <f>IFERROR(__xludf.DUMMYFUNCTION("""COMPUTED_VALUE"""),46002.0)</f>
        <v>46002</v>
      </c>
      <c r="M379" s="641">
        <f>IFERROR(__xludf.DUMMYFUNCTION("""COMPUTED_VALUE"""),46002.0)</f>
        <v>46002</v>
      </c>
      <c r="N379" s="539">
        <f>IFERROR(__xludf.DUMMYFUNCTION("""COMPUTED_VALUE"""),6600.0)</f>
        <v>6600</v>
      </c>
      <c r="O379" s="593">
        <f>IFERROR(__xludf.DUMMYFUNCTION("""COMPUTED_VALUE"""),6000.0)</f>
        <v>6000</v>
      </c>
      <c r="P379" s="594">
        <f>IFERROR(__xludf.DUMMYFUNCTION("""COMPUTED_VALUE"""),4000.0)</f>
        <v>4000</v>
      </c>
      <c r="Q379" s="183"/>
      <c r="R379" s="544"/>
      <c r="S379" s="544"/>
      <c r="T379" s="544"/>
      <c r="U379" s="544"/>
      <c r="V379" s="544"/>
      <c r="W379" s="544"/>
      <c r="X379" s="544"/>
      <c r="Y379" s="544"/>
      <c r="Z379" s="544"/>
      <c r="AA379" s="544"/>
      <c r="AB379" s="544"/>
      <c r="AC379" s="544"/>
      <c r="AD379" s="544"/>
      <c r="AE379" s="183"/>
      <c r="AF379" s="183"/>
      <c r="AG379" s="183"/>
      <c r="AH379" s="183"/>
      <c r="AI379" s="183"/>
      <c r="AJ379" s="183"/>
      <c r="AK379" s="183"/>
      <c r="AL379" s="183"/>
      <c r="AM379" s="183"/>
    </row>
    <row r="380" hidden="1">
      <c r="A380" s="531" t="str">
        <f>IFERROR(__xludf.DUMMYFUNCTION("""COMPUTED_VALUE"""),"サイズ")</f>
        <v>サイズ</v>
      </c>
      <c r="B380" s="531" t="str">
        <f>IFERROR(__xludf.DUMMYFUNCTION("""COMPUTED_VALUE"""),"スラックス / カジュアルパンツ")</f>
        <v>スラックス / カジュアルパンツ</v>
      </c>
      <c r="C380" s="531" t="str">
        <f>IFERROR(__xludf.DUMMYFUNCTION("""COMPUTED_VALUE"""),"股上")</f>
        <v>股上</v>
      </c>
      <c r="D380" s="550"/>
      <c r="E380" s="533"/>
      <c r="F380" s="534" t="str">
        <f>IFERROR(__xludf.DUMMYFUNCTION("""COMPUTED_VALUE"""),"股上")</f>
        <v>股上</v>
      </c>
      <c r="G380" s="550" t="str">
        <f>IFERROR(__xludf.DUMMYFUNCTION("""COMPUTED_VALUE"""),"股上")</f>
        <v>股上</v>
      </c>
      <c r="H380" s="572" t="str">
        <f>IFERROR(__xludf.DUMMYFUNCTION("""COMPUTED_VALUE"""),"0.5")</f>
        <v>0.5</v>
      </c>
      <c r="I380" s="537"/>
      <c r="J380" s="538">
        <f>IFERROR(__xludf.DUMMYFUNCTION("""COMPUTED_VALUE"""),7.0)</f>
        <v>7</v>
      </c>
      <c r="K380" s="537">
        <f>IFERROR(__xludf.DUMMYFUNCTION("""COMPUTED_VALUE"""),46000.0)</f>
        <v>46000</v>
      </c>
      <c r="L380" s="640">
        <f>IFERROR(__xludf.DUMMYFUNCTION("""COMPUTED_VALUE"""),46002.0)</f>
        <v>46002</v>
      </c>
      <c r="M380" s="641">
        <f>IFERROR(__xludf.DUMMYFUNCTION("""COMPUTED_VALUE"""),46002.0)</f>
        <v>46002</v>
      </c>
      <c r="N380" s="539">
        <f>IFERROR(__xludf.DUMMYFUNCTION("""COMPUTED_VALUE"""),6600.0)</f>
        <v>6600</v>
      </c>
      <c r="O380" s="593">
        <f>IFERROR(__xludf.DUMMYFUNCTION("""COMPUTED_VALUE"""),6000.0)</f>
        <v>6000</v>
      </c>
      <c r="P380" s="594">
        <f>IFERROR(__xludf.DUMMYFUNCTION("""COMPUTED_VALUE"""),4000.0)</f>
        <v>4000</v>
      </c>
      <c r="Q380" s="183"/>
      <c r="R380" s="544"/>
      <c r="S380" s="544"/>
      <c r="T380" s="544"/>
      <c r="U380" s="544"/>
      <c r="V380" s="544"/>
      <c r="W380" s="544"/>
      <c r="X380" s="544"/>
      <c r="Y380" s="544"/>
      <c r="Z380" s="544"/>
      <c r="AA380" s="544"/>
      <c r="AB380" s="544"/>
      <c r="AC380" s="544"/>
      <c r="AD380" s="544"/>
      <c r="AE380" s="183"/>
      <c r="AF380" s="183"/>
      <c r="AG380" s="183"/>
      <c r="AH380" s="183"/>
      <c r="AI380" s="183"/>
      <c r="AJ380" s="183"/>
      <c r="AK380" s="183"/>
      <c r="AL380" s="183"/>
      <c r="AM380" s="183"/>
    </row>
    <row r="381" hidden="1">
      <c r="A381" s="531" t="str">
        <f>IFERROR(__xludf.DUMMYFUNCTION("""COMPUTED_VALUE"""),"サイズ - ウィメンズ")</f>
        <v>サイズ - ウィメンズ</v>
      </c>
      <c r="B381" s="531" t="str">
        <f>IFERROR(__xludf.DUMMYFUNCTION("""COMPUTED_VALUE"""),"スラックス / カジュアルパンツ")</f>
        <v>スラックス / カジュアルパンツ</v>
      </c>
      <c r="C381" s="531" t="str">
        <f>IFERROR(__xludf.DUMMYFUNCTION("""COMPUTED_VALUE"""),"股上")</f>
        <v>股上</v>
      </c>
      <c r="D381" s="550"/>
      <c r="E381" s="550" t="str">
        <f>IFERROR(__xludf.DUMMYFUNCTION("""COMPUTED_VALUE"""),"出しは尻ぐりの縫い代を出す")</f>
        <v>出しは尻ぐりの縫い代を出す</v>
      </c>
      <c r="F381" s="534" t="str">
        <f>IFERROR(__xludf.DUMMYFUNCTION("""COMPUTED_VALUE"""),"股上")</f>
        <v>股上</v>
      </c>
      <c r="G381" s="550" t="str">
        <f>IFERROR(__xludf.DUMMYFUNCTION("""COMPUTED_VALUE"""),"股上（出しは尻ぐりの縫い代を出す）")</f>
        <v>股上（出しは尻ぐりの縫い代を出す）</v>
      </c>
      <c r="H381" s="572" t="str">
        <f>IFERROR(__xludf.DUMMYFUNCTION("""COMPUTED_VALUE"""),"-0.5")</f>
        <v>-0.5</v>
      </c>
      <c r="I381" s="537"/>
      <c r="J381" s="538">
        <f>IFERROR(__xludf.DUMMYFUNCTION("""COMPUTED_VALUE"""),7.0)</f>
        <v>7</v>
      </c>
      <c r="K381" s="537">
        <f>IFERROR(__xludf.DUMMYFUNCTION("""COMPUTED_VALUE"""),46000.0)</f>
        <v>46000</v>
      </c>
      <c r="L381" s="640">
        <f>IFERROR(__xludf.DUMMYFUNCTION("""COMPUTED_VALUE"""),46003.0)</f>
        <v>46003</v>
      </c>
      <c r="M381" s="641">
        <f>IFERROR(__xludf.DUMMYFUNCTION("""COMPUTED_VALUE"""),46008.0)</f>
        <v>46008</v>
      </c>
      <c r="N381" s="539">
        <f>IFERROR(__xludf.DUMMYFUNCTION("""COMPUTED_VALUE"""),4130.0)</f>
        <v>4130</v>
      </c>
      <c r="O381" s="593">
        <f>IFERROR(__xludf.DUMMYFUNCTION("""COMPUTED_VALUE"""),3750.0)</f>
        <v>3750</v>
      </c>
      <c r="P381" s="594">
        <f>IFERROR(__xludf.DUMMYFUNCTION("""COMPUTED_VALUE"""),2500.0)</f>
        <v>2500</v>
      </c>
      <c r="Q381" s="183"/>
      <c r="R381" s="544"/>
      <c r="S381" s="544"/>
      <c r="T381" s="544"/>
      <c r="U381" s="544"/>
      <c r="V381" s="544"/>
      <c r="W381" s="544"/>
      <c r="X381" s="544"/>
      <c r="Y381" s="544"/>
      <c r="Z381" s="544"/>
      <c r="AA381" s="544"/>
      <c r="AB381" s="544"/>
      <c r="AC381" s="544"/>
      <c r="AD381" s="544"/>
      <c r="AE381" s="183"/>
      <c r="AF381" s="183"/>
      <c r="AG381" s="183"/>
      <c r="AH381" s="183"/>
      <c r="AI381" s="183"/>
      <c r="AJ381" s="183"/>
      <c r="AK381" s="183"/>
      <c r="AL381" s="183"/>
      <c r="AM381" s="183"/>
    </row>
    <row r="382" hidden="1">
      <c r="A382" s="531" t="str">
        <f>IFERROR(__xludf.DUMMYFUNCTION("""COMPUTED_VALUE"""),"サイズ - ウィメンズ")</f>
        <v>サイズ - ウィメンズ</v>
      </c>
      <c r="B382" s="531" t="str">
        <f>IFERROR(__xludf.DUMMYFUNCTION("""COMPUTED_VALUE"""),"スラックス / カジュアルパンツ")</f>
        <v>スラックス / カジュアルパンツ</v>
      </c>
      <c r="C382" s="531" t="str">
        <f>IFERROR(__xludf.DUMMYFUNCTION("""COMPUTED_VALUE"""),"股上")</f>
        <v>股上</v>
      </c>
      <c r="D382" s="550"/>
      <c r="E382" s="550" t="str">
        <f>IFERROR(__xludf.DUMMYFUNCTION("""COMPUTED_VALUE"""),"出しは尻ぐりの縫い代を出す")</f>
        <v>出しは尻ぐりの縫い代を出す</v>
      </c>
      <c r="F382" s="534" t="str">
        <f>IFERROR(__xludf.DUMMYFUNCTION("""COMPUTED_VALUE"""),"股上")</f>
        <v>股上</v>
      </c>
      <c r="G382" s="550" t="str">
        <f>IFERROR(__xludf.DUMMYFUNCTION("""COMPUTED_VALUE"""),"股上（出しは尻ぐりの縫い代を出す）")</f>
        <v>股上（出しは尻ぐりの縫い代を出す）</v>
      </c>
      <c r="H382" s="572" t="str">
        <f>IFERROR(__xludf.DUMMYFUNCTION("""COMPUTED_VALUE"""),"0.5")</f>
        <v>0.5</v>
      </c>
      <c r="I382" s="537"/>
      <c r="J382" s="538">
        <f>IFERROR(__xludf.DUMMYFUNCTION("""COMPUTED_VALUE"""),7.0)</f>
        <v>7</v>
      </c>
      <c r="K382" s="537">
        <f>IFERROR(__xludf.DUMMYFUNCTION("""COMPUTED_VALUE"""),46000.0)</f>
        <v>46000</v>
      </c>
      <c r="L382" s="640">
        <f>IFERROR(__xludf.DUMMYFUNCTION("""COMPUTED_VALUE"""),46003.0)</f>
        <v>46003</v>
      </c>
      <c r="M382" s="641">
        <f>IFERROR(__xludf.DUMMYFUNCTION("""COMPUTED_VALUE"""),46008.0)</f>
        <v>46008</v>
      </c>
      <c r="N382" s="539">
        <f>IFERROR(__xludf.DUMMYFUNCTION("""COMPUTED_VALUE"""),6600.0)</f>
        <v>6600</v>
      </c>
      <c r="O382" s="593">
        <f>IFERROR(__xludf.DUMMYFUNCTION("""COMPUTED_VALUE"""),6000.0)</f>
        <v>6000</v>
      </c>
      <c r="P382" s="594">
        <f>IFERROR(__xludf.DUMMYFUNCTION("""COMPUTED_VALUE"""),4000.0)</f>
        <v>4000</v>
      </c>
      <c r="Q382" s="183"/>
      <c r="R382" s="544"/>
      <c r="S382" s="544"/>
      <c r="T382" s="544"/>
      <c r="U382" s="544"/>
      <c r="V382" s="544"/>
      <c r="W382" s="544"/>
      <c r="X382" s="544"/>
      <c r="Y382" s="544"/>
      <c r="Z382" s="544"/>
      <c r="AA382" s="544"/>
      <c r="AB382" s="544"/>
      <c r="AC382" s="544"/>
      <c r="AD382" s="544"/>
      <c r="AE382" s="183"/>
      <c r="AF382" s="183"/>
      <c r="AG382" s="183"/>
      <c r="AH382" s="183"/>
      <c r="AI382" s="183"/>
      <c r="AJ382" s="183"/>
      <c r="AK382" s="183"/>
      <c r="AL382" s="183"/>
      <c r="AM382" s="183"/>
    </row>
    <row r="383" hidden="1">
      <c r="A383" s="531" t="str">
        <f>IFERROR(__xludf.DUMMYFUNCTION("""COMPUTED_VALUE"""),"サイズ - ウィメンズ")</f>
        <v>サイズ - ウィメンズ</v>
      </c>
      <c r="B383" s="531" t="str">
        <f>IFERROR(__xludf.DUMMYFUNCTION("""COMPUTED_VALUE"""),"スラックス / カジュアルパンツ")</f>
        <v>スラックス / カジュアルパンツ</v>
      </c>
      <c r="C383" s="531" t="str">
        <f>IFERROR(__xludf.DUMMYFUNCTION("""COMPUTED_VALUE"""),"股上")</f>
        <v>股上</v>
      </c>
      <c r="D383" s="550"/>
      <c r="E383" s="550" t="str">
        <f>IFERROR(__xludf.DUMMYFUNCTION("""COMPUTED_VALUE"""),"出しは尻ぐりの縫い代を出す")</f>
        <v>出しは尻ぐりの縫い代を出す</v>
      </c>
      <c r="F383" s="534" t="str">
        <f>IFERROR(__xludf.DUMMYFUNCTION("""COMPUTED_VALUE"""),"股上")</f>
        <v>股上</v>
      </c>
      <c r="G383" s="550" t="str">
        <f>IFERROR(__xludf.DUMMYFUNCTION("""COMPUTED_VALUE"""),"股上（出しは尻ぐりの縫い代を出す）")</f>
        <v>股上（出しは尻ぐりの縫い代を出す）</v>
      </c>
      <c r="H383" s="572" t="str">
        <f>IFERROR(__xludf.DUMMYFUNCTION("""COMPUTED_VALUE"""),"0.5")</f>
        <v>0.5</v>
      </c>
      <c r="I383" s="537"/>
      <c r="J383" s="538">
        <f>IFERROR(__xludf.DUMMYFUNCTION("""COMPUTED_VALUE"""),7.0)</f>
        <v>7</v>
      </c>
      <c r="K383" s="537">
        <f>IFERROR(__xludf.DUMMYFUNCTION("""COMPUTED_VALUE"""),46000.0)</f>
        <v>46000</v>
      </c>
      <c r="L383" s="640">
        <f>IFERROR(__xludf.DUMMYFUNCTION("""COMPUTED_VALUE"""),46003.0)</f>
        <v>46003</v>
      </c>
      <c r="M383" s="641">
        <f>IFERROR(__xludf.DUMMYFUNCTION("""COMPUTED_VALUE"""),46008.0)</f>
        <v>46008</v>
      </c>
      <c r="N383" s="539">
        <f>IFERROR(__xludf.DUMMYFUNCTION("""COMPUTED_VALUE"""),6600.0)</f>
        <v>6600</v>
      </c>
      <c r="O383" s="593">
        <f>IFERROR(__xludf.DUMMYFUNCTION("""COMPUTED_VALUE"""),6000.0)</f>
        <v>6000</v>
      </c>
      <c r="P383" s="594">
        <f>IFERROR(__xludf.DUMMYFUNCTION("""COMPUTED_VALUE"""),4000.0)</f>
        <v>4000</v>
      </c>
      <c r="Q383" s="183"/>
      <c r="R383" s="544"/>
      <c r="S383" s="544"/>
      <c r="T383" s="544"/>
      <c r="U383" s="544"/>
      <c r="V383" s="544"/>
      <c r="W383" s="544"/>
      <c r="X383" s="544"/>
      <c r="Y383" s="544"/>
      <c r="Z383" s="544"/>
      <c r="AA383" s="544"/>
      <c r="AB383" s="544"/>
      <c r="AC383" s="544"/>
      <c r="AD383" s="544"/>
      <c r="AE383" s="183"/>
      <c r="AF383" s="183"/>
      <c r="AG383" s="183"/>
      <c r="AH383" s="183"/>
      <c r="AI383" s="183"/>
      <c r="AJ383" s="183"/>
      <c r="AK383" s="183"/>
      <c r="AL383" s="183"/>
      <c r="AM383" s="183"/>
    </row>
    <row r="384" hidden="1">
      <c r="A384" s="531" t="str">
        <f>IFERROR(__xludf.DUMMYFUNCTION("""COMPUTED_VALUE"""),"サイズ")</f>
        <v>サイズ</v>
      </c>
      <c r="B384" s="531" t="str">
        <f>IFERROR(__xludf.DUMMYFUNCTION("""COMPUTED_VALUE"""),"スラックス / カジュアルパンツ")</f>
        <v>スラックス / カジュアルパンツ</v>
      </c>
      <c r="C384" s="531" t="str">
        <f>IFERROR(__xludf.DUMMYFUNCTION("""COMPUTED_VALUE"""),"股下")</f>
        <v>股下</v>
      </c>
      <c r="D384" s="550" t="str">
        <f>IFERROR(__xludf.DUMMYFUNCTION("""COMPUTED_VALUE"""),"シングル")</f>
        <v>シングル</v>
      </c>
      <c r="E384" s="550" t="str">
        <f>IFERROR(__xludf.DUMMYFUNCTION("""COMPUTED_VALUE"""),"左右であっても1箇所換算")</f>
        <v>左右であっても1箇所換算</v>
      </c>
      <c r="F384" s="534" t="str">
        <f>IFERROR(__xludf.DUMMYFUNCTION("""COMPUTED_VALUE"""),"股下 / シングル")</f>
        <v>股下 / シングル</v>
      </c>
      <c r="G384" s="550" t="str">
        <f>IFERROR(__xludf.DUMMYFUNCTION("""COMPUTED_VALUE"""),"股下 / シングル（左右であっても1箇所換算）")</f>
        <v>股下 / シングル（左右であっても1箇所換算）</v>
      </c>
      <c r="H384" s="572" t="str">
        <f>IFERROR(__xludf.DUMMYFUNCTION("""COMPUTED_VALUE"""),"-6")</f>
        <v>-6</v>
      </c>
      <c r="I384" s="537"/>
      <c r="J384" s="538">
        <f>IFERROR(__xludf.DUMMYFUNCTION("""COMPUTED_VALUE"""),5.0)</f>
        <v>5</v>
      </c>
      <c r="K384" s="537">
        <f>IFERROR(__xludf.DUMMYFUNCTION("""COMPUTED_VALUE"""),45996.0)</f>
        <v>45996</v>
      </c>
      <c r="L384" s="640">
        <f>IFERROR(__xludf.DUMMYFUNCTION("""COMPUTED_VALUE"""),46002.0)</f>
        <v>46002</v>
      </c>
      <c r="M384" s="641">
        <f>IFERROR(__xludf.DUMMYFUNCTION("""COMPUTED_VALUE"""),46002.0)</f>
        <v>46002</v>
      </c>
      <c r="N384" s="539">
        <f>IFERROR(__xludf.DUMMYFUNCTION("""COMPUTED_VALUE"""),3300.0)</f>
        <v>3300</v>
      </c>
      <c r="O384" s="593">
        <f>IFERROR(__xludf.DUMMYFUNCTION("""COMPUTED_VALUE"""),3000.0)</f>
        <v>3000</v>
      </c>
      <c r="P384" s="594">
        <f>IFERROR(__xludf.DUMMYFUNCTION("""COMPUTED_VALUE"""),900.0)</f>
        <v>900</v>
      </c>
      <c r="Q384" s="183"/>
      <c r="R384" s="544"/>
      <c r="S384" s="544"/>
      <c r="T384" s="544"/>
      <c r="U384" s="544"/>
      <c r="V384" s="544"/>
      <c r="W384" s="544"/>
      <c r="X384" s="544"/>
      <c r="Y384" s="544"/>
      <c r="Z384" s="544"/>
      <c r="AA384" s="544"/>
      <c r="AB384" s="544"/>
      <c r="AC384" s="544"/>
      <c r="AD384" s="544"/>
      <c r="AE384" s="183"/>
      <c r="AF384" s="183"/>
      <c r="AG384" s="183"/>
      <c r="AH384" s="183"/>
      <c r="AI384" s="183"/>
      <c r="AJ384" s="183"/>
      <c r="AK384" s="183"/>
      <c r="AL384" s="183"/>
      <c r="AM384" s="183"/>
    </row>
    <row r="385" hidden="1">
      <c r="A385" s="531" t="str">
        <f>IFERROR(__xludf.DUMMYFUNCTION("""COMPUTED_VALUE"""),"サイズ")</f>
        <v>サイズ</v>
      </c>
      <c r="B385" s="531" t="str">
        <f>IFERROR(__xludf.DUMMYFUNCTION("""COMPUTED_VALUE"""),"スラックス / カジュアルパンツ")</f>
        <v>スラックス / カジュアルパンツ</v>
      </c>
      <c r="C385" s="531" t="str">
        <f>IFERROR(__xludf.DUMMYFUNCTION("""COMPUTED_VALUE"""),"股下")</f>
        <v>股下</v>
      </c>
      <c r="D385" s="550" t="str">
        <f>IFERROR(__xludf.DUMMYFUNCTION("""COMPUTED_VALUE"""),"シングル")</f>
        <v>シングル</v>
      </c>
      <c r="E385" s="550" t="str">
        <f>IFERROR(__xludf.DUMMYFUNCTION("""COMPUTED_VALUE"""),"左右であっても1箇所換算")</f>
        <v>左右であっても1箇所換算</v>
      </c>
      <c r="F385" s="534" t="str">
        <f>IFERROR(__xludf.DUMMYFUNCTION("""COMPUTED_VALUE"""),"股下 / シングル")</f>
        <v>股下 / シングル</v>
      </c>
      <c r="G385" s="550" t="str">
        <f>IFERROR(__xludf.DUMMYFUNCTION("""COMPUTED_VALUE"""),"股下 / シングル（左右であっても1箇所換算）")</f>
        <v>股下 / シングル（左右であっても1箇所換算）</v>
      </c>
      <c r="H385" s="572" t="str">
        <f>IFERROR(__xludf.DUMMYFUNCTION("""COMPUTED_VALUE"""),"-5")</f>
        <v>-5</v>
      </c>
      <c r="I385" s="537"/>
      <c r="J385" s="538">
        <f>IFERROR(__xludf.DUMMYFUNCTION("""COMPUTED_VALUE"""),5.0)</f>
        <v>5</v>
      </c>
      <c r="K385" s="537">
        <f>IFERROR(__xludf.DUMMYFUNCTION("""COMPUTED_VALUE"""),45996.0)</f>
        <v>45996</v>
      </c>
      <c r="L385" s="640">
        <f>IFERROR(__xludf.DUMMYFUNCTION("""COMPUTED_VALUE"""),46002.0)</f>
        <v>46002</v>
      </c>
      <c r="M385" s="641">
        <f>IFERROR(__xludf.DUMMYFUNCTION("""COMPUTED_VALUE"""),46002.0)</f>
        <v>46002</v>
      </c>
      <c r="N385" s="539">
        <f>IFERROR(__xludf.DUMMYFUNCTION("""COMPUTED_VALUE"""),3300.0)</f>
        <v>3300</v>
      </c>
      <c r="O385" s="593">
        <f>IFERROR(__xludf.DUMMYFUNCTION("""COMPUTED_VALUE"""),3000.0)</f>
        <v>3000</v>
      </c>
      <c r="P385" s="594">
        <f>IFERROR(__xludf.DUMMYFUNCTION("""COMPUTED_VALUE"""),900.0)</f>
        <v>900</v>
      </c>
      <c r="Q385" s="183"/>
      <c r="R385" s="544"/>
      <c r="S385" s="544"/>
      <c r="T385" s="544"/>
      <c r="U385" s="544"/>
      <c r="V385" s="544"/>
      <c r="W385" s="544"/>
      <c r="X385" s="544"/>
      <c r="Y385" s="544"/>
      <c r="Z385" s="544"/>
      <c r="AA385" s="544"/>
      <c r="AB385" s="544"/>
      <c r="AC385" s="544"/>
      <c r="AD385" s="544"/>
      <c r="AE385" s="183"/>
      <c r="AF385" s="183"/>
      <c r="AG385" s="183"/>
      <c r="AH385" s="183"/>
      <c r="AI385" s="183"/>
      <c r="AJ385" s="183"/>
      <c r="AK385" s="183"/>
      <c r="AL385" s="183"/>
      <c r="AM385" s="183"/>
    </row>
    <row r="386" hidden="1">
      <c r="A386" s="531" t="str">
        <f>IFERROR(__xludf.DUMMYFUNCTION("""COMPUTED_VALUE"""),"サイズ")</f>
        <v>サイズ</v>
      </c>
      <c r="B386" s="531" t="str">
        <f>IFERROR(__xludf.DUMMYFUNCTION("""COMPUTED_VALUE"""),"スラックス / カジュアルパンツ")</f>
        <v>スラックス / カジュアルパンツ</v>
      </c>
      <c r="C386" s="531" t="str">
        <f>IFERROR(__xludf.DUMMYFUNCTION("""COMPUTED_VALUE"""),"股下")</f>
        <v>股下</v>
      </c>
      <c r="D386" s="550" t="str">
        <f>IFERROR(__xludf.DUMMYFUNCTION("""COMPUTED_VALUE"""),"シングル")</f>
        <v>シングル</v>
      </c>
      <c r="E386" s="550" t="str">
        <f>IFERROR(__xludf.DUMMYFUNCTION("""COMPUTED_VALUE"""),"左右であっても1箇所換算")</f>
        <v>左右であっても1箇所換算</v>
      </c>
      <c r="F386" s="534" t="str">
        <f>IFERROR(__xludf.DUMMYFUNCTION("""COMPUTED_VALUE"""),"股下 / シングル")</f>
        <v>股下 / シングル</v>
      </c>
      <c r="G386" s="550" t="str">
        <f>IFERROR(__xludf.DUMMYFUNCTION("""COMPUTED_VALUE"""),"股下 / シングル（左右であっても1箇所換算）")</f>
        <v>股下 / シングル（左右であっても1箇所換算）</v>
      </c>
      <c r="H386" s="572" t="str">
        <f>IFERROR(__xludf.DUMMYFUNCTION("""COMPUTED_VALUE"""),"-4.5")</f>
        <v>-4.5</v>
      </c>
      <c r="I386" s="537"/>
      <c r="J386" s="538">
        <f>IFERROR(__xludf.DUMMYFUNCTION("""COMPUTED_VALUE"""),5.0)</f>
        <v>5</v>
      </c>
      <c r="K386" s="537">
        <f>IFERROR(__xludf.DUMMYFUNCTION("""COMPUTED_VALUE"""),45996.0)</f>
        <v>45996</v>
      </c>
      <c r="L386" s="640">
        <f>IFERROR(__xludf.DUMMYFUNCTION("""COMPUTED_VALUE"""),46002.0)</f>
        <v>46002</v>
      </c>
      <c r="M386" s="641">
        <f>IFERROR(__xludf.DUMMYFUNCTION("""COMPUTED_VALUE"""),46002.0)</f>
        <v>46002</v>
      </c>
      <c r="N386" s="539">
        <f>IFERROR(__xludf.DUMMYFUNCTION("""COMPUTED_VALUE"""),3300.0)</f>
        <v>3300</v>
      </c>
      <c r="O386" s="593">
        <f>IFERROR(__xludf.DUMMYFUNCTION("""COMPUTED_VALUE"""),3000.0)</f>
        <v>3000</v>
      </c>
      <c r="P386" s="594">
        <f>IFERROR(__xludf.DUMMYFUNCTION("""COMPUTED_VALUE"""),900.0)</f>
        <v>900</v>
      </c>
      <c r="Q386" s="183"/>
      <c r="R386" s="544"/>
      <c r="S386" s="544"/>
      <c r="T386" s="544"/>
      <c r="U386" s="544"/>
      <c r="V386" s="544"/>
      <c r="W386" s="544"/>
      <c r="X386" s="544"/>
      <c r="Y386" s="544"/>
      <c r="Z386" s="544"/>
      <c r="AA386" s="544"/>
      <c r="AB386" s="544"/>
      <c r="AC386" s="544"/>
      <c r="AD386" s="544"/>
      <c r="AE386" s="183"/>
      <c r="AF386" s="183"/>
      <c r="AG386" s="183"/>
      <c r="AH386" s="183"/>
      <c r="AI386" s="183"/>
      <c r="AJ386" s="183"/>
      <c r="AK386" s="183"/>
      <c r="AL386" s="183"/>
      <c r="AM386" s="183"/>
    </row>
    <row r="387" hidden="1">
      <c r="A387" s="531" t="str">
        <f>IFERROR(__xludf.DUMMYFUNCTION("""COMPUTED_VALUE"""),"サイズ")</f>
        <v>サイズ</v>
      </c>
      <c r="B387" s="531" t="str">
        <f>IFERROR(__xludf.DUMMYFUNCTION("""COMPUTED_VALUE"""),"スラックス / カジュアルパンツ")</f>
        <v>スラックス / カジュアルパンツ</v>
      </c>
      <c r="C387" s="531" t="str">
        <f>IFERROR(__xludf.DUMMYFUNCTION("""COMPUTED_VALUE"""),"股下")</f>
        <v>股下</v>
      </c>
      <c r="D387" s="550" t="str">
        <f>IFERROR(__xludf.DUMMYFUNCTION("""COMPUTED_VALUE"""),"シングル")</f>
        <v>シングル</v>
      </c>
      <c r="E387" s="550" t="str">
        <f>IFERROR(__xludf.DUMMYFUNCTION("""COMPUTED_VALUE"""),"左右であっても1箇所換算")</f>
        <v>左右であっても1箇所換算</v>
      </c>
      <c r="F387" s="534" t="str">
        <f>IFERROR(__xludf.DUMMYFUNCTION("""COMPUTED_VALUE"""),"股下 / シングル")</f>
        <v>股下 / シングル</v>
      </c>
      <c r="G387" s="550" t="str">
        <f>IFERROR(__xludf.DUMMYFUNCTION("""COMPUTED_VALUE"""),"股下 / シングル（左右であっても1箇所換算）")</f>
        <v>股下 / シングル（左右であっても1箇所換算）</v>
      </c>
      <c r="H387" s="572" t="str">
        <f>IFERROR(__xludf.DUMMYFUNCTION("""COMPUTED_VALUE"""),"-4")</f>
        <v>-4</v>
      </c>
      <c r="I387" s="537"/>
      <c r="J387" s="538">
        <f>IFERROR(__xludf.DUMMYFUNCTION("""COMPUTED_VALUE"""),5.0)</f>
        <v>5</v>
      </c>
      <c r="K387" s="537">
        <f>IFERROR(__xludf.DUMMYFUNCTION("""COMPUTED_VALUE"""),45996.0)</f>
        <v>45996</v>
      </c>
      <c r="L387" s="640">
        <f>IFERROR(__xludf.DUMMYFUNCTION("""COMPUTED_VALUE"""),46002.0)</f>
        <v>46002</v>
      </c>
      <c r="M387" s="641">
        <f>IFERROR(__xludf.DUMMYFUNCTION("""COMPUTED_VALUE"""),46002.0)</f>
        <v>46002</v>
      </c>
      <c r="N387" s="539">
        <f>IFERROR(__xludf.DUMMYFUNCTION("""COMPUTED_VALUE"""),3300.0)</f>
        <v>3300</v>
      </c>
      <c r="O387" s="593">
        <f>IFERROR(__xludf.DUMMYFUNCTION("""COMPUTED_VALUE"""),3000.0)</f>
        <v>3000</v>
      </c>
      <c r="P387" s="594">
        <f>IFERROR(__xludf.DUMMYFUNCTION("""COMPUTED_VALUE"""),900.0)</f>
        <v>900</v>
      </c>
      <c r="Q387" s="183"/>
      <c r="R387" s="544"/>
      <c r="S387" s="544"/>
      <c r="T387" s="544"/>
      <c r="U387" s="544"/>
      <c r="V387" s="544"/>
      <c r="W387" s="544"/>
      <c r="X387" s="544"/>
      <c r="Y387" s="544"/>
      <c r="Z387" s="544"/>
      <c r="AA387" s="544"/>
      <c r="AB387" s="544"/>
      <c r="AC387" s="544"/>
      <c r="AD387" s="544"/>
      <c r="AE387" s="183"/>
      <c r="AF387" s="183"/>
      <c r="AG387" s="183"/>
      <c r="AH387" s="183"/>
      <c r="AI387" s="183"/>
      <c r="AJ387" s="183"/>
      <c r="AK387" s="183"/>
      <c r="AL387" s="183"/>
      <c r="AM387" s="183"/>
    </row>
    <row r="388" hidden="1">
      <c r="A388" s="531" t="str">
        <f>IFERROR(__xludf.DUMMYFUNCTION("""COMPUTED_VALUE"""),"サイズ")</f>
        <v>サイズ</v>
      </c>
      <c r="B388" s="531" t="str">
        <f>IFERROR(__xludf.DUMMYFUNCTION("""COMPUTED_VALUE"""),"スラックス / カジュアルパンツ")</f>
        <v>スラックス / カジュアルパンツ</v>
      </c>
      <c r="C388" s="531" t="str">
        <f>IFERROR(__xludf.DUMMYFUNCTION("""COMPUTED_VALUE"""),"股下")</f>
        <v>股下</v>
      </c>
      <c r="D388" s="550" t="str">
        <f>IFERROR(__xludf.DUMMYFUNCTION("""COMPUTED_VALUE"""),"シングル")</f>
        <v>シングル</v>
      </c>
      <c r="E388" s="550" t="str">
        <f>IFERROR(__xludf.DUMMYFUNCTION("""COMPUTED_VALUE"""),"左右であっても1箇所換算")</f>
        <v>左右であっても1箇所換算</v>
      </c>
      <c r="F388" s="534" t="str">
        <f>IFERROR(__xludf.DUMMYFUNCTION("""COMPUTED_VALUE"""),"股下 / シングル")</f>
        <v>股下 / シングル</v>
      </c>
      <c r="G388" s="550" t="str">
        <f>IFERROR(__xludf.DUMMYFUNCTION("""COMPUTED_VALUE"""),"股下 / シングル（左右であっても1箇所換算）")</f>
        <v>股下 / シングル（左右であっても1箇所換算）</v>
      </c>
      <c r="H388" s="572" t="str">
        <f>IFERROR(__xludf.DUMMYFUNCTION("""COMPUTED_VALUE"""),"-3.5")</f>
        <v>-3.5</v>
      </c>
      <c r="I388" s="537"/>
      <c r="J388" s="538">
        <f>IFERROR(__xludf.DUMMYFUNCTION("""COMPUTED_VALUE"""),5.0)</f>
        <v>5</v>
      </c>
      <c r="K388" s="537">
        <f>IFERROR(__xludf.DUMMYFUNCTION("""COMPUTED_VALUE"""),45996.0)</f>
        <v>45996</v>
      </c>
      <c r="L388" s="640">
        <f>IFERROR(__xludf.DUMMYFUNCTION("""COMPUTED_VALUE"""),46002.0)</f>
        <v>46002</v>
      </c>
      <c r="M388" s="641">
        <f>IFERROR(__xludf.DUMMYFUNCTION("""COMPUTED_VALUE"""),46002.0)</f>
        <v>46002</v>
      </c>
      <c r="N388" s="539">
        <f>IFERROR(__xludf.DUMMYFUNCTION("""COMPUTED_VALUE"""),3300.0)</f>
        <v>3300</v>
      </c>
      <c r="O388" s="593">
        <f>IFERROR(__xludf.DUMMYFUNCTION("""COMPUTED_VALUE"""),3000.0)</f>
        <v>3000</v>
      </c>
      <c r="P388" s="594">
        <f>IFERROR(__xludf.DUMMYFUNCTION("""COMPUTED_VALUE"""),900.0)</f>
        <v>900</v>
      </c>
      <c r="Q388" s="183"/>
      <c r="R388" s="544"/>
      <c r="S388" s="544"/>
      <c r="T388" s="544"/>
      <c r="U388" s="544"/>
      <c r="V388" s="544"/>
      <c r="W388" s="544"/>
      <c r="X388" s="544"/>
      <c r="Y388" s="544"/>
      <c r="Z388" s="544"/>
      <c r="AA388" s="544"/>
      <c r="AB388" s="544"/>
      <c r="AC388" s="544"/>
      <c r="AD388" s="544"/>
      <c r="AE388" s="183"/>
      <c r="AF388" s="183"/>
      <c r="AG388" s="183"/>
      <c r="AH388" s="183"/>
      <c r="AI388" s="183"/>
      <c r="AJ388" s="183"/>
      <c r="AK388" s="183"/>
      <c r="AL388" s="183"/>
      <c r="AM388" s="183"/>
    </row>
    <row r="389" hidden="1">
      <c r="A389" s="531" t="str">
        <f>IFERROR(__xludf.DUMMYFUNCTION("""COMPUTED_VALUE"""),"サイズ")</f>
        <v>サイズ</v>
      </c>
      <c r="B389" s="531" t="str">
        <f>IFERROR(__xludf.DUMMYFUNCTION("""COMPUTED_VALUE"""),"スラックス / カジュアルパンツ")</f>
        <v>スラックス / カジュアルパンツ</v>
      </c>
      <c r="C389" s="531" t="str">
        <f>IFERROR(__xludf.DUMMYFUNCTION("""COMPUTED_VALUE"""),"股下")</f>
        <v>股下</v>
      </c>
      <c r="D389" s="550" t="str">
        <f>IFERROR(__xludf.DUMMYFUNCTION("""COMPUTED_VALUE"""),"シングル")</f>
        <v>シングル</v>
      </c>
      <c r="E389" s="550" t="str">
        <f>IFERROR(__xludf.DUMMYFUNCTION("""COMPUTED_VALUE"""),"左右であっても1箇所換算")</f>
        <v>左右であっても1箇所換算</v>
      </c>
      <c r="F389" s="534" t="str">
        <f>IFERROR(__xludf.DUMMYFUNCTION("""COMPUTED_VALUE"""),"股下 / シングル")</f>
        <v>股下 / シングル</v>
      </c>
      <c r="G389" s="550" t="str">
        <f>IFERROR(__xludf.DUMMYFUNCTION("""COMPUTED_VALUE"""),"股下 / シングル（左右であっても1箇所換算）")</f>
        <v>股下 / シングル（左右であっても1箇所換算）</v>
      </c>
      <c r="H389" s="572" t="str">
        <f>IFERROR(__xludf.DUMMYFUNCTION("""COMPUTED_VALUE"""),"-3")</f>
        <v>-3</v>
      </c>
      <c r="I389" s="537"/>
      <c r="J389" s="538">
        <f>IFERROR(__xludf.DUMMYFUNCTION("""COMPUTED_VALUE"""),5.0)</f>
        <v>5</v>
      </c>
      <c r="K389" s="537">
        <f>IFERROR(__xludf.DUMMYFUNCTION("""COMPUTED_VALUE"""),45996.0)</f>
        <v>45996</v>
      </c>
      <c r="L389" s="640">
        <f>IFERROR(__xludf.DUMMYFUNCTION("""COMPUTED_VALUE"""),46002.0)</f>
        <v>46002</v>
      </c>
      <c r="M389" s="641">
        <f>IFERROR(__xludf.DUMMYFUNCTION("""COMPUTED_VALUE"""),46002.0)</f>
        <v>46002</v>
      </c>
      <c r="N389" s="539">
        <f>IFERROR(__xludf.DUMMYFUNCTION("""COMPUTED_VALUE"""),3300.0)</f>
        <v>3300</v>
      </c>
      <c r="O389" s="593">
        <f>IFERROR(__xludf.DUMMYFUNCTION("""COMPUTED_VALUE"""),3000.0)</f>
        <v>3000</v>
      </c>
      <c r="P389" s="594">
        <f>IFERROR(__xludf.DUMMYFUNCTION("""COMPUTED_VALUE"""),900.0)</f>
        <v>900</v>
      </c>
      <c r="Q389" s="183"/>
      <c r="R389" s="544"/>
      <c r="S389" s="544"/>
      <c r="T389" s="544"/>
      <c r="U389" s="544"/>
      <c r="V389" s="544"/>
      <c r="W389" s="544"/>
      <c r="X389" s="544"/>
      <c r="Y389" s="544"/>
      <c r="Z389" s="544"/>
      <c r="AA389" s="544"/>
      <c r="AB389" s="544"/>
      <c r="AC389" s="544"/>
      <c r="AD389" s="544"/>
      <c r="AE389" s="183"/>
      <c r="AF389" s="183"/>
      <c r="AG389" s="183"/>
      <c r="AH389" s="183"/>
      <c r="AI389" s="183"/>
      <c r="AJ389" s="183"/>
      <c r="AK389" s="183"/>
      <c r="AL389" s="183"/>
      <c r="AM389" s="183"/>
    </row>
    <row r="390" hidden="1">
      <c r="A390" s="531" t="str">
        <f>IFERROR(__xludf.DUMMYFUNCTION("""COMPUTED_VALUE"""),"サイズ")</f>
        <v>サイズ</v>
      </c>
      <c r="B390" s="531" t="str">
        <f>IFERROR(__xludf.DUMMYFUNCTION("""COMPUTED_VALUE"""),"スラックス / カジュアルパンツ")</f>
        <v>スラックス / カジュアルパンツ</v>
      </c>
      <c r="C390" s="531" t="str">
        <f>IFERROR(__xludf.DUMMYFUNCTION("""COMPUTED_VALUE"""),"股下")</f>
        <v>股下</v>
      </c>
      <c r="D390" s="550" t="str">
        <f>IFERROR(__xludf.DUMMYFUNCTION("""COMPUTED_VALUE"""),"シングル")</f>
        <v>シングル</v>
      </c>
      <c r="E390" s="550" t="str">
        <f>IFERROR(__xludf.DUMMYFUNCTION("""COMPUTED_VALUE"""),"左右であっても1箇所換算")</f>
        <v>左右であっても1箇所換算</v>
      </c>
      <c r="F390" s="534" t="str">
        <f>IFERROR(__xludf.DUMMYFUNCTION("""COMPUTED_VALUE"""),"股下 / シングル")</f>
        <v>股下 / シングル</v>
      </c>
      <c r="G390" s="550" t="str">
        <f>IFERROR(__xludf.DUMMYFUNCTION("""COMPUTED_VALUE"""),"股下 / シングル（左右であっても1箇所換算）")</f>
        <v>股下 / シングル（左右であっても1箇所換算）</v>
      </c>
      <c r="H390" s="572" t="str">
        <f>IFERROR(__xludf.DUMMYFUNCTION("""COMPUTED_VALUE"""),"-2.5")</f>
        <v>-2.5</v>
      </c>
      <c r="I390" s="537"/>
      <c r="J390" s="538">
        <f>IFERROR(__xludf.DUMMYFUNCTION("""COMPUTED_VALUE"""),5.0)</f>
        <v>5</v>
      </c>
      <c r="K390" s="537">
        <f>IFERROR(__xludf.DUMMYFUNCTION("""COMPUTED_VALUE"""),45996.0)</f>
        <v>45996</v>
      </c>
      <c r="L390" s="640">
        <f>IFERROR(__xludf.DUMMYFUNCTION("""COMPUTED_VALUE"""),46002.0)</f>
        <v>46002</v>
      </c>
      <c r="M390" s="641">
        <f>IFERROR(__xludf.DUMMYFUNCTION("""COMPUTED_VALUE"""),46002.0)</f>
        <v>46002</v>
      </c>
      <c r="N390" s="539">
        <f>IFERROR(__xludf.DUMMYFUNCTION("""COMPUTED_VALUE"""),3300.0)</f>
        <v>3300</v>
      </c>
      <c r="O390" s="593">
        <f>IFERROR(__xludf.DUMMYFUNCTION("""COMPUTED_VALUE"""),3000.0)</f>
        <v>3000</v>
      </c>
      <c r="P390" s="594">
        <f>IFERROR(__xludf.DUMMYFUNCTION("""COMPUTED_VALUE"""),900.0)</f>
        <v>900</v>
      </c>
      <c r="Q390" s="183"/>
      <c r="R390" s="544"/>
      <c r="S390" s="544"/>
      <c r="T390" s="544"/>
      <c r="U390" s="544"/>
      <c r="V390" s="544"/>
      <c r="W390" s="544"/>
      <c r="X390" s="544"/>
      <c r="Y390" s="544"/>
      <c r="Z390" s="544"/>
      <c r="AA390" s="544"/>
      <c r="AB390" s="544"/>
      <c r="AC390" s="544"/>
      <c r="AD390" s="544"/>
      <c r="AE390" s="183"/>
      <c r="AF390" s="183"/>
      <c r="AG390" s="183"/>
      <c r="AH390" s="183"/>
      <c r="AI390" s="183"/>
      <c r="AJ390" s="183"/>
      <c r="AK390" s="183"/>
      <c r="AL390" s="183"/>
      <c r="AM390" s="183"/>
    </row>
    <row r="391" hidden="1">
      <c r="A391" s="531" t="str">
        <f>IFERROR(__xludf.DUMMYFUNCTION("""COMPUTED_VALUE"""),"サイズ")</f>
        <v>サイズ</v>
      </c>
      <c r="B391" s="531" t="str">
        <f>IFERROR(__xludf.DUMMYFUNCTION("""COMPUTED_VALUE"""),"スラックス / カジュアルパンツ")</f>
        <v>スラックス / カジュアルパンツ</v>
      </c>
      <c r="C391" s="531" t="str">
        <f>IFERROR(__xludf.DUMMYFUNCTION("""COMPUTED_VALUE"""),"股下")</f>
        <v>股下</v>
      </c>
      <c r="D391" s="550" t="str">
        <f>IFERROR(__xludf.DUMMYFUNCTION("""COMPUTED_VALUE"""),"シングル")</f>
        <v>シングル</v>
      </c>
      <c r="E391" s="550" t="str">
        <f>IFERROR(__xludf.DUMMYFUNCTION("""COMPUTED_VALUE"""),"左右であっても1箇所換算")</f>
        <v>左右であっても1箇所換算</v>
      </c>
      <c r="F391" s="534" t="str">
        <f>IFERROR(__xludf.DUMMYFUNCTION("""COMPUTED_VALUE"""),"股下 / シングル")</f>
        <v>股下 / シングル</v>
      </c>
      <c r="G391" s="550" t="str">
        <f>IFERROR(__xludf.DUMMYFUNCTION("""COMPUTED_VALUE"""),"股下 / シングル（左右であっても1箇所換算）")</f>
        <v>股下 / シングル（左右であっても1箇所換算）</v>
      </c>
      <c r="H391" s="572" t="str">
        <f>IFERROR(__xludf.DUMMYFUNCTION("""COMPUTED_VALUE"""),"-2")</f>
        <v>-2</v>
      </c>
      <c r="I391" s="537"/>
      <c r="J391" s="538">
        <f>IFERROR(__xludf.DUMMYFUNCTION("""COMPUTED_VALUE"""),5.0)</f>
        <v>5</v>
      </c>
      <c r="K391" s="537">
        <f>IFERROR(__xludf.DUMMYFUNCTION("""COMPUTED_VALUE"""),45996.0)</f>
        <v>45996</v>
      </c>
      <c r="L391" s="640">
        <f>IFERROR(__xludf.DUMMYFUNCTION("""COMPUTED_VALUE"""),46002.0)</f>
        <v>46002</v>
      </c>
      <c r="M391" s="641">
        <f>IFERROR(__xludf.DUMMYFUNCTION("""COMPUTED_VALUE"""),46002.0)</f>
        <v>46002</v>
      </c>
      <c r="N391" s="539">
        <f>IFERROR(__xludf.DUMMYFUNCTION("""COMPUTED_VALUE"""),3300.0)</f>
        <v>3300</v>
      </c>
      <c r="O391" s="593">
        <f>IFERROR(__xludf.DUMMYFUNCTION("""COMPUTED_VALUE"""),3000.0)</f>
        <v>3000</v>
      </c>
      <c r="P391" s="594">
        <f>IFERROR(__xludf.DUMMYFUNCTION("""COMPUTED_VALUE"""),900.0)</f>
        <v>900</v>
      </c>
      <c r="Q391" s="183"/>
      <c r="R391" s="544"/>
      <c r="S391" s="544"/>
      <c r="T391" s="544"/>
      <c r="U391" s="544"/>
      <c r="V391" s="544"/>
      <c r="W391" s="544"/>
      <c r="X391" s="544"/>
      <c r="Y391" s="544"/>
      <c r="Z391" s="544"/>
      <c r="AA391" s="544"/>
      <c r="AB391" s="544"/>
      <c r="AC391" s="544"/>
      <c r="AD391" s="544"/>
      <c r="AE391" s="183"/>
      <c r="AF391" s="183"/>
      <c r="AG391" s="183"/>
      <c r="AH391" s="183"/>
      <c r="AI391" s="183"/>
      <c r="AJ391" s="183"/>
      <c r="AK391" s="183"/>
      <c r="AL391" s="183"/>
      <c r="AM391" s="183"/>
    </row>
    <row r="392" hidden="1">
      <c r="A392" s="531" t="str">
        <f>IFERROR(__xludf.DUMMYFUNCTION("""COMPUTED_VALUE"""),"サイズ")</f>
        <v>サイズ</v>
      </c>
      <c r="B392" s="531" t="str">
        <f>IFERROR(__xludf.DUMMYFUNCTION("""COMPUTED_VALUE"""),"スラックス / カジュアルパンツ")</f>
        <v>スラックス / カジュアルパンツ</v>
      </c>
      <c r="C392" s="531" t="str">
        <f>IFERROR(__xludf.DUMMYFUNCTION("""COMPUTED_VALUE"""),"股下")</f>
        <v>股下</v>
      </c>
      <c r="D392" s="550" t="str">
        <f>IFERROR(__xludf.DUMMYFUNCTION("""COMPUTED_VALUE"""),"シングル")</f>
        <v>シングル</v>
      </c>
      <c r="E392" s="550" t="str">
        <f>IFERROR(__xludf.DUMMYFUNCTION("""COMPUTED_VALUE"""),"左右であっても1箇所換算")</f>
        <v>左右であっても1箇所換算</v>
      </c>
      <c r="F392" s="534" t="str">
        <f>IFERROR(__xludf.DUMMYFUNCTION("""COMPUTED_VALUE"""),"股下 / シングル")</f>
        <v>股下 / シングル</v>
      </c>
      <c r="G392" s="550" t="str">
        <f>IFERROR(__xludf.DUMMYFUNCTION("""COMPUTED_VALUE"""),"股下 / シングル（左右であっても1箇所換算）")</f>
        <v>股下 / シングル（左右であっても1箇所換算）</v>
      </c>
      <c r="H392" s="572" t="str">
        <f>IFERROR(__xludf.DUMMYFUNCTION("""COMPUTED_VALUE"""),"-1.5")</f>
        <v>-1.5</v>
      </c>
      <c r="I392" s="537"/>
      <c r="J392" s="538">
        <f>IFERROR(__xludf.DUMMYFUNCTION("""COMPUTED_VALUE"""),5.0)</f>
        <v>5</v>
      </c>
      <c r="K392" s="537">
        <f>IFERROR(__xludf.DUMMYFUNCTION("""COMPUTED_VALUE"""),45996.0)</f>
        <v>45996</v>
      </c>
      <c r="L392" s="640">
        <f>IFERROR(__xludf.DUMMYFUNCTION("""COMPUTED_VALUE"""),46002.0)</f>
        <v>46002</v>
      </c>
      <c r="M392" s="641">
        <f>IFERROR(__xludf.DUMMYFUNCTION("""COMPUTED_VALUE"""),46002.0)</f>
        <v>46002</v>
      </c>
      <c r="N392" s="539">
        <f>IFERROR(__xludf.DUMMYFUNCTION("""COMPUTED_VALUE"""),3300.0)</f>
        <v>3300</v>
      </c>
      <c r="O392" s="593">
        <f>IFERROR(__xludf.DUMMYFUNCTION("""COMPUTED_VALUE"""),3000.0)</f>
        <v>3000</v>
      </c>
      <c r="P392" s="594">
        <f>IFERROR(__xludf.DUMMYFUNCTION("""COMPUTED_VALUE"""),900.0)</f>
        <v>900</v>
      </c>
      <c r="Q392" s="183"/>
      <c r="R392" s="544"/>
      <c r="S392" s="544"/>
      <c r="T392" s="544"/>
      <c r="U392" s="544"/>
      <c r="V392" s="544"/>
      <c r="W392" s="544"/>
      <c r="X392" s="544"/>
      <c r="Y392" s="544"/>
      <c r="Z392" s="544"/>
      <c r="AA392" s="544"/>
      <c r="AB392" s="544"/>
      <c r="AC392" s="544"/>
      <c r="AD392" s="544"/>
      <c r="AE392" s="183"/>
      <c r="AF392" s="183"/>
      <c r="AG392" s="183"/>
      <c r="AH392" s="183"/>
      <c r="AI392" s="183"/>
      <c r="AJ392" s="183"/>
      <c r="AK392" s="183"/>
      <c r="AL392" s="183"/>
      <c r="AM392" s="183"/>
    </row>
    <row r="393" hidden="1">
      <c r="A393" s="531" t="str">
        <f>IFERROR(__xludf.DUMMYFUNCTION("""COMPUTED_VALUE"""),"サイズ")</f>
        <v>サイズ</v>
      </c>
      <c r="B393" s="531" t="str">
        <f>IFERROR(__xludf.DUMMYFUNCTION("""COMPUTED_VALUE"""),"スラックス / カジュアルパンツ")</f>
        <v>スラックス / カジュアルパンツ</v>
      </c>
      <c r="C393" s="531" t="str">
        <f>IFERROR(__xludf.DUMMYFUNCTION("""COMPUTED_VALUE"""),"股下")</f>
        <v>股下</v>
      </c>
      <c r="D393" s="550" t="str">
        <f>IFERROR(__xludf.DUMMYFUNCTION("""COMPUTED_VALUE"""),"シングル")</f>
        <v>シングル</v>
      </c>
      <c r="E393" s="550" t="str">
        <f>IFERROR(__xludf.DUMMYFUNCTION("""COMPUTED_VALUE"""),"左右であっても1箇所換算")</f>
        <v>左右であっても1箇所換算</v>
      </c>
      <c r="F393" s="534" t="str">
        <f>IFERROR(__xludf.DUMMYFUNCTION("""COMPUTED_VALUE"""),"股下 / シングル")</f>
        <v>股下 / シングル</v>
      </c>
      <c r="G393" s="550" t="str">
        <f>IFERROR(__xludf.DUMMYFUNCTION("""COMPUTED_VALUE"""),"股下 / シングル（左右であっても1箇所換算）")</f>
        <v>股下 / シングル（左右であっても1箇所換算）</v>
      </c>
      <c r="H393" s="572" t="str">
        <f>IFERROR(__xludf.DUMMYFUNCTION("""COMPUTED_VALUE"""),"-1")</f>
        <v>-1</v>
      </c>
      <c r="I393" s="537"/>
      <c r="J393" s="538">
        <f>IFERROR(__xludf.DUMMYFUNCTION("""COMPUTED_VALUE"""),5.0)</f>
        <v>5</v>
      </c>
      <c r="K393" s="537">
        <f>IFERROR(__xludf.DUMMYFUNCTION("""COMPUTED_VALUE"""),45996.0)</f>
        <v>45996</v>
      </c>
      <c r="L393" s="640">
        <f>IFERROR(__xludf.DUMMYFUNCTION("""COMPUTED_VALUE"""),46002.0)</f>
        <v>46002</v>
      </c>
      <c r="M393" s="641">
        <f>IFERROR(__xludf.DUMMYFUNCTION("""COMPUTED_VALUE"""),46002.0)</f>
        <v>46002</v>
      </c>
      <c r="N393" s="539">
        <f>IFERROR(__xludf.DUMMYFUNCTION("""COMPUTED_VALUE"""),3300.0)</f>
        <v>3300</v>
      </c>
      <c r="O393" s="593">
        <f>IFERROR(__xludf.DUMMYFUNCTION("""COMPUTED_VALUE"""),3000.0)</f>
        <v>3000</v>
      </c>
      <c r="P393" s="594">
        <f>IFERROR(__xludf.DUMMYFUNCTION("""COMPUTED_VALUE"""),900.0)</f>
        <v>900</v>
      </c>
      <c r="Q393" s="183"/>
      <c r="R393" s="544"/>
      <c r="S393" s="544"/>
      <c r="T393" s="544"/>
      <c r="U393" s="544"/>
      <c r="V393" s="544"/>
      <c r="W393" s="544"/>
      <c r="X393" s="544"/>
      <c r="Y393" s="544"/>
      <c r="Z393" s="544"/>
      <c r="AA393" s="544"/>
      <c r="AB393" s="544"/>
      <c r="AC393" s="544"/>
      <c r="AD393" s="544"/>
      <c r="AE393" s="183"/>
      <c r="AF393" s="183"/>
      <c r="AG393" s="183"/>
      <c r="AH393" s="183"/>
      <c r="AI393" s="183"/>
      <c r="AJ393" s="183"/>
      <c r="AK393" s="183"/>
      <c r="AL393" s="183"/>
      <c r="AM393" s="183"/>
    </row>
    <row r="394" hidden="1">
      <c r="A394" s="531" t="str">
        <f>IFERROR(__xludf.DUMMYFUNCTION("""COMPUTED_VALUE"""),"サイズ")</f>
        <v>サイズ</v>
      </c>
      <c r="B394" s="531" t="str">
        <f>IFERROR(__xludf.DUMMYFUNCTION("""COMPUTED_VALUE"""),"スラックス / カジュアルパンツ")</f>
        <v>スラックス / カジュアルパンツ</v>
      </c>
      <c r="C394" s="531" t="str">
        <f>IFERROR(__xludf.DUMMYFUNCTION("""COMPUTED_VALUE"""),"股下")</f>
        <v>股下</v>
      </c>
      <c r="D394" s="550" t="str">
        <f>IFERROR(__xludf.DUMMYFUNCTION("""COMPUTED_VALUE"""),"シングル")</f>
        <v>シングル</v>
      </c>
      <c r="E394" s="550" t="str">
        <f>IFERROR(__xludf.DUMMYFUNCTION("""COMPUTED_VALUE"""),"左右であっても1箇所換算")</f>
        <v>左右であっても1箇所換算</v>
      </c>
      <c r="F394" s="534" t="str">
        <f>IFERROR(__xludf.DUMMYFUNCTION("""COMPUTED_VALUE"""),"股下 / シングル")</f>
        <v>股下 / シングル</v>
      </c>
      <c r="G394" s="550" t="str">
        <f>IFERROR(__xludf.DUMMYFUNCTION("""COMPUTED_VALUE"""),"股下 / シングル（左右であっても1箇所換算）")</f>
        <v>股下 / シングル（左右であっても1箇所換算）</v>
      </c>
      <c r="H394" s="572" t="str">
        <f>IFERROR(__xludf.DUMMYFUNCTION("""COMPUTED_VALUE"""),"-0.5")</f>
        <v>-0.5</v>
      </c>
      <c r="I394" s="537"/>
      <c r="J394" s="538">
        <f>IFERROR(__xludf.DUMMYFUNCTION("""COMPUTED_VALUE"""),5.0)</f>
        <v>5</v>
      </c>
      <c r="K394" s="537">
        <f>IFERROR(__xludf.DUMMYFUNCTION("""COMPUTED_VALUE"""),45996.0)</f>
        <v>45996</v>
      </c>
      <c r="L394" s="640">
        <f>IFERROR(__xludf.DUMMYFUNCTION("""COMPUTED_VALUE"""),46002.0)</f>
        <v>46002</v>
      </c>
      <c r="M394" s="641">
        <f>IFERROR(__xludf.DUMMYFUNCTION("""COMPUTED_VALUE"""),46002.0)</f>
        <v>46002</v>
      </c>
      <c r="N394" s="539">
        <f>IFERROR(__xludf.DUMMYFUNCTION("""COMPUTED_VALUE"""),3300.0)</f>
        <v>3300</v>
      </c>
      <c r="O394" s="593">
        <f>IFERROR(__xludf.DUMMYFUNCTION("""COMPUTED_VALUE"""),3000.0)</f>
        <v>3000</v>
      </c>
      <c r="P394" s="594">
        <f>IFERROR(__xludf.DUMMYFUNCTION("""COMPUTED_VALUE"""),900.0)</f>
        <v>900</v>
      </c>
      <c r="Q394" s="183"/>
      <c r="R394" s="544"/>
      <c r="S394" s="544"/>
      <c r="T394" s="544"/>
      <c r="U394" s="544"/>
      <c r="V394" s="544"/>
      <c r="W394" s="544"/>
      <c r="X394" s="544"/>
      <c r="Y394" s="544"/>
      <c r="Z394" s="544"/>
      <c r="AA394" s="544"/>
      <c r="AB394" s="544"/>
      <c r="AC394" s="544"/>
      <c r="AD394" s="544"/>
      <c r="AE394" s="183"/>
      <c r="AF394" s="183"/>
      <c r="AG394" s="183"/>
      <c r="AH394" s="183"/>
      <c r="AI394" s="183"/>
      <c r="AJ394" s="183"/>
      <c r="AK394" s="183"/>
      <c r="AL394" s="183"/>
      <c r="AM394" s="183"/>
    </row>
    <row r="395" hidden="1">
      <c r="A395" s="531" t="str">
        <f>IFERROR(__xludf.DUMMYFUNCTION("""COMPUTED_VALUE"""),"サイズ")</f>
        <v>サイズ</v>
      </c>
      <c r="B395" s="531" t="str">
        <f>IFERROR(__xludf.DUMMYFUNCTION("""COMPUTED_VALUE"""),"スラックス / カジュアルパンツ")</f>
        <v>スラックス / カジュアルパンツ</v>
      </c>
      <c r="C395" s="531" t="str">
        <f>IFERROR(__xludf.DUMMYFUNCTION("""COMPUTED_VALUE"""),"股下")</f>
        <v>股下</v>
      </c>
      <c r="D395" s="550" t="str">
        <f>IFERROR(__xludf.DUMMYFUNCTION("""COMPUTED_VALUE"""),"シングル")</f>
        <v>シングル</v>
      </c>
      <c r="E395" s="550" t="str">
        <f>IFERROR(__xludf.DUMMYFUNCTION("""COMPUTED_VALUE"""),"左右であっても1箇所換算")</f>
        <v>左右であっても1箇所換算</v>
      </c>
      <c r="F395" s="534" t="str">
        <f>IFERROR(__xludf.DUMMYFUNCTION("""COMPUTED_VALUE"""),"股下 / シングル")</f>
        <v>股下 / シングル</v>
      </c>
      <c r="G395" s="550" t="str">
        <f>IFERROR(__xludf.DUMMYFUNCTION("""COMPUTED_VALUE"""),"股下 / シングル（左右であっても1箇所換算）")</f>
        <v>股下 / シングル（左右であっても1箇所換算）</v>
      </c>
      <c r="H395" s="572" t="str">
        <f>IFERROR(__xludf.DUMMYFUNCTION("""COMPUTED_VALUE"""),"0.5")</f>
        <v>0.5</v>
      </c>
      <c r="I395" s="537"/>
      <c r="J395" s="538">
        <f>IFERROR(__xludf.DUMMYFUNCTION("""COMPUTED_VALUE"""),5.0)</f>
        <v>5</v>
      </c>
      <c r="K395" s="537">
        <f>IFERROR(__xludf.DUMMYFUNCTION("""COMPUTED_VALUE"""),45996.0)</f>
        <v>45996</v>
      </c>
      <c r="L395" s="640">
        <f>IFERROR(__xludf.DUMMYFUNCTION("""COMPUTED_VALUE"""),46002.0)</f>
        <v>46002</v>
      </c>
      <c r="M395" s="641">
        <f>IFERROR(__xludf.DUMMYFUNCTION("""COMPUTED_VALUE"""),46002.0)</f>
        <v>46002</v>
      </c>
      <c r="N395" s="539">
        <f>IFERROR(__xludf.DUMMYFUNCTION("""COMPUTED_VALUE"""),3300.0)</f>
        <v>3300</v>
      </c>
      <c r="O395" s="593">
        <f>IFERROR(__xludf.DUMMYFUNCTION("""COMPUTED_VALUE"""),3000.0)</f>
        <v>3000</v>
      </c>
      <c r="P395" s="594">
        <f>IFERROR(__xludf.DUMMYFUNCTION("""COMPUTED_VALUE"""),900.0)</f>
        <v>900</v>
      </c>
      <c r="Q395" s="183"/>
      <c r="R395" s="544"/>
      <c r="S395" s="544"/>
      <c r="T395" s="544"/>
      <c r="U395" s="544"/>
      <c r="V395" s="544"/>
      <c r="W395" s="544"/>
      <c r="X395" s="544"/>
      <c r="Y395" s="544"/>
      <c r="Z395" s="544"/>
      <c r="AA395" s="544"/>
      <c r="AB395" s="544"/>
      <c r="AC395" s="544"/>
      <c r="AD395" s="544"/>
      <c r="AE395" s="183"/>
      <c r="AF395" s="183"/>
      <c r="AG395" s="183"/>
      <c r="AH395" s="183"/>
      <c r="AI395" s="183"/>
      <c r="AJ395" s="183"/>
      <c r="AK395" s="183"/>
      <c r="AL395" s="183"/>
      <c r="AM395" s="183"/>
    </row>
    <row r="396">
      <c r="A396" s="531" t="str">
        <f>IFERROR(__xludf.DUMMYFUNCTION("""COMPUTED_VALUE"""),"サイズ")</f>
        <v>サイズ</v>
      </c>
      <c r="B396" s="531" t="str">
        <f>IFERROR(__xludf.DUMMYFUNCTION("""COMPUTED_VALUE"""),"スラックス / カジュアルパンツ")</f>
        <v>スラックス / カジュアルパンツ</v>
      </c>
      <c r="C396" s="531" t="str">
        <f>IFERROR(__xludf.DUMMYFUNCTION("""COMPUTED_VALUE"""),"股下")</f>
        <v>股下</v>
      </c>
      <c r="D396" s="550" t="str">
        <f>IFERROR(__xludf.DUMMYFUNCTION("""COMPUTED_VALUE"""),"シングル")</f>
        <v>シングル</v>
      </c>
      <c r="E396" s="550" t="str">
        <f>IFERROR(__xludf.DUMMYFUNCTION("""COMPUTED_VALUE"""),"左右であっても1箇所換算")</f>
        <v>左右であっても1箇所換算</v>
      </c>
      <c r="F396" s="534" t="str">
        <f>IFERROR(__xludf.DUMMYFUNCTION("""COMPUTED_VALUE"""),"股下 / シングル")</f>
        <v>股下 / シングル</v>
      </c>
      <c r="G396" s="550" t="str">
        <f>IFERROR(__xludf.DUMMYFUNCTION("""COMPUTED_VALUE"""),"股下 / シングル（左右であっても1箇所換算）")</f>
        <v>股下 / シングル（左右であっても1箇所換算）</v>
      </c>
      <c r="H396" s="572" t="str">
        <f>IFERROR(__xludf.DUMMYFUNCTION("""COMPUTED_VALUE"""),"1")</f>
        <v>1</v>
      </c>
      <c r="I396" s="537"/>
      <c r="J396" s="538">
        <f>IFERROR(__xludf.DUMMYFUNCTION("""COMPUTED_VALUE"""),5.0)</f>
        <v>5</v>
      </c>
      <c r="K396" s="537">
        <f>IFERROR(__xludf.DUMMYFUNCTION("""COMPUTED_VALUE"""),45996.0)</f>
        <v>45996</v>
      </c>
      <c r="L396" s="640">
        <f>IFERROR(__xludf.DUMMYFUNCTION("""COMPUTED_VALUE"""),46002.0)</f>
        <v>46002</v>
      </c>
      <c r="M396" s="641">
        <f>IFERROR(__xludf.DUMMYFUNCTION("""COMPUTED_VALUE"""),46002.0)</f>
        <v>46002</v>
      </c>
      <c r="N396" s="539">
        <f>IFERROR(__xludf.DUMMYFUNCTION("""COMPUTED_VALUE"""),3300.0)</f>
        <v>3300</v>
      </c>
      <c r="O396" s="593">
        <f>IFERROR(__xludf.DUMMYFUNCTION("""COMPUTED_VALUE"""),3000.0)</f>
        <v>3000</v>
      </c>
      <c r="P396" s="594">
        <f>IFERROR(__xludf.DUMMYFUNCTION("""COMPUTED_VALUE"""),900.0)</f>
        <v>900</v>
      </c>
      <c r="Q396" s="183"/>
      <c r="R396" s="544"/>
      <c r="S396" s="544"/>
      <c r="T396" s="544"/>
      <c r="U396" s="544"/>
      <c r="V396" s="544"/>
      <c r="W396" s="544"/>
      <c r="X396" s="544"/>
      <c r="Y396" s="544"/>
      <c r="Z396" s="544"/>
      <c r="AA396" s="544"/>
      <c r="AB396" s="544"/>
      <c r="AC396" s="544"/>
      <c r="AD396" s="544"/>
      <c r="AE396" s="183"/>
      <c r="AF396" s="183"/>
      <c r="AG396" s="183"/>
      <c r="AH396" s="183"/>
      <c r="AI396" s="183"/>
      <c r="AJ396" s="183"/>
      <c r="AK396" s="183"/>
      <c r="AL396" s="183"/>
      <c r="AM396" s="183"/>
    </row>
    <row r="397">
      <c r="A397" s="531" t="str">
        <f>IFERROR(__xludf.DUMMYFUNCTION("""COMPUTED_VALUE"""),"サイズ")</f>
        <v>サイズ</v>
      </c>
      <c r="B397" s="531" t="str">
        <f>IFERROR(__xludf.DUMMYFUNCTION("""COMPUTED_VALUE"""),"スラックス / カジュアルパンツ")</f>
        <v>スラックス / カジュアルパンツ</v>
      </c>
      <c r="C397" s="531" t="str">
        <f>IFERROR(__xludf.DUMMYFUNCTION("""COMPUTED_VALUE"""),"股下")</f>
        <v>股下</v>
      </c>
      <c r="D397" s="550" t="str">
        <f>IFERROR(__xludf.DUMMYFUNCTION("""COMPUTED_VALUE"""),"シングル")</f>
        <v>シングル</v>
      </c>
      <c r="E397" s="550" t="str">
        <f>IFERROR(__xludf.DUMMYFUNCTION("""COMPUTED_VALUE"""),"左右であっても1箇所換算")</f>
        <v>左右であっても1箇所換算</v>
      </c>
      <c r="F397" s="534" t="str">
        <f>IFERROR(__xludf.DUMMYFUNCTION("""COMPUTED_VALUE"""),"股下 / シングル")</f>
        <v>股下 / シングル</v>
      </c>
      <c r="G397" s="550" t="str">
        <f>IFERROR(__xludf.DUMMYFUNCTION("""COMPUTED_VALUE"""),"股下 / シングル（左右であっても1箇所換算）")</f>
        <v>股下 / シングル（左右であっても1箇所換算）</v>
      </c>
      <c r="H397" s="572" t="str">
        <f>IFERROR(__xludf.DUMMYFUNCTION("""COMPUTED_VALUE"""),"1.5")</f>
        <v>1.5</v>
      </c>
      <c r="I397" s="537"/>
      <c r="J397" s="538">
        <f>IFERROR(__xludf.DUMMYFUNCTION("""COMPUTED_VALUE"""),5.0)</f>
        <v>5</v>
      </c>
      <c r="K397" s="537">
        <f>IFERROR(__xludf.DUMMYFUNCTION("""COMPUTED_VALUE"""),45996.0)</f>
        <v>45996</v>
      </c>
      <c r="L397" s="640">
        <f>IFERROR(__xludf.DUMMYFUNCTION("""COMPUTED_VALUE"""),46002.0)</f>
        <v>46002</v>
      </c>
      <c r="M397" s="641">
        <f>IFERROR(__xludf.DUMMYFUNCTION("""COMPUTED_VALUE"""),46002.0)</f>
        <v>46002</v>
      </c>
      <c r="N397" s="539">
        <f>IFERROR(__xludf.DUMMYFUNCTION("""COMPUTED_VALUE"""),3300.0)</f>
        <v>3300</v>
      </c>
      <c r="O397" s="593">
        <f>IFERROR(__xludf.DUMMYFUNCTION("""COMPUTED_VALUE"""),3000.0)</f>
        <v>3000</v>
      </c>
      <c r="P397" s="594">
        <f>IFERROR(__xludf.DUMMYFUNCTION("""COMPUTED_VALUE"""),900.0)</f>
        <v>900</v>
      </c>
      <c r="Q397" s="183"/>
      <c r="R397" s="544"/>
      <c r="S397" s="544"/>
      <c r="T397" s="544"/>
      <c r="U397" s="544"/>
      <c r="V397" s="544"/>
      <c r="W397" s="544"/>
      <c r="X397" s="544"/>
      <c r="Y397" s="544"/>
      <c r="Z397" s="544"/>
      <c r="AA397" s="544"/>
      <c r="AB397" s="544"/>
      <c r="AC397" s="544"/>
      <c r="AD397" s="544"/>
      <c r="AE397" s="183"/>
      <c r="AF397" s="183"/>
      <c r="AG397" s="183"/>
      <c r="AH397" s="183"/>
      <c r="AI397" s="183"/>
      <c r="AJ397" s="183"/>
      <c r="AK397" s="183"/>
      <c r="AL397" s="183"/>
      <c r="AM397" s="183"/>
    </row>
    <row r="398">
      <c r="A398" s="531" t="str">
        <f>IFERROR(__xludf.DUMMYFUNCTION("""COMPUTED_VALUE"""),"サイズ")</f>
        <v>サイズ</v>
      </c>
      <c r="B398" s="531" t="str">
        <f>IFERROR(__xludf.DUMMYFUNCTION("""COMPUTED_VALUE"""),"スラックス / カジュアルパンツ")</f>
        <v>スラックス / カジュアルパンツ</v>
      </c>
      <c r="C398" s="531" t="str">
        <f>IFERROR(__xludf.DUMMYFUNCTION("""COMPUTED_VALUE"""),"股下")</f>
        <v>股下</v>
      </c>
      <c r="D398" s="550" t="str">
        <f>IFERROR(__xludf.DUMMYFUNCTION("""COMPUTED_VALUE"""),"シングル")</f>
        <v>シングル</v>
      </c>
      <c r="E398" s="550" t="str">
        <f>IFERROR(__xludf.DUMMYFUNCTION("""COMPUTED_VALUE"""),"左右であっても1箇所換算")</f>
        <v>左右であっても1箇所換算</v>
      </c>
      <c r="F398" s="534" t="str">
        <f>IFERROR(__xludf.DUMMYFUNCTION("""COMPUTED_VALUE"""),"股下 / シングル")</f>
        <v>股下 / シングル</v>
      </c>
      <c r="G398" s="550" t="str">
        <f>IFERROR(__xludf.DUMMYFUNCTION("""COMPUTED_VALUE"""),"股下 / シングル（左右であっても1箇所換算）")</f>
        <v>股下 / シングル（左右であっても1箇所換算）</v>
      </c>
      <c r="H398" s="572" t="str">
        <f>IFERROR(__xludf.DUMMYFUNCTION("""COMPUTED_VALUE"""),"2")</f>
        <v>2</v>
      </c>
      <c r="I398" s="537"/>
      <c r="J398" s="538">
        <f>IFERROR(__xludf.DUMMYFUNCTION("""COMPUTED_VALUE"""),5.0)</f>
        <v>5</v>
      </c>
      <c r="K398" s="537">
        <f>IFERROR(__xludf.DUMMYFUNCTION("""COMPUTED_VALUE"""),45996.0)</f>
        <v>45996</v>
      </c>
      <c r="L398" s="640">
        <f>IFERROR(__xludf.DUMMYFUNCTION("""COMPUTED_VALUE"""),46002.0)</f>
        <v>46002</v>
      </c>
      <c r="M398" s="641">
        <f>IFERROR(__xludf.DUMMYFUNCTION("""COMPUTED_VALUE"""),46002.0)</f>
        <v>46002</v>
      </c>
      <c r="N398" s="539">
        <f>IFERROR(__xludf.DUMMYFUNCTION("""COMPUTED_VALUE"""),3300.0)</f>
        <v>3300</v>
      </c>
      <c r="O398" s="593">
        <f>IFERROR(__xludf.DUMMYFUNCTION("""COMPUTED_VALUE"""),3000.0)</f>
        <v>3000</v>
      </c>
      <c r="P398" s="594">
        <f>IFERROR(__xludf.DUMMYFUNCTION("""COMPUTED_VALUE"""),900.0)</f>
        <v>900</v>
      </c>
      <c r="Q398" s="183"/>
      <c r="R398" s="544"/>
      <c r="S398" s="544"/>
      <c r="T398" s="544"/>
      <c r="U398" s="544"/>
      <c r="V398" s="544"/>
      <c r="W398" s="544"/>
      <c r="X398" s="544"/>
      <c r="Y398" s="544"/>
      <c r="Z398" s="544"/>
      <c r="AA398" s="544"/>
      <c r="AB398" s="544"/>
      <c r="AC398" s="544"/>
      <c r="AD398" s="544"/>
      <c r="AE398" s="183"/>
      <c r="AF398" s="183"/>
      <c r="AG398" s="183"/>
      <c r="AH398" s="183"/>
      <c r="AI398" s="183"/>
      <c r="AJ398" s="183"/>
      <c r="AK398" s="183"/>
      <c r="AL398" s="183"/>
      <c r="AM398" s="183"/>
    </row>
    <row r="399">
      <c r="A399" s="531" t="str">
        <f>IFERROR(__xludf.DUMMYFUNCTION("""COMPUTED_VALUE"""),"サイズ")</f>
        <v>サイズ</v>
      </c>
      <c r="B399" s="531" t="str">
        <f>IFERROR(__xludf.DUMMYFUNCTION("""COMPUTED_VALUE"""),"スラックス / カジュアルパンツ")</f>
        <v>スラックス / カジュアルパンツ</v>
      </c>
      <c r="C399" s="531" t="str">
        <f>IFERROR(__xludf.DUMMYFUNCTION("""COMPUTED_VALUE"""),"股下")</f>
        <v>股下</v>
      </c>
      <c r="D399" s="550" t="str">
        <f>IFERROR(__xludf.DUMMYFUNCTION("""COMPUTED_VALUE"""),"シングル")</f>
        <v>シングル</v>
      </c>
      <c r="E399" s="550" t="str">
        <f>IFERROR(__xludf.DUMMYFUNCTION("""COMPUTED_VALUE"""),"左右であっても1箇所換算")</f>
        <v>左右であっても1箇所換算</v>
      </c>
      <c r="F399" s="534" t="str">
        <f>IFERROR(__xludf.DUMMYFUNCTION("""COMPUTED_VALUE"""),"股下 / シングル")</f>
        <v>股下 / シングル</v>
      </c>
      <c r="G399" s="550" t="str">
        <f>IFERROR(__xludf.DUMMYFUNCTION("""COMPUTED_VALUE"""),"股下 / シングル（左右であっても1箇所換算）")</f>
        <v>股下 / シングル（左右であっても1箇所換算）</v>
      </c>
      <c r="H399" s="572" t="str">
        <f>IFERROR(__xludf.DUMMYFUNCTION("""COMPUTED_VALUE"""),"2.5")</f>
        <v>2.5</v>
      </c>
      <c r="I399" s="537"/>
      <c r="J399" s="538">
        <f>IFERROR(__xludf.DUMMYFUNCTION("""COMPUTED_VALUE"""),5.0)</f>
        <v>5</v>
      </c>
      <c r="K399" s="537">
        <f>IFERROR(__xludf.DUMMYFUNCTION("""COMPUTED_VALUE"""),45996.0)</f>
        <v>45996</v>
      </c>
      <c r="L399" s="640">
        <f>IFERROR(__xludf.DUMMYFUNCTION("""COMPUTED_VALUE"""),46002.0)</f>
        <v>46002</v>
      </c>
      <c r="M399" s="641">
        <f>IFERROR(__xludf.DUMMYFUNCTION("""COMPUTED_VALUE"""),46002.0)</f>
        <v>46002</v>
      </c>
      <c r="N399" s="539">
        <f>IFERROR(__xludf.DUMMYFUNCTION("""COMPUTED_VALUE"""),3300.0)</f>
        <v>3300</v>
      </c>
      <c r="O399" s="593">
        <f>IFERROR(__xludf.DUMMYFUNCTION("""COMPUTED_VALUE"""),3000.0)</f>
        <v>3000</v>
      </c>
      <c r="P399" s="594">
        <f>IFERROR(__xludf.DUMMYFUNCTION("""COMPUTED_VALUE"""),900.0)</f>
        <v>900</v>
      </c>
      <c r="Q399" s="183"/>
      <c r="R399" s="544"/>
      <c r="S399" s="544"/>
      <c r="T399" s="544"/>
      <c r="U399" s="544"/>
      <c r="V399" s="544"/>
      <c r="W399" s="544"/>
      <c r="X399" s="544"/>
      <c r="Y399" s="544"/>
      <c r="Z399" s="544"/>
      <c r="AA399" s="544"/>
      <c r="AB399" s="544"/>
      <c r="AC399" s="544"/>
      <c r="AD399" s="544"/>
      <c r="AE399" s="183"/>
      <c r="AF399" s="183"/>
      <c r="AG399" s="183"/>
      <c r="AH399" s="183"/>
      <c r="AI399" s="183"/>
      <c r="AJ399" s="183"/>
      <c r="AK399" s="183"/>
      <c r="AL399" s="183"/>
      <c r="AM399" s="183"/>
    </row>
    <row r="400">
      <c r="A400" s="531" t="str">
        <f>IFERROR(__xludf.DUMMYFUNCTION("""COMPUTED_VALUE"""),"サイズ")</f>
        <v>サイズ</v>
      </c>
      <c r="B400" s="531" t="str">
        <f>IFERROR(__xludf.DUMMYFUNCTION("""COMPUTED_VALUE"""),"スラックス / カジュアルパンツ")</f>
        <v>スラックス / カジュアルパンツ</v>
      </c>
      <c r="C400" s="531" t="str">
        <f>IFERROR(__xludf.DUMMYFUNCTION("""COMPUTED_VALUE"""),"股下")</f>
        <v>股下</v>
      </c>
      <c r="D400" s="550" t="str">
        <f>IFERROR(__xludf.DUMMYFUNCTION("""COMPUTED_VALUE"""),"シングル")</f>
        <v>シングル</v>
      </c>
      <c r="E400" s="550" t="str">
        <f>IFERROR(__xludf.DUMMYFUNCTION("""COMPUTED_VALUE"""),"左右であっても1箇所換算")</f>
        <v>左右であっても1箇所換算</v>
      </c>
      <c r="F400" s="534" t="str">
        <f>IFERROR(__xludf.DUMMYFUNCTION("""COMPUTED_VALUE"""),"股下 / シングル")</f>
        <v>股下 / シングル</v>
      </c>
      <c r="G400" s="550" t="str">
        <f>IFERROR(__xludf.DUMMYFUNCTION("""COMPUTED_VALUE"""),"股下 / シングル（左右であっても1箇所換算）")</f>
        <v>股下 / シングル（左右であっても1箇所換算）</v>
      </c>
      <c r="H400" s="572" t="str">
        <f>IFERROR(__xludf.DUMMYFUNCTION("""COMPUTED_VALUE"""),"3")</f>
        <v>3</v>
      </c>
      <c r="I400" s="537"/>
      <c r="J400" s="538">
        <f>IFERROR(__xludf.DUMMYFUNCTION("""COMPUTED_VALUE"""),5.0)</f>
        <v>5</v>
      </c>
      <c r="K400" s="537">
        <f>IFERROR(__xludf.DUMMYFUNCTION("""COMPUTED_VALUE"""),45996.0)</f>
        <v>45996</v>
      </c>
      <c r="L400" s="640">
        <f>IFERROR(__xludf.DUMMYFUNCTION("""COMPUTED_VALUE"""),46002.0)</f>
        <v>46002</v>
      </c>
      <c r="M400" s="641">
        <f>IFERROR(__xludf.DUMMYFUNCTION("""COMPUTED_VALUE"""),46002.0)</f>
        <v>46002</v>
      </c>
      <c r="N400" s="539">
        <f>IFERROR(__xludf.DUMMYFUNCTION("""COMPUTED_VALUE"""),3300.0)</f>
        <v>3300</v>
      </c>
      <c r="O400" s="593">
        <f>IFERROR(__xludf.DUMMYFUNCTION("""COMPUTED_VALUE"""),3000.0)</f>
        <v>3000</v>
      </c>
      <c r="P400" s="594">
        <f>IFERROR(__xludf.DUMMYFUNCTION("""COMPUTED_VALUE"""),900.0)</f>
        <v>900</v>
      </c>
      <c r="Q400" s="183"/>
      <c r="R400" s="544"/>
      <c r="S400" s="544"/>
      <c r="T400" s="544"/>
      <c r="U400" s="544"/>
      <c r="V400" s="544"/>
      <c r="W400" s="544"/>
      <c r="X400" s="544"/>
      <c r="Y400" s="544"/>
      <c r="Z400" s="544"/>
      <c r="AA400" s="544"/>
      <c r="AB400" s="544"/>
      <c r="AC400" s="544"/>
      <c r="AD400" s="544"/>
      <c r="AE400" s="183"/>
      <c r="AF400" s="183"/>
      <c r="AG400" s="183"/>
      <c r="AH400" s="183"/>
      <c r="AI400" s="183"/>
      <c r="AJ400" s="183"/>
      <c r="AK400" s="183"/>
      <c r="AL400" s="183"/>
      <c r="AM400" s="183"/>
    </row>
    <row r="401">
      <c r="A401" s="531" t="str">
        <f>IFERROR(__xludf.DUMMYFUNCTION("""COMPUTED_VALUE"""),"サイズ")</f>
        <v>サイズ</v>
      </c>
      <c r="B401" s="531" t="str">
        <f>IFERROR(__xludf.DUMMYFUNCTION("""COMPUTED_VALUE"""),"スラックス / カジュアルパンツ")</f>
        <v>スラックス / カジュアルパンツ</v>
      </c>
      <c r="C401" s="531" t="str">
        <f>IFERROR(__xludf.DUMMYFUNCTION("""COMPUTED_VALUE"""),"股下")</f>
        <v>股下</v>
      </c>
      <c r="D401" s="550" t="str">
        <f>IFERROR(__xludf.DUMMYFUNCTION("""COMPUTED_VALUE"""),"シングル")</f>
        <v>シングル</v>
      </c>
      <c r="E401" s="550" t="str">
        <f>IFERROR(__xludf.DUMMYFUNCTION("""COMPUTED_VALUE"""),"左右であっても1箇所換算")</f>
        <v>左右であっても1箇所換算</v>
      </c>
      <c r="F401" s="534" t="str">
        <f>IFERROR(__xludf.DUMMYFUNCTION("""COMPUTED_VALUE"""),"股下 / シングル")</f>
        <v>股下 / シングル</v>
      </c>
      <c r="G401" s="550" t="str">
        <f>IFERROR(__xludf.DUMMYFUNCTION("""COMPUTED_VALUE"""),"股下 / シングル（左右であっても1箇所換算）")</f>
        <v>股下 / シングル（左右であっても1箇所換算）</v>
      </c>
      <c r="H401" s="572" t="str">
        <f>IFERROR(__xludf.DUMMYFUNCTION("""COMPUTED_VALUE"""),"3.5")</f>
        <v>3.5</v>
      </c>
      <c r="I401" s="537"/>
      <c r="J401" s="538">
        <f>IFERROR(__xludf.DUMMYFUNCTION("""COMPUTED_VALUE"""),5.0)</f>
        <v>5</v>
      </c>
      <c r="K401" s="537">
        <f>IFERROR(__xludf.DUMMYFUNCTION("""COMPUTED_VALUE"""),45996.0)</f>
        <v>45996</v>
      </c>
      <c r="L401" s="640">
        <f>IFERROR(__xludf.DUMMYFUNCTION("""COMPUTED_VALUE"""),46002.0)</f>
        <v>46002</v>
      </c>
      <c r="M401" s="641">
        <f>IFERROR(__xludf.DUMMYFUNCTION("""COMPUTED_VALUE"""),46002.0)</f>
        <v>46002</v>
      </c>
      <c r="N401" s="539">
        <f>IFERROR(__xludf.DUMMYFUNCTION("""COMPUTED_VALUE"""),3300.0)</f>
        <v>3300</v>
      </c>
      <c r="O401" s="593">
        <f>IFERROR(__xludf.DUMMYFUNCTION("""COMPUTED_VALUE"""),3000.0)</f>
        <v>3000</v>
      </c>
      <c r="P401" s="594">
        <f>IFERROR(__xludf.DUMMYFUNCTION("""COMPUTED_VALUE"""),900.0)</f>
        <v>900</v>
      </c>
      <c r="Q401" s="183"/>
      <c r="R401" s="544"/>
      <c r="S401" s="544"/>
      <c r="T401" s="544"/>
      <c r="U401" s="544"/>
      <c r="V401" s="544"/>
      <c r="W401" s="544"/>
      <c r="X401" s="544"/>
      <c r="Y401" s="544"/>
      <c r="Z401" s="544"/>
      <c r="AA401" s="544"/>
      <c r="AB401" s="544"/>
      <c r="AC401" s="544"/>
      <c r="AD401" s="544"/>
      <c r="AE401" s="183"/>
      <c r="AF401" s="183"/>
      <c r="AG401" s="183"/>
      <c r="AH401" s="183"/>
      <c r="AI401" s="183"/>
      <c r="AJ401" s="183"/>
      <c r="AK401" s="183"/>
      <c r="AL401" s="183"/>
      <c r="AM401" s="183"/>
    </row>
    <row r="402">
      <c r="A402" s="531" t="str">
        <f>IFERROR(__xludf.DUMMYFUNCTION("""COMPUTED_VALUE"""),"サイズ")</f>
        <v>サイズ</v>
      </c>
      <c r="B402" s="531" t="str">
        <f>IFERROR(__xludf.DUMMYFUNCTION("""COMPUTED_VALUE"""),"スラックス / カジュアルパンツ")</f>
        <v>スラックス / カジュアルパンツ</v>
      </c>
      <c r="C402" s="531" t="str">
        <f>IFERROR(__xludf.DUMMYFUNCTION("""COMPUTED_VALUE"""),"股下")</f>
        <v>股下</v>
      </c>
      <c r="D402" s="550" t="str">
        <f>IFERROR(__xludf.DUMMYFUNCTION("""COMPUTED_VALUE"""),"シングル")</f>
        <v>シングル</v>
      </c>
      <c r="E402" s="550" t="str">
        <f>IFERROR(__xludf.DUMMYFUNCTION("""COMPUTED_VALUE"""),"左右であっても1箇所換算")</f>
        <v>左右であっても1箇所換算</v>
      </c>
      <c r="F402" s="534" t="str">
        <f>IFERROR(__xludf.DUMMYFUNCTION("""COMPUTED_VALUE"""),"股下 / シングル")</f>
        <v>股下 / シングル</v>
      </c>
      <c r="G402" s="550" t="str">
        <f>IFERROR(__xludf.DUMMYFUNCTION("""COMPUTED_VALUE"""),"股下 / シングル（左右であっても1箇所換算）")</f>
        <v>股下 / シングル（左右であっても1箇所換算）</v>
      </c>
      <c r="H402" s="572" t="str">
        <f>IFERROR(__xludf.DUMMYFUNCTION("""COMPUTED_VALUE"""),"4")</f>
        <v>4</v>
      </c>
      <c r="I402" s="537"/>
      <c r="J402" s="538">
        <f>IFERROR(__xludf.DUMMYFUNCTION("""COMPUTED_VALUE"""),5.0)</f>
        <v>5</v>
      </c>
      <c r="K402" s="537">
        <f>IFERROR(__xludf.DUMMYFUNCTION("""COMPUTED_VALUE"""),45996.0)</f>
        <v>45996</v>
      </c>
      <c r="L402" s="640">
        <f>IFERROR(__xludf.DUMMYFUNCTION("""COMPUTED_VALUE"""),46002.0)</f>
        <v>46002</v>
      </c>
      <c r="M402" s="641">
        <f>IFERROR(__xludf.DUMMYFUNCTION("""COMPUTED_VALUE"""),46002.0)</f>
        <v>46002</v>
      </c>
      <c r="N402" s="539">
        <f>IFERROR(__xludf.DUMMYFUNCTION("""COMPUTED_VALUE"""),3300.0)</f>
        <v>3300</v>
      </c>
      <c r="O402" s="121">
        <f>IFERROR(__xludf.DUMMYFUNCTION("""COMPUTED_VALUE"""),3000.0)</f>
        <v>3000</v>
      </c>
      <c r="P402" s="633">
        <f>IFERROR(__xludf.DUMMYFUNCTION("""COMPUTED_VALUE"""),900.0)</f>
        <v>900</v>
      </c>
      <c r="Q402" s="11"/>
      <c r="R402" s="623"/>
      <c r="S402" s="623"/>
      <c r="T402" s="623"/>
      <c r="U402" s="623"/>
      <c r="V402" s="623"/>
      <c r="W402" s="623"/>
      <c r="X402" s="623"/>
      <c r="Y402" s="623"/>
      <c r="Z402" s="623"/>
      <c r="AA402" s="623"/>
      <c r="AB402" s="623"/>
      <c r="AC402" s="623"/>
      <c r="AD402" s="623"/>
      <c r="AE402" s="11"/>
      <c r="AF402" s="11"/>
      <c r="AG402" s="11"/>
      <c r="AH402" s="11"/>
      <c r="AI402" s="11"/>
      <c r="AJ402" s="11"/>
      <c r="AK402" s="11"/>
      <c r="AL402" s="11"/>
      <c r="AM402" s="11"/>
    </row>
    <row r="403">
      <c r="A403" s="531" t="str">
        <f>IFERROR(__xludf.DUMMYFUNCTION("""COMPUTED_VALUE"""),"サイズ")</f>
        <v>サイズ</v>
      </c>
      <c r="B403" s="531" t="str">
        <f>IFERROR(__xludf.DUMMYFUNCTION("""COMPUTED_VALUE"""),"スラックス / カジュアルパンツ")</f>
        <v>スラックス / カジュアルパンツ</v>
      </c>
      <c r="C403" s="531" t="str">
        <f>IFERROR(__xludf.DUMMYFUNCTION("""COMPUTED_VALUE"""),"股下")</f>
        <v>股下</v>
      </c>
      <c r="D403" s="550" t="str">
        <f>IFERROR(__xludf.DUMMYFUNCTION("""COMPUTED_VALUE"""),"ダブル(3.5cm以下)")</f>
        <v>ダブル(3.5cm以下)</v>
      </c>
      <c r="E403" s="550" t="str">
        <f>IFERROR(__xludf.DUMMYFUNCTION("""COMPUTED_VALUE"""),"左右であっても1箇所換算")</f>
        <v>左右であっても1箇所換算</v>
      </c>
      <c r="F403" s="534" t="str">
        <f>IFERROR(__xludf.DUMMYFUNCTION("""COMPUTED_VALUE"""),"股下 / ダブル(3.5cm以下)")</f>
        <v>股下 / ダブル(3.5cm以下)</v>
      </c>
      <c r="G403" s="550" t="str">
        <f>IFERROR(__xludf.DUMMYFUNCTION("""COMPUTED_VALUE"""),"股下 / ダブル(3.5cm以下)（左右であっても1箇所換算）")</f>
        <v>股下 / ダブル(3.5cm以下)（左右であっても1箇所換算）</v>
      </c>
      <c r="H403" s="572" t="str">
        <f>IFERROR(__xludf.DUMMYFUNCTION("""COMPUTED_VALUE"""),"-5")</f>
        <v>-5</v>
      </c>
      <c r="I403" s="536"/>
      <c r="J403" s="538">
        <f>IFERROR(__xludf.DUMMYFUNCTION("""COMPUTED_VALUE"""),5.0)</f>
        <v>5</v>
      </c>
      <c r="K403" s="537">
        <f>IFERROR(__xludf.DUMMYFUNCTION("""COMPUTED_VALUE"""),45996.0)</f>
        <v>45996</v>
      </c>
      <c r="L403" s="640">
        <f>IFERROR(__xludf.DUMMYFUNCTION("""COMPUTED_VALUE"""),46002.0)</f>
        <v>46002</v>
      </c>
      <c r="M403" s="641">
        <f>IFERROR(__xludf.DUMMYFUNCTION("""COMPUTED_VALUE"""),46002.0)</f>
        <v>46002</v>
      </c>
      <c r="N403" s="539">
        <f>IFERROR(__xludf.DUMMYFUNCTION("""COMPUTED_VALUE"""),3300.0)</f>
        <v>3300</v>
      </c>
      <c r="O403" s="121">
        <f>IFERROR(__xludf.DUMMYFUNCTION("""COMPUTED_VALUE"""),3000.0)</f>
        <v>3000</v>
      </c>
      <c r="P403" s="633">
        <f>IFERROR(__xludf.DUMMYFUNCTION("""COMPUTED_VALUE"""),1000.0)</f>
        <v>1000</v>
      </c>
      <c r="Q403" s="11"/>
      <c r="R403" s="623"/>
      <c r="S403" s="623"/>
      <c r="T403" s="623"/>
      <c r="U403" s="623"/>
      <c r="V403" s="623"/>
      <c r="W403" s="623"/>
      <c r="X403" s="623"/>
      <c r="Y403" s="623"/>
      <c r="Z403" s="623"/>
      <c r="AA403" s="623"/>
      <c r="AB403" s="623"/>
      <c r="AC403" s="623"/>
      <c r="AD403" s="623"/>
      <c r="AE403" s="11"/>
      <c r="AF403" s="11"/>
      <c r="AG403" s="11"/>
      <c r="AH403" s="11"/>
      <c r="AI403" s="11"/>
      <c r="AJ403" s="11"/>
      <c r="AK403" s="11"/>
      <c r="AL403" s="11"/>
      <c r="AM403" s="11"/>
    </row>
    <row r="404">
      <c r="A404" s="531" t="str">
        <f>IFERROR(__xludf.DUMMYFUNCTION("""COMPUTED_VALUE"""),"サイズ")</f>
        <v>サイズ</v>
      </c>
      <c r="B404" s="531" t="str">
        <f>IFERROR(__xludf.DUMMYFUNCTION("""COMPUTED_VALUE"""),"スラックス / カジュアルパンツ")</f>
        <v>スラックス / カジュアルパンツ</v>
      </c>
      <c r="C404" s="531" t="str">
        <f>IFERROR(__xludf.DUMMYFUNCTION("""COMPUTED_VALUE"""),"股下")</f>
        <v>股下</v>
      </c>
      <c r="D404" s="550" t="str">
        <f>IFERROR(__xludf.DUMMYFUNCTION("""COMPUTED_VALUE"""),"ダブル(3.5cm以下)")</f>
        <v>ダブル(3.5cm以下)</v>
      </c>
      <c r="E404" s="550" t="str">
        <f>IFERROR(__xludf.DUMMYFUNCTION("""COMPUTED_VALUE"""),"左右であっても1箇所換算")</f>
        <v>左右であっても1箇所換算</v>
      </c>
      <c r="F404" s="534" t="str">
        <f>IFERROR(__xludf.DUMMYFUNCTION("""COMPUTED_VALUE"""),"股下 / ダブル(3.5cm以下)")</f>
        <v>股下 / ダブル(3.5cm以下)</v>
      </c>
      <c r="G404" s="550" t="str">
        <f>IFERROR(__xludf.DUMMYFUNCTION("""COMPUTED_VALUE"""),"股下 / ダブル(3.5cm以下)（左右であっても1箇所換算）")</f>
        <v>股下 / ダブル(3.5cm以下)（左右であっても1箇所換算）</v>
      </c>
      <c r="H404" s="572" t="str">
        <f>IFERROR(__xludf.DUMMYFUNCTION("""COMPUTED_VALUE"""),"-4.5")</f>
        <v>-4.5</v>
      </c>
      <c r="I404" s="536"/>
      <c r="J404" s="538">
        <f>IFERROR(__xludf.DUMMYFUNCTION("""COMPUTED_VALUE"""),5.0)</f>
        <v>5</v>
      </c>
      <c r="K404" s="537">
        <f>IFERROR(__xludf.DUMMYFUNCTION("""COMPUTED_VALUE"""),45996.0)</f>
        <v>45996</v>
      </c>
      <c r="L404" s="640">
        <f>IFERROR(__xludf.DUMMYFUNCTION("""COMPUTED_VALUE"""),46002.0)</f>
        <v>46002</v>
      </c>
      <c r="M404" s="641">
        <f>IFERROR(__xludf.DUMMYFUNCTION("""COMPUTED_VALUE"""),46002.0)</f>
        <v>46002</v>
      </c>
      <c r="N404" s="539">
        <f>IFERROR(__xludf.DUMMYFUNCTION("""COMPUTED_VALUE"""),3300.0)</f>
        <v>3300</v>
      </c>
      <c r="O404" s="121">
        <f>IFERROR(__xludf.DUMMYFUNCTION("""COMPUTED_VALUE"""),3000.0)</f>
        <v>3000</v>
      </c>
      <c r="P404" s="633">
        <f>IFERROR(__xludf.DUMMYFUNCTION("""COMPUTED_VALUE"""),1000.0)</f>
        <v>1000</v>
      </c>
      <c r="Q404" s="11"/>
      <c r="R404" s="623"/>
      <c r="S404" s="623"/>
      <c r="T404" s="623"/>
      <c r="U404" s="623"/>
      <c r="V404" s="623"/>
      <c r="W404" s="623"/>
      <c r="X404" s="623"/>
      <c r="Y404" s="623"/>
      <c r="Z404" s="623"/>
      <c r="AA404" s="623"/>
      <c r="AB404" s="623"/>
      <c r="AC404" s="623"/>
      <c r="AD404" s="623"/>
      <c r="AE404" s="11"/>
      <c r="AF404" s="11"/>
      <c r="AG404" s="11"/>
      <c r="AH404" s="11"/>
      <c r="AI404" s="11"/>
      <c r="AJ404" s="11"/>
      <c r="AK404" s="11"/>
      <c r="AL404" s="11"/>
      <c r="AM404" s="11"/>
    </row>
    <row r="405">
      <c r="A405" s="531" t="str">
        <f>IFERROR(__xludf.DUMMYFUNCTION("""COMPUTED_VALUE"""),"サイズ")</f>
        <v>サイズ</v>
      </c>
      <c r="B405" s="531" t="str">
        <f>IFERROR(__xludf.DUMMYFUNCTION("""COMPUTED_VALUE"""),"スラックス / カジュアルパンツ")</f>
        <v>スラックス / カジュアルパンツ</v>
      </c>
      <c r="C405" s="531" t="str">
        <f>IFERROR(__xludf.DUMMYFUNCTION("""COMPUTED_VALUE"""),"股下")</f>
        <v>股下</v>
      </c>
      <c r="D405" s="550" t="str">
        <f>IFERROR(__xludf.DUMMYFUNCTION("""COMPUTED_VALUE"""),"ダブル(3.5cm以下)")</f>
        <v>ダブル(3.5cm以下)</v>
      </c>
      <c r="E405" s="550" t="str">
        <f>IFERROR(__xludf.DUMMYFUNCTION("""COMPUTED_VALUE"""),"左右であっても1箇所換算")</f>
        <v>左右であっても1箇所換算</v>
      </c>
      <c r="F405" s="534" t="str">
        <f>IFERROR(__xludf.DUMMYFUNCTION("""COMPUTED_VALUE"""),"股下 / ダブル(3.5cm以下)")</f>
        <v>股下 / ダブル(3.5cm以下)</v>
      </c>
      <c r="G405" s="550" t="str">
        <f>IFERROR(__xludf.DUMMYFUNCTION("""COMPUTED_VALUE"""),"股下 / ダブル(3.5cm以下)（左右であっても1箇所換算）")</f>
        <v>股下 / ダブル(3.5cm以下)（左右であっても1箇所換算）</v>
      </c>
      <c r="H405" s="572" t="str">
        <f>IFERROR(__xludf.DUMMYFUNCTION("""COMPUTED_VALUE"""),"-4")</f>
        <v>-4</v>
      </c>
      <c r="I405" s="536"/>
      <c r="J405" s="538">
        <f>IFERROR(__xludf.DUMMYFUNCTION("""COMPUTED_VALUE"""),5.0)</f>
        <v>5</v>
      </c>
      <c r="K405" s="537">
        <f>IFERROR(__xludf.DUMMYFUNCTION("""COMPUTED_VALUE"""),45996.0)</f>
        <v>45996</v>
      </c>
      <c r="L405" s="640">
        <f>IFERROR(__xludf.DUMMYFUNCTION("""COMPUTED_VALUE"""),46002.0)</f>
        <v>46002</v>
      </c>
      <c r="M405" s="641">
        <f>IFERROR(__xludf.DUMMYFUNCTION("""COMPUTED_VALUE"""),46002.0)</f>
        <v>46002</v>
      </c>
      <c r="N405" s="539">
        <f>IFERROR(__xludf.DUMMYFUNCTION("""COMPUTED_VALUE"""),3300.0)</f>
        <v>3300</v>
      </c>
      <c r="O405" s="121">
        <f>IFERROR(__xludf.DUMMYFUNCTION("""COMPUTED_VALUE"""),3000.0)</f>
        <v>3000</v>
      </c>
      <c r="P405" s="633">
        <f>IFERROR(__xludf.DUMMYFUNCTION("""COMPUTED_VALUE"""),1000.0)</f>
        <v>1000</v>
      </c>
      <c r="Q405" s="11"/>
      <c r="R405" s="623"/>
      <c r="S405" s="623"/>
      <c r="T405" s="623"/>
      <c r="U405" s="623"/>
      <c r="V405" s="623"/>
      <c r="W405" s="623"/>
      <c r="X405" s="623"/>
      <c r="Y405" s="623"/>
      <c r="Z405" s="623"/>
      <c r="AA405" s="623"/>
      <c r="AB405" s="623"/>
      <c r="AC405" s="623"/>
      <c r="AD405" s="623"/>
      <c r="AE405" s="11"/>
      <c r="AF405" s="11"/>
      <c r="AG405" s="11"/>
      <c r="AH405" s="11"/>
      <c r="AI405" s="11"/>
      <c r="AJ405" s="11"/>
      <c r="AK405" s="11"/>
      <c r="AL405" s="11"/>
      <c r="AM405" s="11"/>
    </row>
    <row r="406">
      <c r="A406" s="531" t="str">
        <f>IFERROR(__xludf.DUMMYFUNCTION("""COMPUTED_VALUE"""),"サイズ")</f>
        <v>サイズ</v>
      </c>
      <c r="B406" s="531" t="str">
        <f>IFERROR(__xludf.DUMMYFUNCTION("""COMPUTED_VALUE"""),"スラックス / カジュアルパンツ")</f>
        <v>スラックス / カジュアルパンツ</v>
      </c>
      <c r="C406" s="531" t="str">
        <f>IFERROR(__xludf.DUMMYFUNCTION("""COMPUTED_VALUE"""),"股下")</f>
        <v>股下</v>
      </c>
      <c r="D406" s="550" t="str">
        <f>IFERROR(__xludf.DUMMYFUNCTION("""COMPUTED_VALUE"""),"ダブル(3.5cm以下)")</f>
        <v>ダブル(3.5cm以下)</v>
      </c>
      <c r="E406" s="550" t="str">
        <f>IFERROR(__xludf.DUMMYFUNCTION("""COMPUTED_VALUE"""),"左右であっても1箇所換算")</f>
        <v>左右であっても1箇所換算</v>
      </c>
      <c r="F406" s="534" t="str">
        <f>IFERROR(__xludf.DUMMYFUNCTION("""COMPUTED_VALUE"""),"股下 / ダブル(3.5cm以下)")</f>
        <v>股下 / ダブル(3.5cm以下)</v>
      </c>
      <c r="G406" s="550" t="str">
        <f>IFERROR(__xludf.DUMMYFUNCTION("""COMPUTED_VALUE"""),"股下 / ダブル(3.5cm以下)（左右であっても1箇所換算）")</f>
        <v>股下 / ダブル(3.5cm以下)（左右であっても1箇所換算）</v>
      </c>
      <c r="H406" s="572" t="str">
        <f>IFERROR(__xludf.DUMMYFUNCTION("""COMPUTED_VALUE"""),"-3.5")</f>
        <v>-3.5</v>
      </c>
      <c r="I406" s="536"/>
      <c r="J406" s="538">
        <f>IFERROR(__xludf.DUMMYFUNCTION("""COMPUTED_VALUE"""),5.0)</f>
        <v>5</v>
      </c>
      <c r="K406" s="537">
        <f>IFERROR(__xludf.DUMMYFUNCTION("""COMPUTED_VALUE"""),45996.0)</f>
        <v>45996</v>
      </c>
      <c r="L406" s="640">
        <f>IFERROR(__xludf.DUMMYFUNCTION("""COMPUTED_VALUE"""),46002.0)</f>
        <v>46002</v>
      </c>
      <c r="M406" s="641">
        <f>IFERROR(__xludf.DUMMYFUNCTION("""COMPUTED_VALUE"""),46002.0)</f>
        <v>46002</v>
      </c>
      <c r="N406" s="539">
        <f>IFERROR(__xludf.DUMMYFUNCTION("""COMPUTED_VALUE"""),3300.0)</f>
        <v>3300</v>
      </c>
      <c r="O406" s="121">
        <f>IFERROR(__xludf.DUMMYFUNCTION("""COMPUTED_VALUE"""),3000.0)</f>
        <v>3000</v>
      </c>
      <c r="P406" s="633">
        <f>IFERROR(__xludf.DUMMYFUNCTION("""COMPUTED_VALUE"""),1000.0)</f>
        <v>1000</v>
      </c>
      <c r="Q406" s="11"/>
      <c r="R406" s="623"/>
      <c r="S406" s="623"/>
      <c r="T406" s="623"/>
      <c r="U406" s="623"/>
      <c r="V406" s="623"/>
      <c r="W406" s="623"/>
      <c r="X406" s="623"/>
      <c r="Y406" s="623"/>
      <c r="Z406" s="623"/>
      <c r="AA406" s="623"/>
      <c r="AB406" s="623"/>
      <c r="AC406" s="623"/>
      <c r="AD406" s="623"/>
      <c r="AE406" s="11"/>
      <c r="AF406" s="11"/>
      <c r="AG406" s="11"/>
      <c r="AH406" s="11"/>
      <c r="AI406" s="11"/>
      <c r="AJ406" s="11"/>
      <c r="AK406" s="11"/>
      <c r="AL406" s="11"/>
      <c r="AM406" s="11"/>
    </row>
    <row r="407">
      <c r="A407" s="531" t="str">
        <f>IFERROR(__xludf.DUMMYFUNCTION("""COMPUTED_VALUE"""),"サイズ")</f>
        <v>サイズ</v>
      </c>
      <c r="B407" s="531" t="str">
        <f>IFERROR(__xludf.DUMMYFUNCTION("""COMPUTED_VALUE"""),"スラックス / カジュアルパンツ")</f>
        <v>スラックス / カジュアルパンツ</v>
      </c>
      <c r="C407" s="531" t="str">
        <f>IFERROR(__xludf.DUMMYFUNCTION("""COMPUTED_VALUE"""),"股下")</f>
        <v>股下</v>
      </c>
      <c r="D407" s="550" t="str">
        <f>IFERROR(__xludf.DUMMYFUNCTION("""COMPUTED_VALUE"""),"ダブル(3.5cm以下)")</f>
        <v>ダブル(3.5cm以下)</v>
      </c>
      <c r="E407" s="550" t="str">
        <f>IFERROR(__xludf.DUMMYFUNCTION("""COMPUTED_VALUE"""),"左右であっても1箇所換算")</f>
        <v>左右であっても1箇所換算</v>
      </c>
      <c r="F407" s="607" t="str">
        <f>IFERROR(__xludf.DUMMYFUNCTION("""COMPUTED_VALUE"""),"股下 / ダブル(3.5cm以下)")</f>
        <v>股下 / ダブル(3.5cm以下)</v>
      </c>
      <c r="G407" s="533" t="str">
        <f>IFERROR(__xludf.DUMMYFUNCTION("""COMPUTED_VALUE"""),"股下 / ダブル(3.5cm以下)（左右であっても1箇所換算）")</f>
        <v>股下 / ダブル(3.5cm以下)（左右であっても1箇所換算）</v>
      </c>
      <c r="H407" s="572" t="str">
        <f>IFERROR(__xludf.DUMMYFUNCTION("""COMPUTED_VALUE"""),"-3")</f>
        <v>-3</v>
      </c>
      <c r="I407" s="536"/>
      <c r="J407" s="536">
        <f>IFERROR(__xludf.DUMMYFUNCTION("""COMPUTED_VALUE"""),5.0)</f>
        <v>5</v>
      </c>
      <c r="K407" s="655">
        <f>IFERROR(__xludf.DUMMYFUNCTION("""COMPUTED_VALUE"""),45996.0)</f>
        <v>45996</v>
      </c>
      <c r="L407" s="641">
        <f>IFERROR(__xludf.DUMMYFUNCTION("""COMPUTED_VALUE"""),46002.0)</f>
        <v>46002</v>
      </c>
      <c r="M407" s="641">
        <f>IFERROR(__xludf.DUMMYFUNCTION("""COMPUTED_VALUE"""),46002.0)</f>
        <v>46002</v>
      </c>
      <c r="N407" s="539">
        <f>IFERROR(__xludf.DUMMYFUNCTION("""COMPUTED_VALUE"""),3300.0)</f>
        <v>3300</v>
      </c>
      <c r="O407" s="593">
        <f>IFERROR(__xludf.DUMMYFUNCTION("""COMPUTED_VALUE"""),3000.0)</f>
        <v>3000</v>
      </c>
      <c r="P407" s="594">
        <f>IFERROR(__xludf.DUMMYFUNCTION("""COMPUTED_VALUE"""),1000.0)</f>
        <v>1000</v>
      </c>
      <c r="Q407" s="183"/>
      <c r="R407" s="544"/>
      <c r="S407" s="544"/>
      <c r="T407" s="544"/>
      <c r="U407" s="544"/>
      <c r="V407" s="544"/>
      <c r="W407" s="544"/>
      <c r="X407" s="544"/>
      <c r="Y407" s="544"/>
      <c r="Z407" s="544"/>
      <c r="AA407" s="544"/>
      <c r="AB407" s="544"/>
      <c r="AC407" s="544"/>
      <c r="AD407" s="544"/>
      <c r="AE407" s="183"/>
      <c r="AF407" s="183"/>
      <c r="AG407" s="183"/>
      <c r="AH407" s="183"/>
      <c r="AI407" s="183"/>
      <c r="AJ407" s="183"/>
      <c r="AK407" s="183"/>
      <c r="AL407" s="183"/>
      <c r="AM407" s="183"/>
    </row>
    <row r="408">
      <c r="A408" s="531" t="str">
        <f>IFERROR(__xludf.DUMMYFUNCTION("""COMPUTED_VALUE"""),"サイズ")</f>
        <v>サイズ</v>
      </c>
      <c r="B408" s="531" t="str">
        <f>IFERROR(__xludf.DUMMYFUNCTION("""COMPUTED_VALUE"""),"スラックス / カジュアルパンツ")</f>
        <v>スラックス / カジュアルパンツ</v>
      </c>
      <c r="C408" s="531" t="str">
        <f>IFERROR(__xludf.DUMMYFUNCTION("""COMPUTED_VALUE"""),"股下")</f>
        <v>股下</v>
      </c>
      <c r="D408" s="550" t="str">
        <f>IFERROR(__xludf.DUMMYFUNCTION("""COMPUTED_VALUE"""),"ダブル(3.5cm以下)")</f>
        <v>ダブル(3.5cm以下)</v>
      </c>
      <c r="E408" s="550" t="str">
        <f>IFERROR(__xludf.DUMMYFUNCTION("""COMPUTED_VALUE"""),"左右であっても1箇所換算")</f>
        <v>左右であっても1箇所換算</v>
      </c>
      <c r="F408" s="607" t="str">
        <f>IFERROR(__xludf.DUMMYFUNCTION("""COMPUTED_VALUE"""),"股下 / ダブル(3.5cm以下)")</f>
        <v>股下 / ダブル(3.5cm以下)</v>
      </c>
      <c r="G408" s="533" t="str">
        <f>IFERROR(__xludf.DUMMYFUNCTION("""COMPUTED_VALUE"""),"股下 / ダブル(3.5cm以下)（左右であっても1箇所換算）")</f>
        <v>股下 / ダブル(3.5cm以下)（左右であっても1箇所換算）</v>
      </c>
      <c r="H408" s="572" t="str">
        <f>IFERROR(__xludf.DUMMYFUNCTION("""COMPUTED_VALUE"""),"-2.5")</f>
        <v>-2.5</v>
      </c>
      <c r="I408" s="536"/>
      <c r="J408" s="536">
        <f>IFERROR(__xludf.DUMMYFUNCTION("""COMPUTED_VALUE"""),5.0)</f>
        <v>5</v>
      </c>
      <c r="K408" s="655">
        <f>IFERROR(__xludf.DUMMYFUNCTION("""COMPUTED_VALUE"""),45996.0)</f>
        <v>45996</v>
      </c>
      <c r="L408" s="641">
        <f>IFERROR(__xludf.DUMMYFUNCTION("""COMPUTED_VALUE"""),46002.0)</f>
        <v>46002</v>
      </c>
      <c r="M408" s="641">
        <f>IFERROR(__xludf.DUMMYFUNCTION("""COMPUTED_VALUE"""),46002.0)</f>
        <v>46002</v>
      </c>
      <c r="N408" s="539">
        <f>IFERROR(__xludf.DUMMYFUNCTION("""COMPUTED_VALUE"""),3300.0)</f>
        <v>3300</v>
      </c>
      <c r="O408" s="593">
        <f>IFERROR(__xludf.DUMMYFUNCTION("""COMPUTED_VALUE"""),3000.0)</f>
        <v>3000</v>
      </c>
      <c r="P408" s="594">
        <f>IFERROR(__xludf.DUMMYFUNCTION("""COMPUTED_VALUE"""),1000.0)</f>
        <v>1000</v>
      </c>
      <c r="Q408" s="183"/>
      <c r="R408" s="544"/>
      <c r="S408" s="544"/>
      <c r="T408" s="544"/>
      <c r="U408" s="544"/>
      <c r="V408" s="544"/>
      <c r="W408" s="544"/>
      <c r="X408" s="544"/>
      <c r="Y408" s="544"/>
      <c r="Z408" s="544"/>
      <c r="AA408" s="544"/>
      <c r="AB408" s="544"/>
      <c r="AC408" s="544"/>
      <c r="AD408" s="544"/>
      <c r="AE408" s="183"/>
      <c r="AF408" s="183"/>
      <c r="AG408" s="183"/>
      <c r="AH408" s="183"/>
      <c r="AI408" s="183"/>
      <c r="AJ408" s="183"/>
      <c r="AK408" s="183"/>
      <c r="AL408" s="183"/>
      <c r="AM408" s="183"/>
    </row>
    <row r="409">
      <c r="A409" s="531" t="str">
        <f>IFERROR(__xludf.DUMMYFUNCTION("""COMPUTED_VALUE"""),"サイズ")</f>
        <v>サイズ</v>
      </c>
      <c r="B409" s="531" t="str">
        <f>IFERROR(__xludf.DUMMYFUNCTION("""COMPUTED_VALUE"""),"スラックス / カジュアルパンツ")</f>
        <v>スラックス / カジュアルパンツ</v>
      </c>
      <c r="C409" s="531" t="str">
        <f>IFERROR(__xludf.DUMMYFUNCTION("""COMPUTED_VALUE"""),"股下")</f>
        <v>股下</v>
      </c>
      <c r="D409" s="550" t="str">
        <f>IFERROR(__xludf.DUMMYFUNCTION("""COMPUTED_VALUE"""),"ダブル(3.5cm以下)")</f>
        <v>ダブル(3.5cm以下)</v>
      </c>
      <c r="E409" s="550" t="str">
        <f>IFERROR(__xludf.DUMMYFUNCTION("""COMPUTED_VALUE"""),"左右であっても1箇所換算")</f>
        <v>左右であっても1箇所換算</v>
      </c>
      <c r="F409" s="534" t="str">
        <f>IFERROR(__xludf.DUMMYFUNCTION("""COMPUTED_VALUE"""),"股下 / ダブル(3.5cm以下)")</f>
        <v>股下 / ダブル(3.5cm以下)</v>
      </c>
      <c r="G409" s="550" t="str">
        <f>IFERROR(__xludf.DUMMYFUNCTION("""COMPUTED_VALUE"""),"股下 / ダブル(3.5cm以下)（左右であっても1箇所換算）")</f>
        <v>股下 / ダブル(3.5cm以下)（左右であっても1箇所換算）</v>
      </c>
      <c r="H409" s="572" t="str">
        <f>IFERROR(__xludf.DUMMYFUNCTION("""COMPUTED_VALUE"""),"-2")</f>
        <v>-2</v>
      </c>
      <c r="I409" s="537"/>
      <c r="J409" s="538">
        <f>IFERROR(__xludf.DUMMYFUNCTION("""COMPUTED_VALUE"""),5.0)</f>
        <v>5</v>
      </c>
      <c r="K409" s="537">
        <f>IFERROR(__xludf.DUMMYFUNCTION("""COMPUTED_VALUE"""),45996.0)</f>
        <v>45996</v>
      </c>
      <c r="L409" s="640">
        <f>IFERROR(__xludf.DUMMYFUNCTION("""COMPUTED_VALUE"""),46002.0)</f>
        <v>46002</v>
      </c>
      <c r="M409" s="641">
        <f>IFERROR(__xludf.DUMMYFUNCTION("""COMPUTED_VALUE"""),46002.0)</f>
        <v>46002</v>
      </c>
      <c r="N409" s="539">
        <f>IFERROR(__xludf.DUMMYFUNCTION("""COMPUTED_VALUE"""),3300.0)</f>
        <v>3300</v>
      </c>
      <c r="O409" s="593">
        <f>IFERROR(__xludf.DUMMYFUNCTION("""COMPUTED_VALUE"""),3000.0)</f>
        <v>3000</v>
      </c>
      <c r="P409" s="594">
        <f>IFERROR(__xludf.DUMMYFUNCTION("""COMPUTED_VALUE"""),1000.0)</f>
        <v>1000</v>
      </c>
      <c r="Q409" s="183"/>
      <c r="R409" s="544"/>
      <c r="S409" s="544"/>
      <c r="T409" s="544"/>
      <c r="U409" s="544"/>
      <c r="V409" s="544"/>
      <c r="W409" s="544"/>
      <c r="X409" s="544"/>
      <c r="Y409" s="544"/>
      <c r="Z409" s="544"/>
      <c r="AA409" s="544"/>
      <c r="AB409" s="544"/>
      <c r="AC409" s="544"/>
      <c r="AD409" s="544"/>
      <c r="AE409" s="183"/>
      <c r="AF409" s="183"/>
      <c r="AG409" s="183"/>
      <c r="AH409" s="183"/>
      <c r="AI409" s="183"/>
      <c r="AJ409" s="183"/>
      <c r="AK409" s="183"/>
      <c r="AL409" s="183"/>
      <c r="AM409" s="183"/>
    </row>
    <row r="410">
      <c r="A410" s="531" t="str">
        <f>IFERROR(__xludf.DUMMYFUNCTION("""COMPUTED_VALUE"""),"サイズ")</f>
        <v>サイズ</v>
      </c>
      <c r="B410" s="531" t="str">
        <f>IFERROR(__xludf.DUMMYFUNCTION("""COMPUTED_VALUE"""),"スラックス / カジュアルパンツ")</f>
        <v>スラックス / カジュアルパンツ</v>
      </c>
      <c r="C410" s="531" t="str">
        <f>IFERROR(__xludf.DUMMYFUNCTION("""COMPUTED_VALUE"""),"股下")</f>
        <v>股下</v>
      </c>
      <c r="D410" s="550" t="str">
        <f>IFERROR(__xludf.DUMMYFUNCTION("""COMPUTED_VALUE"""),"ダブル(3.5cm以下)")</f>
        <v>ダブル(3.5cm以下)</v>
      </c>
      <c r="E410" s="550" t="str">
        <f>IFERROR(__xludf.DUMMYFUNCTION("""COMPUTED_VALUE"""),"左右であっても1箇所換算")</f>
        <v>左右であっても1箇所換算</v>
      </c>
      <c r="F410" s="534" t="str">
        <f>IFERROR(__xludf.DUMMYFUNCTION("""COMPUTED_VALUE"""),"股下 / ダブル(3.5cm以下)")</f>
        <v>股下 / ダブル(3.5cm以下)</v>
      </c>
      <c r="G410" s="550" t="str">
        <f>IFERROR(__xludf.DUMMYFUNCTION("""COMPUTED_VALUE"""),"股下 / ダブル(3.5cm以下)（左右であっても1箇所換算）")</f>
        <v>股下 / ダブル(3.5cm以下)（左右であっても1箇所換算）</v>
      </c>
      <c r="H410" s="572" t="str">
        <f>IFERROR(__xludf.DUMMYFUNCTION("""COMPUTED_VALUE"""),"-1.5")</f>
        <v>-1.5</v>
      </c>
      <c r="I410" s="537"/>
      <c r="J410" s="538">
        <f>IFERROR(__xludf.DUMMYFUNCTION("""COMPUTED_VALUE"""),5.0)</f>
        <v>5</v>
      </c>
      <c r="K410" s="537">
        <f>IFERROR(__xludf.DUMMYFUNCTION("""COMPUTED_VALUE"""),45996.0)</f>
        <v>45996</v>
      </c>
      <c r="L410" s="640">
        <f>IFERROR(__xludf.DUMMYFUNCTION("""COMPUTED_VALUE"""),46002.0)</f>
        <v>46002</v>
      </c>
      <c r="M410" s="641">
        <f>IFERROR(__xludf.DUMMYFUNCTION("""COMPUTED_VALUE"""),46002.0)</f>
        <v>46002</v>
      </c>
      <c r="N410" s="539">
        <f>IFERROR(__xludf.DUMMYFUNCTION("""COMPUTED_VALUE"""),3300.0)</f>
        <v>3300</v>
      </c>
      <c r="O410" s="593">
        <f>IFERROR(__xludf.DUMMYFUNCTION("""COMPUTED_VALUE"""),3000.0)</f>
        <v>3000</v>
      </c>
      <c r="P410" s="594">
        <f>IFERROR(__xludf.DUMMYFUNCTION("""COMPUTED_VALUE"""),1000.0)</f>
        <v>1000</v>
      </c>
      <c r="Q410" s="183"/>
      <c r="R410" s="544"/>
      <c r="S410" s="544"/>
      <c r="T410" s="544"/>
      <c r="U410" s="544"/>
      <c r="V410" s="544"/>
      <c r="W410" s="544"/>
      <c r="X410" s="544"/>
      <c r="Y410" s="544"/>
      <c r="Z410" s="544"/>
      <c r="AA410" s="544"/>
      <c r="AB410" s="544"/>
      <c r="AC410" s="544"/>
      <c r="AD410" s="544"/>
      <c r="AE410" s="183"/>
      <c r="AF410" s="183"/>
      <c r="AG410" s="183"/>
      <c r="AH410" s="183"/>
      <c r="AI410" s="183"/>
      <c r="AJ410" s="183"/>
      <c r="AK410" s="183"/>
      <c r="AL410" s="183"/>
      <c r="AM410" s="183"/>
    </row>
    <row r="411">
      <c r="A411" s="531" t="str">
        <f>IFERROR(__xludf.DUMMYFUNCTION("""COMPUTED_VALUE"""),"サイズ")</f>
        <v>サイズ</v>
      </c>
      <c r="B411" s="531" t="str">
        <f>IFERROR(__xludf.DUMMYFUNCTION("""COMPUTED_VALUE"""),"スラックス / カジュアルパンツ")</f>
        <v>スラックス / カジュアルパンツ</v>
      </c>
      <c r="C411" s="531" t="str">
        <f>IFERROR(__xludf.DUMMYFUNCTION("""COMPUTED_VALUE"""),"股下")</f>
        <v>股下</v>
      </c>
      <c r="D411" s="550" t="str">
        <f>IFERROR(__xludf.DUMMYFUNCTION("""COMPUTED_VALUE"""),"ダブル(3.5cm以下)")</f>
        <v>ダブル(3.5cm以下)</v>
      </c>
      <c r="E411" s="550" t="str">
        <f>IFERROR(__xludf.DUMMYFUNCTION("""COMPUTED_VALUE"""),"左右であっても1箇所換算")</f>
        <v>左右であっても1箇所換算</v>
      </c>
      <c r="F411" s="534" t="str">
        <f>IFERROR(__xludf.DUMMYFUNCTION("""COMPUTED_VALUE"""),"股下 / ダブル(3.5cm以下)")</f>
        <v>股下 / ダブル(3.5cm以下)</v>
      </c>
      <c r="G411" s="550" t="str">
        <f>IFERROR(__xludf.DUMMYFUNCTION("""COMPUTED_VALUE"""),"股下 / ダブル(3.5cm以下)（左右であっても1箇所換算）")</f>
        <v>股下 / ダブル(3.5cm以下)（左右であっても1箇所換算）</v>
      </c>
      <c r="H411" s="572" t="str">
        <f>IFERROR(__xludf.DUMMYFUNCTION("""COMPUTED_VALUE"""),"-1")</f>
        <v>-1</v>
      </c>
      <c r="I411" s="537"/>
      <c r="J411" s="538">
        <f>IFERROR(__xludf.DUMMYFUNCTION("""COMPUTED_VALUE"""),5.0)</f>
        <v>5</v>
      </c>
      <c r="K411" s="537">
        <f>IFERROR(__xludf.DUMMYFUNCTION("""COMPUTED_VALUE"""),45996.0)</f>
        <v>45996</v>
      </c>
      <c r="L411" s="640">
        <f>IFERROR(__xludf.DUMMYFUNCTION("""COMPUTED_VALUE"""),46002.0)</f>
        <v>46002</v>
      </c>
      <c r="M411" s="641">
        <f>IFERROR(__xludf.DUMMYFUNCTION("""COMPUTED_VALUE"""),46002.0)</f>
        <v>46002</v>
      </c>
      <c r="N411" s="539">
        <f>IFERROR(__xludf.DUMMYFUNCTION("""COMPUTED_VALUE"""),3300.0)</f>
        <v>3300</v>
      </c>
      <c r="O411" s="593">
        <f>IFERROR(__xludf.DUMMYFUNCTION("""COMPUTED_VALUE"""),3000.0)</f>
        <v>3000</v>
      </c>
      <c r="P411" s="594">
        <f>IFERROR(__xludf.DUMMYFUNCTION("""COMPUTED_VALUE"""),1000.0)</f>
        <v>1000</v>
      </c>
      <c r="Q411" s="183"/>
      <c r="R411" s="544"/>
      <c r="S411" s="544"/>
      <c r="T411" s="544"/>
      <c r="U411" s="544"/>
      <c r="V411" s="544"/>
      <c r="W411" s="544"/>
      <c r="X411" s="544"/>
      <c r="Y411" s="544"/>
      <c r="Z411" s="544"/>
      <c r="AA411" s="544"/>
      <c r="AB411" s="544"/>
      <c r="AC411" s="544"/>
      <c r="AD411" s="544"/>
      <c r="AE411" s="183"/>
      <c r="AF411" s="183"/>
      <c r="AG411" s="183"/>
      <c r="AH411" s="183"/>
      <c r="AI411" s="183"/>
      <c r="AJ411" s="183"/>
      <c r="AK411" s="183"/>
      <c r="AL411" s="183"/>
      <c r="AM411" s="183"/>
    </row>
    <row r="412">
      <c r="A412" s="531" t="str">
        <f>IFERROR(__xludf.DUMMYFUNCTION("""COMPUTED_VALUE"""),"サイズ")</f>
        <v>サイズ</v>
      </c>
      <c r="B412" s="531" t="str">
        <f>IFERROR(__xludf.DUMMYFUNCTION("""COMPUTED_VALUE"""),"スラックス / カジュアルパンツ")</f>
        <v>スラックス / カジュアルパンツ</v>
      </c>
      <c r="C412" s="531" t="str">
        <f>IFERROR(__xludf.DUMMYFUNCTION("""COMPUTED_VALUE"""),"股下")</f>
        <v>股下</v>
      </c>
      <c r="D412" s="550" t="str">
        <f>IFERROR(__xludf.DUMMYFUNCTION("""COMPUTED_VALUE"""),"ダブル(3.5cm以下)")</f>
        <v>ダブル(3.5cm以下)</v>
      </c>
      <c r="E412" s="550" t="str">
        <f>IFERROR(__xludf.DUMMYFUNCTION("""COMPUTED_VALUE"""),"左右であっても1箇所換算")</f>
        <v>左右であっても1箇所換算</v>
      </c>
      <c r="F412" s="534" t="str">
        <f>IFERROR(__xludf.DUMMYFUNCTION("""COMPUTED_VALUE"""),"股下 / ダブル(3.5cm以下)")</f>
        <v>股下 / ダブル(3.5cm以下)</v>
      </c>
      <c r="G412" s="550" t="str">
        <f>IFERROR(__xludf.DUMMYFUNCTION("""COMPUTED_VALUE"""),"股下 / ダブル(3.5cm以下)（左右であっても1箇所換算）")</f>
        <v>股下 / ダブル(3.5cm以下)（左右であっても1箇所換算）</v>
      </c>
      <c r="H412" s="572" t="str">
        <f>IFERROR(__xludf.DUMMYFUNCTION("""COMPUTED_VALUE"""),"-0.5")</f>
        <v>-0.5</v>
      </c>
      <c r="I412" s="537"/>
      <c r="J412" s="538">
        <f>IFERROR(__xludf.DUMMYFUNCTION("""COMPUTED_VALUE"""),5.0)</f>
        <v>5</v>
      </c>
      <c r="K412" s="537">
        <f>IFERROR(__xludf.DUMMYFUNCTION("""COMPUTED_VALUE"""),45996.0)</f>
        <v>45996</v>
      </c>
      <c r="L412" s="640">
        <f>IFERROR(__xludf.DUMMYFUNCTION("""COMPUTED_VALUE"""),46002.0)</f>
        <v>46002</v>
      </c>
      <c r="M412" s="641">
        <f>IFERROR(__xludf.DUMMYFUNCTION("""COMPUTED_VALUE"""),46002.0)</f>
        <v>46002</v>
      </c>
      <c r="N412" s="539">
        <f>IFERROR(__xludf.DUMMYFUNCTION("""COMPUTED_VALUE"""),3300.0)</f>
        <v>3300</v>
      </c>
      <c r="O412" s="593">
        <f>IFERROR(__xludf.DUMMYFUNCTION("""COMPUTED_VALUE"""),3000.0)</f>
        <v>3000</v>
      </c>
      <c r="P412" s="594">
        <f>IFERROR(__xludf.DUMMYFUNCTION("""COMPUTED_VALUE"""),1000.0)</f>
        <v>1000</v>
      </c>
      <c r="Q412" s="183"/>
      <c r="R412" s="544"/>
      <c r="S412" s="544"/>
      <c r="T412" s="544"/>
      <c r="U412" s="544"/>
      <c r="V412" s="544"/>
      <c r="W412" s="544"/>
      <c r="X412" s="544"/>
      <c r="Y412" s="544"/>
      <c r="Z412" s="544"/>
      <c r="AA412" s="544"/>
      <c r="AB412" s="544"/>
      <c r="AC412" s="544"/>
      <c r="AD412" s="544"/>
      <c r="AE412" s="183"/>
      <c r="AF412" s="183"/>
      <c r="AG412" s="183"/>
      <c r="AH412" s="183"/>
      <c r="AI412" s="183"/>
      <c r="AJ412" s="183"/>
      <c r="AK412" s="183"/>
      <c r="AL412" s="183"/>
      <c r="AM412" s="183"/>
    </row>
    <row r="413">
      <c r="A413" s="531" t="str">
        <f>IFERROR(__xludf.DUMMYFUNCTION("""COMPUTED_VALUE"""),"サイズ")</f>
        <v>サイズ</v>
      </c>
      <c r="B413" s="531" t="str">
        <f>IFERROR(__xludf.DUMMYFUNCTION("""COMPUTED_VALUE"""),"スラックス / カジュアルパンツ")</f>
        <v>スラックス / カジュアルパンツ</v>
      </c>
      <c r="C413" s="531" t="str">
        <f>IFERROR(__xludf.DUMMYFUNCTION("""COMPUTED_VALUE"""),"股下")</f>
        <v>股下</v>
      </c>
      <c r="D413" s="550" t="str">
        <f>IFERROR(__xludf.DUMMYFUNCTION("""COMPUTED_VALUE"""),"ダブル(3.5cm以下)")</f>
        <v>ダブル(3.5cm以下)</v>
      </c>
      <c r="E413" s="550" t="str">
        <f>IFERROR(__xludf.DUMMYFUNCTION("""COMPUTED_VALUE"""),"左右であっても1箇所換算")</f>
        <v>左右であっても1箇所換算</v>
      </c>
      <c r="F413" s="534" t="str">
        <f>IFERROR(__xludf.DUMMYFUNCTION("""COMPUTED_VALUE"""),"股下 / ダブル(3.5cm以下)")</f>
        <v>股下 / ダブル(3.5cm以下)</v>
      </c>
      <c r="G413" s="550" t="str">
        <f>IFERROR(__xludf.DUMMYFUNCTION("""COMPUTED_VALUE"""),"股下 / ダブル(3.5cm以下)（左右であっても1箇所換算）")</f>
        <v>股下 / ダブル(3.5cm以下)（左右であっても1箇所換算）</v>
      </c>
      <c r="H413" s="572" t="str">
        <f>IFERROR(__xludf.DUMMYFUNCTION("""COMPUTED_VALUE"""),"0.5")</f>
        <v>0.5</v>
      </c>
      <c r="I413" s="537"/>
      <c r="J413" s="538">
        <f>IFERROR(__xludf.DUMMYFUNCTION("""COMPUTED_VALUE"""),5.0)</f>
        <v>5</v>
      </c>
      <c r="K413" s="537">
        <f>IFERROR(__xludf.DUMMYFUNCTION("""COMPUTED_VALUE"""),45996.0)</f>
        <v>45996</v>
      </c>
      <c r="L413" s="640">
        <f>IFERROR(__xludf.DUMMYFUNCTION("""COMPUTED_VALUE"""),46002.0)</f>
        <v>46002</v>
      </c>
      <c r="M413" s="641">
        <f>IFERROR(__xludf.DUMMYFUNCTION("""COMPUTED_VALUE"""),46002.0)</f>
        <v>46002</v>
      </c>
      <c r="N413" s="539">
        <f>IFERROR(__xludf.DUMMYFUNCTION("""COMPUTED_VALUE"""),3300.0)</f>
        <v>3300</v>
      </c>
      <c r="O413" s="593">
        <f>IFERROR(__xludf.DUMMYFUNCTION("""COMPUTED_VALUE"""),3000.0)</f>
        <v>3000</v>
      </c>
      <c r="P413" s="594">
        <f>IFERROR(__xludf.DUMMYFUNCTION("""COMPUTED_VALUE"""),1000.0)</f>
        <v>1000</v>
      </c>
      <c r="Q413" s="183"/>
      <c r="R413" s="544"/>
      <c r="S413" s="544"/>
      <c r="T413" s="544"/>
      <c r="U413" s="544"/>
      <c r="V413" s="544"/>
      <c r="W413" s="544"/>
      <c r="X413" s="544"/>
      <c r="Y413" s="544"/>
      <c r="Z413" s="544"/>
      <c r="AA413" s="544"/>
      <c r="AB413" s="544"/>
      <c r="AC413" s="544"/>
      <c r="AD413" s="544"/>
      <c r="AE413" s="183"/>
      <c r="AF413" s="183"/>
      <c r="AG413" s="183"/>
      <c r="AH413" s="183"/>
      <c r="AI413" s="183"/>
      <c r="AJ413" s="183"/>
      <c r="AK413" s="183"/>
      <c r="AL413" s="183"/>
      <c r="AM413" s="183"/>
    </row>
    <row r="414">
      <c r="A414" s="531" t="str">
        <f>IFERROR(__xludf.DUMMYFUNCTION("""COMPUTED_VALUE"""),"サイズ")</f>
        <v>サイズ</v>
      </c>
      <c r="B414" s="531" t="str">
        <f>IFERROR(__xludf.DUMMYFUNCTION("""COMPUTED_VALUE"""),"スラックス / カジュアルパンツ")</f>
        <v>スラックス / カジュアルパンツ</v>
      </c>
      <c r="C414" s="531" t="str">
        <f>IFERROR(__xludf.DUMMYFUNCTION("""COMPUTED_VALUE"""),"股下")</f>
        <v>股下</v>
      </c>
      <c r="D414" s="550" t="str">
        <f>IFERROR(__xludf.DUMMYFUNCTION("""COMPUTED_VALUE"""),"ダブル(3.5cm以下)")</f>
        <v>ダブル(3.5cm以下)</v>
      </c>
      <c r="E414" s="550" t="str">
        <f>IFERROR(__xludf.DUMMYFUNCTION("""COMPUTED_VALUE"""),"左右であっても1箇所換算")</f>
        <v>左右であっても1箇所換算</v>
      </c>
      <c r="F414" s="534" t="str">
        <f>IFERROR(__xludf.DUMMYFUNCTION("""COMPUTED_VALUE"""),"股下 / ダブル(3.5cm以下)")</f>
        <v>股下 / ダブル(3.5cm以下)</v>
      </c>
      <c r="G414" s="550" t="str">
        <f>IFERROR(__xludf.DUMMYFUNCTION("""COMPUTED_VALUE"""),"股下 / ダブル(3.5cm以下)（左右であっても1箇所換算）")</f>
        <v>股下 / ダブル(3.5cm以下)（左右であっても1箇所換算）</v>
      </c>
      <c r="H414" s="572" t="str">
        <f>IFERROR(__xludf.DUMMYFUNCTION("""COMPUTED_VALUE"""),"1")</f>
        <v>1</v>
      </c>
      <c r="I414" s="537"/>
      <c r="J414" s="538">
        <f>IFERROR(__xludf.DUMMYFUNCTION("""COMPUTED_VALUE"""),5.0)</f>
        <v>5</v>
      </c>
      <c r="K414" s="537">
        <f>IFERROR(__xludf.DUMMYFUNCTION("""COMPUTED_VALUE"""),45996.0)</f>
        <v>45996</v>
      </c>
      <c r="L414" s="640">
        <f>IFERROR(__xludf.DUMMYFUNCTION("""COMPUTED_VALUE"""),46002.0)</f>
        <v>46002</v>
      </c>
      <c r="M414" s="641">
        <f>IFERROR(__xludf.DUMMYFUNCTION("""COMPUTED_VALUE"""),46002.0)</f>
        <v>46002</v>
      </c>
      <c r="N414" s="539">
        <f>IFERROR(__xludf.DUMMYFUNCTION("""COMPUTED_VALUE"""),3300.0)</f>
        <v>3300</v>
      </c>
      <c r="O414" s="593">
        <f>IFERROR(__xludf.DUMMYFUNCTION("""COMPUTED_VALUE"""),3000.0)</f>
        <v>3000</v>
      </c>
      <c r="P414" s="594">
        <f>IFERROR(__xludf.DUMMYFUNCTION("""COMPUTED_VALUE"""),1000.0)</f>
        <v>1000</v>
      </c>
      <c r="Q414" s="183"/>
      <c r="R414" s="544"/>
      <c r="S414" s="544"/>
      <c r="T414" s="544"/>
      <c r="U414" s="544"/>
      <c r="V414" s="544"/>
      <c r="W414" s="544"/>
      <c r="X414" s="544"/>
      <c r="Y414" s="544"/>
      <c r="Z414" s="544"/>
      <c r="AA414" s="544"/>
      <c r="AB414" s="544"/>
      <c r="AC414" s="544"/>
      <c r="AD414" s="544"/>
      <c r="AE414" s="183"/>
      <c r="AF414" s="183"/>
      <c r="AG414" s="183"/>
      <c r="AH414" s="183"/>
      <c r="AI414" s="183"/>
      <c r="AJ414" s="183"/>
      <c r="AK414" s="183"/>
      <c r="AL414" s="183"/>
      <c r="AM414" s="183"/>
    </row>
    <row r="415">
      <c r="A415" s="531" t="str">
        <f>IFERROR(__xludf.DUMMYFUNCTION("""COMPUTED_VALUE"""),"サイズ")</f>
        <v>サイズ</v>
      </c>
      <c r="B415" s="531" t="str">
        <f>IFERROR(__xludf.DUMMYFUNCTION("""COMPUTED_VALUE"""),"スラックス / カジュアルパンツ")</f>
        <v>スラックス / カジュアルパンツ</v>
      </c>
      <c r="C415" s="531" t="str">
        <f>IFERROR(__xludf.DUMMYFUNCTION("""COMPUTED_VALUE"""),"股下")</f>
        <v>股下</v>
      </c>
      <c r="D415" s="550" t="str">
        <f>IFERROR(__xludf.DUMMYFUNCTION("""COMPUTED_VALUE"""),"ダブル(3.5cm以下)")</f>
        <v>ダブル(3.5cm以下)</v>
      </c>
      <c r="E415" s="550" t="str">
        <f>IFERROR(__xludf.DUMMYFUNCTION("""COMPUTED_VALUE"""),"左右であっても1箇所換算")</f>
        <v>左右であっても1箇所換算</v>
      </c>
      <c r="F415" s="534" t="str">
        <f>IFERROR(__xludf.DUMMYFUNCTION("""COMPUTED_VALUE"""),"股下 / ダブル(3.5cm以下)")</f>
        <v>股下 / ダブル(3.5cm以下)</v>
      </c>
      <c r="G415" s="550" t="str">
        <f>IFERROR(__xludf.DUMMYFUNCTION("""COMPUTED_VALUE"""),"股下 / ダブル(3.5cm以下)（左右であっても1箇所換算）")</f>
        <v>股下 / ダブル(3.5cm以下)（左右であっても1箇所換算）</v>
      </c>
      <c r="H415" s="572" t="str">
        <f>IFERROR(__xludf.DUMMYFUNCTION("""COMPUTED_VALUE"""),"1.5")</f>
        <v>1.5</v>
      </c>
      <c r="I415" s="537"/>
      <c r="J415" s="538">
        <f>IFERROR(__xludf.DUMMYFUNCTION("""COMPUTED_VALUE"""),5.0)</f>
        <v>5</v>
      </c>
      <c r="K415" s="537">
        <f>IFERROR(__xludf.DUMMYFUNCTION("""COMPUTED_VALUE"""),45996.0)</f>
        <v>45996</v>
      </c>
      <c r="L415" s="640">
        <f>IFERROR(__xludf.DUMMYFUNCTION("""COMPUTED_VALUE"""),46002.0)</f>
        <v>46002</v>
      </c>
      <c r="M415" s="641">
        <f>IFERROR(__xludf.DUMMYFUNCTION("""COMPUTED_VALUE"""),46002.0)</f>
        <v>46002</v>
      </c>
      <c r="N415" s="539">
        <f>IFERROR(__xludf.DUMMYFUNCTION("""COMPUTED_VALUE"""),3300.0)</f>
        <v>3300</v>
      </c>
      <c r="O415" s="593">
        <f>IFERROR(__xludf.DUMMYFUNCTION("""COMPUTED_VALUE"""),3000.0)</f>
        <v>3000</v>
      </c>
      <c r="P415" s="594">
        <f>IFERROR(__xludf.DUMMYFUNCTION("""COMPUTED_VALUE"""),1000.0)</f>
        <v>1000</v>
      </c>
      <c r="Q415" s="183"/>
      <c r="R415" s="544"/>
      <c r="S415" s="544"/>
      <c r="T415" s="544"/>
      <c r="U415" s="544"/>
      <c r="V415" s="544"/>
      <c r="W415" s="544"/>
      <c r="X415" s="544"/>
      <c r="Y415" s="544"/>
      <c r="Z415" s="544"/>
      <c r="AA415" s="544"/>
      <c r="AB415" s="544"/>
      <c r="AC415" s="544"/>
      <c r="AD415" s="544"/>
      <c r="AE415" s="183"/>
      <c r="AF415" s="183"/>
      <c r="AG415" s="183"/>
      <c r="AH415" s="183"/>
      <c r="AI415" s="183"/>
      <c r="AJ415" s="183"/>
      <c r="AK415" s="183"/>
      <c r="AL415" s="183"/>
      <c r="AM415" s="183"/>
    </row>
    <row r="416">
      <c r="A416" s="531" t="str">
        <f>IFERROR(__xludf.DUMMYFUNCTION("""COMPUTED_VALUE"""),"サイズ")</f>
        <v>サイズ</v>
      </c>
      <c r="B416" s="531" t="str">
        <f>IFERROR(__xludf.DUMMYFUNCTION("""COMPUTED_VALUE"""),"スラックス / カジュアルパンツ")</f>
        <v>スラックス / カジュアルパンツ</v>
      </c>
      <c r="C416" s="531" t="str">
        <f>IFERROR(__xludf.DUMMYFUNCTION("""COMPUTED_VALUE"""),"股下")</f>
        <v>股下</v>
      </c>
      <c r="D416" s="550" t="str">
        <f>IFERROR(__xludf.DUMMYFUNCTION("""COMPUTED_VALUE"""),"ダブル(4cm以上)")</f>
        <v>ダブル(4cm以上)</v>
      </c>
      <c r="E416" s="550" t="str">
        <f>IFERROR(__xludf.DUMMYFUNCTION("""COMPUTED_VALUE"""),"左右であっても1箇所換算")</f>
        <v>左右であっても1箇所換算</v>
      </c>
      <c r="F416" s="534" t="str">
        <f>IFERROR(__xludf.DUMMYFUNCTION("""COMPUTED_VALUE"""),"股下 / ダブル(4cm以上)")</f>
        <v>股下 / ダブル(4cm以上)</v>
      </c>
      <c r="G416" s="550" t="str">
        <f>IFERROR(__xludf.DUMMYFUNCTION("""COMPUTED_VALUE"""),"股下 / ダブル(4cm以上)（左右であっても1箇所換算）")</f>
        <v>股下 / ダブル(4cm以上)（左右であっても1箇所換算）</v>
      </c>
      <c r="H416" s="572" t="str">
        <f>IFERROR(__xludf.DUMMYFUNCTION("""COMPUTED_VALUE"""),"-5")</f>
        <v>-5</v>
      </c>
      <c r="I416" s="537"/>
      <c r="J416" s="538">
        <f>IFERROR(__xludf.DUMMYFUNCTION("""COMPUTED_VALUE"""),5.0)</f>
        <v>5</v>
      </c>
      <c r="K416" s="537">
        <f>IFERROR(__xludf.DUMMYFUNCTION("""COMPUTED_VALUE"""),45996.0)</f>
        <v>45996</v>
      </c>
      <c r="L416" s="640">
        <f>IFERROR(__xludf.DUMMYFUNCTION("""COMPUTED_VALUE"""),46002.0)</f>
        <v>46002</v>
      </c>
      <c r="M416" s="641">
        <f>IFERROR(__xludf.DUMMYFUNCTION("""COMPUTED_VALUE"""),46002.0)</f>
        <v>46002</v>
      </c>
      <c r="N416" s="539">
        <f>IFERROR(__xludf.DUMMYFUNCTION("""COMPUTED_VALUE"""),3300.0)</f>
        <v>3300</v>
      </c>
      <c r="O416" s="593">
        <f>IFERROR(__xludf.DUMMYFUNCTION("""COMPUTED_VALUE"""),3000.0)</f>
        <v>3000</v>
      </c>
      <c r="P416" s="594">
        <f>IFERROR(__xludf.DUMMYFUNCTION("""COMPUTED_VALUE"""),1000.0)</f>
        <v>1000</v>
      </c>
      <c r="Q416" s="183"/>
      <c r="R416" s="544"/>
      <c r="S416" s="544"/>
      <c r="T416" s="544"/>
      <c r="U416" s="544"/>
      <c r="V416" s="544"/>
      <c r="W416" s="544"/>
      <c r="X416" s="544"/>
      <c r="Y416" s="544"/>
      <c r="Z416" s="544"/>
      <c r="AA416" s="544"/>
      <c r="AB416" s="544"/>
      <c r="AC416" s="544"/>
      <c r="AD416" s="544"/>
      <c r="AE416" s="183"/>
      <c r="AF416" s="183"/>
      <c r="AG416" s="183"/>
      <c r="AH416" s="183"/>
      <c r="AI416" s="183"/>
      <c r="AJ416" s="183"/>
      <c r="AK416" s="183"/>
      <c r="AL416" s="183"/>
      <c r="AM416" s="183"/>
    </row>
    <row r="417">
      <c r="A417" s="531" t="str">
        <f>IFERROR(__xludf.DUMMYFUNCTION("""COMPUTED_VALUE"""),"サイズ")</f>
        <v>サイズ</v>
      </c>
      <c r="B417" s="531" t="str">
        <f>IFERROR(__xludf.DUMMYFUNCTION("""COMPUTED_VALUE"""),"スラックス / カジュアルパンツ")</f>
        <v>スラックス / カジュアルパンツ</v>
      </c>
      <c r="C417" s="531" t="str">
        <f>IFERROR(__xludf.DUMMYFUNCTION("""COMPUTED_VALUE"""),"股下")</f>
        <v>股下</v>
      </c>
      <c r="D417" s="550" t="str">
        <f>IFERROR(__xludf.DUMMYFUNCTION("""COMPUTED_VALUE"""),"ダブル(4cm以上)")</f>
        <v>ダブル(4cm以上)</v>
      </c>
      <c r="E417" s="550" t="str">
        <f>IFERROR(__xludf.DUMMYFUNCTION("""COMPUTED_VALUE"""),"左右であっても1箇所換算")</f>
        <v>左右であっても1箇所換算</v>
      </c>
      <c r="F417" s="534" t="str">
        <f>IFERROR(__xludf.DUMMYFUNCTION("""COMPUTED_VALUE"""),"股下 / ダブル(4cm以上)")</f>
        <v>股下 / ダブル(4cm以上)</v>
      </c>
      <c r="G417" s="550" t="str">
        <f>IFERROR(__xludf.DUMMYFUNCTION("""COMPUTED_VALUE"""),"股下 / ダブル(4cm以上)（左右であっても1箇所換算）")</f>
        <v>股下 / ダブル(4cm以上)（左右であっても1箇所換算）</v>
      </c>
      <c r="H417" s="572" t="str">
        <f>IFERROR(__xludf.DUMMYFUNCTION("""COMPUTED_VALUE"""),"-4.5")</f>
        <v>-4.5</v>
      </c>
      <c r="I417" s="537"/>
      <c r="J417" s="538">
        <f>IFERROR(__xludf.DUMMYFUNCTION("""COMPUTED_VALUE"""),5.0)</f>
        <v>5</v>
      </c>
      <c r="K417" s="537">
        <f>IFERROR(__xludf.DUMMYFUNCTION("""COMPUTED_VALUE"""),45996.0)</f>
        <v>45996</v>
      </c>
      <c r="L417" s="640">
        <f>IFERROR(__xludf.DUMMYFUNCTION("""COMPUTED_VALUE"""),46002.0)</f>
        <v>46002</v>
      </c>
      <c r="M417" s="641">
        <f>IFERROR(__xludf.DUMMYFUNCTION("""COMPUTED_VALUE"""),46002.0)</f>
        <v>46002</v>
      </c>
      <c r="N417" s="539">
        <f>IFERROR(__xludf.DUMMYFUNCTION("""COMPUTED_VALUE"""),3300.0)</f>
        <v>3300</v>
      </c>
      <c r="O417" s="593">
        <f>IFERROR(__xludf.DUMMYFUNCTION("""COMPUTED_VALUE"""),3000.0)</f>
        <v>3000</v>
      </c>
      <c r="P417" s="594">
        <f>IFERROR(__xludf.DUMMYFUNCTION("""COMPUTED_VALUE"""),1000.0)</f>
        <v>1000</v>
      </c>
      <c r="Q417" s="183"/>
      <c r="R417" s="544"/>
      <c r="S417" s="544"/>
      <c r="T417" s="544"/>
      <c r="U417" s="544"/>
      <c r="V417" s="544"/>
      <c r="W417" s="544"/>
      <c r="X417" s="544"/>
      <c r="Y417" s="544"/>
      <c r="Z417" s="544"/>
      <c r="AA417" s="544"/>
      <c r="AB417" s="544"/>
      <c r="AC417" s="544"/>
      <c r="AD417" s="544"/>
      <c r="AE417" s="183"/>
      <c r="AF417" s="183"/>
      <c r="AG417" s="183"/>
      <c r="AH417" s="183"/>
      <c r="AI417" s="183"/>
      <c r="AJ417" s="183"/>
      <c r="AK417" s="183"/>
      <c r="AL417" s="183"/>
      <c r="AM417" s="183"/>
    </row>
    <row r="418">
      <c r="A418" s="531" t="str">
        <f>IFERROR(__xludf.DUMMYFUNCTION("""COMPUTED_VALUE"""),"サイズ")</f>
        <v>サイズ</v>
      </c>
      <c r="B418" s="531" t="str">
        <f>IFERROR(__xludf.DUMMYFUNCTION("""COMPUTED_VALUE"""),"スラックス / カジュアルパンツ")</f>
        <v>スラックス / カジュアルパンツ</v>
      </c>
      <c r="C418" s="531" t="str">
        <f>IFERROR(__xludf.DUMMYFUNCTION("""COMPUTED_VALUE"""),"股下")</f>
        <v>股下</v>
      </c>
      <c r="D418" s="550" t="str">
        <f>IFERROR(__xludf.DUMMYFUNCTION("""COMPUTED_VALUE"""),"ダブル(4cm以上)")</f>
        <v>ダブル(4cm以上)</v>
      </c>
      <c r="E418" s="550" t="str">
        <f>IFERROR(__xludf.DUMMYFUNCTION("""COMPUTED_VALUE"""),"左右であっても1箇所換算")</f>
        <v>左右であっても1箇所換算</v>
      </c>
      <c r="F418" s="534" t="str">
        <f>IFERROR(__xludf.DUMMYFUNCTION("""COMPUTED_VALUE"""),"股下 / ダブル(4cm以上)")</f>
        <v>股下 / ダブル(4cm以上)</v>
      </c>
      <c r="G418" s="550" t="str">
        <f>IFERROR(__xludf.DUMMYFUNCTION("""COMPUTED_VALUE"""),"股下 / ダブル(4cm以上)（左右であっても1箇所換算）")</f>
        <v>股下 / ダブル(4cm以上)（左右であっても1箇所換算）</v>
      </c>
      <c r="H418" s="572" t="str">
        <f>IFERROR(__xludf.DUMMYFUNCTION("""COMPUTED_VALUE"""),"-4")</f>
        <v>-4</v>
      </c>
      <c r="I418" s="537"/>
      <c r="J418" s="538">
        <f>IFERROR(__xludf.DUMMYFUNCTION("""COMPUTED_VALUE"""),5.0)</f>
        <v>5</v>
      </c>
      <c r="K418" s="537">
        <f>IFERROR(__xludf.DUMMYFUNCTION("""COMPUTED_VALUE"""),45996.0)</f>
        <v>45996</v>
      </c>
      <c r="L418" s="640">
        <f>IFERROR(__xludf.DUMMYFUNCTION("""COMPUTED_VALUE"""),46002.0)</f>
        <v>46002</v>
      </c>
      <c r="M418" s="641">
        <f>IFERROR(__xludf.DUMMYFUNCTION("""COMPUTED_VALUE"""),46002.0)</f>
        <v>46002</v>
      </c>
      <c r="N418" s="539">
        <f>IFERROR(__xludf.DUMMYFUNCTION("""COMPUTED_VALUE"""),3300.0)</f>
        <v>3300</v>
      </c>
      <c r="O418" s="593">
        <f>IFERROR(__xludf.DUMMYFUNCTION("""COMPUTED_VALUE"""),3000.0)</f>
        <v>3000</v>
      </c>
      <c r="P418" s="594">
        <f>IFERROR(__xludf.DUMMYFUNCTION("""COMPUTED_VALUE"""),1000.0)</f>
        <v>1000</v>
      </c>
      <c r="Q418" s="183"/>
      <c r="R418" s="544"/>
      <c r="S418" s="544"/>
      <c r="T418" s="544"/>
      <c r="U418" s="544"/>
      <c r="V418" s="544"/>
      <c r="W418" s="544"/>
      <c r="X418" s="544"/>
      <c r="Y418" s="544"/>
      <c r="Z418" s="544"/>
      <c r="AA418" s="544"/>
      <c r="AB418" s="544"/>
      <c r="AC418" s="544"/>
      <c r="AD418" s="544"/>
      <c r="AE418" s="183"/>
      <c r="AF418" s="183"/>
      <c r="AG418" s="183"/>
      <c r="AH418" s="183"/>
      <c r="AI418" s="183"/>
      <c r="AJ418" s="183"/>
      <c r="AK418" s="183"/>
      <c r="AL418" s="183"/>
      <c r="AM418" s="183"/>
    </row>
    <row r="419">
      <c r="A419" s="531" t="str">
        <f>IFERROR(__xludf.DUMMYFUNCTION("""COMPUTED_VALUE"""),"サイズ")</f>
        <v>サイズ</v>
      </c>
      <c r="B419" s="531" t="str">
        <f>IFERROR(__xludf.DUMMYFUNCTION("""COMPUTED_VALUE"""),"スラックス / カジュアルパンツ")</f>
        <v>スラックス / カジュアルパンツ</v>
      </c>
      <c r="C419" s="531" t="str">
        <f>IFERROR(__xludf.DUMMYFUNCTION("""COMPUTED_VALUE"""),"股下")</f>
        <v>股下</v>
      </c>
      <c r="D419" s="550" t="str">
        <f>IFERROR(__xludf.DUMMYFUNCTION("""COMPUTED_VALUE"""),"ダブル(4cm以上)")</f>
        <v>ダブル(4cm以上)</v>
      </c>
      <c r="E419" s="550" t="str">
        <f>IFERROR(__xludf.DUMMYFUNCTION("""COMPUTED_VALUE"""),"左右であっても1箇所換算")</f>
        <v>左右であっても1箇所換算</v>
      </c>
      <c r="F419" s="534" t="str">
        <f>IFERROR(__xludf.DUMMYFUNCTION("""COMPUTED_VALUE"""),"股下 / ダブル(4cm以上)")</f>
        <v>股下 / ダブル(4cm以上)</v>
      </c>
      <c r="G419" s="533" t="str">
        <f>IFERROR(__xludf.DUMMYFUNCTION("""COMPUTED_VALUE"""),"股下 / ダブル(4cm以上)（左右であっても1箇所換算）")</f>
        <v>股下 / ダブル(4cm以上)（左右であっても1箇所換算）</v>
      </c>
      <c r="H419" s="572" t="str">
        <f>IFERROR(__xludf.DUMMYFUNCTION("""COMPUTED_VALUE"""),"-3.5")</f>
        <v>-3.5</v>
      </c>
      <c r="I419" s="537"/>
      <c r="J419" s="538">
        <f>IFERROR(__xludf.DUMMYFUNCTION("""COMPUTED_VALUE"""),5.0)</f>
        <v>5</v>
      </c>
      <c r="K419" s="537">
        <f>IFERROR(__xludf.DUMMYFUNCTION("""COMPUTED_VALUE"""),45996.0)</f>
        <v>45996</v>
      </c>
      <c r="L419" s="640">
        <f>IFERROR(__xludf.DUMMYFUNCTION("""COMPUTED_VALUE"""),46002.0)</f>
        <v>46002</v>
      </c>
      <c r="M419" s="641">
        <f>IFERROR(__xludf.DUMMYFUNCTION("""COMPUTED_VALUE"""),46002.0)</f>
        <v>46002</v>
      </c>
      <c r="N419" s="539">
        <f>IFERROR(__xludf.DUMMYFUNCTION("""COMPUTED_VALUE"""),3300.0)</f>
        <v>3300</v>
      </c>
      <c r="O419" s="593">
        <f>IFERROR(__xludf.DUMMYFUNCTION("""COMPUTED_VALUE"""),3000.0)</f>
        <v>3000</v>
      </c>
      <c r="P419" s="594">
        <f>IFERROR(__xludf.DUMMYFUNCTION("""COMPUTED_VALUE"""),1000.0)</f>
        <v>1000</v>
      </c>
      <c r="Q419" s="183"/>
      <c r="R419" s="544"/>
      <c r="S419" s="544"/>
      <c r="T419" s="544"/>
      <c r="U419" s="544"/>
      <c r="V419" s="544"/>
      <c r="W419" s="544"/>
      <c r="X419" s="544"/>
      <c r="Y419" s="544"/>
      <c r="Z419" s="544"/>
      <c r="AA419" s="544"/>
      <c r="AB419" s="544"/>
      <c r="AC419" s="544"/>
      <c r="AD419" s="544"/>
      <c r="AE419" s="183"/>
      <c r="AF419" s="183"/>
      <c r="AG419" s="183"/>
      <c r="AH419" s="183"/>
      <c r="AI419" s="183"/>
      <c r="AJ419" s="183"/>
      <c r="AK419" s="183"/>
      <c r="AL419" s="183"/>
      <c r="AM419" s="183"/>
    </row>
    <row r="420">
      <c r="A420" s="531" t="str">
        <f>IFERROR(__xludf.DUMMYFUNCTION("""COMPUTED_VALUE"""),"サイズ")</f>
        <v>サイズ</v>
      </c>
      <c r="B420" s="531" t="str">
        <f>IFERROR(__xludf.DUMMYFUNCTION("""COMPUTED_VALUE"""),"スラックス / カジュアルパンツ")</f>
        <v>スラックス / カジュアルパンツ</v>
      </c>
      <c r="C420" s="531" t="str">
        <f>IFERROR(__xludf.DUMMYFUNCTION("""COMPUTED_VALUE"""),"股下")</f>
        <v>股下</v>
      </c>
      <c r="D420" s="550" t="str">
        <f>IFERROR(__xludf.DUMMYFUNCTION("""COMPUTED_VALUE"""),"ダブル(4cm以上)")</f>
        <v>ダブル(4cm以上)</v>
      </c>
      <c r="E420" s="550" t="str">
        <f>IFERROR(__xludf.DUMMYFUNCTION("""COMPUTED_VALUE"""),"左右であっても1箇所換算")</f>
        <v>左右であっても1箇所換算</v>
      </c>
      <c r="F420" s="534" t="str">
        <f>IFERROR(__xludf.DUMMYFUNCTION("""COMPUTED_VALUE"""),"股下 / ダブル(4cm以上)")</f>
        <v>股下 / ダブル(4cm以上)</v>
      </c>
      <c r="G420" s="533" t="str">
        <f>IFERROR(__xludf.DUMMYFUNCTION("""COMPUTED_VALUE"""),"股下 / ダブル(4cm以上)（左右であっても1箇所換算）")</f>
        <v>股下 / ダブル(4cm以上)（左右であっても1箇所換算）</v>
      </c>
      <c r="H420" s="572" t="str">
        <f>IFERROR(__xludf.DUMMYFUNCTION("""COMPUTED_VALUE"""),"-3")</f>
        <v>-3</v>
      </c>
      <c r="I420" s="537"/>
      <c r="J420" s="538">
        <f>IFERROR(__xludf.DUMMYFUNCTION("""COMPUTED_VALUE"""),5.0)</f>
        <v>5</v>
      </c>
      <c r="K420" s="537">
        <f>IFERROR(__xludf.DUMMYFUNCTION("""COMPUTED_VALUE"""),45996.0)</f>
        <v>45996</v>
      </c>
      <c r="L420" s="640">
        <f>IFERROR(__xludf.DUMMYFUNCTION("""COMPUTED_VALUE"""),46002.0)</f>
        <v>46002</v>
      </c>
      <c r="M420" s="641">
        <f>IFERROR(__xludf.DUMMYFUNCTION("""COMPUTED_VALUE"""),46002.0)</f>
        <v>46002</v>
      </c>
      <c r="N420" s="539">
        <f>IFERROR(__xludf.DUMMYFUNCTION("""COMPUTED_VALUE"""),3300.0)</f>
        <v>3300</v>
      </c>
      <c r="O420" s="593">
        <f>IFERROR(__xludf.DUMMYFUNCTION("""COMPUTED_VALUE"""),3000.0)</f>
        <v>3000</v>
      </c>
      <c r="P420" s="594">
        <f>IFERROR(__xludf.DUMMYFUNCTION("""COMPUTED_VALUE"""),1000.0)</f>
        <v>1000</v>
      </c>
      <c r="Q420" s="183"/>
      <c r="R420" s="544"/>
      <c r="S420" s="544"/>
      <c r="T420" s="544"/>
      <c r="U420" s="544"/>
      <c r="V420" s="544"/>
      <c r="W420" s="544"/>
      <c r="X420" s="544"/>
      <c r="Y420" s="544"/>
      <c r="Z420" s="544"/>
      <c r="AA420" s="544"/>
      <c r="AB420" s="544"/>
      <c r="AC420" s="544"/>
      <c r="AD420" s="544"/>
      <c r="AE420" s="183"/>
      <c r="AF420" s="183"/>
      <c r="AG420" s="183"/>
      <c r="AH420" s="183"/>
      <c r="AI420" s="183"/>
      <c r="AJ420" s="183"/>
      <c r="AK420" s="183"/>
      <c r="AL420" s="183"/>
      <c r="AM420" s="183"/>
    </row>
    <row r="421">
      <c r="A421" s="531" t="str">
        <f>IFERROR(__xludf.DUMMYFUNCTION("""COMPUTED_VALUE"""),"サイズ")</f>
        <v>サイズ</v>
      </c>
      <c r="B421" s="531" t="str">
        <f>IFERROR(__xludf.DUMMYFUNCTION("""COMPUTED_VALUE"""),"スラックス / カジュアルパンツ")</f>
        <v>スラックス / カジュアルパンツ</v>
      </c>
      <c r="C421" s="531" t="str">
        <f>IFERROR(__xludf.DUMMYFUNCTION("""COMPUTED_VALUE"""),"股下")</f>
        <v>股下</v>
      </c>
      <c r="D421" s="550" t="str">
        <f>IFERROR(__xludf.DUMMYFUNCTION("""COMPUTED_VALUE"""),"ダブル(4cm以上)")</f>
        <v>ダブル(4cm以上)</v>
      </c>
      <c r="E421" s="550" t="str">
        <f>IFERROR(__xludf.DUMMYFUNCTION("""COMPUTED_VALUE"""),"左右であっても1箇所換算")</f>
        <v>左右であっても1箇所換算</v>
      </c>
      <c r="F421" s="534" t="str">
        <f>IFERROR(__xludf.DUMMYFUNCTION("""COMPUTED_VALUE"""),"股下 / ダブル(4cm以上)")</f>
        <v>股下 / ダブル(4cm以上)</v>
      </c>
      <c r="G421" s="533" t="str">
        <f>IFERROR(__xludf.DUMMYFUNCTION("""COMPUTED_VALUE"""),"股下 / ダブル(4cm以上)（左右であっても1箇所換算）")</f>
        <v>股下 / ダブル(4cm以上)（左右であっても1箇所換算）</v>
      </c>
      <c r="H421" s="572" t="str">
        <f>IFERROR(__xludf.DUMMYFUNCTION("""COMPUTED_VALUE"""),"-2.5")</f>
        <v>-2.5</v>
      </c>
      <c r="I421" s="536"/>
      <c r="J421" s="538">
        <f>IFERROR(__xludf.DUMMYFUNCTION("""COMPUTED_VALUE"""),5.0)</f>
        <v>5</v>
      </c>
      <c r="K421" s="537">
        <f>IFERROR(__xludf.DUMMYFUNCTION("""COMPUTED_VALUE"""),45996.0)</f>
        <v>45996</v>
      </c>
      <c r="L421" s="640">
        <f>IFERROR(__xludf.DUMMYFUNCTION("""COMPUTED_VALUE"""),46002.0)</f>
        <v>46002</v>
      </c>
      <c r="M421" s="641">
        <f>IFERROR(__xludf.DUMMYFUNCTION("""COMPUTED_VALUE"""),46002.0)</f>
        <v>46002</v>
      </c>
      <c r="N421" s="539">
        <f>IFERROR(__xludf.DUMMYFUNCTION("""COMPUTED_VALUE"""),3300.0)</f>
        <v>3300</v>
      </c>
      <c r="O421" s="593">
        <f>IFERROR(__xludf.DUMMYFUNCTION("""COMPUTED_VALUE"""),3000.0)</f>
        <v>3000</v>
      </c>
      <c r="P421" s="594">
        <f>IFERROR(__xludf.DUMMYFUNCTION("""COMPUTED_VALUE"""),1000.0)</f>
        <v>1000</v>
      </c>
      <c r="Q421" s="183"/>
      <c r="R421" s="544"/>
      <c r="S421" s="544"/>
      <c r="T421" s="544"/>
      <c r="U421" s="544"/>
      <c r="V421" s="544"/>
      <c r="W421" s="544"/>
      <c r="X421" s="544"/>
      <c r="Y421" s="544"/>
      <c r="Z421" s="544"/>
      <c r="AA421" s="544"/>
      <c r="AB421" s="544"/>
      <c r="AC421" s="544"/>
      <c r="AD421" s="544"/>
      <c r="AE421" s="183"/>
      <c r="AF421" s="183"/>
      <c r="AG421" s="183"/>
      <c r="AH421" s="183"/>
      <c r="AI421" s="183"/>
      <c r="AJ421" s="183"/>
      <c r="AK421" s="183"/>
      <c r="AL421" s="183"/>
      <c r="AM421" s="183"/>
    </row>
    <row r="422">
      <c r="A422" s="531" t="str">
        <f>IFERROR(__xludf.DUMMYFUNCTION("""COMPUTED_VALUE"""),"サイズ")</f>
        <v>サイズ</v>
      </c>
      <c r="B422" s="531" t="str">
        <f>IFERROR(__xludf.DUMMYFUNCTION("""COMPUTED_VALUE"""),"スラックス / カジュアルパンツ")</f>
        <v>スラックス / カジュアルパンツ</v>
      </c>
      <c r="C422" s="531" t="str">
        <f>IFERROR(__xludf.DUMMYFUNCTION("""COMPUTED_VALUE"""),"股下")</f>
        <v>股下</v>
      </c>
      <c r="D422" s="550" t="str">
        <f>IFERROR(__xludf.DUMMYFUNCTION("""COMPUTED_VALUE"""),"ダブル(4cm以上)")</f>
        <v>ダブル(4cm以上)</v>
      </c>
      <c r="E422" s="550" t="str">
        <f>IFERROR(__xludf.DUMMYFUNCTION("""COMPUTED_VALUE"""),"左右であっても1箇所換算")</f>
        <v>左右であっても1箇所換算</v>
      </c>
      <c r="F422" s="534" t="str">
        <f>IFERROR(__xludf.DUMMYFUNCTION("""COMPUTED_VALUE"""),"股下 / ダブル(4cm以上)")</f>
        <v>股下 / ダブル(4cm以上)</v>
      </c>
      <c r="G422" s="550" t="str">
        <f>IFERROR(__xludf.DUMMYFUNCTION("""COMPUTED_VALUE"""),"股下 / ダブル(4cm以上)（左右であっても1箇所換算）")</f>
        <v>股下 / ダブル(4cm以上)（左右であっても1箇所換算）</v>
      </c>
      <c r="H422" s="572" t="str">
        <f>IFERROR(__xludf.DUMMYFUNCTION("""COMPUTED_VALUE"""),"-2")</f>
        <v>-2</v>
      </c>
      <c r="I422" s="537"/>
      <c r="J422" s="538">
        <f>IFERROR(__xludf.DUMMYFUNCTION("""COMPUTED_VALUE"""),5.0)</f>
        <v>5</v>
      </c>
      <c r="K422" s="537">
        <f>IFERROR(__xludf.DUMMYFUNCTION("""COMPUTED_VALUE"""),45996.0)</f>
        <v>45996</v>
      </c>
      <c r="L422" s="640">
        <f>IFERROR(__xludf.DUMMYFUNCTION("""COMPUTED_VALUE"""),46002.0)</f>
        <v>46002</v>
      </c>
      <c r="M422" s="641">
        <f>IFERROR(__xludf.DUMMYFUNCTION("""COMPUTED_VALUE"""),46002.0)</f>
        <v>46002</v>
      </c>
      <c r="N422" s="539">
        <f>IFERROR(__xludf.DUMMYFUNCTION("""COMPUTED_VALUE"""),3300.0)</f>
        <v>3300</v>
      </c>
      <c r="O422" s="593">
        <f>IFERROR(__xludf.DUMMYFUNCTION("""COMPUTED_VALUE"""),3000.0)</f>
        <v>3000</v>
      </c>
      <c r="P422" s="594">
        <f>IFERROR(__xludf.DUMMYFUNCTION("""COMPUTED_VALUE"""),1000.0)</f>
        <v>1000</v>
      </c>
      <c r="Q422" s="183"/>
      <c r="R422" s="544"/>
      <c r="S422" s="544"/>
      <c r="T422" s="544"/>
      <c r="U422" s="544"/>
      <c r="V422" s="544"/>
      <c r="W422" s="544"/>
      <c r="X422" s="544"/>
      <c r="Y422" s="544"/>
      <c r="Z422" s="544"/>
      <c r="AA422" s="544"/>
      <c r="AB422" s="544"/>
      <c r="AC422" s="544"/>
      <c r="AD422" s="544"/>
      <c r="AE422" s="183"/>
      <c r="AF422" s="183"/>
      <c r="AG422" s="183"/>
      <c r="AH422" s="183"/>
      <c r="AI422" s="183"/>
      <c r="AJ422" s="183"/>
      <c r="AK422" s="183"/>
      <c r="AL422" s="183"/>
      <c r="AM422" s="183"/>
    </row>
    <row r="423" hidden="1">
      <c r="A423" s="531" t="str">
        <f>IFERROR(__xludf.DUMMYFUNCTION("""COMPUTED_VALUE"""),"サイズ")</f>
        <v>サイズ</v>
      </c>
      <c r="B423" s="531" t="str">
        <f>IFERROR(__xludf.DUMMYFUNCTION("""COMPUTED_VALUE"""),"スラックス / カジュアルパンツ")</f>
        <v>スラックス / カジュアルパンツ</v>
      </c>
      <c r="C423" s="531" t="str">
        <f>IFERROR(__xludf.DUMMYFUNCTION("""COMPUTED_VALUE"""),"股下")</f>
        <v>股下</v>
      </c>
      <c r="D423" s="550" t="str">
        <f>IFERROR(__xludf.DUMMYFUNCTION("""COMPUTED_VALUE"""),"ダブル(4cm以上)")</f>
        <v>ダブル(4cm以上)</v>
      </c>
      <c r="E423" s="550" t="str">
        <f>IFERROR(__xludf.DUMMYFUNCTION("""COMPUTED_VALUE"""),"左右であっても1箇所換算")</f>
        <v>左右であっても1箇所換算</v>
      </c>
      <c r="F423" s="534" t="str">
        <f>IFERROR(__xludf.DUMMYFUNCTION("""COMPUTED_VALUE"""),"股下 / ダブル(4cm以上)")</f>
        <v>股下 / ダブル(4cm以上)</v>
      </c>
      <c r="G423" s="550" t="str">
        <f>IFERROR(__xludf.DUMMYFUNCTION("""COMPUTED_VALUE"""),"股下 / ダブル(4cm以上)（左右であっても1箇所換算）")</f>
        <v>股下 / ダブル(4cm以上)（左右であっても1箇所換算）</v>
      </c>
      <c r="H423" s="572" t="str">
        <f>IFERROR(__xludf.DUMMYFUNCTION("""COMPUTED_VALUE"""),"-1.5")</f>
        <v>-1.5</v>
      </c>
      <c r="I423" s="537"/>
      <c r="J423" s="538">
        <f>IFERROR(__xludf.DUMMYFUNCTION("""COMPUTED_VALUE"""),5.0)</f>
        <v>5</v>
      </c>
      <c r="K423" s="537">
        <f>IFERROR(__xludf.DUMMYFUNCTION("""COMPUTED_VALUE"""),45996.0)</f>
        <v>45996</v>
      </c>
      <c r="L423" s="640">
        <f>IFERROR(__xludf.DUMMYFUNCTION("""COMPUTED_VALUE"""),46002.0)</f>
        <v>46002</v>
      </c>
      <c r="M423" s="641">
        <f>IFERROR(__xludf.DUMMYFUNCTION("""COMPUTED_VALUE"""),46002.0)</f>
        <v>46002</v>
      </c>
      <c r="N423" s="539">
        <f>IFERROR(__xludf.DUMMYFUNCTION("""COMPUTED_VALUE"""),3300.0)</f>
        <v>3300</v>
      </c>
      <c r="O423" s="593">
        <f>IFERROR(__xludf.DUMMYFUNCTION("""COMPUTED_VALUE"""),3000.0)</f>
        <v>3000</v>
      </c>
      <c r="P423" s="594">
        <f>IFERROR(__xludf.DUMMYFUNCTION("""COMPUTED_VALUE"""),1000.0)</f>
        <v>1000</v>
      </c>
      <c r="Q423" s="183"/>
      <c r="R423" s="544"/>
      <c r="S423" s="544"/>
      <c r="T423" s="544"/>
      <c r="U423" s="544"/>
      <c r="V423" s="544"/>
      <c r="W423" s="544"/>
      <c r="X423" s="544"/>
      <c r="Y423" s="544"/>
      <c r="Z423" s="544"/>
      <c r="AA423" s="544"/>
      <c r="AB423" s="544"/>
      <c r="AC423" s="544"/>
      <c r="AD423" s="544"/>
      <c r="AE423" s="183"/>
      <c r="AF423" s="183"/>
      <c r="AG423" s="183"/>
      <c r="AH423" s="183"/>
      <c r="AI423" s="183"/>
      <c r="AJ423" s="183"/>
      <c r="AK423" s="183"/>
      <c r="AL423" s="183"/>
      <c r="AM423" s="183"/>
    </row>
    <row r="424" hidden="1">
      <c r="A424" s="531" t="str">
        <f>IFERROR(__xludf.DUMMYFUNCTION("""COMPUTED_VALUE"""),"サイズ")</f>
        <v>サイズ</v>
      </c>
      <c r="B424" s="531" t="str">
        <f>IFERROR(__xludf.DUMMYFUNCTION("""COMPUTED_VALUE"""),"スラックス / カジュアルパンツ")</f>
        <v>スラックス / カジュアルパンツ</v>
      </c>
      <c r="C424" s="531" t="str">
        <f>IFERROR(__xludf.DUMMYFUNCTION("""COMPUTED_VALUE"""),"股下")</f>
        <v>股下</v>
      </c>
      <c r="D424" s="550" t="str">
        <f>IFERROR(__xludf.DUMMYFUNCTION("""COMPUTED_VALUE"""),"ダブル(4cm以上)")</f>
        <v>ダブル(4cm以上)</v>
      </c>
      <c r="E424" s="550" t="str">
        <f>IFERROR(__xludf.DUMMYFUNCTION("""COMPUTED_VALUE"""),"左右であっても1箇所換算")</f>
        <v>左右であっても1箇所換算</v>
      </c>
      <c r="F424" s="534" t="str">
        <f>IFERROR(__xludf.DUMMYFUNCTION("""COMPUTED_VALUE"""),"股下 / ダブル(4cm以上)")</f>
        <v>股下 / ダブル(4cm以上)</v>
      </c>
      <c r="G424" s="550" t="str">
        <f>IFERROR(__xludf.DUMMYFUNCTION("""COMPUTED_VALUE"""),"股下 / ダブル(4cm以上)（左右であっても1箇所換算）")</f>
        <v>股下 / ダブル(4cm以上)（左右であっても1箇所換算）</v>
      </c>
      <c r="H424" s="572" t="str">
        <f>IFERROR(__xludf.DUMMYFUNCTION("""COMPUTED_VALUE"""),"-1")</f>
        <v>-1</v>
      </c>
      <c r="I424" s="537"/>
      <c r="J424" s="538">
        <f>IFERROR(__xludf.DUMMYFUNCTION("""COMPUTED_VALUE"""),5.0)</f>
        <v>5</v>
      </c>
      <c r="K424" s="537">
        <f>IFERROR(__xludf.DUMMYFUNCTION("""COMPUTED_VALUE"""),45996.0)</f>
        <v>45996</v>
      </c>
      <c r="L424" s="640">
        <f>IFERROR(__xludf.DUMMYFUNCTION("""COMPUTED_VALUE"""),46002.0)</f>
        <v>46002</v>
      </c>
      <c r="M424" s="641">
        <f>IFERROR(__xludf.DUMMYFUNCTION("""COMPUTED_VALUE"""),46002.0)</f>
        <v>46002</v>
      </c>
      <c r="N424" s="539">
        <f>IFERROR(__xludf.DUMMYFUNCTION("""COMPUTED_VALUE"""),3300.0)</f>
        <v>3300</v>
      </c>
      <c r="O424" s="593">
        <f>IFERROR(__xludf.DUMMYFUNCTION("""COMPUTED_VALUE"""),3000.0)</f>
        <v>3000</v>
      </c>
      <c r="P424" s="594">
        <f>IFERROR(__xludf.DUMMYFUNCTION("""COMPUTED_VALUE"""),1000.0)</f>
        <v>1000</v>
      </c>
      <c r="Q424" s="183"/>
      <c r="R424" s="544"/>
      <c r="S424" s="544"/>
      <c r="T424" s="544"/>
      <c r="U424" s="544"/>
      <c r="V424" s="544"/>
      <c r="W424" s="544"/>
      <c r="X424" s="544"/>
      <c r="Y424" s="544"/>
      <c r="Z424" s="544"/>
      <c r="AA424" s="544"/>
      <c r="AB424" s="544"/>
      <c r="AC424" s="544"/>
      <c r="AD424" s="544"/>
      <c r="AE424" s="183"/>
      <c r="AF424" s="183"/>
      <c r="AG424" s="183"/>
      <c r="AH424" s="183"/>
      <c r="AI424" s="183"/>
      <c r="AJ424" s="183"/>
      <c r="AK424" s="183"/>
      <c r="AL424" s="183"/>
      <c r="AM424" s="183"/>
    </row>
    <row r="425" hidden="1">
      <c r="A425" s="531" t="str">
        <f>IFERROR(__xludf.DUMMYFUNCTION("""COMPUTED_VALUE"""),"サイズ")</f>
        <v>サイズ</v>
      </c>
      <c r="B425" s="531" t="str">
        <f>IFERROR(__xludf.DUMMYFUNCTION("""COMPUTED_VALUE"""),"スラックス / カジュアルパンツ")</f>
        <v>スラックス / カジュアルパンツ</v>
      </c>
      <c r="C425" s="531" t="str">
        <f>IFERROR(__xludf.DUMMYFUNCTION("""COMPUTED_VALUE"""),"股下")</f>
        <v>股下</v>
      </c>
      <c r="D425" s="550" t="str">
        <f>IFERROR(__xludf.DUMMYFUNCTION("""COMPUTED_VALUE"""),"ダブル(4cm以上)")</f>
        <v>ダブル(4cm以上)</v>
      </c>
      <c r="E425" s="550" t="str">
        <f>IFERROR(__xludf.DUMMYFUNCTION("""COMPUTED_VALUE"""),"左右であっても1箇所換算")</f>
        <v>左右であっても1箇所換算</v>
      </c>
      <c r="F425" s="534" t="str">
        <f>IFERROR(__xludf.DUMMYFUNCTION("""COMPUTED_VALUE"""),"股下 / ダブル(4cm以上)")</f>
        <v>股下 / ダブル(4cm以上)</v>
      </c>
      <c r="G425" s="550" t="str">
        <f>IFERROR(__xludf.DUMMYFUNCTION("""COMPUTED_VALUE"""),"股下 / ダブル(4cm以上)（左右であっても1箇所換算）")</f>
        <v>股下 / ダブル(4cm以上)（左右であっても1箇所換算）</v>
      </c>
      <c r="H425" s="572" t="str">
        <f>IFERROR(__xludf.DUMMYFUNCTION("""COMPUTED_VALUE"""),"-0.5")</f>
        <v>-0.5</v>
      </c>
      <c r="I425" s="537"/>
      <c r="J425" s="538">
        <f>IFERROR(__xludf.DUMMYFUNCTION("""COMPUTED_VALUE"""),5.0)</f>
        <v>5</v>
      </c>
      <c r="K425" s="537">
        <f>IFERROR(__xludf.DUMMYFUNCTION("""COMPUTED_VALUE"""),45996.0)</f>
        <v>45996</v>
      </c>
      <c r="L425" s="640">
        <f>IFERROR(__xludf.DUMMYFUNCTION("""COMPUTED_VALUE"""),46002.0)</f>
        <v>46002</v>
      </c>
      <c r="M425" s="641">
        <f>IFERROR(__xludf.DUMMYFUNCTION("""COMPUTED_VALUE"""),46002.0)</f>
        <v>46002</v>
      </c>
      <c r="N425" s="539">
        <f>IFERROR(__xludf.DUMMYFUNCTION("""COMPUTED_VALUE"""),3300.0)</f>
        <v>3300</v>
      </c>
      <c r="O425" s="593">
        <f>IFERROR(__xludf.DUMMYFUNCTION("""COMPUTED_VALUE"""),3000.0)</f>
        <v>3000</v>
      </c>
      <c r="P425" s="594">
        <f>IFERROR(__xludf.DUMMYFUNCTION("""COMPUTED_VALUE"""),1000.0)</f>
        <v>1000</v>
      </c>
      <c r="Q425" s="183"/>
      <c r="R425" s="544"/>
      <c r="S425" s="544"/>
      <c r="T425" s="544"/>
      <c r="U425" s="544"/>
      <c r="V425" s="544"/>
      <c r="W425" s="544"/>
      <c r="X425" s="544"/>
      <c r="Y425" s="544"/>
      <c r="Z425" s="544"/>
      <c r="AA425" s="544"/>
      <c r="AB425" s="544"/>
      <c r="AC425" s="544"/>
      <c r="AD425" s="544"/>
      <c r="AE425" s="183"/>
      <c r="AF425" s="183"/>
      <c r="AG425" s="183"/>
      <c r="AH425" s="183"/>
      <c r="AI425" s="183"/>
      <c r="AJ425" s="183"/>
      <c r="AK425" s="183"/>
      <c r="AL425" s="183"/>
      <c r="AM425" s="183"/>
    </row>
    <row r="426" hidden="1">
      <c r="A426" s="531" t="str">
        <f>IFERROR(__xludf.DUMMYFUNCTION("""COMPUTED_VALUE"""),"サイズ")</f>
        <v>サイズ</v>
      </c>
      <c r="B426" s="531" t="str">
        <f>IFERROR(__xludf.DUMMYFUNCTION("""COMPUTED_VALUE"""),"スラックス / カジュアルパンツ")</f>
        <v>スラックス / カジュアルパンツ</v>
      </c>
      <c r="C426" s="531" t="str">
        <f>IFERROR(__xludf.DUMMYFUNCTION("""COMPUTED_VALUE"""),"股下")</f>
        <v>股下</v>
      </c>
      <c r="D426" s="550" t="str">
        <f>IFERROR(__xludf.DUMMYFUNCTION("""COMPUTED_VALUE"""),"ダブル(4cm以上)")</f>
        <v>ダブル(4cm以上)</v>
      </c>
      <c r="E426" s="550" t="str">
        <f>IFERROR(__xludf.DUMMYFUNCTION("""COMPUTED_VALUE"""),"左右であっても1箇所換算")</f>
        <v>左右であっても1箇所換算</v>
      </c>
      <c r="F426" s="534" t="str">
        <f>IFERROR(__xludf.DUMMYFUNCTION("""COMPUTED_VALUE"""),"股下 / ダブル(4cm以上)")</f>
        <v>股下 / ダブル(4cm以上)</v>
      </c>
      <c r="G426" s="550" t="str">
        <f>IFERROR(__xludf.DUMMYFUNCTION("""COMPUTED_VALUE"""),"股下 / ダブル(4cm以上)（左右であっても1箇所換算）")</f>
        <v>股下 / ダブル(4cm以上)（左右であっても1箇所換算）</v>
      </c>
      <c r="H426" s="572" t="str">
        <f>IFERROR(__xludf.DUMMYFUNCTION("""COMPUTED_VALUE"""),"0.5")</f>
        <v>0.5</v>
      </c>
      <c r="I426" s="537"/>
      <c r="J426" s="538">
        <f>IFERROR(__xludf.DUMMYFUNCTION("""COMPUTED_VALUE"""),5.0)</f>
        <v>5</v>
      </c>
      <c r="K426" s="537">
        <f>IFERROR(__xludf.DUMMYFUNCTION("""COMPUTED_VALUE"""),45996.0)</f>
        <v>45996</v>
      </c>
      <c r="L426" s="640">
        <f>IFERROR(__xludf.DUMMYFUNCTION("""COMPUTED_VALUE"""),46002.0)</f>
        <v>46002</v>
      </c>
      <c r="M426" s="641">
        <f>IFERROR(__xludf.DUMMYFUNCTION("""COMPUTED_VALUE"""),46002.0)</f>
        <v>46002</v>
      </c>
      <c r="N426" s="539">
        <f>IFERROR(__xludf.DUMMYFUNCTION("""COMPUTED_VALUE"""),3300.0)</f>
        <v>3300</v>
      </c>
      <c r="O426" s="593">
        <f>IFERROR(__xludf.DUMMYFUNCTION("""COMPUTED_VALUE"""),3000.0)</f>
        <v>3000</v>
      </c>
      <c r="P426" s="594">
        <f>IFERROR(__xludf.DUMMYFUNCTION("""COMPUTED_VALUE"""),1000.0)</f>
        <v>1000</v>
      </c>
      <c r="Q426" s="183"/>
      <c r="R426" s="544"/>
      <c r="S426" s="544"/>
      <c r="T426" s="544"/>
      <c r="U426" s="544"/>
      <c r="V426" s="544"/>
      <c r="W426" s="544"/>
      <c r="X426" s="544"/>
      <c r="Y426" s="544"/>
      <c r="Z426" s="544"/>
      <c r="AA426" s="544"/>
      <c r="AB426" s="544"/>
      <c r="AC426" s="544"/>
      <c r="AD426" s="544"/>
      <c r="AE426" s="183"/>
      <c r="AF426" s="183"/>
      <c r="AG426" s="183"/>
      <c r="AH426" s="183"/>
      <c r="AI426" s="183"/>
      <c r="AJ426" s="183"/>
      <c r="AK426" s="183"/>
      <c r="AL426" s="183"/>
      <c r="AM426" s="183"/>
    </row>
    <row r="427" hidden="1">
      <c r="A427" s="531" t="str">
        <f>IFERROR(__xludf.DUMMYFUNCTION("""COMPUTED_VALUE"""),"サイズ")</f>
        <v>サイズ</v>
      </c>
      <c r="B427" s="531" t="str">
        <f>IFERROR(__xludf.DUMMYFUNCTION("""COMPUTED_VALUE"""),"スラックス / カジュアルパンツ")</f>
        <v>スラックス / カジュアルパンツ</v>
      </c>
      <c r="C427" s="531" t="str">
        <f>IFERROR(__xludf.DUMMYFUNCTION("""COMPUTED_VALUE"""),"股下")</f>
        <v>股下</v>
      </c>
      <c r="D427" s="550" t="str">
        <f>IFERROR(__xludf.DUMMYFUNCTION("""COMPUTED_VALUE"""),"ダブル(4cm以上)")</f>
        <v>ダブル(4cm以上)</v>
      </c>
      <c r="E427" s="550" t="str">
        <f>IFERROR(__xludf.DUMMYFUNCTION("""COMPUTED_VALUE"""),"左右であっても1箇所換算")</f>
        <v>左右であっても1箇所換算</v>
      </c>
      <c r="F427" s="534" t="str">
        <f>IFERROR(__xludf.DUMMYFUNCTION("""COMPUTED_VALUE"""),"股下 / ダブル(4cm以上)")</f>
        <v>股下 / ダブル(4cm以上)</v>
      </c>
      <c r="G427" s="550" t="str">
        <f>IFERROR(__xludf.DUMMYFUNCTION("""COMPUTED_VALUE"""),"股下 / ダブル(4cm以上)（左右であっても1箇所換算）")</f>
        <v>股下 / ダブル(4cm以上)（左右であっても1箇所換算）</v>
      </c>
      <c r="H427" s="572" t="str">
        <f>IFERROR(__xludf.DUMMYFUNCTION("""COMPUTED_VALUE"""),"1")</f>
        <v>1</v>
      </c>
      <c r="I427" s="536"/>
      <c r="J427" s="538">
        <f>IFERROR(__xludf.DUMMYFUNCTION("""COMPUTED_VALUE"""),5.0)</f>
        <v>5</v>
      </c>
      <c r="K427" s="537">
        <f>IFERROR(__xludf.DUMMYFUNCTION("""COMPUTED_VALUE"""),45996.0)</f>
        <v>45996</v>
      </c>
      <c r="L427" s="640">
        <f>IFERROR(__xludf.DUMMYFUNCTION("""COMPUTED_VALUE"""),46002.0)</f>
        <v>46002</v>
      </c>
      <c r="M427" s="641">
        <f>IFERROR(__xludf.DUMMYFUNCTION("""COMPUTED_VALUE"""),46002.0)</f>
        <v>46002</v>
      </c>
      <c r="N427" s="539">
        <f>IFERROR(__xludf.DUMMYFUNCTION("""COMPUTED_VALUE"""),3300.0)</f>
        <v>3300</v>
      </c>
      <c r="O427" s="593">
        <f>IFERROR(__xludf.DUMMYFUNCTION("""COMPUTED_VALUE"""),3000.0)</f>
        <v>3000</v>
      </c>
      <c r="P427" s="594">
        <f>IFERROR(__xludf.DUMMYFUNCTION("""COMPUTED_VALUE"""),1000.0)</f>
        <v>1000</v>
      </c>
      <c r="Q427" s="183"/>
      <c r="R427" s="544"/>
      <c r="S427" s="544"/>
      <c r="T427" s="544"/>
      <c r="U427" s="544"/>
      <c r="V427" s="544"/>
      <c r="W427" s="544"/>
      <c r="X427" s="544"/>
      <c r="Y427" s="544"/>
      <c r="Z427" s="544"/>
      <c r="AA427" s="544"/>
      <c r="AB427" s="544"/>
      <c r="AC427" s="544"/>
      <c r="AD427" s="544"/>
      <c r="AE427" s="183"/>
      <c r="AF427" s="183"/>
      <c r="AG427" s="183"/>
      <c r="AH427" s="183"/>
      <c r="AI427" s="183"/>
      <c r="AJ427" s="183"/>
      <c r="AK427" s="183"/>
      <c r="AL427" s="183"/>
      <c r="AM427" s="183"/>
    </row>
    <row r="428" hidden="1">
      <c r="A428" s="531" t="str">
        <f>IFERROR(__xludf.DUMMYFUNCTION("""COMPUTED_VALUE"""),"サイズ")</f>
        <v>サイズ</v>
      </c>
      <c r="B428" s="531" t="str">
        <f>IFERROR(__xludf.DUMMYFUNCTION("""COMPUTED_VALUE"""),"スラックス / カジュアルパンツ")</f>
        <v>スラックス / カジュアルパンツ</v>
      </c>
      <c r="C428" s="531" t="str">
        <f>IFERROR(__xludf.DUMMYFUNCTION("""COMPUTED_VALUE"""),"股下")</f>
        <v>股下</v>
      </c>
      <c r="D428" s="550" t="str">
        <f>IFERROR(__xludf.DUMMYFUNCTION("""COMPUTED_VALUE"""),"ダブル(4cm以上)")</f>
        <v>ダブル(4cm以上)</v>
      </c>
      <c r="E428" s="550" t="str">
        <f>IFERROR(__xludf.DUMMYFUNCTION("""COMPUTED_VALUE"""),"左右であっても1箇所換算")</f>
        <v>左右であっても1箇所換算</v>
      </c>
      <c r="F428" s="534" t="str">
        <f>IFERROR(__xludf.DUMMYFUNCTION("""COMPUTED_VALUE"""),"股下 / ダブル(4cm以上)")</f>
        <v>股下 / ダブル(4cm以上)</v>
      </c>
      <c r="G428" s="550" t="str">
        <f>IFERROR(__xludf.DUMMYFUNCTION("""COMPUTED_VALUE"""),"股下 / ダブル(4cm以上)（左右であっても1箇所換算）")</f>
        <v>股下 / ダブル(4cm以上)（左右であっても1箇所換算）</v>
      </c>
      <c r="H428" s="572" t="str">
        <f>IFERROR(__xludf.DUMMYFUNCTION("""COMPUTED_VALUE"""),"1.5")</f>
        <v>1.5</v>
      </c>
      <c r="I428" s="537"/>
      <c r="J428" s="538">
        <f>IFERROR(__xludf.DUMMYFUNCTION("""COMPUTED_VALUE"""),5.0)</f>
        <v>5</v>
      </c>
      <c r="K428" s="537">
        <f>IFERROR(__xludf.DUMMYFUNCTION("""COMPUTED_VALUE"""),45996.0)</f>
        <v>45996</v>
      </c>
      <c r="L428" s="640">
        <f>IFERROR(__xludf.DUMMYFUNCTION("""COMPUTED_VALUE"""),46002.0)</f>
        <v>46002</v>
      </c>
      <c r="M428" s="641">
        <f>IFERROR(__xludf.DUMMYFUNCTION("""COMPUTED_VALUE"""),46002.0)</f>
        <v>46002</v>
      </c>
      <c r="N428" s="539">
        <f>IFERROR(__xludf.DUMMYFUNCTION("""COMPUTED_VALUE"""),3300.0)</f>
        <v>3300</v>
      </c>
      <c r="O428" s="593">
        <f>IFERROR(__xludf.DUMMYFUNCTION("""COMPUTED_VALUE"""),3000.0)</f>
        <v>3000</v>
      </c>
      <c r="P428" s="594">
        <f>IFERROR(__xludf.DUMMYFUNCTION("""COMPUTED_VALUE"""),1000.0)</f>
        <v>1000</v>
      </c>
      <c r="Q428" s="183"/>
      <c r="R428" s="544"/>
      <c r="S428" s="544"/>
      <c r="T428" s="544"/>
      <c r="U428" s="544"/>
      <c r="V428" s="544"/>
      <c r="W428" s="544"/>
      <c r="X428" s="544"/>
      <c r="Y428" s="544"/>
      <c r="Z428" s="544"/>
      <c r="AA428" s="544"/>
      <c r="AB428" s="544"/>
      <c r="AC428" s="544"/>
      <c r="AD428" s="544"/>
      <c r="AE428" s="183"/>
      <c r="AF428" s="183"/>
      <c r="AG428" s="183"/>
      <c r="AH428" s="183"/>
      <c r="AI428" s="183"/>
      <c r="AJ428" s="183"/>
      <c r="AK428" s="183"/>
      <c r="AL428" s="183"/>
      <c r="AM428" s="183"/>
    </row>
    <row r="429">
      <c r="A429" s="531" t="str">
        <f>IFERROR(__xludf.DUMMYFUNCTION("""COMPUTED_VALUE"""),"サイズ")</f>
        <v>サイズ</v>
      </c>
      <c r="B429" s="531" t="str">
        <f>IFERROR(__xludf.DUMMYFUNCTION("""COMPUTED_VALUE"""),"スラックス / カジュアルパンツ")</f>
        <v>スラックス / カジュアルパンツ</v>
      </c>
      <c r="C429" s="531" t="str">
        <f>IFERROR(__xludf.DUMMYFUNCTION("""COMPUTED_VALUE"""),"股下")</f>
        <v>股下</v>
      </c>
      <c r="D429" s="550" t="str">
        <f>IFERROR(__xludf.DUMMYFUNCTION("""COMPUTED_VALUE"""),"ダブル(4cm以上)")</f>
        <v>ダブル(4cm以上)</v>
      </c>
      <c r="E429" s="550" t="str">
        <f>IFERROR(__xludf.DUMMYFUNCTION("""COMPUTED_VALUE"""),"左右であっても1箇所換算")</f>
        <v>左右であっても1箇所換算</v>
      </c>
      <c r="F429" s="534" t="str">
        <f>IFERROR(__xludf.DUMMYFUNCTION("""COMPUTED_VALUE"""),"股下 / ダブル(4cm以上)")</f>
        <v>股下 / ダブル(4cm以上)</v>
      </c>
      <c r="G429" s="550" t="str">
        <f>IFERROR(__xludf.DUMMYFUNCTION("""COMPUTED_VALUE"""),"股下 / ダブル(4cm以上)（左右であっても1箇所換算）")</f>
        <v>股下 / ダブル(4cm以上)（左右であっても1箇所換算）</v>
      </c>
      <c r="H429" s="572" t="str">
        <f>IFERROR(__xludf.DUMMYFUNCTION("""COMPUTED_VALUE"""),"2")</f>
        <v>2</v>
      </c>
      <c r="I429" s="537"/>
      <c r="J429" s="538">
        <f>IFERROR(__xludf.DUMMYFUNCTION("""COMPUTED_VALUE"""),5.0)</f>
        <v>5</v>
      </c>
      <c r="K429" s="537">
        <f>IFERROR(__xludf.DUMMYFUNCTION("""COMPUTED_VALUE"""),45996.0)</f>
        <v>45996</v>
      </c>
      <c r="L429" s="640">
        <f>IFERROR(__xludf.DUMMYFUNCTION("""COMPUTED_VALUE"""),46002.0)</f>
        <v>46002</v>
      </c>
      <c r="M429" s="641">
        <f>IFERROR(__xludf.DUMMYFUNCTION("""COMPUTED_VALUE"""),46002.0)</f>
        <v>46002</v>
      </c>
      <c r="N429" s="539">
        <f>IFERROR(__xludf.DUMMYFUNCTION("""COMPUTED_VALUE"""),3300.0)</f>
        <v>3300</v>
      </c>
      <c r="O429" s="593">
        <f>IFERROR(__xludf.DUMMYFUNCTION("""COMPUTED_VALUE"""),3000.0)</f>
        <v>3000</v>
      </c>
      <c r="P429" s="594">
        <f>IFERROR(__xludf.DUMMYFUNCTION("""COMPUTED_VALUE"""),1000.0)</f>
        <v>1000</v>
      </c>
      <c r="Q429" s="183"/>
      <c r="R429" s="544"/>
      <c r="S429" s="544"/>
      <c r="T429" s="544"/>
      <c r="U429" s="544"/>
      <c r="V429" s="544"/>
      <c r="W429" s="544"/>
      <c r="X429" s="544"/>
      <c r="Y429" s="544"/>
      <c r="Z429" s="544"/>
      <c r="AA429" s="544"/>
      <c r="AB429" s="544"/>
      <c r="AC429" s="544"/>
      <c r="AD429" s="544"/>
      <c r="AE429" s="183"/>
      <c r="AF429" s="183"/>
      <c r="AG429" s="183"/>
      <c r="AH429" s="183"/>
      <c r="AI429" s="183"/>
      <c r="AJ429" s="183"/>
      <c r="AK429" s="183"/>
      <c r="AL429" s="183"/>
      <c r="AM429" s="183"/>
    </row>
    <row r="430">
      <c r="A430" s="656" t="str">
        <f>IFERROR(__xludf.DUMMYFUNCTION("""COMPUTED_VALUE"""),"サイズ")</f>
        <v>サイズ</v>
      </c>
      <c r="B430" s="531" t="str">
        <f>IFERROR(__xludf.DUMMYFUNCTION("""COMPUTED_VALUE"""),"スラックス / カジュアルパンツ")</f>
        <v>スラックス / カジュアルパンツ</v>
      </c>
      <c r="C430" s="657" t="str">
        <f>IFERROR(__xludf.DUMMYFUNCTION("""COMPUTED_VALUE"""),"渡り巾")</f>
        <v>渡り巾</v>
      </c>
      <c r="D430" s="616"/>
      <c r="E430" s="533"/>
      <c r="F430" s="649" t="str">
        <f>IFERROR(__xludf.DUMMYFUNCTION("""COMPUTED_VALUE"""),"渡り巾")</f>
        <v>渡り巾</v>
      </c>
      <c r="G430" s="616" t="str">
        <f>IFERROR(__xludf.DUMMYFUNCTION("""COMPUTED_VALUE"""),"渡り巾")</f>
        <v>渡り巾</v>
      </c>
      <c r="H430" s="617" t="str">
        <f>IFERROR(__xludf.DUMMYFUNCTION("""COMPUTED_VALUE"""),"0.5")</f>
        <v>0.5</v>
      </c>
      <c r="I430" s="618"/>
      <c r="J430" s="620">
        <f>IFERROR(__xludf.DUMMYFUNCTION("""COMPUTED_VALUE"""),5.0)</f>
        <v>5</v>
      </c>
      <c r="K430" s="620">
        <f>IFERROR(__xludf.DUMMYFUNCTION("""COMPUTED_VALUE"""),45996.0)</f>
        <v>45996</v>
      </c>
      <c r="L430" s="650">
        <f>IFERROR(__xludf.DUMMYFUNCTION("""COMPUTED_VALUE"""),46002.0)</f>
        <v>46002</v>
      </c>
      <c r="M430" s="651">
        <f>IFERROR(__xludf.DUMMYFUNCTION("""COMPUTED_VALUE"""),46002.0)</f>
        <v>46002</v>
      </c>
      <c r="N430" s="639">
        <f>IFERROR(__xludf.DUMMYFUNCTION("""COMPUTED_VALUE"""),4130.0)</f>
        <v>4130</v>
      </c>
      <c r="O430" s="658">
        <f>IFERROR(__xludf.DUMMYFUNCTION("""COMPUTED_VALUE"""),3750.0)</f>
        <v>3750</v>
      </c>
      <c r="P430" s="594">
        <f>IFERROR(__xludf.DUMMYFUNCTION("""COMPUTED_VALUE"""),2500.0)</f>
        <v>2500</v>
      </c>
      <c r="Q430" s="183"/>
      <c r="R430" s="544"/>
      <c r="S430" s="544"/>
      <c r="T430" s="544"/>
      <c r="U430" s="544"/>
      <c r="V430" s="544"/>
      <c r="W430" s="544"/>
      <c r="X430" s="544"/>
      <c r="Y430" s="544"/>
      <c r="Z430" s="544"/>
      <c r="AA430" s="544"/>
      <c r="AB430" s="544"/>
      <c r="AC430" s="544"/>
      <c r="AD430" s="544"/>
      <c r="AE430" s="183"/>
      <c r="AF430" s="183"/>
      <c r="AG430" s="183"/>
      <c r="AH430" s="183"/>
      <c r="AI430" s="183"/>
      <c r="AJ430" s="183"/>
      <c r="AK430" s="183"/>
      <c r="AL430" s="183"/>
      <c r="AM430" s="183"/>
    </row>
    <row r="431">
      <c r="A431" s="624" t="str">
        <f>IFERROR(__xludf.DUMMYFUNCTION("""COMPUTED_VALUE"""),"サイズ")</f>
        <v>サイズ</v>
      </c>
      <c r="B431" s="531" t="str">
        <f>IFERROR(__xludf.DUMMYFUNCTION("""COMPUTED_VALUE"""),"スラックス / カジュアルパンツ")</f>
        <v>スラックス / カジュアルパンツ</v>
      </c>
      <c r="C431" s="625" t="str">
        <f>IFERROR(__xludf.DUMMYFUNCTION("""COMPUTED_VALUE"""),"渡り巾")</f>
        <v>渡り巾</v>
      </c>
      <c r="D431" s="627"/>
      <c r="E431" s="533"/>
      <c r="F431" s="644" t="str">
        <f>IFERROR(__xludf.DUMMYFUNCTION("""COMPUTED_VALUE"""),"渡り巾")</f>
        <v>渡り巾</v>
      </c>
      <c r="G431" s="627" t="str">
        <f>IFERROR(__xludf.DUMMYFUNCTION("""COMPUTED_VALUE"""),"渡り巾")</f>
        <v>渡り巾</v>
      </c>
      <c r="H431" s="645" t="str">
        <f>IFERROR(__xludf.DUMMYFUNCTION("""COMPUTED_VALUE"""),"-2")</f>
        <v>-2</v>
      </c>
      <c r="I431" s="646"/>
      <c r="J431" s="629">
        <f>IFERROR(__xludf.DUMMYFUNCTION("""COMPUTED_VALUE"""),5.0)</f>
        <v>5</v>
      </c>
      <c r="K431" s="629">
        <f>IFERROR(__xludf.DUMMYFUNCTION("""COMPUTED_VALUE"""),45996.0)</f>
        <v>45996</v>
      </c>
      <c r="L431" s="647">
        <f>IFERROR(__xludf.DUMMYFUNCTION("""COMPUTED_VALUE"""),46002.0)</f>
        <v>46002</v>
      </c>
      <c r="M431" s="648">
        <f>IFERROR(__xludf.DUMMYFUNCTION("""COMPUTED_VALUE"""),46002.0)</f>
        <v>46002</v>
      </c>
      <c r="N431" s="631">
        <f>IFERROR(__xludf.DUMMYFUNCTION("""COMPUTED_VALUE"""),4130.0)</f>
        <v>4130</v>
      </c>
      <c r="O431" s="658">
        <f>IFERROR(__xludf.DUMMYFUNCTION("""COMPUTED_VALUE"""),3750.0)</f>
        <v>3750</v>
      </c>
      <c r="P431" s="594">
        <f>IFERROR(__xludf.DUMMYFUNCTION("""COMPUTED_VALUE"""),2500.0)</f>
        <v>2500</v>
      </c>
      <c r="Q431" s="183"/>
      <c r="R431" s="544"/>
      <c r="S431" s="544"/>
      <c r="T431" s="544"/>
      <c r="U431" s="544"/>
      <c r="V431" s="544"/>
      <c r="W431" s="544"/>
      <c r="X431" s="544"/>
      <c r="Y431" s="544"/>
      <c r="Z431" s="544"/>
      <c r="AA431" s="544"/>
      <c r="AB431" s="544"/>
      <c r="AC431" s="544"/>
      <c r="AD431" s="544"/>
      <c r="AE431" s="183"/>
      <c r="AF431" s="183"/>
      <c r="AG431" s="183"/>
      <c r="AH431" s="183"/>
      <c r="AI431" s="183"/>
      <c r="AJ431" s="183"/>
      <c r="AK431" s="183"/>
      <c r="AL431" s="183"/>
      <c r="AM431" s="183"/>
    </row>
    <row r="432">
      <c r="A432" s="611" t="str">
        <f>IFERROR(__xludf.DUMMYFUNCTION("""COMPUTED_VALUE"""),"サイズ")</f>
        <v>サイズ</v>
      </c>
      <c r="B432" s="531" t="str">
        <f>IFERROR(__xludf.DUMMYFUNCTION("""COMPUTED_VALUE"""),"スラックス / カジュアルパンツ")</f>
        <v>スラックス / カジュアルパンツ</v>
      </c>
      <c r="C432" s="612" t="str">
        <f>IFERROR(__xludf.DUMMYFUNCTION("""COMPUTED_VALUE"""),"渡り巾")</f>
        <v>渡り巾</v>
      </c>
      <c r="D432" s="616"/>
      <c r="E432" s="533"/>
      <c r="F432" s="649" t="str">
        <f>IFERROR(__xludf.DUMMYFUNCTION("""COMPUTED_VALUE"""),"渡り巾")</f>
        <v>渡り巾</v>
      </c>
      <c r="G432" s="616" t="str">
        <f>IFERROR(__xludf.DUMMYFUNCTION("""COMPUTED_VALUE"""),"渡り巾")</f>
        <v>渡り巾</v>
      </c>
      <c r="H432" s="617" t="str">
        <f>IFERROR(__xludf.DUMMYFUNCTION("""COMPUTED_VALUE"""),"-1.5")</f>
        <v>-1.5</v>
      </c>
      <c r="I432" s="618"/>
      <c r="J432" s="620">
        <f>IFERROR(__xludf.DUMMYFUNCTION("""COMPUTED_VALUE"""),5.0)</f>
        <v>5</v>
      </c>
      <c r="K432" s="620">
        <f>IFERROR(__xludf.DUMMYFUNCTION("""COMPUTED_VALUE"""),45996.0)</f>
        <v>45996</v>
      </c>
      <c r="L432" s="650">
        <f>IFERROR(__xludf.DUMMYFUNCTION("""COMPUTED_VALUE"""),46002.0)</f>
        <v>46002</v>
      </c>
      <c r="M432" s="651">
        <f>IFERROR(__xludf.DUMMYFUNCTION("""COMPUTED_VALUE"""),46002.0)</f>
        <v>46002</v>
      </c>
      <c r="N432" s="639">
        <f>IFERROR(__xludf.DUMMYFUNCTION("""COMPUTED_VALUE"""),4130.0)</f>
        <v>4130</v>
      </c>
      <c r="O432" s="658">
        <f>IFERROR(__xludf.DUMMYFUNCTION("""COMPUTED_VALUE"""),3750.0)</f>
        <v>3750</v>
      </c>
      <c r="P432" s="594">
        <f>IFERROR(__xludf.DUMMYFUNCTION("""COMPUTED_VALUE"""),2500.0)</f>
        <v>2500</v>
      </c>
      <c r="Q432" s="183"/>
      <c r="R432" s="544"/>
      <c r="S432" s="544"/>
      <c r="T432" s="544"/>
      <c r="U432" s="544"/>
      <c r="V432" s="544"/>
      <c r="W432" s="544"/>
      <c r="X432" s="544"/>
      <c r="Y432" s="544"/>
      <c r="Z432" s="544"/>
      <c r="AA432" s="544"/>
      <c r="AB432" s="544"/>
      <c r="AC432" s="544"/>
      <c r="AD432" s="544"/>
      <c r="AE432" s="183"/>
      <c r="AF432" s="183"/>
      <c r="AG432" s="183"/>
      <c r="AH432" s="183"/>
      <c r="AI432" s="183"/>
      <c r="AJ432" s="183"/>
      <c r="AK432" s="183"/>
      <c r="AL432" s="183"/>
      <c r="AM432" s="183"/>
    </row>
    <row r="433">
      <c r="A433" s="624" t="str">
        <f>IFERROR(__xludf.DUMMYFUNCTION("""COMPUTED_VALUE"""),"サイズ")</f>
        <v>サイズ</v>
      </c>
      <c r="B433" s="531" t="str">
        <f>IFERROR(__xludf.DUMMYFUNCTION("""COMPUTED_VALUE"""),"スラックス / カジュアルパンツ")</f>
        <v>スラックス / カジュアルパンツ</v>
      </c>
      <c r="C433" s="625" t="str">
        <f>IFERROR(__xludf.DUMMYFUNCTION("""COMPUTED_VALUE"""),"渡り巾")</f>
        <v>渡り巾</v>
      </c>
      <c r="D433" s="627"/>
      <c r="E433" s="533"/>
      <c r="F433" s="644" t="str">
        <f>IFERROR(__xludf.DUMMYFUNCTION("""COMPUTED_VALUE"""),"渡り巾")</f>
        <v>渡り巾</v>
      </c>
      <c r="G433" s="627" t="str">
        <f>IFERROR(__xludf.DUMMYFUNCTION("""COMPUTED_VALUE"""),"渡り巾")</f>
        <v>渡り巾</v>
      </c>
      <c r="H433" s="645" t="str">
        <f>IFERROR(__xludf.DUMMYFUNCTION("""COMPUTED_VALUE"""),"-1")</f>
        <v>-1</v>
      </c>
      <c r="I433" s="646"/>
      <c r="J433" s="629">
        <f>IFERROR(__xludf.DUMMYFUNCTION("""COMPUTED_VALUE"""),5.0)</f>
        <v>5</v>
      </c>
      <c r="K433" s="629">
        <f>IFERROR(__xludf.DUMMYFUNCTION("""COMPUTED_VALUE"""),45996.0)</f>
        <v>45996</v>
      </c>
      <c r="L433" s="647">
        <f>IFERROR(__xludf.DUMMYFUNCTION("""COMPUTED_VALUE"""),46002.0)</f>
        <v>46002</v>
      </c>
      <c r="M433" s="648">
        <f>IFERROR(__xludf.DUMMYFUNCTION("""COMPUTED_VALUE"""),46002.0)</f>
        <v>46002</v>
      </c>
      <c r="N433" s="631">
        <f>IFERROR(__xludf.DUMMYFUNCTION("""COMPUTED_VALUE"""),4130.0)</f>
        <v>4130</v>
      </c>
      <c r="O433" s="658">
        <f>IFERROR(__xludf.DUMMYFUNCTION("""COMPUTED_VALUE"""),3750.0)</f>
        <v>3750</v>
      </c>
      <c r="P433" s="594">
        <f>IFERROR(__xludf.DUMMYFUNCTION("""COMPUTED_VALUE"""),2500.0)</f>
        <v>2500</v>
      </c>
      <c r="Q433" s="183"/>
      <c r="R433" s="544"/>
      <c r="S433" s="544"/>
      <c r="T433" s="544"/>
      <c r="U433" s="544"/>
      <c r="V433" s="544"/>
      <c r="W433" s="544"/>
      <c r="X433" s="544"/>
      <c r="Y433" s="544"/>
      <c r="Z433" s="544"/>
      <c r="AA433" s="544"/>
      <c r="AB433" s="544"/>
      <c r="AC433" s="544"/>
      <c r="AD433" s="544"/>
      <c r="AE433" s="183"/>
      <c r="AF433" s="183"/>
      <c r="AG433" s="183"/>
      <c r="AH433" s="183"/>
      <c r="AI433" s="183"/>
      <c r="AJ433" s="183"/>
      <c r="AK433" s="183"/>
      <c r="AL433" s="183"/>
      <c r="AM433" s="183"/>
    </row>
    <row r="434">
      <c r="A434" s="611" t="str">
        <f>IFERROR(__xludf.DUMMYFUNCTION("""COMPUTED_VALUE"""),"サイズ")</f>
        <v>サイズ</v>
      </c>
      <c r="B434" s="531" t="str">
        <f>IFERROR(__xludf.DUMMYFUNCTION("""COMPUTED_VALUE"""),"スラックス / カジュアルパンツ")</f>
        <v>スラックス / カジュアルパンツ</v>
      </c>
      <c r="C434" s="531" t="str">
        <f>IFERROR(__xludf.DUMMYFUNCTION("""COMPUTED_VALUE"""),"渡り巾")</f>
        <v>渡り巾</v>
      </c>
      <c r="D434" s="616"/>
      <c r="E434" s="533"/>
      <c r="F434" s="649" t="str">
        <f>IFERROR(__xludf.DUMMYFUNCTION("""COMPUTED_VALUE"""),"渡り巾")</f>
        <v>渡り巾</v>
      </c>
      <c r="G434" s="616" t="str">
        <f>IFERROR(__xludf.DUMMYFUNCTION("""COMPUTED_VALUE"""),"渡り巾")</f>
        <v>渡り巾</v>
      </c>
      <c r="H434" s="617" t="str">
        <f>IFERROR(__xludf.DUMMYFUNCTION("""COMPUTED_VALUE"""),"-0.5")</f>
        <v>-0.5</v>
      </c>
      <c r="I434" s="618"/>
      <c r="J434" s="620">
        <f>IFERROR(__xludf.DUMMYFUNCTION("""COMPUTED_VALUE"""),5.0)</f>
        <v>5</v>
      </c>
      <c r="K434" s="620">
        <f>IFERROR(__xludf.DUMMYFUNCTION("""COMPUTED_VALUE"""),45996.0)</f>
        <v>45996</v>
      </c>
      <c r="L434" s="650">
        <f>IFERROR(__xludf.DUMMYFUNCTION("""COMPUTED_VALUE"""),46002.0)</f>
        <v>46002</v>
      </c>
      <c r="M434" s="651">
        <f>IFERROR(__xludf.DUMMYFUNCTION("""COMPUTED_VALUE"""),46002.0)</f>
        <v>46002</v>
      </c>
      <c r="N434" s="639">
        <f>IFERROR(__xludf.DUMMYFUNCTION("""COMPUTED_VALUE"""),4130.0)</f>
        <v>4130</v>
      </c>
      <c r="O434" s="658">
        <f>IFERROR(__xludf.DUMMYFUNCTION("""COMPUTED_VALUE"""),3750.0)</f>
        <v>3750</v>
      </c>
      <c r="P434" s="594">
        <f>IFERROR(__xludf.DUMMYFUNCTION("""COMPUTED_VALUE"""),2500.0)</f>
        <v>2500</v>
      </c>
      <c r="Q434" s="183"/>
      <c r="R434" s="544"/>
      <c r="S434" s="544"/>
      <c r="T434" s="544"/>
      <c r="U434" s="544"/>
      <c r="V434" s="544"/>
      <c r="W434" s="544"/>
      <c r="X434" s="544"/>
      <c r="Y434" s="544"/>
      <c r="Z434" s="544"/>
      <c r="AA434" s="544"/>
      <c r="AB434" s="544"/>
      <c r="AC434" s="544"/>
      <c r="AD434" s="544"/>
      <c r="AE434" s="183"/>
      <c r="AF434" s="183"/>
      <c r="AG434" s="183"/>
      <c r="AH434" s="183"/>
      <c r="AI434" s="183"/>
      <c r="AJ434" s="183"/>
      <c r="AK434" s="183"/>
      <c r="AL434" s="183"/>
      <c r="AM434" s="183"/>
    </row>
    <row r="435">
      <c r="A435" s="531" t="str">
        <f>IFERROR(__xludf.DUMMYFUNCTION("""COMPUTED_VALUE"""),"サイズ")</f>
        <v>サイズ</v>
      </c>
      <c r="B435" s="531" t="str">
        <f>IFERROR(__xludf.DUMMYFUNCTION("""COMPUTED_VALUE"""),"スラックス / カジュアルパンツ")</f>
        <v>スラックス / カジュアルパンツ</v>
      </c>
      <c r="C435" s="531" t="str">
        <f>IFERROR(__xludf.DUMMYFUNCTION("""COMPUTED_VALUE"""),"ひざ巾")</f>
        <v>ひざ巾</v>
      </c>
      <c r="D435" s="533"/>
      <c r="E435" s="533"/>
      <c r="F435" s="534" t="str">
        <f>IFERROR(__xludf.DUMMYFUNCTION("""COMPUTED_VALUE"""),"ひざ巾")</f>
        <v>ひざ巾</v>
      </c>
      <c r="G435" s="533" t="str">
        <f>IFERROR(__xludf.DUMMYFUNCTION("""COMPUTED_VALUE"""),"ひざ巾")</f>
        <v>ひざ巾</v>
      </c>
      <c r="H435" s="572" t="str">
        <f>IFERROR(__xludf.DUMMYFUNCTION("""COMPUTED_VALUE"""),"0.5")</f>
        <v>0.5</v>
      </c>
      <c r="I435" s="537"/>
      <c r="J435" s="538">
        <f>IFERROR(__xludf.DUMMYFUNCTION("""COMPUTED_VALUE"""),5.0)</f>
        <v>5</v>
      </c>
      <c r="K435" s="537">
        <f>IFERROR(__xludf.DUMMYFUNCTION("""COMPUTED_VALUE"""),45996.0)</f>
        <v>45996</v>
      </c>
      <c r="L435" s="640">
        <f>IFERROR(__xludf.DUMMYFUNCTION("""COMPUTED_VALUE"""),46002.0)</f>
        <v>46002</v>
      </c>
      <c r="M435" s="641">
        <f>IFERROR(__xludf.DUMMYFUNCTION("""COMPUTED_VALUE"""),46002.0)</f>
        <v>46002</v>
      </c>
      <c r="N435" s="539">
        <f>IFERROR(__xludf.DUMMYFUNCTION("""COMPUTED_VALUE"""),1650.0)</f>
        <v>1650</v>
      </c>
      <c r="O435" s="593">
        <f>IFERROR(__xludf.DUMMYFUNCTION("""COMPUTED_VALUE"""),1500.0)</f>
        <v>1500</v>
      </c>
      <c r="P435" s="594">
        <f>IFERROR(__xludf.DUMMYFUNCTION("""COMPUTED_VALUE"""),1000.0)</f>
        <v>1000</v>
      </c>
      <c r="Q435" s="183"/>
      <c r="R435" s="544"/>
      <c r="S435" s="544"/>
      <c r="T435" s="544"/>
      <c r="U435" s="544"/>
      <c r="V435" s="544"/>
      <c r="W435" s="544"/>
      <c r="X435" s="544"/>
      <c r="Y435" s="544"/>
      <c r="Z435" s="544"/>
      <c r="AA435" s="544"/>
      <c r="AB435" s="544"/>
      <c r="AC435" s="544"/>
      <c r="AD435" s="544"/>
      <c r="AE435" s="183"/>
      <c r="AF435" s="183"/>
      <c r="AG435" s="183"/>
      <c r="AH435" s="183"/>
      <c r="AI435" s="183"/>
      <c r="AJ435" s="183"/>
      <c r="AK435" s="183"/>
      <c r="AL435" s="183"/>
      <c r="AM435" s="183"/>
    </row>
    <row r="436">
      <c r="A436" s="531" t="str">
        <f>IFERROR(__xludf.DUMMYFUNCTION("""COMPUTED_VALUE"""),"サイズ")</f>
        <v>サイズ</v>
      </c>
      <c r="B436" s="531" t="str">
        <f>IFERROR(__xludf.DUMMYFUNCTION("""COMPUTED_VALUE"""),"スラックス / カジュアルパンツ")</f>
        <v>スラックス / カジュアルパンツ</v>
      </c>
      <c r="C436" s="531" t="str">
        <f>IFERROR(__xludf.DUMMYFUNCTION("""COMPUTED_VALUE"""),"ひざ巾")</f>
        <v>ひざ巾</v>
      </c>
      <c r="D436" s="533"/>
      <c r="E436" s="533"/>
      <c r="F436" s="534" t="str">
        <f>IFERROR(__xludf.DUMMYFUNCTION("""COMPUTED_VALUE"""),"ひざ巾")</f>
        <v>ひざ巾</v>
      </c>
      <c r="G436" s="533" t="str">
        <f>IFERROR(__xludf.DUMMYFUNCTION("""COMPUTED_VALUE"""),"ひざ巾")</f>
        <v>ひざ巾</v>
      </c>
      <c r="H436" s="572" t="str">
        <f>IFERROR(__xludf.DUMMYFUNCTION("""COMPUTED_VALUE"""),"1")</f>
        <v>1</v>
      </c>
      <c r="I436" s="537"/>
      <c r="J436" s="538">
        <f>IFERROR(__xludf.DUMMYFUNCTION("""COMPUTED_VALUE"""),5.0)</f>
        <v>5</v>
      </c>
      <c r="K436" s="537">
        <f>IFERROR(__xludf.DUMMYFUNCTION("""COMPUTED_VALUE"""),45996.0)</f>
        <v>45996</v>
      </c>
      <c r="L436" s="640">
        <f>IFERROR(__xludf.DUMMYFUNCTION("""COMPUTED_VALUE"""),46002.0)</f>
        <v>46002</v>
      </c>
      <c r="M436" s="641">
        <f>IFERROR(__xludf.DUMMYFUNCTION("""COMPUTED_VALUE"""),46002.0)</f>
        <v>46002</v>
      </c>
      <c r="N436" s="539">
        <f>IFERROR(__xludf.DUMMYFUNCTION("""COMPUTED_VALUE"""),1650.0)</f>
        <v>1650</v>
      </c>
      <c r="O436" s="593">
        <f>IFERROR(__xludf.DUMMYFUNCTION("""COMPUTED_VALUE"""),1500.0)</f>
        <v>1500</v>
      </c>
      <c r="P436" s="594">
        <f>IFERROR(__xludf.DUMMYFUNCTION("""COMPUTED_VALUE"""),1000.0)</f>
        <v>1000</v>
      </c>
      <c r="Q436" s="183"/>
      <c r="R436" s="544"/>
      <c r="S436" s="544"/>
      <c r="T436" s="544"/>
      <c r="U436" s="544"/>
      <c r="V436" s="544"/>
      <c r="W436" s="544"/>
      <c r="X436" s="544"/>
      <c r="Y436" s="544"/>
      <c r="Z436" s="544"/>
      <c r="AA436" s="544"/>
      <c r="AB436" s="544"/>
      <c r="AC436" s="544"/>
      <c r="AD436" s="544"/>
      <c r="AE436" s="183"/>
      <c r="AF436" s="183"/>
      <c r="AG436" s="183"/>
      <c r="AH436" s="183"/>
      <c r="AI436" s="183"/>
      <c r="AJ436" s="183"/>
      <c r="AK436" s="183"/>
      <c r="AL436" s="183"/>
      <c r="AM436" s="183"/>
    </row>
    <row r="437">
      <c r="A437" s="531" t="str">
        <f>IFERROR(__xludf.DUMMYFUNCTION("""COMPUTED_VALUE"""),"サイズ")</f>
        <v>サイズ</v>
      </c>
      <c r="B437" s="531" t="str">
        <f>IFERROR(__xludf.DUMMYFUNCTION("""COMPUTED_VALUE"""),"スラックス / カジュアルパンツ")</f>
        <v>スラックス / カジュアルパンツ</v>
      </c>
      <c r="C437" s="531" t="str">
        <f>IFERROR(__xludf.DUMMYFUNCTION("""COMPUTED_VALUE"""),"ひざ巾")</f>
        <v>ひざ巾</v>
      </c>
      <c r="D437" s="533"/>
      <c r="E437" s="533"/>
      <c r="F437" s="534" t="str">
        <f>IFERROR(__xludf.DUMMYFUNCTION("""COMPUTED_VALUE"""),"ひざ巾")</f>
        <v>ひざ巾</v>
      </c>
      <c r="G437" s="533" t="str">
        <f>IFERROR(__xludf.DUMMYFUNCTION("""COMPUTED_VALUE"""),"ひざ巾")</f>
        <v>ひざ巾</v>
      </c>
      <c r="H437" s="572" t="str">
        <f>IFERROR(__xludf.DUMMYFUNCTION("""COMPUTED_VALUE"""),"-2")</f>
        <v>-2</v>
      </c>
      <c r="I437" s="536"/>
      <c r="J437" s="538">
        <f>IFERROR(__xludf.DUMMYFUNCTION("""COMPUTED_VALUE"""),5.0)</f>
        <v>5</v>
      </c>
      <c r="K437" s="537">
        <f>IFERROR(__xludf.DUMMYFUNCTION("""COMPUTED_VALUE"""),45996.0)</f>
        <v>45996</v>
      </c>
      <c r="L437" s="640">
        <f>IFERROR(__xludf.DUMMYFUNCTION("""COMPUTED_VALUE"""),46002.0)</f>
        <v>46002</v>
      </c>
      <c r="M437" s="641">
        <f>IFERROR(__xludf.DUMMYFUNCTION("""COMPUTED_VALUE"""),46002.0)</f>
        <v>46002</v>
      </c>
      <c r="N437" s="539">
        <f>IFERROR(__xludf.DUMMYFUNCTION("""COMPUTED_VALUE"""),1650.0)</f>
        <v>1650</v>
      </c>
      <c r="O437" s="593">
        <f>IFERROR(__xludf.DUMMYFUNCTION("""COMPUTED_VALUE"""),1500.0)</f>
        <v>1500</v>
      </c>
      <c r="P437" s="594">
        <f>IFERROR(__xludf.DUMMYFUNCTION("""COMPUTED_VALUE"""),1000.0)</f>
        <v>1000</v>
      </c>
      <c r="Q437" s="183"/>
      <c r="R437" s="544"/>
      <c r="S437" s="544"/>
      <c r="T437" s="544"/>
      <c r="U437" s="544"/>
      <c r="V437" s="544"/>
      <c r="W437" s="544"/>
      <c r="X437" s="544"/>
      <c r="Y437" s="544"/>
      <c r="Z437" s="544"/>
      <c r="AA437" s="544"/>
      <c r="AB437" s="544"/>
      <c r="AC437" s="544"/>
      <c r="AD437" s="544"/>
      <c r="AE437" s="183"/>
      <c r="AF437" s="183"/>
      <c r="AG437" s="183"/>
      <c r="AH437" s="183"/>
      <c r="AI437" s="183"/>
      <c r="AJ437" s="183"/>
      <c r="AK437" s="183"/>
      <c r="AL437" s="183"/>
      <c r="AM437" s="183"/>
    </row>
    <row r="438">
      <c r="A438" s="531" t="str">
        <f>IFERROR(__xludf.DUMMYFUNCTION("""COMPUTED_VALUE"""),"サイズ")</f>
        <v>サイズ</v>
      </c>
      <c r="B438" s="531" t="str">
        <f>IFERROR(__xludf.DUMMYFUNCTION("""COMPUTED_VALUE"""),"スラックス / カジュアルパンツ")</f>
        <v>スラックス / カジュアルパンツ</v>
      </c>
      <c r="C438" s="531" t="str">
        <f>IFERROR(__xludf.DUMMYFUNCTION("""COMPUTED_VALUE"""),"ひざ巾")</f>
        <v>ひざ巾</v>
      </c>
      <c r="D438" s="533"/>
      <c r="E438" s="533"/>
      <c r="F438" s="534" t="str">
        <f>IFERROR(__xludf.DUMMYFUNCTION("""COMPUTED_VALUE"""),"ひざ巾")</f>
        <v>ひざ巾</v>
      </c>
      <c r="G438" s="533" t="str">
        <f>IFERROR(__xludf.DUMMYFUNCTION("""COMPUTED_VALUE"""),"ひざ巾")</f>
        <v>ひざ巾</v>
      </c>
      <c r="H438" s="572" t="str">
        <f>IFERROR(__xludf.DUMMYFUNCTION("""COMPUTED_VALUE"""),"-1.5")</f>
        <v>-1.5</v>
      </c>
      <c r="I438" s="536"/>
      <c r="J438" s="538">
        <f>IFERROR(__xludf.DUMMYFUNCTION("""COMPUTED_VALUE"""),5.0)</f>
        <v>5</v>
      </c>
      <c r="K438" s="537">
        <f>IFERROR(__xludf.DUMMYFUNCTION("""COMPUTED_VALUE"""),45996.0)</f>
        <v>45996</v>
      </c>
      <c r="L438" s="640">
        <f>IFERROR(__xludf.DUMMYFUNCTION("""COMPUTED_VALUE"""),46002.0)</f>
        <v>46002</v>
      </c>
      <c r="M438" s="659">
        <f>IFERROR(__xludf.DUMMYFUNCTION("""COMPUTED_VALUE"""),46002.0)</f>
        <v>46002</v>
      </c>
      <c r="N438" s="539">
        <f>IFERROR(__xludf.DUMMYFUNCTION("""COMPUTED_VALUE"""),1650.0)</f>
        <v>1650</v>
      </c>
      <c r="O438" s="593">
        <f>IFERROR(__xludf.DUMMYFUNCTION("""COMPUTED_VALUE"""),1500.0)</f>
        <v>1500</v>
      </c>
      <c r="P438" s="594">
        <f>IFERROR(__xludf.DUMMYFUNCTION("""COMPUTED_VALUE"""),1000.0)</f>
        <v>1000</v>
      </c>
      <c r="Q438" s="183"/>
      <c r="R438" s="544"/>
      <c r="S438" s="544"/>
      <c r="T438" s="544"/>
      <c r="U438" s="544"/>
      <c r="V438" s="544"/>
      <c r="W438" s="544"/>
      <c r="X438" s="544"/>
      <c r="Y438" s="544"/>
      <c r="Z438" s="544"/>
      <c r="AA438" s="544"/>
      <c r="AB438" s="544"/>
      <c r="AC438" s="544"/>
      <c r="AD438" s="544"/>
      <c r="AE438" s="183"/>
      <c r="AF438" s="183"/>
      <c r="AG438" s="183"/>
      <c r="AH438" s="183"/>
      <c r="AI438" s="183"/>
      <c r="AJ438" s="183"/>
      <c r="AK438" s="183"/>
      <c r="AL438" s="183"/>
      <c r="AM438" s="183"/>
    </row>
    <row r="439">
      <c r="A439" s="531" t="str">
        <f>IFERROR(__xludf.DUMMYFUNCTION("""COMPUTED_VALUE"""),"サイズ")</f>
        <v>サイズ</v>
      </c>
      <c r="B439" s="531" t="str">
        <f>IFERROR(__xludf.DUMMYFUNCTION("""COMPUTED_VALUE"""),"スラックス / カジュアルパンツ")</f>
        <v>スラックス / カジュアルパンツ</v>
      </c>
      <c r="C439" s="531" t="str">
        <f>IFERROR(__xludf.DUMMYFUNCTION("""COMPUTED_VALUE"""),"ひざ巾")</f>
        <v>ひざ巾</v>
      </c>
      <c r="D439" s="533"/>
      <c r="E439" s="533"/>
      <c r="F439" s="534" t="str">
        <f>IFERROR(__xludf.DUMMYFUNCTION("""COMPUTED_VALUE"""),"ひざ巾")</f>
        <v>ひざ巾</v>
      </c>
      <c r="G439" s="533" t="str">
        <f>IFERROR(__xludf.DUMMYFUNCTION("""COMPUTED_VALUE"""),"ひざ巾")</f>
        <v>ひざ巾</v>
      </c>
      <c r="H439" s="572" t="str">
        <f>IFERROR(__xludf.DUMMYFUNCTION("""COMPUTED_VALUE"""),"-1")</f>
        <v>-1</v>
      </c>
      <c r="I439" s="536"/>
      <c r="J439" s="538">
        <f>IFERROR(__xludf.DUMMYFUNCTION("""COMPUTED_VALUE"""),5.0)</f>
        <v>5</v>
      </c>
      <c r="K439" s="537">
        <f>IFERROR(__xludf.DUMMYFUNCTION("""COMPUTED_VALUE"""),45996.0)</f>
        <v>45996</v>
      </c>
      <c r="L439" s="640">
        <f>IFERROR(__xludf.DUMMYFUNCTION("""COMPUTED_VALUE"""),46002.0)</f>
        <v>46002</v>
      </c>
      <c r="M439" s="641">
        <f>IFERROR(__xludf.DUMMYFUNCTION("""COMPUTED_VALUE"""),46002.0)</f>
        <v>46002</v>
      </c>
      <c r="N439" s="539">
        <f>IFERROR(__xludf.DUMMYFUNCTION("""COMPUTED_VALUE"""),1650.0)</f>
        <v>1650</v>
      </c>
      <c r="O439" s="593">
        <f>IFERROR(__xludf.DUMMYFUNCTION("""COMPUTED_VALUE"""),1500.0)</f>
        <v>1500</v>
      </c>
      <c r="P439" s="594">
        <f>IFERROR(__xludf.DUMMYFUNCTION("""COMPUTED_VALUE"""),1000.0)</f>
        <v>1000</v>
      </c>
      <c r="Q439" s="183"/>
      <c r="R439" s="544"/>
      <c r="S439" s="544"/>
      <c r="T439" s="544"/>
      <c r="U439" s="544"/>
      <c r="V439" s="544"/>
      <c r="W439" s="544"/>
      <c r="X439" s="544"/>
      <c r="Y439" s="544"/>
      <c r="Z439" s="544"/>
      <c r="AA439" s="544"/>
      <c r="AB439" s="544"/>
      <c r="AC439" s="544"/>
      <c r="AD439" s="544"/>
      <c r="AE439" s="183"/>
      <c r="AF439" s="183"/>
      <c r="AG439" s="183"/>
      <c r="AH439" s="183"/>
      <c r="AI439" s="183"/>
      <c r="AJ439" s="183"/>
      <c r="AK439" s="183"/>
      <c r="AL439" s="183"/>
      <c r="AM439" s="183"/>
    </row>
    <row r="440">
      <c r="A440" s="531" t="str">
        <f>IFERROR(__xludf.DUMMYFUNCTION("""COMPUTED_VALUE"""),"サイズ")</f>
        <v>サイズ</v>
      </c>
      <c r="B440" s="531" t="str">
        <f>IFERROR(__xludf.DUMMYFUNCTION("""COMPUTED_VALUE"""),"スラックス / カジュアルパンツ")</f>
        <v>スラックス / カジュアルパンツ</v>
      </c>
      <c r="C440" s="531" t="str">
        <f>IFERROR(__xludf.DUMMYFUNCTION("""COMPUTED_VALUE"""),"ひざ巾")</f>
        <v>ひざ巾</v>
      </c>
      <c r="D440" s="533"/>
      <c r="E440" s="533"/>
      <c r="F440" s="534" t="str">
        <f>IFERROR(__xludf.DUMMYFUNCTION("""COMPUTED_VALUE"""),"ひざ巾")</f>
        <v>ひざ巾</v>
      </c>
      <c r="G440" s="533" t="str">
        <f>IFERROR(__xludf.DUMMYFUNCTION("""COMPUTED_VALUE"""),"ひざ巾")</f>
        <v>ひざ巾</v>
      </c>
      <c r="H440" s="572" t="str">
        <f>IFERROR(__xludf.DUMMYFUNCTION("""COMPUTED_VALUE"""),"-0.5")</f>
        <v>-0.5</v>
      </c>
      <c r="I440" s="536"/>
      <c r="J440" s="538">
        <f>IFERROR(__xludf.DUMMYFUNCTION("""COMPUTED_VALUE"""),5.0)</f>
        <v>5</v>
      </c>
      <c r="K440" s="537">
        <f>IFERROR(__xludf.DUMMYFUNCTION("""COMPUTED_VALUE"""),45996.0)</f>
        <v>45996</v>
      </c>
      <c r="L440" s="640">
        <f>IFERROR(__xludf.DUMMYFUNCTION("""COMPUTED_VALUE"""),46002.0)</f>
        <v>46002</v>
      </c>
      <c r="M440" s="641">
        <f>IFERROR(__xludf.DUMMYFUNCTION("""COMPUTED_VALUE"""),46002.0)</f>
        <v>46002</v>
      </c>
      <c r="N440" s="539">
        <f>IFERROR(__xludf.DUMMYFUNCTION("""COMPUTED_VALUE"""),1650.0)</f>
        <v>1650</v>
      </c>
      <c r="O440" s="593">
        <f>IFERROR(__xludf.DUMMYFUNCTION("""COMPUTED_VALUE"""),1500.0)</f>
        <v>1500</v>
      </c>
      <c r="P440" s="594">
        <f>IFERROR(__xludf.DUMMYFUNCTION("""COMPUTED_VALUE"""),1000.0)</f>
        <v>1000</v>
      </c>
      <c r="Q440" s="183"/>
      <c r="R440" s="544"/>
      <c r="S440" s="544"/>
      <c r="T440" s="544"/>
      <c r="U440" s="544"/>
      <c r="V440" s="544"/>
      <c r="W440" s="544"/>
      <c r="X440" s="544"/>
      <c r="Y440" s="544"/>
      <c r="Z440" s="544"/>
      <c r="AA440" s="544"/>
      <c r="AB440" s="544"/>
      <c r="AC440" s="544"/>
      <c r="AD440" s="544"/>
      <c r="AE440" s="183"/>
      <c r="AF440" s="183"/>
      <c r="AG440" s="183"/>
      <c r="AH440" s="183"/>
      <c r="AI440" s="183"/>
      <c r="AJ440" s="183"/>
      <c r="AK440" s="183"/>
      <c r="AL440" s="183"/>
      <c r="AM440" s="183"/>
    </row>
    <row r="441">
      <c r="A441" s="531" t="str">
        <f>IFERROR(__xludf.DUMMYFUNCTION("""COMPUTED_VALUE"""),"サイズ")</f>
        <v>サイズ</v>
      </c>
      <c r="B441" s="531" t="str">
        <f>IFERROR(__xludf.DUMMYFUNCTION("""COMPUTED_VALUE"""),"スラックス / カジュアルパンツ")</f>
        <v>スラックス / カジュアルパンツ</v>
      </c>
      <c r="C441" s="531" t="str">
        <f>IFERROR(__xludf.DUMMYFUNCTION("""COMPUTED_VALUE"""),"ひざ巾")</f>
        <v>ひざ巾</v>
      </c>
      <c r="D441" s="533"/>
      <c r="E441" s="533"/>
      <c r="F441" s="534" t="str">
        <f>IFERROR(__xludf.DUMMYFUNCTION("""COMPUTED_VALUE"""),"ひざ巾")</f>
        <v>ひざ巾</v>
      </c>
      <c r="G441" s="533" t="str">
        <f>IFERROR(__xludf.DUMMYFUNCTION("""COMPUTED_VALUE"""),"ひざ巾")</f>
        <v>ひざ巾</v>
      </c>
      <c r="H441" s="572" t="str">
        <f>IFERROR(__xludf.DUMMYFUNCTION("""COMPUTED_VALUE"""),"-2.5")</f>
        <v>-2.5</v>
      </c>
      <c r="I441" s="536"/>
      <c r="J441" s="538">
        <f>IFERROR(__xludf.DUMMYFUNCTION("""COMPUTED_VALUE"""),5.0)</f>
        <v>5</v>
      </c>
      <c r="K441" s="537">
        <f>IFERROR(__xludf.DUMMYFUNCTION("""COMPUTED_VALUE"""),45996.0)</f>
        <v>45996</v>
      </c>
      <c r="L441" s="640">
        <f>IFERROR(__xludf.DUMMYFUNCTION("""COMPUTED_VALUE"""),46002.0)</f>
        <v>46002</v>
      </c>
      <c r="M441" s="641">
        <f>IFERROR(__xludf.DUMMYFUNCTION("""COMPUTED_VALUE"""),46002.0)</f>
        <v>46002</v>
      </c>
      <c r="N441" s="539">
        <f>IFERROR(__xludf.DUMMYFUNCTION("""COMPUTED_VALUE"""),1650.0)</f>
        <v>1650</v>
      </c>
      <c r="O441" s="593">
        <f>IFERROR(__xludf.DUMMYFUNCTION("""COMPUTED_VALUE"""),1500.0)</f>
        <v>1500</v>
      </c>
      <c r="P441" s="594">
        <f>IFERROR(__xludf.DUMMYFUNCTION("""COMPUTED_VALUE"""),1000.0)</f>
        <v>1000</v>
      </c>
      <c r="Q441" s="183"/>
      <c r="R441" s="544"/>
      <c r="S441" s="544"/>
      <c r="T441" s="544"/>
      <c r="U441" s="544"/>
      <c r="V441" s="544"/>
      <c r="W441" s="544"/>
      <c r="X441" s="544"/>
      <c r="Y441" s="544"/>
      <c r="Z441" s="544"/>
      <c r="AA441" s="544"/>
      <c r="AB441" s="544"/>
      <c r="AC441" s="544"/>
      <c r="AD441" s="544"/>
      <c r="AE441" s="183"/>
      <c r="AF441" s="183"/>
      <c r="AG441" s="183"/>
      <c r="AH441" s="183"/>
      <c r="AI441" s="183"/>
      <c r="AJ441" s="183"/>
      <c r="AK441" s="183"/>
      <c r="AL441" s="183"/>
      <c r="AM441" s="183"/>
    </row>
    <row r="442">
      <c r="A442" s="531" t="str">
        <f>IFERROR(__xludf.DUMMYFUNCTION("""COMPUTED_VALUE"""),"サイズ")</f>
        <v>サイズ</v>
      </c>
      <c r="B442" s="531" t="str">
        <f>IFERROR(__xludf.DUMMYFUNCTION("""COMPUTED_VALUE"""),"スラックス / カジュアルパンツ")</f>
        <v>スラックス / カジュアルパンツ</v>
      </c>
      <c r="C442" s="531" t="str">
        <f>IFERROR(__xludf.DUMMYFUNCTION("""COMPUTED_VALUE"""),"ひざ巾")</f>
        <v>ひざ巾</v>
      </c>
      <c r="D442" s="533"/>
      <c r="E442" s="533"/>
      <c r="F442" s="534" t="str">
        <f>IFERROR(__xludf.DUMMYFUNCTION("""COMPUTED_VALUE"""),"ひざ巾")</f>
        <v>ひざ巾</v>
      </c>
      <c r="G442" s="533" t="str">
        <f>IFERROR(__xludf.DUMMYFUNCTION("""COMPUTED_VALUE"""),"ひざ巾")</f>
        <v>ひざ巾</v>
      </c>
      <c r="H442" s="572" t="str">
        <f>IFERROR(__xludf.DUMMYFUNCTION("""COMPUTED_VALUE"""),"-3")</f>
        <v>-3</v>
      </c>
      <c r="I442" s="536"/>
      <c r="J442" s="538">
        <f>IFERROR(__xludf.DUMMYFUNCTION("""COMPUTED_VALUE"""),5.0)</f>
        <v>5</v>
      </c>
      <c r="K442" s="537">
        <f>IFERROR(__xludf.DUMMYFUNCTION("""COMPUTED_VALUE"""),45996.0)</f>
        <v>45996</v>
      </c>
      <c r="L442" s="640">
        <f>IFERROR(__xludf.DUMMYFUNCTION("""COMPUTED_VALUE"""),46002.0)</f>
        <v>46002</v>
      </c>
      <c r="M442" s="641">
        <f>IFERROR(__xludf.DUMMYFUNCTION("""COMPUTED_VALUE"""),46002.0)</f>
        <v>46002</v>
      </c>
      <c r="N442" s="539">
        <f>IFERROR(__xludf.DUMMYFUNCTION("""COMPUTED_VALUE"""),1650.0)</f>
        <v>1650</v>
      </c>
      <c r="O442" s="593">
        <f>IFERROR(__xludf.DUMMYFUNCTION("""COMPUTED_VALUE"""),1500.0)</f>
        <v>1500</v>
      </c>
      <c r="P442" s="594">
        <f>IFERROR(__xludf.DUMMYFUNCTION("""COMPUTED_VALUE"""),1000.0)</f>
        <v>1000</v>
      </c>
      <c r="Q442" s="183"/>
      <c r="R442" s="544"/>
      <c r="S442" s="544"/>
      <c r="T442" s="544"/>
      <c r="U442" s="544"/>
      <c r="V442" s="544"/>
      <c r="W442" s="544"/>
      <c r="X442" s="544"/>
      <c r="Y442" s="544"/>
      <c r="Z442" s="544"/>
      <c r="AA442" s="544"/>
      <c r="AB442" s="544"/>
      <c r="AC442" s="544"/>
      <c r="AD442" s="544"/>
      <c r="AE442" s="183"/>
      <c r="AF442" s="183"/>
      <c r="AG442" s="183"/>
      <c r="AH442" s="183"/>
      <c r="AI442" s="183"/>
      <c r="AJ442" s="183"/>
      <c r="AK442" s="183"/>
      <c r="AL442" s="183"/>
      <c r="AM442" s="183"/>
    </row>
    <row r="443">
      <c r="A443" s="531" t="str">
        <f>IFERROR(__xludf.DUMMYFUNCTION("""COMPUTED_VALUE"""),"サイズ")</f>
        <v>サイズ</v>
      </c>
      <c r="B443" s="531" t="str">
        <f>IFERROR(__xludf.DUMMYFUNCTION("""COMPUTED_VALUE"""),"スラックス / カジュアルパンツ")</f>
        <v>スラックス / カジュアルパンツ</v>
      </c>
      <c r="C443" s="531" t="str">
        <f>IFERROR(__xludf.DUMMYFUNCTION("""COMPUTED_VALUE"""),"ひざ巾")</f>
        <v>ひざ巾</v>
      </c>
      <c r="D443" s="533"/>
      <c r="E443" s="533"/>
      <c r="F443" s="534" t="str">
        <f>IFERROR(__xludf.DUMMYFUNCTION("""COMPUTED_VALUE"""),"ひざ巾")</f>
        <v>ひざ巾</v>
      </c>
      <c r="G443" s="533" t="str">
        <f>IFERROR(__xludf.DUMMYFUNCTION("""COMPUTED_VALUE"""),"ひざ巾")</f>
        <v>ひざ巾</v>
      </c>
      <c r="H443" s="572" t="str">
        <f>IFERROR(__xludf.DUMMYFUNCTION("""COMPUTED_VALUE"""),"-3.5")</f>
        <v>-3.5</v>
      </c>
      <c r="I443" s="536"/>
      <c r="J443" s="538">
        <f>IFERROR(__xludf.DUMMYFUNCTION("""COMPUTED_VALUE"""),5.0)</f>
        <v>5</v>
      </c>
      <c r="K443" s="537">
        <f>IFERROR(__xludf.DUMMYFUNCTION("""COMPUTED_VALUE"""),45996.0)</f>
        <v>45996</v>
      </c>
      <c r="L443" s="640">
        <f>IFERROR(__xludf.DUMMYFUNCTION("""COMPUTED_VALUE"""),46002.0)</f>
        <v>46002</v>
      </c>
      <c r="M443" s="641">
        <f>IFERROR(__xludf.DUMMYFUNCTION("""COMPUTED_VALUE"""),46002.0)</f>
        <v>46002</v>
      </c>
      <c r="N443" s="539">
        <f>IFERROR(__xludf.DUMMYFUNCTION("""COMPUTED_VALUE"""),1650.0)</f>
        <v>1650</v>
      </c>
      <c r="O443" s="593">
        <f>IFERROR(__xludf.DUMMYFUNCTION("""COMPUTED_VALUE"""),1500.0)</f>
        <v>1500</v>
      </c>
      <c r="P443" s="594">
        <f>IFERROR(__xludf.DUMMYFUNCTION("""COMPUTED_VALUE"""),1000.0)</f>
        <v>1000</v>
      </c>
      <c r="Q443" s="183"/>
      <c r="R443" s="544"/>
      <c r="S443" s="544"/>
      <c r="T443" s="544"/>
      <c r="U443" s="544"/>
      <c r="V443" s="544"/>
      <c r="W443" s="544"/>
      <c r="X443" s="544"/>
      <c r="Y443" s="544"/>
      <c r="Z443" s="544"/>
      <c r="AA443" s="544"/>
      <c r="AB443" s="544"/>
      <c r="AC443" s="544"/>
      <c r="AD443" s="544"/>
      <c r="AE443" s="183"/>
      <c r="AF443" s="183"/>
      <c r="AG443" s="183"/>
      <c r="AH443" s="183"/>
      <c r="AI443" s="183"/>
      <c r="AJ443" s="183"/>
      <c r="AK443" s="183"/>
      <c r="AL443" s="183"/>
      <c r="AM443" s="183"/>
    </row>
    <row r="444">
      <c r="A444" s="531" t="str">
        <f>IFERROR(__xludf.DUMMYFUNCTION("""COMPUTED_VALUE"""),"サイズ")</f>
        <v>サイズ</v>
      </c>
      <c r="B444" s="531" t="str">
        <f>IFERROR(__xludf.DUMMYFUNCTION("""COMPUTED_VALUE"""),"スラックス / カジュアルパンツ")</f>
        <v>スラックス / カジュアルパンツ</v>
      </c>
      <c r="C444" s="531" t="str">
        <f>IFERROR(__xludf.DUMMYFUNCTION("""COMPUTED_VALUE"""),"ひざ巾")</f>
        <v>ひざ巾</v>
      </c>
      <c r="D444" s="533"/>
      <c r="E444" s="533"/>
      <c r="F444" s="534" t="str">
        <f>IFERROR(__xludf.DUMMYFUNCTION("""COMPUTED_VALUE"""),"ひざ巾")</f>
        <v>ひざ巾</v>
      </c>
      <c r="G444" s="533" t="str">
        <f>IFERROR(__xludf.DUMMYFUNCTION("""COMPUTED_VALUE"""),"ひざ巾")</f>
        <v>ひざ巾</v>
      </c>
      <c r="H444" s="572" t="str">
        <f>IFERROR(__xludf.DUMMYFUNCTION("""COMPUTED_VALUE"""),"-4")</f>
        <v>-4</v>
      </c>
      <c r="I444" s="536"/>
      <c r="J444" s="538">
        <f>IFERROR(__xludf.DUMMYFUNCTION("""COMPUTED_VALUE"""),5.0)</f>
        <v>5</v>
      </c>
      <c r="K444" s="537">
        <f>IFERROR(__xludf.DUMMYFUNCTION("""COMPUTED_VALUE"""),45996.0)</f>
        <v>45996</v>
      </c>
      <c r="L444" s="640">
        <f>IFERROR(__xludf.DUMMYFUNCTION("""COMPUTED_VALUE"""),46002.0)</f>
        <v>46002</v>
      </c>
      <c r="M444" s="641">
        <f>IFERROR(__xludf.DUMMYFUNCTION("""COMPUTED_VALUE"""),46002.0)</f>
        <v>46002</v>
      </c>
      <c r="N444" s="539">
        <f>IFERROR(__xludf.DUMMYFUNCTION("""COMPUTED_VALUE"""),1650.0)</f>
        <v>1650</v>
      </c>
      <c r="O444" s="593">
        <f>IFERROR(__xludf.DUMMYFUNCTION("""COMPUTED_VALUE"""),1500.0)</f>
        <v>1500</v>
      </c>
      <c r="P444" s="594">
        <f>IFERROR(__xludf.DUMMYFUNCTION("""COMPUTED_VALUE"""),1000.0)</f>
        <v>1000</v>
      </c>
      <c r="Q444" s="183"/>
      <c r="R444" s="544"/>
      <c r="S444" s="544"/>
      <c r="T444" s="544"/>
      <c r="U444" s="544"/>
      <c r="V444" s="544"/>
      <c r="W444" s="544"/>
      <c r="X444" s="544"/>
      <c r="Y444" s="544"/>
      <c r="Z444" s="544"/>
      <c r="AA444" s="544"/>
      <c r="AB444" s="544"/>
      <c r="AC444" s="544"/>
      <c r="AD444" s="544"/>
      <c r="AE444" s="183"/>
      <c r="AF444" s="183"/>
      <c r="AG444" s="183"/>
      <c r="AH444" s="183"/>
      <c r="AI444" s="183"/>
      <c r="AJ444" s="183"/>
      <c r="AK444" s="183"/>
      <c r="AL444" s="183"/>
      <c r="AM444" s="183"/>
    </row>
    <row r="445">
      <c r="A445" s="531" t="str">
        <f>IFERROR(__xludf.DUMMYFUNCTION("""COMPUTED_VALUE"""),"サイズ")</f>
        <v>サイズ</v>
      </c>
      <c r="B445" s="531" t="str">
        <f>IFERROR(__xludf.DUMMYFUNCTION("""COMPUTED_VALUE"""),"スラックス / カジュアルパンツ")</f>
        <v>スラックス / カジュアルパンツ</v>
      </c>
      <c r="C445" s="660" t="str">
        <f>IFERROR(__xludf.DUMMYFUNCTION("""COMPUTED_VALUE"""),"すそ口巾")</f>
        <v>すそ口巾</v>
      </c>
      <c r="D445" s="533" t="str">
        <f>IFERROR(__xludf.DUMMYFUNCTION("""COMPUTED_VALUE"""),"シングル")</f>
        <v>シングル</v>
      </c>
      <c r="E445" s="533"/>
      <c r="F445" s="534" t="str">
        <f>IFERROR(__xludf.DUMMYFUNCTION("""COMPUTED_VALUE"""),"すそ口巾 / シングル")</f>
        <v>すそ口巾 / シングル</v>
      </c>
      <c r="G445" s="533" t="str">
        <f>IFERROR(__xludf.DUMMYFUNCTION("""COMPUTED_VALUE"""),"すそ口巾 / シングル")</f>
        <v>すそ口巾 / シングル</v>
      </c>
      <c r="H445" s="572" t="str">
        <f>IFERROR(__xludf.DUMMYFUNCTION("""COMPUTED_VALUE"""),"0.5")</f>
        <v>0.5</v>
      </c>
      <c r="I445" s="537"/>
      <c r="J445" s="538">
        <f>IFERROR(__xludf.DUMMYFUNCTION("""COMPUTED_VALUE"""),5.0)</f>
        <v>5</v>
      </c>
      <c r="K445" s="537">
        <f>IFERROR(__xludf.DUMMYFUNCTION("""COMPUTED_VALUE"""),45996.0)</f>
        <v>45996</v>
      </c>
      <c r="L445" s="640">
        <f>IFERROR(__xludf.DUMMYFUNCTION("""COMPUTED_VALUE"""),46002.0)</f>
        <v>46002</v>
      </c>
      <c r="M445" s="641">
        <f>IFERROR(__xludf.DUMMYFUNCTION("""COMPUTED_VALUE"""),46002.0)</f>
        <v>46002</v>
      </c>
      <c r="N445" s="539">
        <f>IFERROR(__xludf.DUMMYFUNCTION("""COMPUTED_VALUE"""),2810.0)</f>
        <v>2810</v>
      </c>
      <c r="O445" s="593">
        <f>IFERROR(__xludf.DUMMYFUNCTION("""COMPUTED_VALUE"""),2550.0)</f>
        <v>2550</v>
      </c>
      <c r="P445" s="594">
        <f>IFERROR(__xludf.DUMMYFUNCTION("""COMPUTED_VALUE"""),1600.0)</f>
        <v>1600</v>
      </c>
      <c r="Q445" s="183"/>
      <c r="R445" s="544" t="str">
        <f>IFERROR(__xludf.DUMMYFUNCTION("""COMPUTED_VALUE"""),"O列要確認")</f>
        <v>O列要確認</v>
      </c>
      <c r="S445" s="544"/>
      <c r="T445" s="544"/>
      <c r="U445" s="544"/>
      <c r="V445" s="544"/>
      <c r="W445" s="544"/>
      <c r="X445" s="544"/>
      <c r="Y445" s="544"/>
      <c r="Z445" s="544"/>
      <c r="AA445" s="544"/>
      <c r="AB445" s="544"/>
      <c r="AC445" s="544"/>
      <c r="AD445" s="544"/>
      <c r="AE445" s="183"/>
      <c r="AF445" s="183"/>
      <c r="AG445" s="183"/>
      <c r="AH445" s="183"/>
      <c r="AI445" s="183"/>
      <c r="AJ445" s="183"/>
      <c r="AK445" s="183"/>
      <c r="AL445" s="183"/>
      <c r="AM445" s="183"/>
    </row>
    <row r="446">
      <c r="A446" s="531" t="str">
        <f>IFERROR(__xludf.DUMMYFUNCTION("""COMPUTED_VALUE"""),"サイズ")</f>
        <v>サイズ</v>
      </c>
      <c r="B446" s="531" t="str">
        <f>IFERROR(__xludf.DUMMYFUNCTION("""COMPUTED_VALUE"""),"スラックス / カジュアルパンツ")</f>
        <v>スラックス / カジュアルパンツ</v>
      </c>
      <c r="C446" s="661" t="str">
        <f>IFERROR(__xludf.DUMMYFUNCTION("""COMPUTED_VALUE"""),"すそ口巾")</f>
        <v>すそ口巾</v>
      </c>
      <c r="D446" s="533" t="str">
        <f>IFERROR(__xludf.DUMMYFUNCTION("""COMPUTED_VALUE"""),"シングル")</f>
        <v>シングル</v>
      </c>
      <c r="E446" s="533"/>
      <c r="F446" s="534" t="str">
        <f>IFERROR(__xludf.DUMMYFUNCTION("""COMPUTED_VALUE"""),"すそ口巾 / シングル")</f>
        <v>すそ口巾 / シングル</v>
      </c>
      <c r="G446" s="533" t="str">
        <f>IFERROR(__xludf.DUMMYFUNCTION("""COMPUTED_VALUE"""),"すそ口巾 / シングル")</f>
        <v>すそ口巾 / シングル</v>
      </c>
      <c r="H446" s="572" t="str">
        <f>IFERROR(__xludf.DUMMYFUNCTION("""COMPUTED_VALUE"""),"1")</f>
        <v>1</v>
      </c>
      <c r="I446" s="537"/>
      <c r="J446" s="538">
        <f>IFERROR(__xludf.DUMMYFUNCTION("""COMPUTED_VALUE"""),5.0)</f>
        <v>5</v>
      </c>
      <c r="K446" s="537">
        <f>IFERROR(__xludf.DUMMYFUNCTION("""COMPUTED_VALUE"""),45996.0)</f>
        <v>45996</v>
      </c>
      <c r="L446" s="640">
        <f>IFERROR(__xludf.DUMMYFUNCTION("""COMPUTED_VALUE"""),46002.0)</f>
        <v>46002</v>
      </c>
      <c r="M446" s="641">
        <f>IFERROR(__xludf.DUMMYFUNCTION("""COMPUTED_VALUE"""),46002.0)</f>
        <v>46002</v>
      </c>
      <c r="N446" s="539">
        <f>IFERROR(__xludf.DUMMYFUNCTION("""COMPUTED_VALUE"""),2810.0)</f>
        <v>2810</v>
      </c>
      <c r="O446" s="593">
        <f>IFERROR(__xludf.DUMMYFUNCTION("""COMPUTED_VALUE"""),2550.0)</f>
        <v>2550</v>
      </c>
      <c r="P446" s="594">
        <f>IFERROR(__xludf.DUMMYFUNCTION("""COMPUTED_VALUE"""),1600.0)</f>
        <v>1600</v>
      </c>
      <c r="Q446" s="183"/>
      <c r="R446" s="544" t="str">
        <f>IFERROR(__xludf.DUMMYFUNCTION("""COMPUTED_VALUE"""),"O列要確認")</f>
        <v>O列要確認</v>
      </c>
      <c r="S446" s="544"/>
      <c r="T446" s="544"/>
      <c r="U446" s="544"/>
      <c r="V446" s="544"/>
      <c r="W446" s="544"/>
      <c r="X446" s="544"/>
      <c r="Y446" s="544"/>
      <c r="Z446" s="544"/>
      <c r="AA446" s="544"/>
      <c r="AB446" s="544"/>
      <c r="AC446" s="544"/>
      <c r="AD446" s="544"/>
      <c r="AE446" s="183"/>
      <c r="AF446" s="183"/>
      <c r="AG446" s="183"/>
      <c r="AH446" s="183"/>
      <c r="AI446" s="183"/>
      <c r="AJ446" s="183"/>
      <c r="AK446" s="183"/>
      <c r="AL446" s="183"/>
      <c r="AM446" s="183"/>
    </row>
    <row r="447" hidden="1">
      <c r="A447" s="531" t="str">
        <f>IFERROR(__xludf.DUMMYFUNCTION("""COMPUTED_VALUE"""),"サイズ")</f>
        <v>サイズ</v>
      </c>
      <c r="B447" s="531" t="str">
        <f>IFERROR(__xludf.DUMMYFUNCTION("""COMPUTED_VALUE"""),"スラックス / カジュアルパンツ")</f>
        <v>スラックス / カジュアルパンツ</v>
      </c>
      <c r="C447" s="662" t="str">
        <f>IFERROR(__xludf.DUMMYFUNCTION("""COMPUTED_VALUE"""),"すそ口巾")</f>
        <v>すそ口巾</v>
      </c>
      <c r="D447" s="533" t="str">
        <f>IFERROR(__xludf.DUMMYFUNCTION("""COMPUTED_VALUE"""),"シングル")</f>
        <v>シングル</v>
      </c>
      <c r="E447" s="533"/>
      <c r="F447" s="534" t="str">
        <f>IFERROR(__xludf.DUMMYFUNCTION("""COMPUTED_VALUE"""),"すそ口巾 / シングル")</f>
        <v>すそ口巾 / シングル</v>
      </c>
      <c r="G447" s="533" t="str">
        <f>IFERROR(__xludf.DUMMYFUNCTION("""COMPUTED_VALUE"""),"すそ口巾 / シングル")</f>
        <v>すそ口巾 / シングル</v>
      </c>
      <c r="H447" s="572" t="str">
        <f>IFERROR(__xludf.DUMMYFUNCTION("""COMPUTED_VALUE"""),"-2")</f>
        <v>-2</v>
      </c>
      <c r="I447" s="536"/>
      <c r="J447" s="538">
        <f>IFERROR(__xludf.DUMMYFUNCTION("""COMPUTED_VALUE"""),5.0)</f>
        <v>5</v>
      </c>
      <c r="K447" s="537">
        <f>IFERROR(__xludf.DUMMYFUNCTION("""COMPUTED_VALUE"""),45996.0)</f>
        <v>45996</v>
      </c>
      <c r="L447" s="640">
        <f>IFERROR(__xludf.DUMMYFUNCTION("""COMPUTED_VALUE"""),46002.0)</f>
        <v>46002</v>
      </c>
      <c r="M447" s="641">
        <f>IFERROR(__xludf.DUMMYFUNCTION("""COMPUTED_VALUE"""),46002.0)</f>
        <v>46002</v>
      </c>
      <c r="N447" s="539">
        <f>IFERROR(__xludf.DUMMYFUNCTION("""COMPUTED_VALUE"""),2810.0)</f>
        <v>2810</v>
      </c>
      <c r="O447" s="593">
        <f>IFERROR(__xludf.DUMMYFUNCTION("""COMPUTED_VALUE"""),2550.0)</f>
        <v>2550</v>
      </c>
      <c r="P447" s="594">
        <f>IFERROR(__xludf.DUMMYFUNCTION("""COMPUTED_VALUE"""),1600.0)</f>
        <v>1600</v>
      </c>
      <c r="Q447" s="183"/>
      <c r="R447" s="544" t="str">
        <f>IFERROR(__xludf.DUMMYFUNCTION("""COMPUTED_VALUE"""),"O列要確認")</f>
        <v>O列要確認</v>
      </c>
      <c r="S447" s="544"/>
      <c r="T447" s="544"/>
      <c r="U447" s="544"/>
      <c r="V447" s="544"/>
      <c r="W447" s="544"/>
      <c r="X447" s="544"/>
      <c r="Y447" s="544"/>
      <c r="Z447" s="544"/>
      <c r="AA447" s="544"/>
      <c r="AB447" s="544"/>
      <c r="AC447" s="544"/>
      <c r="AD447" s="544"/>
      <c r="AE447" s="183"/>
      <c r="AF447" s="183"/>
      <c r="AG447" s="183"/>
      <c r="AH447" s="183"/>
      <c r="AI447" s="183"/>
      <c r="AJ447" s="183"/>
      <c r="AK447" s="183"/>
      <c r="AL447" s="183"/>
      <c r="AM447" s="183"/>
    </row>
    <row r="448" hidden="1">
      <c r="A448" s="531" t="str">
        <f>IFERROR(__xludf.DUMMYFUNCTION("""COMPUTED_VALUE"""),"サイズ")</f>
        <v>サイズ</v>
      </c>
      <c r="B448" s="531" t="str">
        <f>IFERROR(__xludf.DUMMYFUNCTION("""COMPUTED_VALUE"""),"スラックス / カジュアルパンツ")</f>
        <v>スラックス / カジュアルパンツ</v>
      </c>
      <c r="C448" s="663" t="str">
        <f>IFERROR(__xludf.DUMMYFUNCTION("""COMPUTED_VALUE"""),"すそ口巾")</f>
        <v>すそ口巾</v>
      </c>
      <c r="D448" s="533" t="str">
        <f>IFERROR(__xludf.DUMMYFUNCTION("""COMPUTED_VALUE"""),"シングル")</f>
        <v>シングル</v>
      </c>
      <c r="E448" s="533"/>
      <c r="F448" s="534" t="str">
        <f>IFERROR(__xludf.DUMMYFUNCTION("""COMPUTED_VALUE"""),"すそ口巾 / シングル")</f>
        <v>すそ口巾 / シングル</v>
      </c>
      <c r="G448" s="533" t="str">
        <f>IFERROR(__xludf.DUMMYFUNCTION("""COMPUTED_VALUE"""),"すそ口巾 / シングル")</f>
        <v>すそ口巾 / シングル</v>
      </c>
      <c r="H448" s="572" t="str">
        <f>IFERROR(__xludf.DUMMYFUNCTION("""COMPUTED_VALUE"""),"-1.5")</f>
        <v>-1.5</v>
      </c>
      <c r="I448" s="536"/>
      <c r="J448" s="538">
        <f>IFERROR(__xludf.DUMMYFUNCTION("""COMPUTED_VALUE"""),5.0)</f>
        <v>5</v>
      </c>
      <c r="K448" s="537">
        <f>IFERROR(__xludf.DUMMYFUNCTION("""COMPUTED_VALUE"""),45996.0)</f>
        <v>45996</v>
      </c>
      <c r="L448" s="539">
        <f>IFERROR(__xludf.DUMMYFUNCTION("""COMPUTED_VALUE"""),46002.0)</f>
        <v>46002</v>
      </c>
      <c r="M448" s="664">
        <f>IFERROR(__xludf.DUMMYFUNCTION("""COMPUTED_VALUE"""),46002.0)</f>
        <v>46002</v>
      </c>
      <c r="N448" s="539">
        <f>IFERROR(__xludf.DUMMYFUNCTION("""COMPUTED_VALUE"""),2810.0)</f>
        <v>2810</v>
      </c>
      <c r="O448" s="593">
        <f>IFERROR(__xludf.DUMMYFUNCTION("""COMPUTED_VALUE"""),2550.0)</f>
        <v>2550</v>
      </c>
      <c r="P448" s="594">
        <f>IFERROR(__xludf.DUMMYFUNCTION("""COMPUTED_VALUE"""),1600.0)</f>
        <v>1600</v>
      </c>
      <c r="Q448" s="183"/>
      <c r="R448" s="544" t="str">
        <f>IFERROR(__xludf.DUMMYFUNCTION("""COMPUTED_VALUE"""),"O列要確認")</f>
        <v>O列要確認</v>
      </c>
      <c r="S448" s="544"/>
      <c r="T448" s="544"/>
      <c r="U448" s="544"/>
      <c r="V448" s="544"/>
      <c r="W448" s="544"/>
      <c r="X448" s="544"/>
      <c r="Y448" s="544"/>
      <c r="Z448" s="544"/>
      <c r="AA448" s="544"/>
      <c r="AB448" s="544"/>
      <c r="AC448" s="544"/>
      <c r="AD448" s="544"/>
      <c r="AE448" s="183"/>
      <c r="AF448" s="183"/>
      <c r="AG448" s="183"/>
      <c r="AH448" s="183"/>
      <c r="AI448" s="183"/>
      <c r="AJ448" s="183"/>
      <c r="AK448" s="183"/>
      <c r="AL448" s="183"/>
      <c r="AM448" s="183"/>
    </row>
    <row r="449" hidden="1">
      <c r="A449" s="531" t="str">
        <f>IFERROR(__xludf.DUMMYFUNCTION("""COMPUTED_VALUE"""),"サイズ")</f>
        <v>サイズ</v>
      </c>
      <c r="B449" s="531" t="str">
        <f>IFERROR(__xludf.DUMMYFUNCTION("""COMPUTED_VALUE"""),"スラックス / カジュアルパンツ")</f>
        <v>スラックス / カジュアルパンツ</v>
      </c>
      <c r="C449" s="531" t="str">
        <f>IFERROR(__xludf.DUMMYFUNCTION("""COMPUTED_VALUE"""),"すそ口巾")</f>
        <v>すそ口巾</v>
      </c>
      <c r="D449" s="533" t="str">
        <f>IFERROR(__xludf.DUMMYFUNCTION("""COMPUTED_VALUE"""),"シングル")</f>
        <v>シングル</v>
      </c>
      <c r="E449" s="533"/>
      <c r="F449" s="534" t="str">
        <f>IFERROR(__xludf.DUMMYFUNCTION("""COMPUTED_VALUE"""),"すそ口巾 / シングル")</f>
        <v>すそ口巾 / シングル</v>
      </c>
      <c r="G449" s="533" t="str">
        <f>IFERROR(__xludf.DUMMYFUNCTION("""COMPUTED_VALUE"""),"すそ口巾 / シングル")</f>
        <v>すそ口巾 / シングル</v>
      </c>
      <c r="H449" s="572" t="str">
        <f>IFERROR(__xludf.DUMMYFUNCTION("""COMPUTED_VALUE"""),"-1")</f>
        <v>-1</v>
      </c>
      <c r="I449" s="536"/>
      <c r="J449" s="538">
        <f>IFERROR(__xludf.DUMMYFUNCTION("""COMPUTED_VALUE"""),5.0)</f>
        <v>5</v>
      </c>
      <c r="K449" s="537">
        <f>IFERROR(__xludf.DUMMYFUNCTION("""COMPUTED_VALUE"""),45996.0)</f>
        <v>45996</v>
      </c>
      <c r="L449" s="539">
        <f>IFERROR(__xludf.DUMMYFUNCTION("""COMPUTED_VALUE"""),46002.0)</f>
        <v>46002</v>
      </c>
      <c r="M449" s="540">
        <f>IFERROR(__xludf.DUMMYFUNCTION("""COMPUTED_VALUE"""),46002.0)</f>
        <v>46002</v>
      </c>
      <c r="N449" s="539">
        <f>IFERROR(__xludf.DUMMYFUNCTION("""COMPUTED_VALUE"""),2810.0)</f>
        <v>2810</v>
      </c>
      <c r="O449" s="593">
        <f>IFERROR(__xludf.DUMMYFUNCTION("""COMPUTED_VALUE"""),2550.0)</f>
        <v>2550</v>
      </c>
      <c r="P449" s="594">
        <f>IFERROR(__xludf.DUMMYFUNCTION("""COMPUTED_VALUE"""),1600.0)</f>
        <v>1600</v>
      </c>
      <c r="Q449" s="183"/>
      <c r="R449" s="544" t="str">
        <f>IFERROR(__xludf.DUMMYFUNCTION("""COMPUTED_VALUE"""),"O列要確認")</f>
        <v>O列要確認</v>
      </c>
      <c r="S449" s="544"/>
      <c r="T449" s="544"/>
      <c r="U449" s="544"/>
      <c r="V449" s="544"/>
      <c r="W449" s="544"/>
      <c r="X449" s="544"/>
      <c r="Y449" s="544"/>
      <c r="Z449" s="544"/>
      <c r="AA449" s="544"/>
      <c r="AB449" s="544"/>
      <c r="AC449" s="544"/>
      <c r="AD449" s="544"/>
      <c r="AE449" s="183"/>
      <c r="AF449" s="183"/>
      <c r="AG449" s="183"/>
      <c r="AH449" s="183"/>
      <c r="AI449" s="183"/>
      <c r="AJ449" s="183"/>
      <c r="AK449" s="183"/>
      <c r="AL449" s="183"/>
      <c r="AM449" s="183"/>
    </row>
    <row r="450" hidden="1">
      <c r="A450" s="531" t="str">
        <f>IFERROR(__xludf.DUMMYFUNCTION("""COMPUTED_VALUE"""),"サイズ")</f>
        <v>サイズ</v>
      </c>
      <c r="B450" s="531" t="str">
        <f>IFERROR(__xludf.DUMMYFUNCTION("""COMPUTED_VALUE"""),"スラックス / カジュアルパンツ")</f>
        <v>スラックス / カジュアルパンツ</v>
      </c>
      <c r="C450" s="665" t="str">
        <f>IFERROR(__xludf.DUMMYFUNCTION("""COMPUTED_VALUE"""),"すそ口巾")</f>
        <v>すそ口巾</v>
      </c>
      <c r="D450" s="533" t="str">
        <f>IFERROR(__xludf.DUMMYFUNCTION("""COMPUTED_VALUE"""),"シングル")</f>
        <v>シングル</v>
      </c>
      <c r="E450" s="533"/>
      <c r="F450" s="534" t="str">
        <f>IFERROR(__xludf.DUMMYFUNCTION("""COMPUTED_VALUE"""),"すそ口巾 / シングル")</f>
        <v>すそ口巾 / シングル</v>
      </c>
      <c r="G450" s="533" t="str">
        <f>IFERROR(__xludf.DUMMYFUNCTION("""COMPUTED_VALUE"""),"すそ口巾 / シングル")</f>
        <v>すそ口巾 / シングル</v>
      </c>
      <c r="H450" s="572" t="str">
        <f>IFERROR(__xludf.DUMMYFUNCTION("""COMPUTED_VALUE"""),"-0.5")</f>
        <v>-0.5</v>
      </c>
      <c r="I450" s="536"/>
      <c r="J450" s="538">
        <f>IFERROR(__xludf.DUMMYFUNCTION("""COMPUTED_VALUE"""),5.0)</f>
        <v>5</v>
      </c>
      <c r="K450" s="537">
        <f>IFERROR(__xludf.DUMMYFUNCTION("""COMPUTED_VALUE"""),45996.0)</f>
        <v>45996</v>
      </c>
      <c r="L450" s="539">
        <f>IFERROR(__xludf.DUMMYFUNCTION("""COMPUTED_VALUE"""),46002.0)</f>
        <v>46002</v>
      </c>
      <c r="M450" s="540">
        <f>IFERROR(__xludf.DUMMYFUNCTION("""COMPUTED_VALUE"""),46002.0)</f>
        <v>46002</v>
      </c>
      <c r="N450" s="539">
        <f>IFERROR(__xludf.DUMMYFUNCTION("""COMPUTED_VALUE"""),2810.0)</f>
        <v>2810</v>
      </c>
      <c r="O450" s="593">
        <f>IFERROR(__xludf.DUMMYFUNCTION("""COMPUTED_VALUE"""),2550.0)</f>
        <v>2550</v>
      </c>
      <c r="P450" s="594">
        <f>IFERROR(__xludf.DUMMYFUNCTION("""COMPUTED_VALUE"""),1600.0)</f>
        <v>1600</v>
      </c>
      <c r="Q450" s="183"/>
      <c r="R450" s="544" t="str">
        <f>IFERROR(__xludf.DUMMYFUNCTION("""COMPUTED_VALUE"""),"O列要確認")</f>
        <v>O列要確認</v>
      </c>
      <c r="S450" s="544"/>
      <c r="T450" s="544"/>
      <c r="U450" s="544"/>
      <c r="V450" s="544"/>
      <c r="W450" s="544"/>
      <c r="X450" s="544"/>
      <c r="Y450" s="544"/>
      <c r="Z450" s="544"/>
      <c r="AA450" s="544"/>
      <c r="AB450" s="544"/>
      <c r="AC450" s="544"/>
      <c r="AD450" s="544"/>
      <c r="AE450" s="183"/>
      <c r="AF450" s="183"/>
      <c r="AG450" s="183"/>
      <c r="AH450" s="183"/>
      <c r="AI450" s="183"/>
      <c r="AJ450" s="183"/>
      <c r="AK450" s="183"/>
      <c r="AL450" s="183"/>
      <c r="AM450" s="183"/>
    </row>
    <row r="451" hidden="1">
      <c r="A451" s="531" t="str">
        <f>IFERROR(__xludf.DUMMYFUNCTION("""COMPUTED_VALUE"""),"サイズ")</f>
        <v>サイズ</v>
      </c>
      <c r="B451" s="531" t="str">
        <f>IFERROR(__xludf.DUMMYFUNCTION("""COMPUTED_VALUE"""),"スラックス / カジュアルパンツ")</f>
        <v>スラックス / カジュアルパンツ</v>
      </c>
      <c r="C451" s="661" t="str">
        <f>IFERROR(__xludf.DUMMYFUNCTION("""COMPUTED_VALUE"""),"すそ口巾")</f>
        <v>すそ口巾</v>
      </c>
      <c r="D451" s="533" t="str">
        <f>IFERROR(__xludf.DUMMYFUNCTION("""COMPUTED_VALUE"""),"シングル")</f>
        <v>シングル</v>
      </c>
      <c r="E451" s="533"/>
      <c r="F451" s="534" t="str">
        <f>IFERROR(__xludf.DUMMYFUNCTION("""COMPUTED_VALUE"""),"すそ口巾 / シングル")</f>
        <v>すそ口巾 / シングル</v>
      </c>
      <c r="G451" s="533" t="str">
        <f>IFERROR(__xludf.DUMMYFUNCTION("""COMPUTED_VALUE"""),"すそ口巾 / シングル")</f>
        <v>すそ口巾 / シングル</v>
      </c>
      <c r="H451" s="572" t="str">
        <f>IFERROR(__xludf.DUMMYFUNCTION("""COMPUTED_VALUE"""),"-2.5")</f>
        <v>-2.5</v>
      </c>
      <c r="I451" s="536"/>
      <c r="J451" s="538">
        <f>IFERROR(__xludf.DUMMYFUNCTION("""COMPUTED_VALUE"""),5.0)</f>
        <v>5</v>
      </c>
      <c r="K451" s="537">
        <f>IFERROR(__xludf.DUMMYFUNCTION("""COMPUTED_VALUE"""),45996.0)</f>
        <v>45996</v>
      </c>
      <c r="L451" s="539">
        <f>IFERROR(__xludf.DUMMYFUNCTION("""COMPUTED_VALUE"""),46002.0)</f>
        <v>46002</v>
      </c>
      <c r="M451" s="540">
        <f>IFERROR(__xludf.DUMMYFUNCTION("""COMPUTED_VALUE"""),46002.0)</f>
        <v>46002</v>
      </c>
      <c r="N451" s="539">
        <f>IFERROR(__xludf.DUMMYFUNCTION("""COMPUTED_VALUE"""),2810.0)</f>
        <v>2810</v>
      </c>
      <c r="O451" s="593">
        <f>IFERROR(__xludf.DUMMYFUNCTION("""COMPUTED_VALUE"""),2550.0)</f>
        <v>2550</v>
      </c>
      <c r="P451" s="594">
        <f>IFERROR(__xludf.DUMMYFUNCTION("""COMPUTED_VALUE"""),1600.0)</f>
        <v>1600</v>
      </c>
      <c r="Q451" s="183"/>
      <c r="R451" s="544" t="str">
        <f>IFERROR(__xludf.DUMMYFUNCTION("""COMPUTED_VALUE"""),"O列要確認")</f>
        <v>O列要確認</v>
      </c>
      <c r="S451" s="544"/>
      <c r="T451" s="544"/>
      <c r="U451" s="544"/>
      <c r="V451" s="544"/>
      <c r="W451" s="544"/>
      <c r="X451" s="544"/>
      <c r="Y451" s="544"/>
      <c r="Z451" s="544"/>
      <c r="AA451" s="544"/>
      <c r="AB451" s="544"/>
      <c r="AC451" s="544"/>
      <c r="AD451" s="544"/>
      <c r="AE451" s="183"/>
      <c r="AF451" s="183"/>
      <c r="AG451" s="183"/>
      <c r="AH451" s="183"/>
      <c r="AI451" s="183"/>
      <c r="AJ451" s="183"/>
      <c r="AK451" s="183"/>
      <c r="AL451" s="183"/>
      <c r="AM451" s="183"/>
    </row>
    <row r="452" hidden="1">
      <c r="A452" s="531" t="str">
        <f>IFERROR(__xludf.DUMMYFUNCTION("""COMPUTED_VALUE"""),"サイズ")</f>
        <v>サイズ</v>
      </c>
      <c r="B452" s="531" t="str">
        <f>IFERROR(__xludf.DUMMYFUNCTION("""COMPUTED_VALUE"""),"スラックス / カジュアルパンツ")</f>
        <v>スラックス / カジュアルパンツ</v>
      </c>
      <c r="C452" s="666" t="str">
        <f>IFERROR(__xludf.DUMMYFUNCTION("""COMPUTED_VALUE"""),"すそ口巾")</f>
        <v>すそ口巾</v>
      </c>
      <c r="D452" s="533" t="str">
        <f>IFERROR(__xludf.DUMMYFUNCTION("""COMPUTED_VALUE"""),"シングル")</f>
        <v>シングル</v>
      </c>
      <c r="E452" s="533"/>
      <c r="F452" s="534" t="str">
        <f>IFERROR(__xludf.DUMMYFUNCTION("""COMPUTED_VALUE"""),"すそ口巾 / シングル")</f>
        <v>すそ口巾 / シングル</v>
      </c>
      <c r="G452" s="533" t="str">
        <f>IFERROR(__xludf.DUMMYFUNCTION("""COMPUTED_VALUE"""),"すそ口巾 / シングル")</f>
        <v>すそ口巾 / シングル</v>
      </c>
      <c r="H452" s="572" t="str">
        <f>IFERROR(__xludf.DUMMYFUNCTION("""COMPUTED_VALUE"""),"-3")</f>
        <v>-3</v>
      </c>
      <c r="I452" s="536"/>
      <c r="J452" s="538">
        <f>IFERROR(__xludf.DUMMYFUNCTION("""COMPUTED_VALUE"""),5.0)</f>
        <v>5</v>
      </c>
      <c r="K452" s="537">
        <f>IFERROR(__xludf.DUMMYFUNCTION("""COMPUTED_VALUE"""),45996.0)</f>
        <v>45996</v>
      </c>
      <c r="L452" s="539">
        <f>IFERROR(__xludf.DUMMYFUNCTION("""COMPUTED_VALUE"""),46002.0)</f>
        <v>46002</v>
      </c>
      <c r="M452" s="540">
        <f>IFERROR(__xludf.DUMMYFUNCTION("""COMPUTED_VALUE"""),46002.0)</f>
        <v>46002</v>
      </c>
      <c r="N452" s="539">
        <f>IFERROR(__xludf.DUMMYFUNCTION("""COMPUTED_VALUE"""),2810.0)</f>
        <v>2810</v>
      </c>
      <c r="O452" s="593">
        <f>IFERROR(__xludf.DUMMYFUNCTION("""COMPUTED_VALUE"""),2550.0)</f>
        <v>2550</v>
      </c>
      <c r="P452" s="594">
        <f>IFERROR(__xludf.DUMMYFUNCTION("""COMPUTED_VALUE"""),1600.0)</f>
        <v>1600</v>
      </c>
      <c r="Q452" s="183"/>
      <c r="R452" s="544" t="str">
        <f>IFERROR(__xludf.DUMMYFUNCTION("""COMPUTED_VALUE"""),"O列要確認")</f>
        <v>O列要確認</v>
      </c>
      <c r="S452" s="544"/>
      <c r="T452" s="544"/>
      <c r="U452" s="544"/>
      <c r="V452" s="544"/>
      <c r="W452" s="544"/>
      <c r="X452" s="544"/>
      <c r="Y452" s="544"/>
      <c r="Z452" s="544"/>
      <c r="AA452" s="544"/>
      <c r="AB452" s="544"/>
      <c r="AC452" s="544"/>
      <c r="AD452" s="544"/>
      <c r="AE452" s="183"/>
      <c r="AF452" s="183"/>
      <c r="AG452" s="183"/>
      <c r="AH452" s="183"/>
      <c r="AI452" s="183"/>
      <c r="AJ452" s="183"/>
      <c r="AK452" s="183"/>
      <c r="AL452" s="183"/>
      <c r="AM452" s="183"/>
    </row>
    <row r="453" hidden="1">
      <c r="A453" s="531" t="str">
        <f>IFERROR(__xludf.DUMMYFUNCTION("""COMPUTED_VALUE"""),"サイズ")</f>
        <v>サイズ</v>
      </c>
      <c r="B453" s="531" t="str">
        <f>IFERROR(__xludf.DUMMYFUNCTION("""COMPUTED_VALUE"""),"スラックス / カジュアルパンツ")</f>
        <v>スラックス / カジュアルパンツ</v>
      </c>
      <c r="C453" s="665" t="str">
        <f>IFERROR(__xludf.DUMMYFUNCTION("""COMPUTED_VALUE"""),"すそ口巾")</f>
        <v>すそ口巾</v>
      </c>
      <c r="D453" s="533" t="str">
        <f>IFERROR(__xludf.DUMMYFUNCTION("""COMPUTED_VALUE"""),"シングル")</f>
        <v>シングル</v>
      </c>
      <c r="E453" s="533"/>
      <c r="F453" s="534" t="str">
        <f>IFERROR(__xludf.DUMMYFUNCTION("""COMPUTED_VALUE"""),"すそ口巾 / シングル")</f>
        <v>すそ口巾 / シングル</v>
      </c>
      <c r="G453" s="533" t="str">
        <f>IFERROR(__xludf.DUMMYFUNCTION("""COMPUTED_VALUE"""),"すそ口巾 / シングル")</f>
        <v>すそ口巾 / シングル</v>
      </c>
      <c r="H453" s="572" t="str">
        <f>IFERROR(__xludf.DUMMYFUNCTION("""COMPUTED_VALUE"""),"-3.5")</f>
        <v>-3.5</v>
      </c>
      <c r="I453" s="537"/>
      <c r="J453" s="538">
        <f>IFERROR(__xludf.DUMMYFUNCTION("""COMPUTED_VALUE"""),5.0)</f>
        <v>5</v>
      </c>
      <c r="K453" s="537">
        <f>IFERROR(__xludf.DUMMYFUNCTION("""COMPUTED_VALUE"""),45996.0)</f>
        <v>45996</v>
      </c>
      <c r="L453" s="539">
        <f>IFERROR(__xludf.DUMMYFUNCTION("""COMPUTED_VALUE"""),46002.0)</f>
        <v>46002</v>
      </c>
      <c r="M453" s="540">
        <f>IFERROR(__xludf.DUMMYFUNCTION("""COMPUTED_VALUE"""),46002.0)</f>
        <v>46002</v>
      </c>
      <c r="N453" s="539">
        <f>IFERROR(__xludf.DUMMYFUNCTION("""COMPUTED_VALUE"""),2810.0)</f>
        <v>2810</v>
      </c>
      <c r="O453" s="593">
        <f>IFERROR(__xludf.DUMMYFUNCTION("""COMPUTED_VALUE"""),2550.0)</f>
        <v>2550</v>
      </c>
      <c r="P453" s="594">
        <f>IFERROR(__xludf.DUMMYFUNCTION("""COMPUTED_VALUE"""),1600.0)</f>
        <v>1600</v>
      </c>
      <c r="Q453" s="183"/>
      <c r="R453" s="544" t="str">
        <f>IFERROR(__xludf.DUMMYFUNCTION("""COMPUTED_VALUE"""),"O列要確認")</f>
        <v>O列要確認</v>
      </c>
      <c r="S453" s="544"/>
      <c r="T453" s="544"/>
      <c r="U453" s="544"/>
      <c r="V453" s="544"/>
      <c r="W453" s="544"/>
      <c r="X453" s="544"/>
      <c r="Y453" s="544"/>
      <c r="Z453" s="544"/>
      <c r="AA453" s="544"/>
      <c r="AB453" s="544"/>
      <c r="AC453" s="544"/>
      <c r="AD453" s="544"/>
      <c r="AE453" s="183"/>
      <c r="AF453" s="183"/>
      <c r="AG453" s="183"/>
      <c r="AH453" s="183"/>
      <c r="AI453" s="183"/>
      <c r="AJ453" s="183"/>
      <c r="AK453" s="183"/>
      <c r="AL453" s="183"/>
      <c r="AM453" s="183"/>
    </row>
    <row r="454" hidden="1">
      <c r="A454" s="531" t="str">
        <f>IFERROR(__xludf.DUMMYFUNCTION("""COMPUTED_VALUE"""),"サイズ")</f>
        <v>サイズ</v>
      </c>
      <c r="B454" s="531" t="str">
        <f>IFERROR(__xludf.DUMMYFUNCTION("""COMPUTED_VALUE"""),"スラックス / カジュアルパンツ")</f>
        <v>スラックス / カジュアルパンツ</v>
      </c>
      <c r="C454" s="531" t="str">
        <f>IFERROR(__xludf.DUMMYFUNCTION("""COMPUTED_VALUE"""),"すそ口巾")</f>
        <v>すそ口巾</v>
      </c>
      <c r="D454" s="533" t="str">
        <f>IFERROR(__xludf.DUMMYFUNCTION("""COMPUTED_VALUE"""),"シングル")</f>
        <v>シングル</v>
      </c>
      <c r="E454" s="533"/>
      <c r="F454" s="534" t="str">
        <f>IFERROR(__xludf.DUMMYFUNCTION("""COMPUTED_VALUE"""),"すそ口巾 / シングル")</f>
        <v>すそ口巾 / シングル</v>
      </c>
      <c r="G454" s="533" t="str">
        <f>IFERROR(__xludf.DUMMYFUNCTION("""COMPUTED_VALUE"""),"すそ口巾 / シングル")</f>
        <v>すそ口巾 / シングル</v>
      </c>
      <c r="H454" s="572" t="str">
        <f>IFERROR(__xludf.DUMMYFUNCTION("""COMPUTED_VALUE"""),"-4")</f>
        <v>-4</v>
      </c>
      <c r="I454" s="537"/>
      <c r="J454" s="538">
        <f>IFERROR(__xludf.DUMMYFUNCTION("""COMPUTED_VALUE"""),5.0)</f>
        <v>5</v>
      </c>
      <c r="K454" s="537">
        <f>IFERROR(__xludf.DUMMYFUNCTION("""COMPUTED_VALUE"""),45996.0)</f>
        <v>45996</v>
      </c>
      <c r="L454" s="539">
        <f>IFERROR(__xludf.DUMMYFUNCTION("""COMPUTED_VALUE"""),46002.0)</f>
        <v>46002</v>
      </c>
      <c r="M454" s="540">
        <f>IFERROR(__xludf.DUMMYFUNCTION("""COMPUTED_VALUE"""),46002.0)</f>
        <v>46002</v>
      </c>
      <c r="N454" s="539">
        <f>IFERROR(__xludf.DUMMYFUNCTION("""COMPUTED_VALUE"""),2810.0)</f>
        <v>2810</v>
      </c>
      <c r="O454" s="593">
        <f>IFERROR(__xludf.DUMMYFUNCTION("""COMPUTED_VALUE"""),2550.0)</f>
        <v>2550</v>
      </c>
      <c r="P454" s="594">
        <f>IFERROR(__xludf.DUMMYFUNCTION("""COMPUTED_VALUE"""),1600.0)</f>
        <v>1600</v>
      </c>
      <c r="Q454" s="183"/>
      <c r="R454" s="544" t="str">
        <f>IFERROR(__xludf.DUMMYFUNCTION("""COMPUTED_VALUE"""),"O列要確認")</f>
        <v>O列要確認</v>
      </c>
      <c r="S454" s="544"/>
      <c r="T454" s="544"/>
      <c r="U454" s="544"/>
      <c r="V454" s="544"/>
      <c r="W454" s="544"/>
      <c r="X454" s="544"/>
      <c r="Y454" s="544"/>
      <c r="Z454" s="544"/>
      <c r="AA454" s="544"/>
      <c r="AB454" s="544"/>
      <c r="AC454" s="544"/>
      <c r="AD454" s="544"/>
      <c r="AE454" s="183"/>
      <c r="AF454" s="183"/>
      <c r="AG454" s="183"/>
      <c r="AH454" s="183"/>
      <c r="AI454" s="183"/>
      <c r="AJ454" s="183"/>
      <c r="AK454" s="183"/>
      <c r="AL454" s="183"/>
      <c r="AM454" s="183"/>
    </row>
    <row r="455" hidden="1">
      <c r="A455" s="531" t="str">
        <f>IFERROR(__xludf.DUMMYFUNCTION("""COMPUTED_VALUE"""),"サイズ")</f>
        <v>サイズ</v>
      </c>
      <c r="B455" s="531" t="str">
        <f>IFERROR(__xludf.DUMMYFUNCTION("""COMPUTED_VALUE"""),"スラックス / カジュアルパンツ")</f>
        <v>スラックス / カジュアルパンツ</v>
      </c>
      <c r="C455" s="531" t="str">
        <f>IFERROR(__xludf.DUMMYFUNCTION("""COMPUTED_VALUE"""),"すそ口巾")</f>
        <v>すそ口巾</v>
      </c>
      <c r="D455" s="533" t="str">
        <f>IFERROR(__xludf.DUMMYFUNCTION("""COMPUTED_VALUE"""),"ダブル")</f>
        <v>ダブル</v>
      </c>
      <c r="E455" s="533"/>
      <c r="F455" s="534" t="str">
        <f>IFERROR(__xludf.DUMMYFUNCTION("""COMPUTED_VALUE"""),"すそ口巾 / ダブル")</f>
        <v>すそ口巾 / ダブル</v>
      </c>
      <c r="G455" s="533" t="str">
        <f>IFERROR(__xludf.DUMMYFUNCTION("""COMPUTED_VALUE"""),"すそ口巾 / ダブル")</f>
        <v>すそ口巾 / ダブル</v>
      </c>
      <c r="H455" s="572" t="str">
        <f>IFERROR(__xludf.DUMMYFUNCTION("""COMPUTED_VALUE"""),"0.5")</f>
        <v>0.5</v>
      </c>
      <c r="I455" s="536"/>
      <c r="J455" s="538">
        <f>IFERROR(__xludf.DUMMYFUNCTION("""COMPUTED_VALUE"""),5.0)</f>
        <v>5</v>
      </c>
      <c r="K455" s="537">
        <f>IFERROR(__xludf.DUMMYFUNCTION("""COMPUTED_VALUE"""),45996.0)</f>
        <v>45996</v>
      </c>
      <c r="L455" s="539">
        <f>IFERROR(__xludf.DUMMYFUNCTION("""COMPUTED_VALUE"""),46002.0)</f>
        <v>46002</v>
      </c>
      <c r="M455" s="540">
        <f>IFERROR(__xludf.DUMMYFUNCTION("""COMPUTED_VALUE"""),46002.0)</f>
        <v>46002</v>
      </c>
      <c r="N455" s="539">
        <f>IFERROR(__xludf.DUMMYFUNCTION("""COMPUTED_VALUE"""),2810.0)</f>
        <v>2810</v>
      </c>
      <c r="O455" s="593">
        <f>IFERROR(__xludf.DUMMYFUNCTION("""COMPUTED_VALUE"""),2550.0)</f>
        <v>2550</v>
      </c>
      <c r="P455" s="594">
        <f>IFERROR(__xludf.DUMMYFUNCTION("""COMPUTED_VALUE"""),1700.0)</f>
        <v>1700</v>
      </c>
      <c r="Q455" s="183"/>
      <c r="R455" s="544" t="str">
        <f>IFERROR(__xludf.DUMMYFUNCTION("""COMPUTED_VALUE"""),"O列要確認")</f>
        <v>O列要確認</v>
      </c>
      <c r="S455" s="544"/>
      <c r="T455" s="544"/>
      <c r="U455" s="544"/>
      <c r="V455" s="544"/>
      <c r="W455" s="544"/>
      <c r="X455" s="544"/>
      <c r="Y455" s="544"/>
      <c r="Z455" s="544"/>
      <c r="AA455" s="544"/>
      <c r="AB455" s="544"/>
      <c r="AC455" s="544"/>
      <c r="AD455" s="544"/>
      <c r="AE455" s="183"/>
      <c r="AF455" s="183"/>
      <c r="AG455" s="183"/>
      <c r="AH455" s="183"/>
      <c r="AI455" s="183"/>
      <c r="AJ455" s="183"/>
      <c r="AK455" s="183"/>
      <c r="AL455" s="183"/>
      <c r="AM455" s="183"/>
    </row>
    <row r="456" hidden="1">
      <c r="A456" s="531" t="str">
        <f>IFERROR(__xludf.DUMMYFUNCTION("""COMPUTED_VALUE"""),"サイズ")</f>
        <v>サイズ</v>
      </c>
      <c r="B456" s="531" t="str">
        <f>IFERROR(__xludf.DUMMYFUNCTION("""COMPUTED_VALUE"""),"スラックス / カジュアルパンツ")</f>
        <v>スラックス / カジュアルパンツ</v>
      </c>
      <c r="C456" s="531" t="str">
        <f>IFERROR(__xludf.DUMMYFUNCTION("""COMPUTED_VALUE"""),"すそ口巾")</f>
        <v>すそ口巾</v>
      </c>
      <c r="D456" s="533" t="str">
        <f>IFERROR(__xludf.DUMMYFUNCTION("""COMPUTED_VALUE"""),"ダブル")</f>
        <v>ダブル</v>
      </c>
      <c r="E456" s="533"/>
      <c r="F456" s="534" t="str">
        <f>IFERROR(__xludf.DUMMYFUNCTION("""COMPUTED_VALUE"""),"すそ口巾 / ダブル")</f>
        <v>すそ口巾 / ダブル</v>
      </c>
      <c r="G456" s="533" t="str">
        <f>IFERROR(__xludf.DUMMYFUNCTION("""COMPUTED_VALUE"""),"すそ口巾 / ダブル")</f>
        <v>すそ口巾 / ダブル</v>
      </c>
      <c r="H456" s="572" t="str">
        <f>IFERROR(__xludf.DUMMYFUNCTION("""COMPUTED_VALUE"""),"1")</f>
        <v>1</v>
      </c>
      <c r="I456" s="536"/>
      <c r="J456" s="538">
        <f>IFERROR(__xludf.DUMMYFUNCTION("""COMPUTED_VALUE"""),5.0)</f>
        <v>5</v>
      </c>
      <c r="K456" s="537">
        <f>IFERROR(__xludf.DUMMYFUNCTION("""COMPUTED_VALUE"""),45996.0)</f>
        <v>45996</v>
      </c>
      <c r="L456" s="539">
        <f>IFERROR(__xludf.DUMMYFUNCTION("""COMPUTED_VALUE"""),46002.0)</f>
        <v>46002</v>
      </c>
      <c r="M456" s="540">
        <f>IFERROR(__xludf.DUMMYFUNCTION("""COMPUTED_VALUE"""),46002.0)</f>
        <v>46002</v>
      </c>
      <c r="N456" s="539">
        <f>IFERROR(__xludf.DUMMYFUNCTION("""COMPUTED_VALUE"""),2810.0)</f>
        <v>2810</v>
      </c>
      <c r="O456" s="593">
        <f>IFERROR(__xludf.DUMMYFUNCTION("""COMPUTED_VALUE"""),2550.0)</f>
        <v>2550</v>
      </c>
      <c r="P456" s="594">
        <f>IFERROR(__xludf.DUMMYFUNCTION("""COMPUTED_VALUE"""),1700.0)</f>
        <v>1700</v>
      </c>
      <c r="Q456" s="183"/>
      <c r="R456" s="544" t="str">
        <f>IFERROR(__xludf.DUMMYFUNCTION("""COMPUTED_VALUE"""),"O列要確認")</f>
        <v>O列要確認</v>
      </c>
      <c r="S456" s="544"/>
      <c r="T456" s="544"/>
      <c r="U456" s="544"/>
      <c r="V456" s="544"/>
      <c r="W456" s="544"/>
      <c r="X456" s="544"/>
      <c r="Y456" s="544"/>
      <c r="Z456" s="544"/>
      <c r="AA456" s="544"/>
      <c r="AB456" s="544"/>
      <c r="AC456" s="544"/>
      <c r="AD456" s="544"/>
      <c r="AE456" s="183"/>
      <c r="AF456" s="183"/>
      <c r="AG456" s="183"/>
      <c r="AH456" s="183"/>
      <c r="AI456" s="183"/>
      <c r="AJ456" s="183"/>
      <c r="AK456" s="183"/>
      <c r="AL456" s="183"/>
      <c r="AM456" s="183"/>
    </row>
    <row r="457" hidden="1">
      <c r="A457" s="531" t="str">
        <f>IFERROR(__xludf.DUMMYFUNCTION("""COMPUTED_VALUE"""),"サイズ")</f>
        <v>サイズ</v>
      </c>
      <c r="B457" s="531" t="str">
        <f>IFERROR(__xludf.DUMMYFUNCTION("""COMPUTED_VALUE"""),"スラックス / カジュアルパンツ")</f>
        <v>スラックス / カジュアルパンツ</v>
      </c>
      <c r="C457" s="531" t="str">
        <f>IFERROR(__xludf.DUMMYFUNCTION("""COMPUTED_VALUE"""),"すそ口巾")</f>
        <v>すそ口巾</v>
      </c>
      <c r="D457" s="533" t="str">
        <f>IFERROR(__xludf.DUMMYFUNCTION("""COMPUTED_VALUE"""),"ダブル")</f>
        <v>ダブル</v>
      </c>
      <c r="E457" s="533"/>
      <c r="F457" s="534" t="str">
        <f>IFERROR(__xludf.DUMMYFUNCTION("""COMPUTED_VALUE"""),"すそ口巾 / ダブル")</f>
        <v>すそ口巾 / ダブル</v>
      </c>
      <c r="G457" s="533" t="str">
        <f>IFERROR(__xludf.DUMMYFUNCTION("""COMPUTED_VALUE"""),"すそ口巾 / ダブル")</f>
        <v>すそ口巾 / ダブル</v>
      </c>
      <c r="H457" s="572" t="str">
        <f>IFERROR(__xludf.DUMMYFUNCTION("""COMPUTED_VALUE"""),"-2")</f>
        <v>-2</v>
      </c>
      <c r="I457" s="536"/>
      <c r="J457" s="538">
        <f>IFERROR(__xludf.DUMMYFUNCTION("""COMPUTED_VALUE"""),5.0)</f>
        <v>5</v>
      </c>
      <c r="K457" s="537">
        <f>IFERROR(__xludf.DUMMYFUNCTION("""COMPUTED_VALUE"""),45996.0)</f>
        <v>45996</v>
      </c>
      <c r="L457" s="539">
        <f>IFERROR(__xludf.DUMMYFUNCTION("""COMPUTED_VALUE"""),46002.0)</f>
        <v>46002</v>
      </c>
      <c r="M457" s="540">
        <f>IFERROR(__xludf.DUMMYFUNCTION("""COMPUTED_VALUE"""),46002.0)</f>
        <v>46002</v>
      </c>
      <c r="N457" s="539">
        <f>IFERROR(__xludf.DUMMYFUNCTION("""COMPUTED_VALUE"""),2810.0)</f>
        <v>2810</v>
      </c>
      <c r="O457" s="593">
        <f>IFERROR(__xludf.DUMMYFUNCTION("""COMPUTED_VALUE"""),2550.0)</f>
        <v>2550</v>
      </c>
      <c r="P457" s="594">
        <f>IFERROR(__xludf.DUMMYFUNCTION("""COMPUTED_VALUE"""),1700.0)</f>
        <v>1700</v>
      </c>
      <c r="Q457" s="183"/>
      <c r="R457" s="544" t="str">
        <f>IFERROR(__xludf.DUMMYFUNCTION("""COMPUTED_VALUE"""),"O列要確認")</f>
        <v>O列要確認</v>
      </c>
      <c r="S457" s="544"/>
      <c r="T457" s="544"/>
      <c r="U457" s="544"/>
      <c r="V457" s="544"/>
      <c r="W457" s="544"/>
      <c r="X457" s="544"/>
      <c r="Y457" s="544"/>
      <c r="Z457" s="544"/>
      <c r="AA457" s="544"/>
      <c r="AB457" s="544"/>
      <c r="AC457" s="544"/>
      <c r="AD457" s="544"/>
      <c r="AE457" s="183"/>
      <c r="AF457" s="183"/>
      <c r="AG457" s="183"/>
      <c r="AH457" s="183"/>
      <c r="AI457" s="183"/>
      <c r="AJ457" s="183"/>
      <c r="AK457" s="183"/>
      <c r="AL457" s="183"/>
      <c r="AM457" s="183"/>
    </row>
    <row r="458" hidden="1">
      <c r="A458" s="531" t="str">
        <f>IFERROR(__xludf.DUMMYFUNCTION("""COMPUTED_VALUE"""),"サイズ")</f>
        <v>サイズ</v>
      </c>
      <c r="B458" s="531" t="str">
        <f>IFERROR(__xludf.DUMMYFUNCTION("""COMPUTED_VALUE"""),"スラックス / カジュアルパンツ")</f>
        <v>スラックス / カジュアルパンツ</v>
      </c>
      <c r="C458" s="531" t="str">
        <f>IFERROR(__xludf.DUMMYFUNCTION("""COMPUTED_VALUE"""),"すそ口巾")</f>
        <v>すそ口巾</v>
      </c>
      <c r="D458" s="533" t="str">
        <f>IFERROR(__xludf.DUMMYFUNCTION("""COMPUTED_VALUE"""),"ダブル")</f>
        <v>ダブル</v>
      </c>
      <c r="E458" s="533"/>
      <c r="F458" s="534" t="str">
        <f>IFERROR(__xludf.DUMMYFUNCTION("""COMPUTED_VALUE"""),"すそ口巾 / ダブル")</f>
        <v>すそ口巾 / ダブル</v>
      </c>
      <c r="G458" s="533" t="str">
        <f>IFERROR(__xludf.DUMMYFUNCTION("""COMPUTED_VALUE"""),"すそ口巾 / ダブル")</f>
        <v>すそ口巾 / ダブル</v>
      </c>
      <c r="H458" s="572" t="str">
        <f>IFERROR(__xludf.DUMMYFUNCTION("""COMPUTED_VALUE"""),"-1.5")</f>
        <v>-1.5</v>
      </c>
      <c r="I458" s="536"/>
      <c r="J458" s="538">
        <f>IFERROR(__xludf.DUMMYFUNCTION("""COMPUTED_VALUE"""),5.0)</f>
        <v>5</v>
      </c>
      <c r="K458" s="537">
        <f>IFERROR(__xludf.DUMMYFUNCTION("""COMPUTED_VALUE"""),45996.0)</f>
        <v>45996</v>
      </c>
      <c r="L458" s="539">
        <f>IFERROR(__xludf.DUMMYFUNCTION("""COMPUTED_VALUE"""),46002.0)</f>
        <v>46002</v>
      </c>
      <c r="M458" s="540">
        <f>IFERROR(__xludf.DUMMYFUNCTION("""COMPUTED_VALUE"""),46002.0)</f>
        <v>46002</v>
      </c>
      <c r="N458" s="539">
        <f>IFERROR(__xludf.DUMMYFUNCTION("""COMPUTED_VALUE"""),2810.0)</f>
        <v>2810</v>
      </c>
      <c r="O458" s="593">
        <f>IFERROR(__xludf.DUMMYFUNCTION("""COMPUTED_VALUE"""),2550.0)</f>
        <v>2550</v>
      </c>
      <c r="P458" s="594">
        <f>IFERROR(__xludf.DUMMYFUNCTION("""COMPUTED_VALUE"""),1700.0)</f>
        <v>1700</v>
      </c>
      <c r="Q458" s="183"/>
      <c r="R458" s="544" t="str">
        <f>IFERROR(__xludf.DUMMYFUNCTION("""COMPUTED_VALUE"""),"O列要確認")</f>
        <v>O列要確認</v>
      </c>
      <c r="S458" s="544"/>
      <c r="T458" s="544"/>
      <c r="U458" s="544"/>
      <c r="V458" s="544"/>
      <c r="W458" s="544"/>
      <c r="X458" s="544"/>
      <c r="Y458" s="544"/>
      <c r="Z458" s="544"/>
      <c r="AA458" s="544"/>
      <c r="AB458" s="544"/>
      <c r="AC458" s="544"/>
      <c r="AD458" s="544"/>
      <c r="AE458" s="183"/>
      <c r="AF458" s="183"/>
      <c r="AG458" s="183"/>
      <c r="AH458" s="183"/>
      <c r="AI458" s="183"/>
      <c r="AJ458" s="183"/>
      <c r="AK458" s="183"/>
      <c r="AL458" s="183"/>
      <c r="AM458" s="183"/>
    </row>
    <row r="459" hidden="1">
      <c r="A459" s="531" t="str">
        <f>IFERROR(__xludf.DUMMYFUNCTION("""COMPUTED_VALUE"""),"サイズ")</f>
        <v>サイズ</v>
      </c>
      <c r="B459" s="531" t="str">
        <f>IFERROR(__xludf.DUMMYFUNCTION("""COMPUTED_VALUE"""),"スラックス / カジュアルパンツ")</f>
        <v>スラックス / カジュアルパンツ</v>
      </c>
      <c r="C459" s="531" t="str">
        <f>IFERROR(__xludf.DUMMYFUNCTION("""COMPUTED_VALUE"""),"すそ口巾")</f>
        <v>すそ口巾</v>
      </c>
      <c r="D459" s="533" t="str">
        <f>IFERROR(__xludf.DUMMYFUNCTION("""COMPUTED_VALUE"""),"ダブル")</f>
        <v>ダブル</v>
      </c>
      <c r="E459" s="533"/>
      <c r="F459" s="534" t="str">
        <f>IFERROR(__xludf.DUMMYFUNCTION("""COMPUTED_VALUE"""),"すそ口巾 / ダブル")</f>
        <v>すそ口巾 / ダブル</v>
      </c>
      <c r="G459" s="533" t="str">
        <f>IFERROR(__xludf.DUMMYFUNCTION("""COMPUTED_VALUE"""),"すそ口巾 / ダブル")</f>
        <v>すそ口巾 / ダブル</v>
      </c>
      <c r="H459" s="572" t="str">
        <f>IFERROR(__xludf.DUMMYFUNCTION("""COMPUTED_VALUE"""),"-1")</f>
        <v>-1</v>
      </c>
      <c r="I459" s="536"/>
      <c r="J459" s="538">
        <f>IFERROR(__xludf.DUMMYFUNCTION("""COMPUTED_VALUE"""),5.0)</f>
        <v>5</v>
      </c>
      <c r="K459" s="537">
        <f>IFERROR(__xludf.DUMMYFUNCTION("""COMPUTED_VALUE"""),45996.0)</f>
        <v>45996</v>
      </c>
      <c r="L459" s="539">
        <f>IFERROR(__xludf.DUMMYFUNCTION("""COMPUTED_VALUE"""),46002.0)</f>
        <v>46002</v>
      </c>
      <c r="M459" s="540">
        <f>IFERROR(__xludf.DUMMYFUNCTION("""COMPUTED_VALUE"""),46002.0)</f>
        <v>46002</v>
      </c>
      <c r="N459" s="539">
        <f>IFERROR(__xludf.DUMMYFUNCTION("""COMPUTED_VALUE"""),2810.0)</f>
        <v>2810</v>
      </c>
      <c r="O459" s="593">
        <f>IFERROR(__xludf.DUMMYFUNCTION("""COMPUTED_VALUE"""),2550.0)</f>
        <v>2550</v>
      </c>
      <c r="P459" s="594">
        <f>IFERROR(__xludf.DUMMYFUNCTION("""COMPUTED_VALUE"""),1700.0)</f>
        <v>1700</v>
      </c>
      <c r="Q459" s="183"/>
      <c r="R459" s="544" t="str">
        <f>IFERROR(__xludf.DUMMYFUNCTION("""COMPUTED_VALUE"""),"O列要確認")</f>
        <v>O列要確認</v>
      </c>
      <c r="S459" s="544"/>
      <c r="T459" s="544"/>
      <c r="U459" s="544"/>
      <c r="V459" s="544"/>
      <c r="W459" s="544"/>
      <c r="X459" s="544"/>
      <c r="Y459" s="544"/>
      <c r="Z459" s="544"/>
      <c r="AA459" s="544"/>
      <c r="AB459" s="544"/>
      <c r="AC459" s="544"/>
      <c r="AD459" s="544"/>
      <c r="AE459" s="183"/>
      <c r="AF459" s="183"/>
      <c r="AG459" s="183"/>
      <c r="AH459" s="183"/>
      <c r="AI459" s="183"/>
      <c r="AJ459" s="183"/>
      <c r="AK459" s="183"/>
      <c r="AL459" s="183"/>
      <c r="AM459" s="183"/>
    </row>
    <row r="460" hidden="1">
      <c r="A460" s="531" t="str">
        <f>IFERROR(__xludf.DUMMYFUNCTION("""COMPUTED_VALUE"""),"サイズ")</f>
        <v>サイズ</v>
      </c>
      <c r="B460" s="531" t="str">
        <f>IFERROR(__xludf.DUMMYFUNCTION("""COMPUTED_VALUE"""),"スラックス / カジュアルパンツ")</f>
        <v>スラックス / カジュアルパンツ</v>
      </c>
      <c r="C460" s="531" t="str">
        <f>IFERROR(__xludf.DUMMYFUNCTION("""COMPUTED_VALUE"""),"すそ口巾")</f>
        <v>すそ口巾</v>
      </c>
      <c r="D460" s="533" t="str">
        <f>IFERROR(__xludf.DUMMYFUNCTION("""COMPUTED_VALUE"""),"ダブル")</f>
        <v>ダブル</v>
      </c>
      <c r="E460" s="533"/>
      <c r="F460" s="534" t="str">
        <f>IFERROR(__xludf.DUMMYFUNCTION("""COMPUTED_VALUE"""),"すそ口巾 / ダブル")</f>
        <v>すそ口巾 / ダブル</v>
      </c>
      <c r="G460" s="533" t="str">
        <f>IFERROR(__xludf.DUMMYFUNCTION("""COMPUTED_VALUE"""),"すそ口巾 / ダブル")</f>
        <v>すそ口巾 / ダブル</v>
      </c>
      <c r="H460" s="572" t="str">
        <f>IFERROR(__xludf.DUMMYFUNCTION("""COMPUTED_VALUE"""),"-0.5")</f>
        <v>-0.5</v>
      </c>
      <c r="I460" s="537"/>
      <c r="J460" s="538">
        <f>IFERROR(__xludf.DUMMYFUNCTION("""COMPUTED_VALUE"""),5.0)</f>
        <v>5</v>
      </c>
      <c r="K460" s="537">
        <f>IFERROR(__xludf.DUMMYFUNCTION("""COMPUTED_VALUE"""),45996.0)</f>
        <v>45996</v>
      </c>
      <c r="L460" s="539">
        <f>IFERROR(__xludf.DUMMYFUNCTION("""COMPUTED_VALUE"""),46002.0)</f>
        <v>46002</v>
      </c>
      <c r="M460" s="540">
        <f>IFERROR(__xludf.DUMMYFUNCTION("""COMPUTED_VALUE"""),46002.0)</f>
        <v>46002</v>
      </c>
      <c r="N460" s="539">
        <f>IFERROR(__xludf.DUMMYFUNCTION("""COMPUTED_VALUE"""),2810.0)</f>
        <v>2810</v>
      </c>
      <c r="O460" s="593">
        <f>IFERROR(__xludf.DUMMYFUNCTION("""COMPUTED_VALUE"""),2550.0)</f>
        <v>2550</v>
      </c>
      <c r="P460" s="594">
        <f>IFERROR(__xludf.DUMMYFUNCTION("""COMPUTED_VALUE"""),1700.0)</f>
        <v>1700</v>
      </c>
      <c r="Q460" s="183"/>
      <c r="R460" s="544" t="str">
        <f>IFERROR(__xludf.DUMMYFUNCTION("""COMPUTED_VALUE"""),"O列要確認")</f>
        <v>O列要確認</v>
      </c>
      <c r="S460" s="544"/>
      <c r="T460" s="544"/>
      <c r="U460" s="544"/>
      <c r="V460" s="544"/>
      <c r="W460" s="544"/>
      <c r="X460" s="544"/>
      <c r="Y460" s="544"/>
      <c r="Z460" s="544"/>
      <c r="AA460" s="544"/>
      <c r="AB460" s="544"/>
      <c r="AC460" s="544"/>
      <c r="AD460" s="544"/>
      <c r="AE460" s="183"/>
      <c r="AF460" s="183"/>
      <c r="AG460" s="183"/>
      <c r="AH460" s="183"/>
      <c r="AI460" s="183"/>
      <c r="AJ460" s="183"/>
      <c r="AK460" s="183"/>
      <c r="AL460" s="183"/>
      <c r="AM460" s="183"/>
    </row>
    <row r="461" hidden="1">
      <c r="A461" s="531" t="str">
        <f>IFERROR(__xludf.DUMMYFUNCTION("""COMPUTED_VALUE"""),"サイズ")</f>
        <v>サイズ</v>
      </c>
      <c r="B461" s="531" t="str">
        <f>IFERROR(__xludf.DUMMYFUNCTION("""COMPUTED_VALUE"""),"スラックス / カジュアルパンツ")</f>
        <v>スラックス / カジュアルパンツ</v>
      </c>
      <c r="C461" s="531" t="str">
        <f>IFERROR(__xludf.DUMMYFUNCTION("""COMPUTED_VALUE"""),"すそ口巾")</f>
        <v>すそ口巾</v>
      </c>
      <c r="D461" s="533" t="str">
        <f>IFERROR(__xludf.DUMMYFUNCTION("""COMPUTED_VALUE"""),"ダブル")</f>
        <v>ダブル</v>
      </c>
      <c r="E461" s="533"/>
      <c r="F461" s="534" t="str">
        <f>IFERROR(__xludf.DUMMYFUNCTION("""COMPUTED_VALUE"""),"すそ口巾 / ダブル")</f>
        <v>すそ口巾 / ダブル</v>
      </c>
      <c r="G461" s="533" t="str">
        <f>IFERROR(__xludf.DUMMYFUNCTION("""COMPUTED_VALUE"""),"すそ口巾 / ダブル")</f>
        <v>すそ口巾 / ダブル</v>
      </c>
      <c r="H461" s="572" t="str">
        <f>IFERROR(__xludf.DUMMYFUNCTION("""COMPUTED_VALUE"""),"-2.5")</f>
        <v>-2.5</v>
      </c>
      <c r="I461" s="536"/>
      <c r="J461" s="538">
        <f>IFERROR(__xludf.DUMMYFUNCTION("""COMPUTED_VALUE"""),5.0)</f>
        <v>5</v>
      </c>
      <c r="K461" s="537">
        <f>IFERROR(__xludf.DUMMYFUNCTION("""COMPUTED_VALUE"""),45996.0)</f>
        <v>45996</v>
      </c>
      <c r="L461" s="539">
        <f>IFERROR(__xludf.DUMMYFUNCTION("""COMPUTED_VALUE"""),46002.0)</f>
        <v>46002</v>
      </c>
      <c r="M461" s="540">
        <f>IFERROR(__xludf.DUMMYFUNCTION("""COMPUTED_VALUE"""),46002.0)</f>
        <v>46002</v>
      </c>
      <c r="N461" s="539">
        <f>IFERROR(__xludf.DUMMYFUNCTION("""COMPUTED_VALUE"""),2810.0)</f>
        <v>2810</v>
      </c>
      <c r="O461" s="593">
        <f>IFERROR(__xludf.DUMMYFUNCTION("""COMPUTED_VALUE"""),2550.0)</f>
        <v>2550</v>
      </c>
      <c r="P461" s="594">
        <f>IFERROR(__xludf.DUMMYFUNCTION("""COMPUTED_VALUE"""),1700.0)</f>
        <v>1700</v>
      </c>
      <c r="Q461" s="183"/>
      <c r="R461" s="544" t="str">
        <f>IFERROR(__xludf.DUMMYFUNCTION("""COMPUTED_VALUE"""),"O列要確認")</f>
        <v>O列要確認</v>
      </c>
      <c r="S461" s="544"/>
      <c r="T461" s="544"/>
      <c r="U461" s="544"/>
      <c r="V461" s="544"/>
      <c r="W461" s="544"/>
      <c r="X461" s="544"/>
      <c r="Y461" s="544"/>
      <c r="Z461" s="544"/>
      <c r="AA461" s="544"/>
      <c r="AB461" s="544"/>
      <c r="AC461" s="544"/>
      <c r="AD461" s="544"/>
      <c r="AE461" s="183"/>
      <c r="AF461" s="183"/>
      <c r="AG461" s="183"/>
      <c r="AH461" s="183"/>
      <c r="AI461" s="183"/>
      <c r="AJ461" s="183"/>
      <c r="AK461" s="183"/>
      <c r="AL461" s="183"/>
      <c r="AM461" s="183"/>
    </row>
    <row r="462" hidden="1">
      <c r="A462" s="531" t="str">
        <f>IFERROR(__xludf.DUMMYFUNCTION("""COMPUTED_VALUE"""),"サイズ")</f>
        <v>サイズ</v>
      </c>
      <c r="B462" s="531" t="str">
        <f>IFERROR(__xludf.DUMMYFUNCTION("""COMPUTED_VALUE"""),"スラックス / カジュアルパンツ")</f>
        <v>スラックス / カジュアルパンツ</v>
      </c>
      <c r="C462" s="531" t="str">
        <f>IFERROR(__xludf.DUMMYFUNCTION("""COMPUTED_VALUE"""),"すそ口巾")</f>
        <v>すそ口巾</v>
      </c>
      <c r="D462" s="533" t="str">
        <f>IFERROR(__xludf.DUMMYFUNCTION("""COMPUTED_VALUE"""),"ダブル")</f>
        <v>ダブル</v>
      </c>
      <c r="E462" s="533"/>
      <c r="F462" s="534" t="str">
        <f>IFERROR(__xludf.DUMMYFUNCTION("""COMPUTED_VALUE"""),"すそ口巾 / ダブル")</f>
        <v>すそ口巾 / ダブル</v>
      </c>
      <c r="G462" s="533" t="str">
        <f>IFERROR(__xludf.DUMMYFUNCTION("""COMPUTED_VALUE"""),"すそ口巾 / ダブル")</f>
        <v>すそ口巾 / ダブル</v>
      </c>
      <c r="H462" s="572" t="str">
        <f>IFERROR(__xludf.DUMMYFUNCTION("""COMPUTED_VALUE"""),"-3")</f>
        <v>-3</v>
      </c>
      <c r="I462" s="537"/>
      <c r="J462" s="538">
        <f>IFERROR(__xludf.DUMMYFUNCTION("""COMPUTED_VALUE"""),5.0)</f>
        <v>5</v>
      </c>
      <c r="K462" s="537">
        <f>IFERROR(__xludf.DUMMYFUNCTION("""COMPUTED_VALUE"""),45996.0)</f>
        <v>45996</v>
      </c>
      <c r="L462" s="539">
        <f>IFERROR(__xludf.DUMMYFUNCTION("""COMPUTED_VALUE"""),46002.0)</f>
        <v>46002</v>
      </c>
      <c r="M462" s="540">
        <f>IFERROR(__xludf.DUMMYFUNCTION("""COMPUTED_VALUE"""),46002.0)</f>
        <v>46002</v>
      </c>
      <c r="N462" s="539">
        <f>IFERROR(__xludf.DUMMYFUNCTION("""COMPUTED_VALUE"""),2810.0)</f>
        <v>2810</v>
      </c>
      <c r="O462" s="593">
        <f>IFERROR(__xludf.DUMMYFUNCTION("""COMPUTED_VALUE"""),2550.0)</f>
        <v>2550</v>
      </c>
      <c r="P462" s="594">
        <f>IFERROR(__xludf.DUMMYFUNCTION("""COMPUTED_VALUE"""),1700.0)</f>
        <v>1700</v>
      </c>
      <c r="Q462" s="183"/>
      <c r="R462" s="544" t="str">
        <f>IFERROR(__xludf.DUMMYFUNCTION("""COMPUTED_VALUE"""),"O列要確認")</f>
        <v>O列要確認</v>
      </c>
      <c r="S462" s="544"/>
      <c r="T462" s="544"/>
      <c r="U462" s="544"/>
      <c r="V462" s="544"/>
      <c r="W462" s="544"/>
      <c r="X462" s="544"/>
      <c r="Y462" s="544"/>
      <c r="Z462" s="544"/>
      <c r="AA462" s="544"/>
      <c r="AB462" s="544"/>
      <c r="AC462" s="544"/>
      <c r="AD462" s="544"/>
      <c r="AE462" s="183"/>
      <c r="AF462" s="183"/>
      <c r="AG462" s="183"/>
      <c r="AH462" s="183"/>
      <c r="AI462" s="183"/>
      <c r="AJ462" s="183"/>
      <c r="AK462" s="183"/>
      <c r="AL462" s="183"/>
      <c r="AM462" s="183"/>
    </row>
    <row r="463" hidden="1">
      <c r="A463" s="531" t="str">
        <f>IFERROR(__xludf.DUMMYFUNCTION("""COMPUTED_VALUE"""),"サイズ")</f>
        <v>サイズ</v>
      </c>
      <c r="B463" s="531" t="str">
        <f>IFERROR(__xludf.DUMMYFUNCTION("""COMPUTED_VALUE"""),"スラックス / カジュアルパンツ")</f>
        <v>スラックス / カジュアルパンツ</v>
      </c>
      <c r="C463" s="531" t="str">
        <f>IFERROR(__xludf.DUMMYFUNCTION("""COMPUTED_VALUE"""),"すそ口巾")</f>
        <v>すそ口巾</v>
      </c>
      <c r="D463" s="533" t="str">
        <f>IFERROR(__xludf.DUMMYFUNCTION("""COMPUTED_VALUE"""),"ダブル")</f>
        <v>ダブル</v>
      </c>
      <c r="E463" s="533"/>
      <c r="F463" s="534" t="str">
        <f>IFERROR(__xludf.DUMMYFUNCTION("""COMPUTED_VALUE"""),"すそ口巾 / ダブル")</f>
        <v>すそ口巾 / ダブル</v>
      </c>
      <c r="G463" s="533" t="str">
        <f>IFERROR(__xludf.DUMMYFUNCTION("""COMPUTED_VALUE"""),"すそ口巾 / ダブル")</f>
        <v>すそ口巾 / ダブル</v>
      </c>
      <c r="H463" s="572" t="str">
        <f>IFERROR(__xludf.DUMMYFUNCTION("""COMPUTED_VALUE"""),"-3.5")</f>
        <v>-3.5</v>
      </c>
      <c r="I463" s="537"/>
      <c r="J463" s="538">
        <f>IFERROR(__xludf.DUMMYFUNCTION("""COMPUTED_VALUE"""),5.0)</f>
        <v>5</v>
      </c>
      <c r="K463" s="537">
        <f>IFERROR(__xludf.DUMMYFUNCTION("""COMPUTED_VALUE"""),45996.0)</f>
        <v>45996</v>
      </c>
      <c r="L463" s="539">
        <f>IFERROR(__xludf.DUMMYFUNCTION("""COMPUTED_VALUE"""),46002.0)</f>
        <v>46002</v>
      </c>
      <c r="M463" s="540">
        <f>IFERROR(__xludf.DUMMYFUNCTION("""COMPUTED_VALUE"""),46002.0)</f>
        <v>46002</v>
      </c>
      <c r="N463" s="539">
        <f>IFERROR(__xludf.DUMMYFUNCTION("""COMPUTED_VALUE"""),2810.0)</f>
        <v>2810</v>
      </c>
      <c r="O463" s="593">
        <f>IFERROR(__xludf.DUMMYFUNCTION("""COMPUTED_VALUE"""),2550.0)</f>
        <v>2550</v>
      </c>
      <c r="P463" s="594">
        <f>IFERROR(__xludf.DUMMYFUNCTION("""COMPUTED_VALUE"""),1700.0)</f>
        <v>1700</v>
      </c>
      <c r="Q463" s="183"/>
      <c r="R463" s="544" t="str">
        <f>IFERROR(__xludf.DUMMYFUNCTION("""COMPUTED_VALUE"""),"O列要確認")</f>
        <v>O列要確認</v>
      </c>
      <c r="S463" s="544"/>
      <c r="T463" s="544"/>
      <c r="U463" s="544"/>
      <c r="V463" s="544"/>
      <c r="W463" s="544"/>
      <c r="X463" s="544"/>
      <c r="Y463" s="544"/>
      <c r="Z463" s="544"/>
      <c r="AA463" s="544"/>
      <c r="AB463" s="544"/>
      <c r="AC463" s="544"/>
      <c r="AD463" s="544"/>
      <c r="AE463" s="183"/>
      <c r="AF463" s="183"/>
      <c r="AG463" s="183"/>
      <c r="AH463" s="183"/>
      <c r="AI463" s="183"/>
      <c r="AJ463" s="183"/>
      <c r="AK463" s="183"/>
      <c r="AL463" s="183"/>
      <c r="AM463" s="183"/>
    </row>
    <row r="464" hidden="1">
      <c r="A464" s="531" t="str">
        <f>IFERROR(__xludf.DUMMYFUNCTION("""COMPUTED_VALUE"""),"サイズ")</f>
        <v>サイズ</v>
      </c>
      <c r="B464" s="531" t="str">
        <f>IFERROR(__xludf.DUMMYFUNCTION("""COMPUTED_VALUE"""),"スラックス / カジュアルパンツ")</f>
        <v>スラックス / カジュアルパンツ</v>
      </c>
      <c r="C464" s="531" t="str">
        <f>IFERROR(__xludf.DUMMYFUNCTION("""COMPUTED_VALUE"""),"すそ口巾")</f>
        <v>すそ口巾</v>
      </c>
      <c r="D464" s="533" t="str">
        <f>IFERROR(__xludf.DUMMYFUNCTION("""COMPUTED_VALUE"""),"ダブル")</f>
        <v>ダブル</v>
      </c>
      <c r="E464" s="533"/>
      <c r="F464" s="534" t="str">
        <f>IFERROR(__xludf.DUMMYFUNCTION("""COMPUTED_VALUE"""),"すそ口巾 / ダブル")</f>
        <v>すそ口巾 / ダブル</v>
      </c>
      <c r="G464" s="533" t="str">
        <f>IFERROR(__xludf.DUMMYFUNCTION("""COMPUTED_VALUE"""),"すそ口巾 / ダブル")</f>
        <v>すそ口巾 / ダブル</v>
      </c>
      <c r="H464" s="572" t="str">
        <f>IFERROR(__xludf.DUMMYFUNCTION("""COMPUTED_VALUE"""),"-4")</f>
        <v>-4</v>
      </c>
      <c r="I464" s="536"/>
      <c r="J464" s="538">
        <f>IFERROR(__xludf.DUMMYFUNCTION("""COMPUTED_VALUE"""),5.0)</f>
        <v>5</v>
      </c>
      <c r="K464" s="537">
        <f>IFERROR(__xludf.DUMMYFUNCTION("""COMPUTED_VALUE"""),45996.0)</f>
        <v>45996</v>
      </c>
      <c r="L464" s="539">
        <f>IFERROR(__xludf.DUMMYFUNCTION("""COMPUTED_VALUE"""),46002.0)</f>
        <v>46002</v>
      </c>
      <c r="M464" s="540">
        <f>IFERROR(__xludf.DUMMYFUNCTION("""COMPUTED_VALUE"""),46002.0)</f>
        <v>46002</v>
      </c>
      <c r="N464" s="539">
        <f>IFERROR(__xludf.DUMMYFUNCTION("""COMPUTED_VALUE"""),2810.0)</f>
        <v>2810</v>
      </c>
      <c r="O464" s="593">
        <f>IFERROR(__xludf.DUMMYFUNCTION("""COMPUTED_VALUE"""),2550.0)</f>
        <v>2550</v>
      </c>
      <c r="P464" s="594">
        <f>IFERROR(__xludf.DUMMYFUNCTION("""COMPUTED_VALUE"""),1700.0)</f>
        <v>1700</v>
      </c>
      <c r="Q464" s="183"/>
      <c r="R464" s="544" t="str">
        <f>IFERROR(__xludf.DUMMYFUNCTION("""COMPUTED_VALUE"""),"O列要確認")</f>
        <v>O列要確認</v>
      </c>
      <c r="S464" s="544"/>
      <c r="T464" s="544"/>
      <c r="U464" s="544"/>
      <c r="V464" s="544"/>
      <c r="W464" s="544"/>
      <c r="X464" s="544"/>
      <c r="Y464" s="544"/>
      <c r="Z464" s="544"/>
      <c r="AA464" s="544"/>
      <c r="AB464" s="544"/>
      <c r="AC464" s="544"/>
      <c r="AD464" s="544"/>
      <c r="AE464" s="183"/>
      <c r="AF464" s="183"/>
      <c r="AG464" s="183"/>
      <c r="AH464" s="183"/>
      <c r="AI464" s="183"/>
      <c r="AJ464" s="183"/>
      <c r="AK464" s="183"/>
      <c r="AL464" s="183"/>
      <c r="AM464" s="183"/>
    </row>
    <row r="465" hidden="1">
      <c r="A465" s="531" t="str">
        <f>IFERROR(__xludf.DUMMYFUNCTION("""COMPUTED_VALUE"""),"サイズ")</f>
        <v>サイズ</v>
      </c>
      <c r="B465" s="531" t="str">
        <f>IFERROR(__xludf.DUMMYFUNCTION("""COMPUTED_VALUE"""),"スラックス / カジュアルパンツ")</f>
        <v>スラックス / カジュアルパンツ</v>
      </c>
      <c r="C465" s="667" t="str">
        <f>IFERROR(__xludf.DUMMYFUNCTION("""COMPUTED_VALUE"""),"出尻")</f>
        <v>出尻</v>
      </c>
      <c r="D465" s="533"/>
      <c r="E465" s="533"/>
      <c r="F465" s="534" t="str">
        <f>IFERROR(__xludf.DUMMYFUNCTION("""COMPUTED_VALUE"""),"出尻")</f>
        <v>出尻</v>
      </c>
      <c r="G465" s="533" t="str">
        <f>IFERROR(__xludf.DUMMYFUNCTION("""COMPUTED_VALUE"""),"出尻")</f>
        <v>出尻</v>
      </c>
      <c r="H465" s="536"/>
      <c r="I465" s="536"/>
      <c r="J465" s="538" t="str">
        <f>IFERROR(__xludf.DUMMYFUNCTION("""COMPUTED_VALUE"""),"再製作")</f>
        <v>再製作</v>
      </c>
      <c r="K465" s="538" t="str">
        <f>IFERROR(__xludf.DUMMYFUNCTION("""COMPUTED_VALUE"""),"再製作")</f>
        <v>再製作</v>
      </c>
      <c r="L465" s="539" t="str">
        <f>IFERROR(__xludf.DUMMYFUNCTION("""COMPUTED_VALUE"""),"再製作")</f>
        <v>再製作</v>
      </c>
      <c r="M465" s="664" t="str">
        <f>IFERROR(__xludf.DUMMYFUNCTION("""COMPUTED_VALUE"""),"再製作")</f>
        <v>再製作</v>
      </c>
      <c r="N465" s="538" t="str">
        <f>IFERROR(__xludf.DUMMYFUNCTION("""COMPUTED_VALUE"""),"再製作")</f>
        <v>再製作</v>
      </c>
      <c r="O465" s="183" t="str">
        <f>IFERROR(__xludf.DUMMYFUNCTION("""COMPUTED_VALUE"""),"再製作")</f>
        <v>再製作</v>
      </c>
      <c r="P465" s="183"/>
      <c r="Q465" s="183"/>
      <c r="R465" s="544"/>
      <c r="S465" s="544"/>
      <c r="T465" s="544"/>
      <c r="U465" s="544"/>
      <c r="V465" s="544"/>
      <c r="W465" s="544"/>
      <c r="X465" s="544"/>
      <c r="Y465" s="544"/>
      <c r="Z465" s="544"/>
      <c r="AA465" s="544"/>
      <c r="AB465" s="544"/>
      <c r="AC465" s="544"/>
      <c r="AD465" s="544"/>
      <c r="AE465" s="183"/>
      <c r="AF465" s="183"/>
      <c r="AG465" s="183"/>
      <c r="AH465" s="183"/>
      <c r="AI465" s="183"/>
      <c r="AJ465" s="183"/>
      <c r="AK465" s="183"/>
      <c r="AL465" s="183"/>
      <c r="AM465" s="183"/>
    </row>
    <row r="466" hidden="1">
      <c r="A466" s="531" t="str">
        <f>IFERROR(__xludf.DUMMYFUNCTION("""COMPUTED_VALUE"""),"サイズ - ウィメンズ")</f>
        <v>サイズ - ウィメンズ</v>
      </c>
      <c r="B466" s="531" t="str">
        <f>IFERROR(__xludf.DUMMYFUNCTION("""COMPUTED_VALUE"""),"スラックス / カジュアルパンツ")</f>
        <v>スラックス / カジュアルパンツ</v>
      </c>
      <c r="C466" s="531" t="str">
        <f>IFERROR(__xludf.DUMMYFUNCTION("""COMPUTED_VALUE"""),"渡り巾")</f>
        <v>渡り巾</v>
      </c>
      <c r="D466" s="533"/>
      <c r="E466" s="533"/>
      <c r="F466" s="534" t="str">
        <f>IFERROR(__xludf.DUMMYFUNCTION("""COMPUTED_VALUE"""),"渡り巾")</f>
        <v>渡り巾</v>
      </c>
      <c r="G466" s="533" t="str">
        <f>IFERROR(__xludf.DUMMYFUNCTION("""COMPUTED_VALUE"""),"渡り巾")</f>
        <v>渡り巾</v>
      </c>
      <c r="H466" s="572" t="str">
        <f>IFERROR(__xludf.DUMMYFUNCTION("""COMPUTED_VALUE"""),"-2")</f>
        <v>-2</v>
      </c>
      <c r="I466" s="536"/>
      <c r="J466" s="538">
        <f>IFERROR(__xludf.DUMMYFUNCTION("""COMPUTED_VALUE"""),5.0)</f>
        <v>5</v>
      </c>
      <c r="K466" s="537">
        <f>IFERROR(__xludf.DUMMYFUNCTION("""COMPUTED_VALUE"""),45996.0)</f>
        <v>45996</v>
      </c>
      <c r="L466" s="539">
        <f>IFERROR(__xludf.DUMMYFUNCTION("""COMPUTED_VALUE"""),46003.0)</f>
        <v>46003</v>
      </c>
      <c r="M466" s="540">
        <f>IFERROR(__xludf.DUMMYFUNCTION("""COMPUTED_VALUE"""),46008.0)</f>
        <v>46008</v>
      </c>
      <c r="N466" s="539">
        <f>IFERROR(__xludf.DUMMYFUNCTION("""COMPUTED_VALUE"""),6600.0)</f>
        <v>6600</v>
      </c>
      <c r="O466" s="593">
        <f>IFERROR(__xludf.DUMMYFUNCTION("""COMPUTED_VALUE"""),6000.0)</f>
        <v>6000</v>
      </c>
      <c r="P466" s="594">
        <f>IFERROR(__xludf.DUMMYFUNCTION("""COMPUTED_VALUE"""),4000.0)</f>
        <v>4000</v>
      </c>
      <c r="Q466" s="183"/>
      <c r="R466" s="544"/>
      <c r="S466" s="544"/>
      <c r="T466" s="544"/>
      <c r="U466" s="544"/>
      <c r="V466" s="544"/>
      <c r="W466" s="544"/>
      <c r="X466" s="544"/>
      <c r="Y466" s="544"/>
      <c r="Z466" s="544"/>
      <c r="AA466" s="544"/>
      <c r="AB466" s="544"/>
      <c r="AC466" s="544"/>
      <c r="AD466" s="544"/>
      <c r="AE466" s="183"/>
      <c r="AF466" s="183"/>
      <c r="AG466" s="183"/>
      <c r="AH466" s="183"/>
      <c r="AI466" s="183"/>
      <c r="AJ466" s="183"/>
      <c r="AK466" s="183"/>
      <c r="AL466" s="183"/>
      <c r="AM466" s="183"/>
    </row>
    <row r="467" hidden="1">
      <c r="A467" s="531" t="str">
        <f>IFERROR(__xludf.DUMMYFUNCTION("""COMPUTED_VALUE"""),"サイズ - ウィメンズ")</f>
        <v>サイズ - ウィメンズ</v>
      </c>
      <c r="B467" s="531" t="str">
        <f>IFERROR(__xludf.DUMMYFUNCTION("""COMPUTED_VALUE"""),"スラックス / カジュアルパンツ")</f>
        <v>スラックス / カジュアルパンツ</v>
      </c>
      <c r="C467" s="531" t="str">
        <f>IFERROR(__xludf.DUMMYFUNCTION("""COMPUTED_VALUE"""),"渡り巾")</f>
        <v>渡り巾</v>
      </c>
      <c r="D467" s="533"/>
      <c r="E467" s="533"/>
      <c r="F467" s="534" t="str">
        <f>IFERROR(__xludf.DUMMYFUNCTION("""COMPUTED_VALUE"""),"渡り巾")</f>
        <v>渡り巾</v>
      </c>
      <c r="G467" s="533" t="str">
        <f>IFERROR(__xludf.DUMMYFUNCTION("""COMPUTED_VALUE"""),"渡り巾")</f>
        <v>渡り巾</v>
      </c>
      <c r="H467" s="572" t="str">
        <f>IFERROR(__xludf.DUMMYFUNCTION("""COMPUTED_VALUE"""),"-1.5")</f>
        <v>-1.5</v>
      </c>
      <c r="I467" s="537"/>
      <c r="J467" s="538">
        <f>IFERROR(__xludf.DUMMYFUNCTION("""COMPUTED_VALUE"""),5.0)</f>
        <v>5</v>
      </c>
      <c r="K467" s="537">
        <f>IFERROR(__xludf.DUMMYFUNCTION("""COMPUTED_VALUE"""),45996.0)</f>
        <v>45996</v>
      </c>
      <c r="L467" s="539">
        <f>IFERROR(__xludf.DUMMYFUNCTION("""COMPUTED_VALUE"""),46003.0)</f>
        <v>46003</v>
      </c>
      <c r="M467" s="540">
        <f>IFERROR(__xludf.DUMMYFUNCTION("""COMPUTED_VALUE"""),46008.0)</f>
        <v>46008</v>
      </c>
      <c r="N467" s="539">
        <f>IFERROR(__xludf.DUMMYFUNCTION("""COMPUTED_VALUE"""),6600.0)</f>
        <v>6600</v>
      </c>
      <c r="O467" s="593">
        <f>IFERROR(__xludf.DUMMYFUNCTION("""COMPUTED_VALUE"""),6000.0)</f>
        <v>6000</v>
      </c>
      <c r="P467" s="594">
        <f>IFERROR(__xludf.DUMMYFUNCTION("""COMPUTED_VALUE"""),4000.0)</f>
        <v>4000</v>
      </c>
      <c r="Q467" s="183"/>
      <c r="R467" s="544"/>
      <c r="S467" s="544"/>
      <c r="T467" s="544"/>
      <c r="U467" s="544"/>
      <c r="V467" s="544"/>
      <c r="W467" s="544"/>
      <c r="X467" s="544"/>
      <c r="Y467" s="544"/>
      <c r="Z467" s="544"/>
      <c r="AA467" s="544"/>
      <c r="AB467" s="544"/>
      <c r="AC467" s="544"/>
      <c r="AD467" s="544"/>
      <c r="AE467" s="183"/>
      <c r="AF467" s="183"/>
      <c r="AG467" s="183"/>
      <c r="AH467" s="183"/>
      <c r="AI467" s="183"/>
      <c r="AJ467" s="183"/>
      <c r="AK467" s="183"/>
      <c r="AL467" s="183"/>
      <c r="AM467" s="183"/>
    </row>
    <row r="468" hidden="1">
      <c r="A468" s="531" t="str">
        <f>IFERROR(__xludf.DUMMYFUNCTION("""COMPUTED_VALUE"""),"サイズ - ウィメンズ")</f>
        <v>サイズ - ウィメンズ</v>
      </c>
      <c r="B468" s="531" t="str">
        <f>IFERROR(__xludf.DUMMYFUNCTION("""COMPUTED_VALUE"""),"スラックス / カジュアルパンツ")</f>
        <v>スラックス / カジュアルパンツ</v>
      </c>
      <c r="C468" s="665" t="str">
        <f>IFERROR(__xludf.DUMMYFUNCTION("""COMPUTED_VALUE"""),"渡り巾")</f>
        <v>渡り巾</v>
      </c>
      <c r="D468" s="533"/>
      <c r="E468" s="533"/>
      <c r="F468" s="534" t="str">
        <f>IFERROR(__xludf.DUMMYFUNCTION("""COMPUTED_VALUE"""),"渡り巾")</f>
        <v>渡り巾</v>
      </c>
      <c r="G468" s="533" t="str">
        <f>IFERROR(__xludf.DUMMYFUNCTION("""COMPUTED_VALUE"""),"渡り巾")</f>
        <v>渡り巾</v>
      </c>
      <c r="H468" s="572" t="str">
        <f>IFERROR(__xludf.DUMMYFUNCTION("""COMPUTED_VALUE"""),"-1")</f>
        <v>-1</v>
      </c>
      <c r="I468" s="537"/>
      <c r="J468" s="538">
        <f>IFERROR(__xludf.DUMMYFUNCTION("""COMPUTED_VALUE"""),5.0)</f>
        <v>5</v>
      </c>
      <c r="K468" s="537">
        <f>IFERROR(__xludf.DUMMYFUNCTION("""COMPUTED_VALUE"""),45996.0)</f>
        <v>45996</v>
      </c>
      <c r="L468" s="539">
        <f>IFERROR(__xludf.DUMMYFUNCTION("""COMPUTED_VALUE"""),46003.0)</f>
        <v>46003</v>
      </c>
      <c r="M468" s="540">
        <f>IFERROR(__xludf.DUMMYFUNCTION("""COMPUTED_VALUE"""),46008.0)</f>
        <v>46008</v>
      </c>
      <c r="N468" s="539">
        <f>IFERROR(__xludf.DUMMYFUNCTION("""COMPUTED_VALUE"""),6600.0)</f>
        <v>6600</v>
      </c>
      <c r="O468" s="593">
        <f>IFERROR(__xludf.DUMMYFUNCTION("""COMPUTED_VALUE"""),6000.0)</f>
        <v>6000</v>
      </c>
      <c r="P468" s="594">
        <f>IFERROR(__xludf.DUMMYFUNCTION("""COMPUTED_VALUE"""),4000.0)</f>
        <v>4000</v>
      </c>
      <c r="Q468" s="183"/>
      <c r="R468" s="544"/>
      <c r="S468" s="544"/>
      <c r="T468" s="544"/>
      <c r="U468" s="544"/>
      <c r="V468" s="544"/>
      <c r="W468" s="544"/>
      <c r="X468" s="544"/>
      <c r="Y468" s="544"/>
      <c r="Z468" s="544"/>
      <c r="AA468" s="544"/>
      <c r="AB468" s="544"/>
      <c r="AC468" s="544"/>
      <c r="AD468" s="544"/>
      <c r="AE468" s="183"/>
      <c r="AF468" s="183"/>
      <c r="AG468" s="183"/>
      <c r="AH468" s="183"/>
      <c r="AI468" s="183"/>
      <c r="AJ468" s="183"/>
      <c r="AK468" s="183"/>
      <c r="AL468" s="183"/>
      <c r="AM468" s="183"/>
    </row>
    <row r="469" hidden="1">
      <c r="A469" s="531" t="str">
        <f>IFERROR(__xludf.DUMMYFUNCTION("""COMPUTED_VALUE"""),"サイズ - ウィメンズ")</f>
        <v>サイズ - ウィメンズ</v>
      </c>
      <c r="B469" s="531" t="str">
        <f>IFERROR(__xludf.DUMMYFUNCTION("""COMPUTED_VALUE"""),"スラックス / カジュアルパンツ")</f>
        <v>スラックス / カジュアルパンツ</v>
      </c>
      <c r="C469" s="531" t="str">
        <f>IFERROR(__xludf.DUMMYFUNCTION("""COMPUTED_VALUE"""),"渡り巾")</f>
        <v>渡り巾</v>
      </c>
      <c r="D469" s="533"/>
      <c r="E469" s="533"/>
      <c r="F469" s="534" t="str">
        <f>IFERROR(__xludf.DUMMYFUNCTION("""COMPUTED_VALUE"""),"渡り巾")</f>
        <v>渡り巾</v>
      </c>
      <c r="G469" s="533" t="str">
        <f>IFERROR(__xludf.DUMMYFUNCTION("""COMPUTED_VALUE"""),"渡り巾")</f>
        <v>渡り巾</v>
      </c>
      <c r="H469" s="572" t="str">
        <f>IFERROR(__xludf.DUMMYFUNCTION("""COMPUTED_VALUE"""),"-0.5")</f>
        <v>-0.5</v>
      </c>
      <c r="I469" s="536"/>
      <c r="J469" s="538">
        <f>IFERROR(__xludf.DUMMYFUNCTION("""COMPUTED_VALUE"""),5.0)</f>
        <v>5</v>
      </c>
      <c r="K469" s="537">
        <f>IFERROR(__xludf.DUMMYFUNCTION("""COMPUTED_VALUE"""),45996.0)</f>
        <v>45996</v>
      </c>
      <c r="L469" s="539">
        <f>IFERROR(__xludf.DUMMYFUNCTION("""COMPUTED_VALUE"""),46003.0)</f>
        <v>46003</v>
      </c>
      <c r="M469" s="540">
        <f>IFERROR(__xludf.DUMMYFUNCTION("""COMPUTED_VALUE"""),46008.0)</f>
        <v>46008</v>
      </c>
      <c r="N469" s="539">
        <f>IFERROR(__xludf.DUMMYFUNCTION("""COMPUTED_VALUE"""),6600.0)</f>
        <v>6600</v>
      </c>
      <c r="O469" s="593">
        <f>IFERROR(__xludf.DUMMYFUNCTION("""COMPUTED_VALUE"""),6000.0)</f>
        <v>6000</v>
      </c>
      <c r="P469" s="594">
        <f>IFERROR(__xludf.DUMMYFUNCTION("""COMPUTED_VALUE"""),4000.0)</f>
        <v>4000</v>
      </c>
      <c r="Q469" s="183"/>
      <c r="R469" s="544"/>
      <c r="S469" s="544"/>
      <c r="T469" s="544"/>
      <c r="U469" s="544"/>
      <c r="V469" s="544"/>
      <c r="W469" s="544"/>
      <c r="X469" s="544"/>
      <c r="Y469" s="544"/>
      <c r="Z469" s="544"/>
      <c r="AA469" s="544"/>
      <c r="AB469" s="544"/>
      <c r="AC469" s="544"/>
      <c r="AD469" s="544"/>
      <c r="AE469" s="183"/>
      <c r="AF469" s="183"/>
      <c r="AG469" s="183"/>
      <c r="AH469" s="183"/>
      <c r="AI469" s="183"/>
      <c r="AJ469" s="183"/>
      <c r="AK469" s="183"/>
      <c r="AL469" s="183"/>
      <c r="AM469" s="183"/>
    </row>
    <row r="470" hidden="1">
      <c r="A470" s="531" t="str">
        <f>IFERROR(__xludf.DUMMYFUNCTION("""COMPUTED_VALUE"""),"サイズ - ウィメンズ")</f>
        <v>サイズ - ウィメンズ</v>
      </c>
      <c r="B470" s="531" t="str">
        <f>IFERROR(__xludf.DUMMYFUNCTION("""COMPUTED_VALUE"""),"スラックス / カジュアルパンツ")</f>
        <v>スラックス / カジュアルパンツ</v>
      </c>
      <c r="C470" s="531" t="str">
        <f>IFERROR(__xludf.DUMMYFUNCTION("""COMPUTED_VALUE"""),"渡り巾")</f>
        <v>渡り巾</v>
      </c>
      <c r="D470" s="533"/>
      <c r="E470" s="533"/>
      <c r="F470" s="534" t="str">
        <f>IFERROR(__xludf.DUMMYFUNCTION("""COMPUTED_VALUE"""),"渡り巾")</f>
        <v>渡り巾</v>
      </c>
      <c r="G470" s="533" t="str">
        <f>IFERROR(__xludf.DUMMYFUNCTION("""COMPUTED_VALUE"""),"渡り巾")</f>
        <v>渡り巾</v>
      </c>
      <c r="H470" s="572" t="str">
        <f>IFERROR(__xludf.DUMMYFUNCTION("""COMPUTED_VALUE"""),"0.5")</f>
        <v>0.5</v>
      </c>
      <c r="I470" s="536"/>
      <c r="J470" s="538">
        <f>IFERROR(__xludf.DUMMYFUNCTION("""COMPUTED_VALUE"""),5.0)</f>
        <v>5</v>
      </c>
      <c r="K470" s="537">
        <f>IFERROR(__xludf.DUMMYFUNCTION("""COMPUTED_VALUE"""),45996.0)</f>
        <v>45996</v>
      </c>
      <c r="L470" s="539">
        <f>IFERROR(__xludf.DUMMYFUNCTION("""COMPUTED_VALUE"""),46003.0)</f>
        <v>46003</v>
      </c>
      <c r="M470" s="540">
        <f>IFERROR(__xludf.DUMMYFUNCTION("""COMPUTED_VALUE"""),46008.0)</f>
        <v>46008</v>
      </c>
      <c r="N470" s="539">
        <f>IFERROR(__xludf.DUMMYFUNCTION("""COMPUTED_VALUE"""),6600.0)</f>
        <v>6600</v>
      </c>
      <c r="O470" s="593">
        <f>IFERROR(__xludf.DUMMYFUNCTION("""COMPUTED_VALUE"""),6000.0)</f>
        <v>6000</v>
      </c>
      <c r="P470" s="594">
        <f>IFERROR(__xludf.DUMMYFUNCTION("""COMPUTED_VALUE"""),4000.0)</f>
        <v>4000</v>
      </c>
      <c r="Q470" s="183"/>
      <c r="R470" s="544"/>
      <c r="S470" s="544"/>
      <c r="T470" s="544"/>
      <c r="U470" s="544"/>
      <c r="V470" s="544"/>
      <c r="W470" s="544"/>
      <c r="X470" s="544"/>
      <c r="Y470" s="544"/>
      <c r="Z470" s="544"/>
      <c r="AA470" s="544"/>
      <c r="AB470" s="544"/>
      <c r="AC470" s="544"/>
      <c r="AD470" s="544"/>
      <c r="AE470" s="183"/>
      <c r="AF470" s="183"/>
      <c r="AG470" s="183"/>
      <c r="AH470" s="183"/>
      <c r="AI470" s="183"/>
      <c r="AJ470" s="183"/>
      <c r="AK470" s="183"/>
      <c r="AL470" s="183"/>
      <c r="AM470" s="183"/>
    </row>
    <row r="471" hidden="1">
      <c r="A471" s="531" t="str">
        <f>IFERROR(__xludf.DUMMYFUNCTION("""COMPUTED_VALUE"""),"サイズ - ウィメンズ")</f>
        <v>サイズ - ウィメンズ</v>
      </c>
      <c r="B471" s="531" t="str">
        <f>IFERROR(__xludf.DUMMYFUNCTION("""COMPUTED_VALUE"""),"スラックス / カジュアルパンツ")</f>
        <v>スラックス / カジュアルパンツ</v>
      </c>
      <c r="C471" s="531" t="str">
        <f>IFERROR(__xludf.DUMMYFUNCTION("""COMPUTED_VALUE"""),"ひざ巾")</f>
        <v>ひざ巾</v>
      </c>
      <c r="D471" s="533" t="str">
        <f>IFERROR(__xludf.DUMMYFUNCTION("""COMPUTED_VALUE"""),"裏地あり")</f>
        <v>裏地あり</v>
      </c>
      <c r="E471" s="533"/>
      <c r="F471" s="534" t="str">
        <f>IFERROR(__xludf.DUMMYFUNCTION("""COMPUTED_VALUE"""),"ひざ巾 / 裏地あり")</f>
        <v>ひざ巾 / 裏地あり</v>
      </c>
      <c r="G471" s="533" t="str">
        <f>IFERROR(__xludf.DUMMYFUNCTION("""COMPUTED_VALUE"""),"ひざ巾 / 裏地あり")</f>
        <v>ひざ巾 / 裏地あり</v>
      </c>
      <c r="H471" s="572" t="str">
        <f>IFERROR(__xludf.DUMMYFUNCTION("""COMPUTED_VALUE"""),"-2")</f>
        <v>-2</v>
      </c>
      <c r="I471" s="536"/>
      <c r="J471" s="538">
        <f>IFERROR(__xludf.DUMMYFUNCTION("""COMPUTED_VALUE"""),5.0)</f>
        <v>5</v>
      </c>
      <c r="K471" s="537">
        <f>IFERROR(__xludf.DUMMYFUNCTION("""COMPUTED_VALUE"""),45996.0)</f>
        <v>45996</v>
      </c>
      <c r="L471" s="539">
        <f>IFERROR(__xludf.DUMMYFUNCTION("""COMPUTED_VALUE"""),46003.0)</f>
        <v>46003</v>
      </c>
      <c r="M471" s="540">
        <f>IFERROR(__xludf.DUMMYFUNCTION("""COMPUTED_VALUE"""),46008.0)</f>
        <v>46008</v>
      </c>
      <c r="N471" s="539">
        <f>IFERROR(__xludf.DUMMYFUNCTION("""COMPUTED_VALUE"""),2640.0)</f>
        <v>2640</v>
      </c>
      <c r="O471" s="593">
        <f>IFERROR(__xludf.DUMMYFUNCTION("""COMPUTED_VALUE"""),2400.0)</f>
        <v>2400</v>
      </c>
      <c r="P471" s="594">
        <f>IFERROR(__xludf.DUMMYFUNCTION("""COMPUTED_VALUE"""),1600.0)</f>
        <v>1600</v>
      </c>
      <c r="Q471" s="183"/>
      <c r="R471" s="544"/>
      <c r="S471" s="544"/>
      <c r="T471" s="544"/>
      <c r="U471" s="544"/>
      <c r="V471" s="544"/>
      <c r="W471" s="544"/>
      <c r="X471" s="544"/>
      <c r="Y471" s="544"/>
      <c r="Z471" s="544"/>
      <c r="AA471" s="544"/>
      <c r="AB471" s="544"/>
      <c r="AC471" s="544"/>
      <c r="AD471" s="544"/>
      <c r="AE471" s="183"/>
      <c r="AF471" s="183"/>
      <c r="AG471" s="183"/>
      <c r="AH471" s="183"/>
      <c r="AI471" s="183"/>
      <c r="AJ471" s="183"/>
      <c r="AK471" s="183"/>
      <c r="AL471" s="183"/>
      <c r="AM471" s="183"/>
    </row>
    <row r="472" hidden="1">
      <c r="A472" s="531" t="str">
        <f>IFERROR(__xludf.DUMMYFUNCTION("""COMPUTED_VALUE"""),"サイズ - ウィメンズ")</f>
        <v>サイズ - ウィメンズ</v>
      </c>
      <c r="B472" s="531" t="str">
        <f>IFERROR(__xludf.DUMMYFUNCTION("""COMPUTED_VALUE"""),"スラックス / カジュアルパンツ")</f>
        <v>スラックス / カジュアルパンツ</v>
      </c>
      <c r="C472" s="531" t="str">
        <f>IFERROR(__xludf.DUMMYFUNCTION("""COMPUTED_VALUE"""),"ひざ巾")</f>
        <v>ひざ巾</v>
      </c>
      <c r="D472" s="533" t="str">
        <f>IFERROR(__xludf.DUMMYFUNCTION("""COMPUTED_VALUE"""),"裏地あり")</f>
        <v>裏地あり</v>
      </c>
      <c r="E472" s="533"/>
      <c r="F472" s="534" t="str">
        <f>IFERROR(__xludf.DUMMYFUNCTION("""COMPUTED_VALUE"""),"ひざ巾 / 裏地あり")</f>
        <v>ひざ巾 / 裏地あり</v>
      </c>
      <c r="G472" s="533" t="str">
        <f>IFERROR(__xludf.DUMMYFUNCTION("""COMPUTED_VALUE"""),"ひざ巾 / 裏地あり")</f>
        <v>ひざ巾 / 裏地あり</v>
      </c>
      <c r="H472" s="572" t="str">
        <f>IFERROR(__xludf.DUMMYFUNCTION("""COMPUTED_VALUE"""),"-1.5")</f>
        <v>-1.5</v>
      </c>
      <c r="I472" s="536"/>
      <c r="J472" s="538">
        <f>IFERROR(__xludf.DUMMYFUNCTION("""COMPUTED_VALUE"""),5.0)</f>
        <v>5</v>
      </c>
      <c r="K472" s="537">
        <f>IFERROR(__xludf.DUMMYFUNCTION("""COMPUTED_VALUE"""),45996.0)</f>
        <v>45996</v>
      </c>
      <c r="L472" s="539">
        <f>IFERROR(__xludf.DUMMYFUNCTION("""COMPUTED_VALUE"""),46003.0)</f>
        <v>46003</v>
      </c>
      <c r="M472" s="540">
        <f>IFERROR(__xludf.DUMMYFUNCTION("""COMPUTED_VALUE"""),46008.0)</f>
        <v>46008</v>
      </c>
      <c r="N472" s="539">
        <f>IFERROR(__xludf.DUMMYFUNCTION("""COMPUTED_VALUE"""),2640.0)</f>
        <v>2640</v>
      </c>
      <c r="O472" s="593">
        <f>IFERROR(__xludf.DUMMYFUNCTION("""COMPUTED_VALUE"""),2400.0)</f>
        <v>2400</v>
      </c>
      <c r="P472" s="594">
        <f>IFERROR(__xludf.DUMMYFUNCTION("""COMPUTED_VALUE"""),1600.0)</f>
        <v>1600</v>
      </c>
      <c r="Q472" s="183"/>
      <c r="R472" s="544"/>
      <c r="S472" s="544"/>
      <c r="T472" s="544"/>
      <c r="U472" s="544"/>
      <c r="V472" s="544"/>
      <c r="W472" s="544"/>
      <c r="X472" s="544"/>
      <c r="Y472" s="544"/>
      <c r="Z472" s="544"/>
      <c r="AA472" s="544"/>
      <c r="AB472" s="544"/>
      <c r="AC472" s="544"/>
      <c r="AD472" s="544"/>
      <c r="AE472" s="183"/>
      <c r="AF472" s="183"/>
      <c r="AG472" s="183"/>
      <c r="AH472" s="183"/>
      <c r="AI472" s="183"/>
      <c r="AJ472" s="183"/>
      <c r="AK472" s="183"/>
      <c r="AL472" s="183"/>
      <c r="AM472" s="183"/>
    </row>
    <row r="473" hidden="1">
      <c r="A473" s="531" t="str">
        <f>IFERROR(__xludf.DUMMYFUNCTION("""COMPUTED_VALUE"""),"サイズ - ウィメンズ")</f>
        <v>サイズ - ウィメンズ</v>
      </c>
      <c r="B473" s="531" t="str">
        <f>IFERROR(__xludf.DUMMYFUNCTION("""COMPUTED_VALUE"""),"スラックス / カジュアルパンツ")</f>
        <v>スラックス / カジュアルパンツ</v>
      </c>
      <c r="C473" s="531" t="str">
        <f>IFERROR(__xludf.DUMMYFUNCTION("""COMPUTED_VALUE"""),"ひざ巾")</f>
        <v>ひざ巾</v>
      </c>
      <c r="D473" s="533" t="str">
        <f>IFERROR(__xludf.DUMMYFUNCTION("""COMPUTED_VALUE"""),"裏地あり")</f>
        <v>裏地あり</v>
      </c>
      <c r="E473" s="533"/>
      <c r="F473" s="534" t="str">
        <f>IFERROR(__xludf.DUMMYFUNCTION("""COMPUTED_VALUE"""),"ひざ巾 / 裏地あり")</f>
        <v>ひざ巾 / 裏地あり</v>
      </c>
      <c r="G473" s="533" t="str">
        <f>IFERROR(__xludf.DUMMYFUNCTION("""COMPUTED_VALUE"""),"ひざ巾 / 裏地あり")</f>
        <v>ひざ巾 / 裏地あり</v>
      </c>
      <c r="H473" s="572" t="str">
        <f>IFERROR(__xludf.DUMMYFUNCTION("""COMPUTED_VALUE"""),"-1")</f>
        <v>-1</v>
      </c>
      <c r="I473" s="537"/>
      <c r="J473" s="538">
        <f>IFERROR(__xludf.DUMMYFUNCTION("""COMPUTED_VALUE"""),5.0)</f>
        <v>5</v>
      </c>
      <c r="K473" s="537">
        <f>IFERROR(__xludf.DUMMYFUNCTION("""COMPUTED_VALUE"""),45996.0)</f>
        <v>45996</v>
      </c>
      <c r="L473" s="539">
        <f>IFERROR(__xludf.DUMMYFUNCTION("""COMPUTED_VALUE"""),46003.0)</f>
        <v>46003</v>
      </c>
      <c r="M473" s="540">
        <f>IFERROR(__xludf.DUMMYFUNCTION("""COMPUTED_VALUE"""),46008.0)</f>
        <v>46008</v>
      </c>
      <c r="N473" s="539">
        <f>IFERROR(__xludf.DUMMYFUNCTION("""COMPUTED_VALUE"""),2640.0)</f>
        <v>2640</v>
      </c>
      <c r="O473" s="593">
        <f>IFERROR(__xludf.DUMMYFUNCTION("""COMPUTED_VALUE"""),2400.0)</f>
        <v>2400</v>
      </c>
      <c r="P473" s="594">
        <f>IFERROR(__xludf.DUMMYFUNCTION("""COMPUTED_VALUE"""),1600.0)</f>
        <v>1600</v>
      </c>
      <c r="Q473" s="183"/>
      <c r="R473" s="544"/>
      <c r="S473" s="544"/>
      <c r="T473" s="544"/>
      <c r="U473" s="544"/>
      <c r="V473" s="544"/>
      <c r="W473" s="544"/>
      <c r="X473" s="544"/>
      <c r="Y473" s="544"/>
      <c r="Z473" s="544"/>
      <c r="AA473" s="544"/>
      <c r="AB473" s="544"/>
      <c r="AC473" s="544"/>
      <c r="AD473" s="544"/>
      <c r="AE473" s="183"/>
      <c r="AF473" s="183"/>
      <c r="AG473" s="183"/>
      <c r="AH473" s="183"/>
      <c r="AI473" s="183"/>
      <c r="AJ473" s="183"/>
      <c r="AK473" s="183"/>
      <c r="AL473" s="183"/>
      <c r="AM473" s="183"/>
    </row>
    <row r="474" hidden="1">
      <c r="A474" s="531" t="str">
        <f>IFERROR(__xludf.DUMMYFUNCTION("""COMPUTED_VALUE"""),"サイズ - ウィメンズ")</f>
        <v>サイズ - ウィメンズ</v>
      </c>
      <c r="B474" s="531" t="str">
        <f>IFERROR(__xludf.DUMMYFUNCTION("""COMPUTED_VALUE"""),"スラックス / カジュアルパンツ")</f>
        <v>スラックス / カジュアルパンツ</v>
      </c>
      <c r="C474" s="531" t="str">
        <f>IFERROR(__xludf.DUMMYFUNCTION("""COMPUTED_VALUE"""),"ひざ巾")</f>
        <v>ひざ巾</v>
      </c>
      <c r="D474" s="533" t="str">
        <f>IFERROR(__xludf.DUMMYFUNCTION("""COMPUTED_VALUE"""),"裏地あり")</f>
        <v>裏地あり</v>
      </c>
      <c r="E474" s="533"/>
      <c r="F474" s="534" t="str">
        <f>IFERROR(__xludf.DUMMYFUNCTION("""COMPUTED_VALUE"""),"ひざ巾 / 裏地あり")</f>
        <v>ひざ巾 / 裏地あり</v>
      </c>
      <c r="G474" s="533" t="str">
        <f>IFERROR(__xludf.DUMMYFUNCTION("""COMPUTED_VALUE"""),"ひざ巾 / 裏地あり")</f>
        <v>ひざ巾 / 裏地あり</v>
      </c>
      <c r="H474" s="572" t="str">
        <f>IFERROR(__xludf.DUMMYFUNCTION("""COMPUTED_VALUE"""),"-0.5")</f>
        <v>-0.5</v>
      </c>
      <c r="I474" s="537"/>
      <c r="J474" s="538">
        <f>IFERROR(__xludf.DUMMYFUNCTION("""COMPUTED_VALUE"""),5.0)</f>
        <v>5</v>
      </c>
      <c r="K474" s="537">
        <f>IFERROR(__xludf.DUMMYFUNCTION("""COMPUTED_VALUE"""),45996.0)</f>
        <v>45996</v>
      </c>
      <c r="L474" s="539">
        <f>IFERROR(__xludf.DUMMYFUNCTION("""COMPUTED_VALUE"""),46003.0)</f>
        <v>46003</v>
      </c>
      <c r="M474" s="540">
        <f>IFERROR(__xludf.DUMMYFUNCTION("""COMPUTED_VALUE"""),46008.0)</f>
        <v>46008</v>
      </c>
      <c r="N474" s="539">
        <f>IFERROR(__xludf.DUMMYFUNCTION("""COMPUTED_VALUE"""),2640.0)</f>
        <v>2640</v>
      </c>
      <c r="O474" s="593">
        <f>IFERROR(__xludf.DUMMYFUNCTION("""COMPUTED_VALUE"""),2400.0)</f>
        <v>2400</v>
      </c>
      <c r="P474" s="594">
        <f>IFERROR(__xludf.DUMMYFUNCTION("""COMPUTED_VALUE"""),1600.0)</f>
        <v>1600</v>
      </c>
      <c r="Q474" s="183"/>
      <c r="R474" s="544"/>
      <c r="S474" s="544"/>
      <c r="T474" s="544"/>
      <c r="U474" s="544"/>
      <c r="V474" s="544"/>
      <c r="W474" s="544"/>
      <c r="X474" s="544"/>
      <c r="Y474" s="544"/>
      <c r="Z474" s="544"/>
      <c r="AA474" s="544"/>
      <c r="AB474" s="544"/>
      <c r="AC474" s="544"/>
      <c r="AD474" s="544"/>
      <c r="AE474" s="183"/>
      <c r="AF474" s="183"/>
      <c r="AG474" s="183"/>
      <c r="AH474" s="183"/>
      <c r="AI474" s="183"/>
      <c r="AJ474" s="183"/>
      <c r="AK474" s="183"/>
      <c r="AL474" s="183"/>
      <c r="AM474" s="183"/>
    </row>
    <row r="475" hidden="1">
      <c r="A475" s="531" t="str">
        <f>IFERROR(__xludf.DUMMYFUNCTION("""COMPUTED_VALUE"""),"サイズ - ウィメンズ")</f>
        <v>サイズ - ウィメンズ</v>
      </c>
      <c r="B475" s="531" t="str">
        <f>IFERROR(__xludf.DUMMYFUNCTION("""COMPUTED_VALUE"""),"スラックス / カジュアルパンツ")</f>
        <v>スラックス / カジュアルパンツ</v>
      </c>
      <c r="C475" s="531" t="str">
        <f>IFERROR(__xludf.DUMMYFUNCTION("""COMPUTED_VALUE"""),"ひざ巾")</f>
        <v>ひざ巾</v>
      </c>
      <c r="D475" s="533" t="str">
        <f>IFERROR(__xludf.DUMMYFUNCTION("""COMPUTED_VALUE"""),"裏地あり")</f>
        <v>裏地あり</v>
      </c>
      <c r="E475" s="533"/>
      <c r="F475" s="534" t="str">
        <f>IFERROR(__xludf.DUMMYFUNCTION("""COMPUTED_VALUE"""),"ひざ巾 / 裏地あり")</f>
        <v>ひざ巾 / 裏地あり</v>
      </c>
      <c r="G475" s="533" t="str">
        <f>IFERROR(__xludf.DUMMYFUNCTION("""COMPUTED_VALUE"""),"ひざ巾 / 裏地あり")</f>
        <v>ひざ巾 / 裏地あり</v>
      </c>
      <c r="H475" s="572" t="str">
        <f>IFERROR(__xludf.DUMMYFUNCTION("""COMPUTED_VALUE"""),"0.5")</f>
        <v>0.5</v>
      </c>
      <c r="I475" s="536"/>
      <c r="J475" s="538">
        <f>IFERROR(__xludf.DUMMYFUNCTION("""COMPUTED_VALUE"""),5.0)</f>
        <v>5</v>
      </c>
      <c r="K475" s="537">
        <f>IFERROR(__xludf.DUMMYFUNCTION("""COMPUTED_VALUE"""),45996.0)</f>
        <v>45996</v>
      </c>
      <c r="L475" s="539">
        <f>IFERROR(__xludf.DUMMYFUNCTION("""COMPUTED_VALUE"""),46003.0)</f>
        <v>46003</v>
      </c>
      <c r="M475" s="540">
        <f>IFERROR(__xludf.DUMMYFUNCTION("""COMPUTED_VALUE"""),46008.0)</f>
        <v>46008</v>
      </c>
      <c r="N475" s="539">
        <f>IFERROR(__xludf.DUMMYFUNCTION("""COMPUTED_VALUE"""),2640.0)</f>
        <v>2640</v>
      </c>
      <c r="O475" s="593">
        <f>IFERROR(__xludf.DUMMYFUNCTION("""COMPUTED_VALUE"""),2400.0)</f>
        <v>2400</v>
      </c>
      <c r="P475" s="594">
        <f>IFERROR(__xludf.DUMMYFUNCTION("""COMPUTED_VALUE"""),1600.0)</f>
        <v>1600</v>
      </c>
      <c r="Q475" s="183"/>
      <c r="R475" s="544"/>
      <c r="S475" s="544"/>
      <c r="T475" s="544"/>
      <c r="U475" s="544"/>
      <c r="V475" s="544"/>
      <c r="W475" s="544"/>
      <c r="X475" s="544"/>
      <c r="Y475" s="544"/>
      <c r="Z475" s="544"/>
      <c r="AA475" s="544"/>
      <c r="AB475" s="544"/>
      <c r="AC475" s="544"/>
      <c r="AD475" s="544"/>
      <c r="AE475" s="183"/>
      <c r="AF475" s="183"/>
      <c r="AG475" s="183"/>
      <c r="AH475" s="183"/>
      <c r="AI475" s="183"/>
      <c r="AJ475" s="183"/>
      <c r="AK475" s="183"/>
      <c r="AL475" s="183"/>
      <c r="AM475" s="183"/>
    </row>
    <row r="476" hidden="1">
      <c r="A476" s="531" t="str">
        <f>IFERROR(__xludf.DUMMYFUNCTION("""COMPUTED_VALUE"""),"サイズ - ウィメンズ")</f>
        <v>サイズ - ウィメンズ</v>
      </c>
      <c r="B476" s="531" t="str">
        <f>IFERROR(__xludf.DUMMYFUNCTION("""COMPUTED_VALUE"""),"スラックス / カジュアルパンツ")</f>
        <v>スラックス / カジュアルパンツ</v>
      </c>
      <c r="C476" s="531" t="str">
        <f>IFERROR(__xludf.DUMMYFUNCTION("""COMPUTED_VALUE"""),"ひざ巾")</f>
        <v>ひざ巾</v>
      </c>
      <c r="D476" s="533" t="str">
        <f>IFERROR(__xludf.DUMMYFUNCTION("""COMPUTED_VALUE"""),"裏地なし")</f>
        <v>裏地なし</v>
      </c>
      <c r="E476" s="533"/>
      <c r="F476" s="534" t="str">
        <f>IFERROR(__xludf.DUMMYFUNCTION("""COMPUTED_VALUE"""),"ひざ巾 / 裏地なし")</f>
        <v>ひざ巾 / 裏地なし</v>
      </c>
      <c r="G476" s="533" t="str">
        <f>IFERROR(__xludf.DUMMYFUNCTION("""COMPUTED_VALUE"""),"ひざ巾 / 裏地なし")</f>
        <v>ひざ巾 / 裏地なし</v>
      </c>
      <c r="H476" s="572" t="str">
        <f>IFERROR(__xludf.DUMMYFUNCTION("""COMPUTED_VALUE"""),"-2")</f>
        <v>-2</v>
      </c>
      <c r="I476" s="536"/>
      <c r="J476" s="538">
        <f>IFERROR(__xludf.DUMMYFUNCTION("""COMPUTED_VALUE"""),5.0)</f>
        <v>5</v>
      </c>
      <c r="K476" s="537">
        <f>IFERROR(__xludf.DUMMYFUNCTION("""COMPUTED_VALUE"""),45996.0)</f>
        <v>45996</v>
      </c>
      <c r="L476" s="539">
        <f>IFERROR(__xludf.DUMMYFUNCTION("""COMPUTED_VALUE"""),46003.0)</f>
        <v>46003</v>
      </c>
      <c r="M476" s="540">
        <f>IFERROR(__xludf.DUMMYFUNCTION("""COMPUTED_VALUE"""),46008.0)</f>
        <v>46008</v>
      </c>
      <c r="N476" s="539">
        <f>IFERROR(__xludf.DUMMYFUNCTION("""COMPUTED_VALUE"""),2640.0)</f>
        <v>2640</v>
      </c>
      <c r="O476" s="593">
        <f>IFERROR(__xludf.DUMMYFUNCTION("""COMPUTED_VALUE"""),2400.0)</f>
        <v>2400</v>
      </c>
      <c r="P476" s="594">
        <f>IFERROR(__xludf.DUMMYFUNCTION("""COMPUTED_VALUE"""),1600.0)</f>
        <v>1600</v>
      </c>
      <c r="Q476" s="183"/>
      <c r="R476" s="544"/>
      <c r="S476" s="544"/>
      <c r="T476" s="544"/>
      <c r="U476" s="544"/>
      <c r="V476" s="544"/>
      <c r="W476" s="544"/>
      <c r="X476" s="544"/>
      <c r="Y476" s="544"/>
      <c r="Z476" s="544"/>
      <c r="AA476" s="544"/>
      <c r="AB476" s="544"/>
      <c r="AC476" s="544"/>
      <c r="AD476" s="544"/>
      <c r="AE476" s="183"/>
      <c r="AF476" s="183"/>
      <c r="AG476" s="183"/>
      <c r="AH476" s="183"/>
      <c r="AI476" s="183"/>
      <c r="AJ476" s="183"/>
      <c r="AK476" s="183"/>
      <c r="AL476" s="183"/>
      <c r="AM476" s="183"/>
    </row>
    <row r="477" hidden="1">
      <c r="A477" s="531" t="str">
        <f>IFERROR(__xludf.DUMMYFUNCTION("""COMPUTED_VALUE"""),"サイズ - ウィメンズ")</f>
        <v>サイズ - ウィメンズ</v>
      </c>
      <c r="B477" s="531" t="str">
        <f>IFERROR(__xludf.DUMMYFUNCTION("""COMPUTED_VALUE"""),"スラックス / カジュアルパンツ")</f>
        <v>スラックス / カジュアルパンツ</v>
      </c>
      <c r="C477" s="531" t="str">
        <f>IFERROR(__xludf.DUMMYFUNCTION("""COMPUTED_VALUE"""),"ひざ巾")</f>
        <v>ひざ巾</v>
      </c>
      <c r="D477" s="533" t="str">
        <f>IFERROR(__xludf.DUMMYFUNCTION("""COMPUTED_VALUE"""),"裏地なし")</f>
        <v>裏地なし</v>
      </c>
      <c r="E477" s="533"/>
      <c r="F477" s="534" t="str">
        <f>IFERROR(__xludf.DUMMYFUNCTION("""COMPUTED_VALUE"""),"ひざ巾 / 裏地なし")</f>
        <v>ひざ巾 / 裏地なし</v>
      </c>
      <c r="G477" s="533" t="str">
        <f>IFERROR(__xludf.DUMMYFUNCTION("""COMPUTED_VALUE"""),"ひざ巾 / 裏地なし")</f>
        <v>ひざ巾 / 裏地なし</v>
      </c>
      <c r="H477" s="572" t="str">
        <f>IFERROR(__xludf.DUMMYFUNCTION("""COMPUTED_VALUE"""),"-1.5")</f>
        <v>-1.5</v>
      </c>
      <c r="I477" s="536"/>
      <c r="J477" s="538">
        <f>IFERROR(__xludf.DUMMYFUNCTION("""COMPUTED_VALUE"""),5.0)</f>
        <v>5</v>
      </c>
      <c r="K477" s="537">
        <f>IFERROR(__xludf.DUMMYFUNCTION("""COMPUTED_VALUE"""),45996.0)</f>
        <v>45996</v>
      </c>
      <c r="L477" s="539">
        <f>IFERROR(__xludf.DUMMYFUNCTION("""COMPUTED_VALUE"""),46003.0)</f>
        <v>46003</v>
      </c>
      <c r="M477" s="540">
        <f>IFERROR(__xludf.DUMMYFUNCTION("""COMPUTED_VALUE"""),46008.0)</f>
        <v>46008</v>
      </c>
      <c r="N477" s="539">
        <f>IFERROR(__xludf.DUMMYFUNCTION("""COMPUTED_VALUE"""),2640.0)</f>
        <v>2640</v>
      </c>
      <c r="O477" s="593">
        <f>IFERROR(__xludf.DUMMYFUNCTION("""COMPUTED_VALUE"""),2400.0)</f>
        <v>2400</v>
      </c>
      <c r="P477" s="594">
        <f>IFERROR(__xludf.DUMMYFUNCTION("""COMPUTED_VALUE"""),1600.0)</f>
        <v>1600</v>
      </c>
      <c r="Q477" s="183"/>
      <c r="R477" s="544"/>
      <c r="S477" s="544"/>
      <c r="T477" s="544"/>
      <c r="U477" s="544"/>
      <c r="V477" s="544"/>
      <c r="W477" s="544"/>
      <c r="X477" s="544"/>
      <c r="Y477" s="544"/>
      <c r="Z477" s="544"/>
      <c r="AA477" s="544"/>
      <c r="AB477" s="544"/>
      <c r="AC477" s="544"/>
      <c r="AD477" s="544"/>
      <c r="AE477" s="183"/>
      <c r="AF477" s="183"/>
      <c r="AG477" s="183"/>
      <c r="AH477" s="183"/>
      <c r="AI477" s="183"/>
      <c r="AJ477" s="183"/>
      <c r="AK477" s="183"/>
      <c r="AL477" s="183"/>
      <c r="AM477" s="183"/>
    </row>
    <row r="478" hidden="1">
      <c r="A478" s="531" t="str">
        <f>IFERROR(__xludf.DUMMYFUNCTION("""COMPUTED_VALUE"""),"サイズ - ウィメンズ")</f>
        <v>サイズ - ウィメンズ</v>
      </c>
      <c r="B478" s="531" t="str">
        <f>IFERROR(__xludf.DUMMYFUNCTION("""COMPUTED_VALUE"""),"スラックス / カジュアルパンツ")</f>
        <v>スラックス / カジュアルパンツ</v>
      </c>
      <c r="C478" s="531" t="str">
        <f>IFERROR(__xludf.DUMMYFUNCTION("""COMPUTED_VALUE"""),"ひざ巾")</f>
        <v>ひざ巾</v>
      </c>
      <c r="D478" s="533" t="str">
        <f>IFERROR(__xludf.DUMMYFUNCTION("""COMPUTED_VALUE"""),"裏地なし")</f>
        <v>裏地なし</v>
      </c>
      <c r="E478" s="533"/>
      <c r="F478" s="534" t="str">
        <f>IFERROR(__xludf.DUMMYFUNCTION("""COMPUTED_VALUE"""),"ひざ巾 / 裏地なし")</f>
        <v>ひざ巾 / 裏地なし</v>
      </c>
      <c r="G478" s="533" t="str">
        <f>IFERROR(__xludf.DUMMYFUNCTION("""COMPUTED_VALUE"""),"ひざ巾 / 裏地なし")</f>
        <v>ひざ巾 / 裏地なし</v>
      </c>
      <c r="H478" s="572" t="str">
        <f>IFERROR(__xludf.DUMMYFUNCTION("""COMPUTED_VALUE"""),"-1")</f>
        <v>-1</v>
      </c>
      <c r="I478" s="537"/>
      <c r="J478" s="538">
        <f>IFERROR(__xludf.DUMMYFUNCTION("""COMPUTED_VALUE"""),5.0)</f>
        <v>5</v>
      </c>
      <c r="K478" s="537">
        <f>IFERROR(__xludf.DUMMYFUNCTION("""COMPUTED_VALUE"""),45996.0)</f>
        <v>45996</v>
      </c>
      <c r="L478" s="539">
        <f>IFERROR(__xludf.DUMMYFUNCTION("""COMPUTED_VALUE"""),46003.0)</f>
        <v>46003</v>
      </c>
      <c r="M478" s="540">
        <f>IFERROR(__xludf.DUMMYFUNCTION("""COMPUTED_VALUE"""),46008.0)</f>
        <v>46008</v>
      </c>
      <c r="N478" s="539">
        <f>IFERROR(__xludf.DUMMYFUNCTION("""COMPUTED_VALUE"""),2640.0)</f>
        <v>2640</v>
      </c>
      <c r="O478" s="593">
        <f>IFERROR(__xludf.DUMMYFUNCTION("""COMPUTED_VALUE"""),2400.0)</f>
        <v>2400</v>
      </c>
      <c r="P478" s="594">
        <f>IFERROR(__xludf.DUMMYFUNCTION("""COMPUTED_VALUE"""),1600.0)</f>
        <v>1600</v>
      </c>
      <c r="Q478" s="183"/>
      <c r="R478" s="544"/>
      <c r="S478" s="544"/>
      <c r="T478" s="544"/>
      <c r="U478" s="544"/>
      <c r="V478" s="544"/>
      <c r="W478" s="544"/>
      <c r="X478" s="544"/>
      <c r="Y478" s="544"/>
      <c r="Z478" s="544"/>
      <c r="AA478" s="544"/>
      <c r="AB478" s="544"/>
      <c r="AC478" s="544"/>
      <c r="AD478" s="544"/>
      <c r="AE478" s="183"/>
      <c r="AF478" s="183"/>
      <c r="AG478" s="183"/>
      <c r="AH478" s="183"/>
      <c r="AI478" s="183"/>
      <c r="AJ478" s="183"/>
      <c r="AK478" s="183"/>
      <c r="AL478" s="183"/>
      <c r="AM478" s="183"/>
    </row>
    <row r="479" hidden="1">
      <c r="A479" s="531" t="str">
        <f>IFERROR(__xludf.DUMMYFUNCTION("""COMPUTED_VALUE"""),"サイズ - ウィメンズ")</f>
        <v>サイズ - ウィメンズ</v>
      </c>
      <c r="B479" s="531" t="str">
        <f>IFERROR(__xludf.DUMMYFUNCTION("""COMPUTED_VALUE"""),"スラックス / カジュアルパンツ")</f>
        <v>スラックス / カジュアルパンツ</v>
      </c>
      <c r="C479" s="531" t="str">
        <f>IFERROR(__xludf.DUMMYFUNCTION("""COMPUTED_VALUE"""),"ひざ巾")</f>
        <v>ひざ巾</v>
      </c>
      <c r="D479" s="533" t="str">
        <f>IFERROR(__xludf.DUMMYFUNCTION("""COMPUTED_VALUE"""),"裏地なし")</f>
        <v>裏地なし</v>
      </c>
      <c r="E479" s="533"/>
      <c r="F479" s="534" t="str">
        <f>IFERROR(__xludf.DUMMYFUNCTION("""COMPUTED_VALUE"""),"ひざ巾 / 裏地なし")</f>
        <v>ひざ巾 / 裏地なし</v>
      </c>
      <c r="G479" s="533" t="str">
        <f>IFERROR(__xludf.DUMMYFUNCTION("""COMPUTED_VALUE"""),"ひざ巾 / 裏地なし")</f>
        <v>ひざ巾 / 裏地なし</v>
      </c>
      <c r="H479" s="572" t="str">
        <f>IFERROR(__xludf.DUMMYFUNCTION("""COMPUTED_VALUE"""),"-0.5")</f>
        <v>-0.5</v>
      </c>
      <c r="I479" s="537"/>
      <c r="J479" s="538">
        <f>IFERROR(__xludf.DUMMYFUNCTION("""COMPUTED_VALUE"""),5.0)</f>
        <v>5</v>
      </c>
      <c r="K479" s="537">
        <f>IFERROR(__xludf.DUMMYFUNCTION("""COMPUTED_VALUE"""),45996.0)</f>
        <v>45996</v>
      </c>
      <c r="L479" s="539">
        <f>IFERROR(__xludf.DUMMYFUNCTION("""COMPUTED_VALUE"""),46003.0)</f>
        <v>46003</v>
      </c>
      <c r="M479" s="540">
        <f>IFERROR(__xludf.DUMMYFUNCTION("""COMPUTED_VALUE"""),46008.0)</f>
        <v>46008</v>
      </c>
      <c r="N479" s="539">
        <f>IFERROR(__xludf.DUMMYFUNCTION("""COMPUTED_VALUE"""),2640.0)</f>
        <v>2640</v>
      </c>
      <c r="O479" s="593">
        <f>IFERROR(__xludf.DUMMYFUNCTION("""COMPUTED_VALUE"""),2400.0)</f>
        <v>2400</v>
      </c>
      <c r="P479" s="594">
        <f>IFERROR(__xludf.DUMMYFUNCTION("""COMPUTED_VALUE"""),1600.0)</f>
        <v>1600</v>
      </c>
      <c r="Q479" s="183"/>
      <c r="R479" s="544"/>
      <c r="S479" s="544"/>
      <c r="T479" s="544"/>
      <c r="U479" s="544"/>
      <c r="V479" s="544"/>
      <c r="W479" s="544"/>
      <c r="X479" s="544"/>
      <c r="Y479" s="544"/>
      <c r="Z479" s="544"/>
      <c r="AA479" s="544"/>
      <c r="AB479" s="544"/>
      <c r="AC479" s="544"/>
      <c r="AD479" s="544"/>
      <c r="AE479" s="183"/>
      <c r="AF479" s="183"/>
      <c r="AG479" s="183"/>
      <c r="AH479" s="183"/>
      <c r="AI479" s="183"/>
      <c r="AJ479" s="183"/>
      <c r="AK479" s="183"/>
      <c r="AL479" s="183"/>
      <c r="AM479" s="183"/>
    </row>
    <row r="480" hidden="1">
      <c r="A480" s="531" t="str">
        <f>IFERROR(__xludf.DUMMYFUNCTION("""COMPUTED_VALUE"""),"サイズ - ウィメンズ")</f>
        <v>サイズ - ウィメンズ</v>
      </c>
      <c r="B480" s="531" t="str">
        <f>IFERROR(__xludf.DUMMYFUNCTION("""COMPUTED_VALUE"""),"スラックス / カジュアルパンツ")</f>
        <v>スラックス / カジュアルパンツ</v>
      </c>
      <c r="C480" s="531" t="str">
        <f>IFERROR(__xludf.DUMMYFUNCTION("""COMPUTED_VALUE"""),"ひざ巾")</f>
        <v>ひざ巾</v>
      </c>
      <c r="D480" s="533" t="str">
        <f>IFERROR(__xludf.DUMMYFUNCTION("""COMPUTED_VALUE"""),"裏地なし")</f>
        <v>裏地なし</v>
      </c>
      <c r="E480" s="533"/>
      <c r="F480" s="534" t="str">
        <f>IFERROR(__xludf.DUMMYFUNCTION("""COMPUTED_VALUE"""),"ひざ巾 / 裏地なし")</f>
        <v>ひざ巾 / 裏地なし</v>
      </c>
      <c r="G480" s="533" t="str">
        <f>IFERROR(__xludf.DUMMYFUNCTION("""COMPUTED_VALUE"""),"ひざ巾 / 裏地なし")</f>
        <v>ひざ巾 / 裏地なし</v>
      </c>
      <c r="H480" s="572" t="str">
        <f>IFERROR(__xludf.DUMMYFUNCTION("""COMPUTED_VALUE"""),"0.5")</f>
        <v>0.5</v>
      </c>
      <c r="I480" s="536"/>
      <c r="J480" s="538">
        <f>IFERROR(__xludf.DUMMYFUNCTION("""COMPUTED_VALUE"""),5.0)</f>
        <v>5</v>
      </c>
      <c r="K480" s="537">
        <f>IFERROR(__xludf.DUMMYFUNCTION("""COMPUTED_VALUE"""),45996.0)</f>
        <v>45996</v>
      </c>
      <c r="L480" s="539">
        <f>IFERROR(__xludf.DUMMYFUNCTION("""COMPUTED_VALUE"""),46003.0)</f>
        <v>46003</v>
      </c>
      <c r="M480" s="540">
        <f>IFERROR(__xludf.DUMMYFUNCTION("""COMPUTED_VALUE"""),46008.0)</f>
        <v>46008</v>
      </c>
      <c r="N480" s="539">
        <f>IFERROR(__xludf.DUMMYFUNCTION("""COMPUTED_VALUE"""),2640.0)</f>
        <v>2640</v>
      </c>
      <c r="O480" s="593">
        <f>IFERROR(__xludf.DUMMYFUNCTION("""COMPUTED_VALUE"""),2400.0)</f>
        <v>2400</v>
      </c>
      <c r="P480" s="594">
        <f>IFERROR(__xludf.DUMMYFUNCTION("""COMPUTED_VALUE"""),1600.0)</f>
        <v>1600</v>
      </c>
      <c r="Q480" s="183"/>
      <c r="R480" s="544"/>
      <c r="S480" s="544"/>
      <c r="T480" s="544"/>
      <c r="U480" s="544"/>
      <c r="V480" s="544"/>
      <c r="W480" s="544"/>
      <c r="X480" s="544"/>
      <c r="Y480" s="544"/>
      <c r="Z480" s="544"/>
      <c r="AA480" s="544"/>
      <c r="AB480" s="544"/>
      <c r="AC480" s="544"/>
      <c r="AD480" s="544"/>
      <c r="AE480" s="183"/>
      <c r="AF480" s="183"/>
      <c r="AG480" s="183"/>
      <c r="AH480" s="183"/>
      <c r="AI480" s="183"/>
      <c r="AJ480" s="183"/>
      <c r="AK480" s="183"/>
      <c r="AL480" s="183"/>
      <c r="AM480" s="183"/>
    </row>
    <row r="481" hidden="1">
      <c r="A481" s="531" t="str">
        <f>IFERROR(__xludf.DUMMYFUNCTION("""COMPUTED_VALUE"""),"サイズ - ウィメンズ")</f>
        <v>サイズ - ウィメンズ</v>
      </c>
      <c r="B481" s="531" t="str">
        <f>IFERROR(__xludf.DUMMYFUNCTION("""COMPUTED_VALUE"""),"スラックス / カジュアルパンツ")</f>
        <v>スラックス / カジュアルパンツ</v>
      </c>
      <c r="C481" s="531" t="str">
        <f>IFERROR(__xludf.DUMMYFUNCTION("""COMPUTED_VALUE"""),"ひざ巾")</f>
        <v>ひざ巾</v>
      </c>
      <c r="D481" s="533" t="str">
        <f>IFERROR(__xludf.DUMMYFUNCTION("""COMPUTED_VALUE"""),"裏地なし")</f>
        <v>裏地なし</v>
      </c>
      <c r="E481" s="533"/>
      <c r="F481" s="534" t="str">
        <f>IFERROR(__xludf.DUMMYFUNCTION("""COMPUTED_VALUE"""),"ひざ巾 / 裏地なし")</f>
        <v>ひざ巾 / 裏地なし</v>
      </c>
      <c r="G481" s="533" t="str">
        <f>IFERROR(__xludf.DUMMYFUNCTION("""COMPUTED_VALUE"""),"ひざ巾 / 裏地なし")</f>
        <v>ひざ巾 / 裏地なし</v>
      </c>
      <c r="H481" s="572" t="str">
        <f>IFERROR(__xludf.DUMMYFUNCTION("""COMPUTED_VALUE"""),"1")</f>
        <v>1</v>
      </c>
      <c r="I481" s="536"/>
      <c r="J481" s="538">
        <f>IFERROR(__xludf.DUMMYFUNCTION("""COMPUTED_VALUE"""),5.0)</f>
        <v>5</v>
      </c>
      <c r="K481" s="537">
        <f>IFERROR(__xludf.DUMMYFUNCTION("""COMPUTED_VALUE"""),45996.0)</f>
        <v>45996</v>
      </c>
      <c r="L481" s="539">
        <f>IFERROR(__xludf.DUMMYFUNCTION("""COMPUTED_VALUE"""),46003.0)</f>
        <v>46003</v>
      </c>
      <c r="M481" s="540">
        <f>IFERROR(__xludf.DUMMYFUNCTION("""COMPUTED_VALUE"""),46008.0)</f>
        <v>46008</v>
      </c>
      <c r="N481" s="539">
        <f>IFERROR(__xludf.DUMMYFUNCTION("""COMPUTED_VALUE"""),2640.0)</f>
        <v>2640</v>
      </c>
      <c r="O481" s="593">
        <f>IFERROR(__xludf.DUMMYFUNCTION("""COMPUTED_VALUE"""),2400.0)</f>
        <v>2400</v>
      </c>
      <c r="P481" s="594">
        <f>IFERROR(__xludf.DUMMYFUNCTION("""COMPUTED_VALUE"""),1600.0)</f>
        <v>1600</v>
      </c>
      <c r="Q481" s="183"/>
      <c r="R481" s="544"/>
      <c r="S481" s="544"/>
      <c r="T481" s="544"/>
      <c r="U481" s="544"/>
      <c r="V481" s="544"/>
      <c r="W481" s="544"/>
      <c r="X481" s="544"/>
      <c r="Y481" s="544"/>
      <c r="Z481" s="544"/>
      <c r="AA481" s="544"/>
      <c r="AB481" s="544"/>
      <c r="AC481" s="544"/>
      <c r="AD481" s="544"/>
      <c r="AE481" s="183"/>
      <c r="AF481" s="183"/>
      <c r="AG481" s="183"/>
      <c r="AH481" s="183"/>
      <c r="AI481" s="183"/>
      <c r="AJ481" s="183"/>
      <c r="AK481" s="183"/>
      <c r="AL481" s="183"/>
      <c r="AM481" s="183"/>
    </row>
    <row r="482" hidden="1">
      <c r="A482" s="531" t="str">
        <f>IFERROR(__xludf.DUMMYFUNCTION("""COMPUTED_VALUE"""),"サイズ - ウィメンズ")</f>
        <v>サイズ - ウィメンズ</v>
      </c>
      <c r="B482" s="531" t="str">
        <f>IFERROR(__xludf.DUMMYFUNCTION("""COMPUTED_VALUE"""),"スラックス / カジュアルパンツ")</f>
        <v>スラックス / カジュアルパンツ</v>
      </c>
      <c r="C482" s="531" t="str">
        <f>IFERROR(__xludf.DUMMYFUNCTION("""COMPUTED_VALUE"""),"すそ口巾")</f>
        <v>すそ口巾</v>
      </c>
      <c r="D482" s="533" t="str">
        <f>IFERROR(__xludf.DUMMYFUNCTION("""COMPUTED_VALUE"""),"裏地あり")</f>
        <v>裏地あり</v>
      </c>
      <c r="E482" s="533"/>
      <c r="F482" s="534" t="str">
        <f>IFERROR(__xludf.DUMMYFUNCTION("""COMPUTED_VALUE"""),"すそ口巾 / 裏地あり")</f>
        <v>すそ口巾 / 裏地あり</v>
      </c>
      <c r="G482" s="533" t="str">
        <f>IFERROR(__xludf.DUMMYFUNCTION("""COMPUTED_VALUE"""),"すそ口巾 / 裏地あり")</f>
        <v>すそ口巾 / 裏地あり</v>
      </c>
      <c r="H482" s="572" t="str">
        <f>IFERROR(__xludf.DUMMYFUNCTION("""COMPUTED_VALUE"""),"-2")</f>
        <v>-2</v>
      </c>
      <c r="I482" s="536"/>
      <c r="J482" s="538">
        <f>IFERROR(__xludf.DUMMYFUNCTION("""COMPUTED_VALUE"""),5.0)</f>
        <v>5</v>
      </c>
      <c r="K482" s="537">
        <f>IFERROR(__xludf.DUMMYFUNCTION("""COMPUTED_VALUE"""),45996.0)</f>
        <v>45996</v>
      </c>
      <c r="L482" s="539">
        <f>IFERROR(__xludf.DUMMYFUNCTION("""COMPUTED_VALUE"""),46003.0)</f>
        <v>46003</v>
      </c>
      <c r="M482" s="540">
        <f>IFERROR(__xludf.DUMMYFUNCTION("""COMPUTED_VALUE"""),46008.0)</f>
        <v>46008</v>
      </c>
      <c r="N482" s="539">
        <f>IFERROR(__xludf.DUMMYFUNCTION("""COMPUTED_VALUE"""),4460.0)</f>
        <v>4460</v>
      </c>
      <c r="O482" s="593">
        <f>IFERROR(__xludf.DUMMYFUNCTION("""COMPUTED_VALUE"""),4050.0)</f>
        <v>4050</v>
      </c>
      <c r="P482" s="594">
        <f>IFERROR(__xludf.DUMMYFUNCTION("""COMPUTED_VALUE"""),2700.0)</f>
        <v>2700</v>
      </c>
      <c r="Q482" s="183"/>
      <c r="R482" s="544"/>
      <c r="S482" s="544"/>
      <c r="T482" s="544"/>
      <c r="U482" s="544"/>
      <c r="V482" s="544"/>
      <c r="W482" s="544"/>
      <c r="X482" s="544"/>
      <c r="Y482" s="544"/>
      <c r="Z482" s="544"/>
      <c r="AA482" s="544"/>
      <c r="AB482" s="544"/>
      <c r="AC482" s="544"/>
      <c r="AD482" s="544"/>
      <c r="AE482" s="183"/>
      <c r="AF482" s="183"/>
      <c r="AG482" s="183"/>
      <c r="AH482" s="183"/>
      <c r="AI482" s="183"/>
      <c r="AJ482" s="183"/>
      <c r="AK482" s="183"/>
      <c r="AL482" s="183"/>
      <c r="AM482" s="183"/>
    </row>
    <row r="483" hidden="1">
      <c r="A483" s="531" t="str">
        <f>IFERROR(__xludf.DUMMYFUNCTION("""COMPUTED_VALUE"""),"サイズ - ウィメンズ")</f>
        <v>サイズ - ウィメンズ</v>
      </c>
      <c r="B483" s="531" t="str">
        <f>IFERROR(__xludf.DUMMYFUNCTION("""COMPUTED_VALUE"""),"スラックス / カジュアルパンツ")</f>
        <v>スラックス / カジュアルパンツ</v>
      </c>
      <c r="C483" s="531" t="str">
        <f>IFERROR(__xludf.DUMMYFUNCTION("""COMPUTED_VALUE"""),"すそ口巾")</f>
        <v>すそ口巾</v>
      </c>
      <c r="D483" s="533" t="str">
        <f>IFERROR(__xludf.DUMMYFUNCTION("""COMPUTED_VALUE"""),"裏地あり")</f>
        <v>裏地あり</v>
      </c>
      <c r="E483" s="533"/>
      <c r="F483" s="534" t="str">
        <f>IFERROR(__xludf.DUMMYFUNCTION("""COMPUTED_VALUE"""),"すそ口巾 / 裏地あり")</f>
        <v>すそ口巾 / 裏地あり</v>
      </c>
      <c r="G483" s="533" t="str">
        <f>IFERROR(__xludf.DUMMYFUNCTION("""COMPUTED_VALUE"""),"すそ口巾 / 裏地あり")</f>
        <v>すそ口巾 / 裏地あり</v>
      </c>
      <c r="H483" s="572" t="str">
        <f>IFERROR(__xludf.DUMMYFUNCTION("""COMPUTED_VALUE"""),"-1.5")</f>
        <v>-1.5</v>
      </c>
      <c r="I483" s="537"/>
      <c r="J483" s="538">
        <f>IFERROR(__xludf.DUMMYFUNCTION("""COMPUTED_VALUE"""),5.0)</f>
        <v>5</v>
      </c>
      <c r="K483" s="537">
        <f>IFERROR(__xludf.DUMMYFUNCTION("""COMPUTED_VALUE"""),45996.0)</f>
        <v>45996</v>
      </c>
      <c r="L483" s="539">
        <f>IFERROR(__xludf.DUMMYFUNCTION("""COMPUTED_VALUE"""),46003.0)</f>
        <v>46003</v>
      </c>
      <c r="M483" s="540">
        <f>IFERROR(__xludf.DUMMYFUNCTION("""COMPUTED_VALUE"""),46008.0)</f>
        <v>46008</v>
      </c>
      <c r="N483" s="539">
        <f>IFERROR(__xludf.DUMMYFUNCTION("""COMPUTED_VALUE"""),4460.0)</f>
        <v>4460</v>
      </c>
      <c r="O483" s="593">
        <f>IFERROR(__xludf.DUMMYFUNCTION("""COMPUTED_VALUE"""),4050.0)</f>
        <v>4050</v>
      </c>
      <c r="P483" s="594">
        <f>IFERROR(__xludf.DUMMYFUNCTION("""COMPUTED_VALUE"""),2700.0)</f>
        <v>2700</v>
      </c>
      <c r="Q483" s="183"/>
      <c r="R483" s="544"/>
      <c r="S483" s="544"/>
      <c r="T483" s="544"/>
      <c r="U483" s="544"/>
      <c r="V483" s="544"/>
      <c r="W483" s="544"/>
      <c r="X483" s="544"/>
      <c r="Y483" s="544"/>
      <c r="Z483" s="544"/>
      <c r="AA483" s="544"/>
      <c r="AB483" s="544"/>
      <c r="AC483" s="544"/>
      <c r="AD483" s="544"/>
      <c r="AE483" s="183"/>
      <c r="AF483" s="183"/>
      <c r="AG483" s="183"/>
      <c r="AH483" s="183"/>
      <c r="AI483" s="183"/>
      <c r="AJ483" s="183"/>
      <c r="AK483" s="183"/>
      <c r="AL483" s="183"/>
      <c r="AM483" s="183"/>
    </row>
    <row r="484" hidden="1">
      <c r="A484" s="531" t="str">
        <f>IFERROR(__xludf.DUMMYFUNCTION("""COMPUTED_VALUE"""),"サイズ - ウィメンズ")</f>
        <v>サイズ - ウィメンズ</v>
      </c>
      <c r="B484" s="531" t="str">
        <f>IFERROR(__xludf.DUMMYFUNCTION("""COMPUTED_VALUE"""),"スラックス / カジュアルパンツ")</f>
        <v>スラックス / カジュアルパンツ</v>
      </c>
      <c r="C484" s="531" t="str">
        <f>IFERROR(__xludf.DUMMYFUNCTION("""COMPUTED_VALUE"""),"すそ口巾")</f>
        <v>すそ口巾</v>
      </c>
      <c r="D484" s="533" t="str">
        <f>IFERROR(__xludf.DUMMYFUNCTION("""COMPUTED_VALUE"""),"裏地あり")</f>
        <v>裏地あり</v>
      </c>
      <c r="E484" s="533"/>
      <c r="F484" s="534" t="str">
        <f>IFERROR(__xludf.DUMMYFUNCTION("""COMPUTED_VALUE"""),"すそ口巾 / 裏地あり")</f>
        <v>すそ口巾 / 裏地あり</v>
      </c>
      <c r="G484" s="533" t="str">
        <f>IFERROR(__xludf.DUMMYFUNCTION("""COMPUTED_VALUE"""),"すそ口巾 / 裏地あり")</f>
        <v>すそ口巾 / 裏地あり</v>
      </c>
      <c r="H484" s="572" t="str">
        <f>IFERROR(__xludf.DUMMYFUNCTION("""COMPUTED_VALUE"""),"-1")</f>
        <v>-1</v>
      </c>
      <c r="I484" s="537"/>
      <c r="J484" s="538">
        <f>IFERROR(__xludf.DUMMYFUNCTION("""COMPUTED_VALUE"""),5.0)</f>
        <v>5</v>
      </c>
      <c r="K484" s="537">
        <f>IFERROR(__xludf.DUMMYFUNCTION("""COMPUTED_VALUE"""),45996.0)</f>
        <v>45996</v>
      </c>
      <c r="L484" s="539">
        <f>IFERROR(__xludf.DUMMYFUNCTION("""COMPUTED_VALUE"""),46003.0)</f>
        <v>46003</v>
      </c>
      <c r="M484" s="540">
        <f>IFERROR(__xludf.DUMMYFUNCTION("""COMPUTED_VALUE"""),46008.0)</f>
        <v>46008</v>
      </c>
      <c r="N484" s="539">
        <f>IFERROR(__xludf.DUMMYFUNCTION("""COMPUTED_VALUE"""),4460.0)</f>
        <v>4460</v>
      </c>
      <c r="O484" s="593">
        <f>IFERROR(__xludf.DUMMYFUNCTION("""COMPUTED_VALUE"""),4050.0)</f>
        <v>4050</v>
      </c>
      <c r="P484" s="594">
        <f>IFERROR(__xludf.DUMMYFUNCTION("""COMPUTED_VALUE"""),2700.0)</f>
        <v>2700</v>
      </c>
      <c r="Q484" s="183"/>
      <c r="R484" s="544"/>
      <c r="S484" s="544"/>
      <c r="T484" s="544"/>
      <c r="U484" s="544"/>
      <c r="V484" s="544"/>
      <c r="W484" s="544"/>
      <c r="X484" s="544"/>
      <c r="Y484" s="544"/>
      <c r="Z484" s="544"/>
      <c r="AA484" s="544"/>
      <c r="AB484" s="544"/>
      <c r="AC484" s="544"/>
      <c r="AD484" s="544"/>
      <c r="AE484" s="183"/>
      <c r="AF484" s="183"/>
      <c r="AG484" s="183"/>
      <c r="AH484" s="183"/>
      <c r="AI484" s="183"/>
      <c r="AJ484" s="183"/>
      <c r="AK484" s="183"/>
      <c r="AL484" s="183"/>
      <c r="AM484" s="183"/>
    </row>
    <row r="485" hidden="1">
      <c r="A485" s="531" t="str">
        <f>IFERROR(__xludf.DUMMYFUNCTION("""COMPUTED_VALUE"""),"サイズ - ウィメンズ")</f>
        <v>サイズ - ウィメンズ</v>
      </c>
      <c r="B485" s="531" t="str">
        <f>IFERROR(__xludf.DUMMYFUNCTION("""COMPUTED_VALUE"""),"スラックス / カジュアルパンツ")</f>
        <v>スラックス / カジュアルパンツ</v>
      </c>
      <c r="C485" s="531" t="str">
        <f>IFERROR(__xludf.DUMMYFUNCTION("""COMPUTED_VALUE"""),"すそ口巾")</f>
        <v>すそ口巾</v>
      </c>
      <c r="D485" s="533" t="str">
        <f>IFERROR(__xludf.DUMMYFUNCTION("""COMPUTED_VALUE"""),"裏地あり")</f>
        <v>裏地あり</v>
      </c>
      <c r="E485" s="533"/>
      <c r="F485" s="534" t="str">
        <f>IFERROR(__xludf.DUMMYFUNCTION("""COMPUTED_VALUE"""),"すそ口巾 / 裏地あり")</f>
        <v>すそ口巾 / 裏地あり</v>
      </c>
      <c r="G485" s="533" t="str">
        <f>IFERROR(__xludf.DUMMYFUNCTION("""COMPUTED_VALUE"""),"すそ口巾 / 裏地あり")</f>
        <v>すそ口巾 / 裏地あり</v>
      </c>
      <c r="H485" s="572" t="str">
        <f>IFERROR(__xludf.DUMMYFUNCTION("""COMPUTED_VALUE"""),"-0.5")</f>
        <v>-0.5</v>
      </c>
      <c r="I485" s="536"/>
      <c r="J485" s="538">
        <f>IFERROR(__xludf.DUMMYFUNCTION("""COMPUTED_VALUE"""),5.0)</f>
        <v>5</v>
      </c>
      <c r="K485" s="537">
        <f>IFERROR(__xludf.DUMMYFUNCTION("""COMPUTED_VALUE"""),45996.0)</f>
        <v>45996</v>
      </c>
      <c r="L485" s="539">
        <f>IFERROR(__xludf.DUMMYFUNCTION("""COMPUTED_VALUE"""),46003.0)</f>
        <v>46003</v>
      </c>
      <c r="M485" s="540">
        <f>IFERROR(__xludf.DUMMYFUNCTION("""COMPUTED_VALUE"""),46008.0)</f>
        <v>46008</v>
      </c>
      <c r="N485" s="539">
        <f>IFERROR(__xludf.DUMMYFUNCTION("""COMPUTED_VALUE"""),4460.0)</f>
        <v>4460</v>
      </c>
      <c r="O485" s="593">
        <f>IFERROR(__xludf.DUMMYFUNCTION("""COMPUTED_VALUE"""),4050.0)</f>
        <v>4050</v>
      </c>
      <c r="P485" s="594">
        <f>IFERROR(__xludf.DUMMYFUNCTION("""COMPUTED_VALUE"""),2700.0)</f>
        <v>2700</v>
      </c>
      <c r="Q485" s="183"/>
      <c r="R485" s="544"/>
      <c r="S485" s="544"/>
      <c r="T485" s="544"/>
      <c r="U485" s="544"/>
      <c r="V485" s="544"/>
      <c r="W485" s="544"/>
      <c r="X485" s="544"/>
      <c r="Y485" s="544"/>
      <c r="Z485" s="544"/>
      <c r="AA485" s="544"/>
      <c r="AB485" s="544"/>
      <c r="AC485" s="544"/>
      <c r="AD485" s="544"/>
      <c r="AE485" s="183"/>
      <c r="AF485" s="183"/>
      <c r="AG485" s="183"/>
      <c r="AH485" s="183"/>
      <c r="AI485" s="183"/>
      <c r="AJ485" s="183"/>
      <c r="AK485" s="183"/>
      <c r="AL485" s="183"/>
      <c r="AM485" s="183"/>
    </row>
    <row r="486" hidden="1">
      <c r="A486" s="531" t="str">
        <f>IFERROR(__xludf.DUMMYFUNCTION("""COMPUTED_VALUE"""),"サイズ - ウィメンズ")</f>
        <v>サイズ - ウィメンズ</v>
      </c>
      <c r="B486" s="531" t="str">
        <f>IFERROR(__xludf.DUMMYFUNCTION("""COMPUTED_VALUE"""),"スラックス / カジュアルパンツ")</f>
        <v>スラックス / カジュアルパンツ</v>
      </c>
      <c r="C486" s="531" t="str">
        <f>IFERROR(__xludf.DUMMYFUNCTION("""COMPUTED_VALUE"""),"すそ口巾")</f>
        <v>すそ口巾</v>
      </c>
      <c r="D486" s="533" t="str">
        <f>IFERROR(__xludf.DUMMYFUNCTION("""COMPUTED_VALUE"""),"裏地あり")</f>
        <v>裏地あり</v>
      </c>
      <c r="E486" s="533"/>
      <c r="F486" s="534" t="str">
        <f>IFERROR(__xludf.DUMMYFUNCTION("""COMPUTED_VALUE"""),"すそ口巾 / 裏地あり")</f>
        <v>すそ口巾 / 裏地あり</v>
      </c>
      <c r="G486" s="533" t="str">
        <f>IFERROR(__xludf.DUMMYFUNCTION("""COMPUTED_VALUE"""),"すそ口巾 / 裏地あり")</f>
        <v>すそ口巾 / 裏地あり</v>
      </c>
      <c r="H486" s="572" t="str">
        <f>IFERROR(__xludf.DUMMYFUNCTION("""COMPUTED_VALUE"""),"0.5")</f>
        <v>0.5</v>
      </c>
      <c r="I486" s="536"/>
      <c r="J486" s="538">
        <f>IFERROR(__xludf.DUMMYFUNCTION("""COMPUTED_VALUE"""),5.0)</f>
        <v>5</v>
      </c>
      <c r="K486" s="537">
        <f>IFERROR(__xludf.DUMMYFUNCTION("""COMPUTED_VALUE"""),45996.0)</f>
        <v>45996</v>
      </c>
      <c r="L486" s="539">
        <f>IFERROR(__xludf.DUMMYFUNCTION("""COMPUTED_VALUE"""),46003.0)</f>
        <v>46003</v>
      </c>
      <c r="M486" s="664">
        <f>IFERROR(__xludf.DUMMYFUNCTION("""COMPUTED_VALUE"""),46008.0)</f>
        <v>46008</v>
      </c>
      <c r="N486" s="539">
        <f>IFERROR(__xludf.DUMMYFUNCTION("""COMPUTED_VALUE"""),4460.0)</f>
        <v>4460</v>
      </c>
      <c r="O486" s="593">
        <f>IFERROR(__xludf.DUMMYFUNCTION("""COMPUTED_VALUE"""),4050.0)</f>
        <v>4050</v>
      </c>
      <c r="P486" s="594">
        <f>IFERROR(__xludf.DUMMYFUNCTION("""COMPUTED_VALUE"""),2700.0)</f>
        <v>2700</v>
      </c>
      <c r="Q486" s="183"/>
      <c r="R486" s="544"/>
      <c r="S486" s="544"/>
      <c r="T486" s="544"/>
      <c r="U486" s="544"/>
      <c r="V486" s="544"/>
      <c r="W486" s="544"/>
      <c r="X486" s="544"/>
      <c r="Y486" s="544"/>
      <c r="Z486" s="544"/>
      <c r="AA486" s="544"/>
      <c r="AB486" s="544"/>
      <c r="AC486" s="544"/>
      <c r="AD486" s="544"/>
      <c r="AE486" s="183"/>
      <c r="AF486" s="183"/>
      <c r="AG486" s="183"/>
      <c r="AH486" s="183"/>
      <c r="AI486" s="183"/>
      <c r="AJ486" s="183"/>
      <c r="AK486" s="183"/>
      <c r="AL486" s="183"/>
      <c r="AM486" s="183"/>
    </row>
    <row r="487" hidden="1">
      <c r="A487" s="531" t="str">
        <f>IFERROR(__xludf.DUMMYFUNCTION("""COMPUTED_VALUE"""),"サイズ - ウィメンズ")</f>
        <v>サイズ - ウィメンズ</v>
      </c>
      <c r="B487" s="531" t="str">
        <f>IFERROR(__xludf.DUMMYFUNCTION("""COMPUTED_VALUE"""),"スラックス / カジュアルパンツ")</f>
        <v>スラックス / カジュアルパンツ</v>
      </c>
      <c r="C487" s="531" t="str">
        <f>IFERROR(__xludf.DUMMYFUNCTION("""COMPUTED_VALUE"""),"すそ口巾")</f>
        <v>すそ口巾</v>
      </c>
      <c r="D487" s="533" t="str">
        <f>IFERROR(__xludf.DUMMYFUNCTION("""COMPUTED_VALUE"""),"裏地なし")</f>
        <v>裏地なし</v>
      </c>
      <c r="E487" s="533"/>
      <c r="F487" s="534" t="str">
        <f>IFERROR(__xludf.DUMMYFUNCTION("""COMPUTED_VALUE"""),"すそ口巾 / 裏地なし")</f>
        <v>すそ口巾 / 裏地なし</v>
      </c>
      <c r="G487" s="533" t="str">
        <f>IFERROR(__xludf.DUMMYFUNCTION("""COMPUTED_VALUE"""),"すそ口巾 / 裏地なし")</f>
        <v>すそ口巾 / 裏地なし</v>
      </c>
      <c r="H487" s="572" t="str">
        <f>IFERROR(__xludf.DUMMYFUNCTION("""COMPUTED_VALUE"""),"-2")</f>
        <v>-2</v>
      </c>
      <c r="I487" s="536"/>
      <c r="J487" s="538">
        <f>IFERROR(__xludf.DUMMYFUNCTION("""COMPUTED_VALUE"""),5.0)</f>
        <v>5</v>
      </c>
      <c r="K487" s="537">
        <f>IFERROR(__xludf.DUMMYFUNCTION("""COMPUTED_VALUE"""),45996.0)</f>
        <v>45996</v>
      </c>
      <c r="L487" s="539">
        <f>IFERROR(__xludf.DUMMYFUNCTION("""COMPUTED_VALUE"""),46003.0)</f>
        <v>46003</v>
      </c>
      <c r="M487" s="540">
        <f>IFERROR(__xludf.DUMMYFUNCTION("""COMPUTED_VALUE"""),46008.0)</f>
        <v>46008</v>
      </c>
      <c r="N487" s="539">
        <f>IFERROR(__xludf.DUMMYFUNCTION("""COMPUTED_VALUE"""),4460.0)</f>
        <v>4460</v>
      </c>
      <c r="O487" s="593">
        <f>IFERROR(__xludf.DUMMYFUNCTION("""COMPUTED_VALUE"""),4050.0)</f>
        <v>4050</v>
      </c>
      <c r="P487" s="594">
        <f>IFERROR(__xludf.DUMMYFUNCTION("""COMPUTED_VALUE"""),2700.0)</f>
        <v>2700</v>
      </c>
      <c r="Q487" s="183"/>
      <c r="R487" s="544"/>
      <c r="S487" s="544"/>
      <c r="T487" s="544"/>
      <c r="U487" s="544"/>
      <c r="V487" s="544"/>
      <c r="W487" s="544"/>
      <c r="X487" s="544"/>
      <c r="Y487" s="544"/>
      <c r="Z487" s="544"/>
      <c r="AA487" s="544"/>
      <c r="AB487" s="544"/>
      <c r="AC487" s="544"/>
      <c r="AD487" s="544"/>
      <c r="AE487" s="183"/>
      <c r="AF487" s="183"/>
      <c r="AG487" s="183"/>
      <c r="AH487" s="183"/>
      <c r="AI487" s="183"/>
      <c r="AJ487" s="183"/>
      <c r="AK487" s="183"/>
      <c r="AL487" s="183"/>
      <c r="AM487" s="183"/>
    </row>
    <row r="488" hidden="1">
      <c r="A488" s="531" t="str">
        <f>IFERROR(__xludf.DUMMYFUNCTION("""COMPUTED_VALUE"""),"サイズ - ウィメンズ")</f>
        <v>サイズ - ウィメンズ</v>
      </c>
      <c r="B488" s="531" t="str">
        <f>IFERROR(__xludf.DUMMYFUNCTION("""COMPUTED_VALUE"""),"スラックス / カジュアルパンツ")</f>
        <v>スラックス / カジュアルパンツ</v>
      </c>
      <c r="C488" s="531" t="str">
        <f>IFERROR(__xludf.DUMMYFUNCTION("""COMPUTED_VALUE"""),"すそ口巾")</f>
        <v>すそ口巾</v>
      </c>
      <c r="D488" s="533" t="str">
        <f>IFERROR(__xludf.DUMMYFUNCTION("""COMPUTED_VALUE"""),"裏地なし")</f>
        <v>裏地なし</v>
      </c>
      <c r="E488" s="533"/>
      <c r="F488" s="534" t="str">
        <f>IFERROR(__xludf.DUMMYFUNCTION("""COMPUTED_VALUE"""),"すそ口巾 / 裏地なし")</f>
        <v>すそ口巾 / 裏地なし</v>
      </c>
      <c r="G488" s="533" t="str">
        <f>IFERROR(__xludf.DUMMYFUNCTION("""COMPUTED_VALUE"""),"すそ口巾 / 裏地なし")</f>
        <v>すそ口巾 / 裏地なし</v>
      </c>
      <c r="H488" s="572" t="str">
        <f>IFERROR(__xludf.DUMMYFUNCTION("""COMPUTED_VALUE"""),"-1.5")</f>
        <v>-1.5</v>
      </c>
      <c r="I488" s="536"/>
      <c r="J488" s="538">
        <f>IFERROR(__xludf.DUMMYFUNCTION("""COMPUTED_VALUE"""),5.0)</f>
        <v>5</v>
      </c>
      <c r="K488" s="537">
        <f>IFERROR(__xludf.DUMMYFUNCTION("""COMPUTED_VALUE"""),45996.0)</f>
        <v>45996</v>
      </c>
      <c r="L488" s="539">
        <f>IFERROR(__xludf.DUMMYFUNCTION("""COMPUTED_VALUE"""),46003.0)</f>
        <v>46003</v>
      </c>
      <c r="M488" s="540">
        <f>IFERROR(__xludf.DUMMYFUNCTION("""COMPUTED_VALUE"""),46008.0)</f>
        <v>46008</v>
      </c>
      <c r="N488" s="539">
        <f>IFERROR(__xludf.DUMMYFUNCTION("""COMPUTED_VALUE"""),4460.0)</f>
        <v>4460</v>
      </c>
      <c r="O488" s="593">
        <f>IFERROR(__xludf.DUMMYFUNCTION("""COMPUTED_VALUE"""),4050.0)</f>
        <v>4050</v>
      </c>
      <c r="P488" s="594">
        <f>IFERROR(__xludf.DUMMYFUNCTION("""COMPUTED_VALUE"""),2700.0)</f>
        <v>2700</v>
      </c>
      <c r="Q488" s="183"/>
      <c r="R488" s="544"/>
      <c r="S488" s="544"/>
      <c r="T488" s="544"/>
      <c r="U488" s="544"/>
      <c r="V488" s="544"/>
      <c r="W488" s="544"/>
      <c r="X488" s="544"/>
      <c r="Y488" s="544"/>
      <c r="Z488" s="544"/>
      <c r="AA488" s="544"/>
      <c r="AB488" s="544"/>
      <c r="AC488" s="544"/>
      <c r="AD488" s="544"/>
      <c r="AE488" s="183"/>
      <c r="AF488" s="183"/>
      <c r="AG488" s="183"/>
      <c r="AH488" s="183"/>
      <c r="AI488" s="183"/>
      <c r="AJ488" s="183"/>
      <c r="AK488" s="183"/>
      <c r="AL488" s="183"/>
      <c r="AM488" s="183"/>
    </row>
    <row r="489" hidden="1">
      <c r="A489" s="531" t="str">
        <f>IFERROR(__xludf.DUMMYFUNCTION("""COMPUTED_VALUE"""),"サイズ - ウィメンズ")</f>
        <v>サイズ - ウィメンズ</v>
      </c>
      <c r="B489" s="531" t="str">
        <f>IFERROR(__xludf.DUMMYFUNCTION("""COMPUTED_VALUE"""),"スラックス / カジュアルパンツ")</f>
        <v>スラックス / カジュアルパンツ</v>
      </c>
      <c r="C489" s="531" t="str">
        <f>IFERROR(__xludf.DUMMYFUNCTION("""COMPUTED_VALUE"""),"すそ口巾")</f>
        <v>すそ口巾</v>
      </c>
      <c r="D489" s="533" t="str">
        <f>IFERROR(__xludf.DUMMYFUNCTION("""COMPUTED_VALUE"""),"裏地なし")</f>
        <v>裏地なし</v>
      </c>
      <c r="E489" s="533"/>
      <c r="F489" s="534" t="str">
        <f>IFERROR(__xludf.DUMMYFUNCTION("""COMPUTED_VALUE"""),"すそ口巾 / 裏地なし")</f>
        <v>すそ口巾 / 裏地なし</v>
      </c>
      <c r="G489" s="533" t="str">
        <f>IFERROR(__xludf.DUMMYFUNCTION("""COMPUTED_VALUE"""),"すそ口巾 / 裏地なし")</f>
        <v>すそ口巾 / 裏地なし</v>
      </c>
      <c r="H489" s="572" t="str">
        <f>IFERROR(__xludf.DUMMYFUNCTION("""COMPUTED_VALUE"""),"-1")</f>
        <v>-1</v>
      </c>
      <c r="I489" s="536"/>
      <c r="J489" s="538">
        <f>IFERROR(__xludf.DUMMYFUNCTION("""COMPUTED_VALUE"""),5.0)</f>
        <v>5</v>
      </c>
      <c r="K489" s="537">
        <f>IFERROR(__xludf.DUMMYFUNCTION("""COMPUTED_VALUE"""),45996.0)</f>
        <v>45996</v>
      </c>
      <c r="L489" s="539">
        <f>IFERROR(__xludf.DUMMYFUNCTION("""COMPUTED_VALUE"""),46003.0)</f>
        <v>46003</v>
      </c>
      <c r="M489" s="540">
        <f>IFERROR(__xludf.DUMMYFUNCTION("""COMPUTED_VALUE"""),46008.0)</f>
        <v>46008</v>
      </c>
      <c r="N489" s="539">
        <f>IFERROR(__xludf.DUMMYFUNCTION("""COMPUTED_VALUE"""),4460.0)</f>
        <v>4460</v>
      </c>
      <c r="O489" s="593">
        <f>IFERROR(__xludf.DUMMYFUNCTION("""COMPUTED_VALUE"""),4050.0)</f>
        <v>4050</v>
      </c>
      <c r="P489" s="594">
        <f>IFERROR(__xludf.DUMMYFUNCTION("""COMPUTED_VALUE"""),2700.0)</f>
        <v>2700</v>
      </c>
      <c r="Q489" s="183"/>
      <c r="R489" s="544"/>
      <c r="S489" s="544"/>
      <c r="T489" s="544"/>
      <c r="U489" s="544"/>
      <c r="V489" s="544"/>
      <c r="W489" s="544"/>
      <c r="X489" s="544"/>
      <c r="Y489" s="544"/>
      <c r="Z489" s="544"/>
      <c r="AA489" s="544"/>
      <c r="AB489" s="544"/>
      <c r="AC489" s="544"/>
      <c r="AD489" s="544"/>
      <c r="AE489" s="183"/>
      <c r="AF489" s="183"/>
      <c r="AG489" s="183"/>
      <c r="AH489" s="183"/>
      <c r="AI489" s="183"/>
      <c r="AJ489" s="183"/>
      <c r="AK489" s="183"/>
      <c r="AL489" s="183"/>
      <c r="AM489" s="183"/>
    </row>
    <row r="490" hidden="1">
      <c r="A490" s="531" t="str">
        <f>IFERROR(__xludf.DUMMYFUNCTION("""COMPUTED_VALUE"""),"サイズ - ウィメンズ")</f>
        <v>サイズ - ウィメンズ</v>
      </c>
      <c r="B490" s="531" t="str">
        <f>IFERROR(__xludf.DUMMYFUNCTION("""COMPUTED_VALUE"""),"スラックス / カジュアルパンツ")</f>
        <v>スラックス / カジュアルパンツ</v>
      </c>
      <c r="C490" s="666" t="str">
        <f>IFERROR(__xludf.DUMMYFUNCTION("""COMPUTED_VALUE"""),"すそ口巾")</f>
        <v>すそ口巾</v>
      </c>
      <c r="D490" s="533" t="str">
        <f>IFERROR(__xludf.DUMMYFUNCTION("""COMPUTED_VALUE"""),"裏地なし")</f>
        <v>裏地なし</v>
      </c>
      <c r="E490" s="533"/>
      <c r="F490" s="534" t="str">
        <f>IFERROR(__xludf.DUMMYFUNCTION("""COMPUTED_VALUE"""),"すそ口巾 / 裏地なし")</f>
        <v>すそ口巾 / 裏地なし</v>
      </c>
      <c r="G490" s="533" t="str">
        <f>IFERROR(__xludf.DUMMYFUNCTION("""COMPUTED_VALUE"""),"すそ口巾 / 裏地なし")</f>
        <v>すそ口巾 / 裏地なし</v>
      </c>
      <c r="H490" s="572" t="str">
        <f>IFERROR(__xludf.DUMMYFUNCTION("""COMPUTED_VALUE"""),"-0.5")</f>
        <v>-0.5</v>
      </c>
      <c r="I490" s="537"/>
      <c r="J490" s="538">
        <f>IFERROR(__xludf.DUMMYFUNCTION("""COMPUTED_VALUE"""),5.0)</f>
        <v>5</v>
      </c>
      <c r="K490" s="537">
        <f>IFERROR(__xludf.DUMMYFUNCTION("""COMPUTED_VALUE"""),45996.0)</f>
        <v>45996</v>
      </c>
      <c r="L490" s="539">
        <f>IFERROR(__xludf.DUMMYFUNCTION("""COMPUTED_VALUE"""),46003.0)</f>
        <v>46003</v>
      </c>
      <c r="M490" s="540">
        <f>IFERROR(__xludf.DUMMYFUNCTION("""COMPUTED_VALUE"""),46008.0)</f>
        <v>46008</v>
      </c>
      <c r="N490" s="539">
        <f>IFERROR(__xludf.DUMMYFUNCTION("""COMPUTED_VALUE"""),4460.0)</f>
        <v>4460</v>
      </c>
      <c r="O490" s="593">
        <f>IFERROR(__xludf.DUMMYFUNCTION("""COMPUTED_VALUE"""),4050.0)</f>
        <v>4050</v>
      </c>
      <c r="P490" s="594">
        <f>IFERROR(__xludf.DUMMYFUNCTION("""COMPUTED_VALUE"""),2700.0)</f>
        <v>2700</v>
      </c>
      <c r="Q490" s="183"/>
      <c r="R490" s="544"/>
      <c r="S490" s="544"/>
      <c r="T490" s="544"/>
      <c r="U490" s="544"/>
      <c r="V490" s="544"/>
      <c r="W490" s="544"/>
      <c r="X490" s="544"/>
      <c r="Y490" s="544"/>
      <c r="Z490" s="544"/>
      <c r="AA490" s="544"/>
      <c r="AB490" s="544"/>
      <c r="AC490" s="544"/>
      <c r="AD490" s="544"/>
      <c r="AE490" s="183"/>
      <c r="AF490" s="183"/>
      <c r="AG490" s="183"/>
      <c r="AH490" s="183"/>
      <c r="AI490" s="183"/>
      <c r="AJ490" s="183"/>
      <c r="AK490" s="183"/>
      <c r="AL490" s="183"/>
      <c r="AM490" s="183"/>
    </row>
    <row r="491" hidden="1">
      <c r="A491" s="531" t="str">
        <f>IFERROR(__xludf.DUMMYFUNCTION("""COMPUTED_VALUE"""),"サイズ - ウィメンズ")</f>
        <v>サイズ - ウィメンズ</v>
      </c>
      <c r="B491" s="531" t="str">
        <f>IFERROR(__xludf.DUMMYFUNCTION("""COMPUTED_VALUE"""),"スラックス / カジュアルパンツ")</f>
        <v>スラックス / カジュアルパンツ</v>
      </c>
      <c r="C491" s="531" t="str">
        <f>IFERROR(__xludf.DUMMYFUNCTION("""COMPUTED_VALUE"""),"すそ口巾")</f>
        <v>すそ口巾</v>
      </c>
      <c r="D491" s="533" t="str">
        <f>IFERROR(__xludf.DUMMYFUNCTION("""COMPUTED_VALUE"""),"裏地なし")</f>
        <v>裏地なし</v>
      </c>
      <c r="E491" s="533"/>
      <c r="F491" s="534" t="str">
        <f>IFERROR(__xludf.DUMMYFUNCTION("""COMPUTED_VALUE"""),"すそ口巾 / 裏地なし")</f>
        <v>すそ口巾 / 裏地なし</v>
      </c>
      <c r="G491" s="533" t="str">
        <f>IFERROR(__xludf.DUMMYFUNCTION("""COMPUTED_VALUE"""),"すそ口巾 / 裏地なし")</f>
        <v>すそ口巾 / 裏地なし</v>
      </c>
      <c r="H491" s="572" t="str">
        <f>IFERROR(__xludf.DUMMYFUNCTION("""COMPUTED_VALUE"""),"0.5")</f>
        <v>0.5</v>
      </c>
      <c r="I491" s="536"/>
      <c r="J491" s="538">
        <f>IFERROR(__xludf.DUMMYFUNCTION("""COMPUTED_VALUE"""),5.0)</f>
        <v>5</v>
      </c>
      <c r="K491" s="537">
        <f>IFERROR(__xludf.DUMMYFUNCTION("""COMPUTED_VALUE"""),45996.0)</f>
        <v>45996</v>
      </c>
      <c r="L491" s="539">
        <f>IFERROR(__xludf.DUMMYFUNCTION("""COMPUTED_VALUE"""),46003.0)</f>
        <v>46003</v>
      </c>
      <c r="M491" s="540">
        <f>IFERROR(__xludf.DUMMYFUNCTION("""COMPUTED_VALUE"""),46008.0)</f>
        <v>46008</v>
      </c>
      <c r="N491" s="539">
        <f>IFERROR(__xludf.DUMMYFUNCTION("""COMPUTED_VALUE"""),4460.0)</f>
        <v>4460</v>
      </c>
      <c r="O491" s="593">
        <f>IFERROR(__xludf.DUMMYFUNCTION("""COMPUTED_VALUE"""),4050.0)</f>
        <v>4050</v>
      </c>
      <c r="P491" s="594">
        <f>IFERROR(__xludf.DUMMYFUNCTION("""COMPUTED_VALUE"""),2700.0)</f>
        <v>2700</v>
      </c>
      <c r="Q491" s="183"/>
      <c r="R491" s="544"/>
      <c r="S491" s="544"/>
      <c r="T491" s="544"/>
      <c r="U491" s="544"/>
      <c r="V491" s="544"/>
      <c r="W491" s="544"/>
      <c r="X491" s="544"/>
      <c r="Y491" s="544"/>
      <c r="Z491" s="544"/>
      <c r="AA491" s="544"/>
      <c r="AB491" s="544"/>
      <c r="AC491" s="544"/>
      <c r="AD491" s="544"/>
      <c r="AE491" s="183"/>
      <c r="AF491" s="183"/>
      <c r="AG491" s="183"/>
      <c r="AH491" s="183"/>
      <c r="AI491" s="183"/>
      <c r="AJ491" s="183"/>
      <c r="AK491" s="183"/>
      <c r="AL491" s="183"/>
      <c r="AM491" s="183"/>
    </row>
    <row r="492" hidden="1">
      <c r="A492" s="531" t="str">
        <f>IFERROR(__xludf.DUMMYFUNCTION("""COMPUTED_VALUE"""),"サイズ - ウィメンズ")</f>
        <v>サイズ - ウィメンズ</v>
      </c>
      <c r="B492" s="531" t="str">
        <f>IFERROR(__xludf.DUMMYFUNCTION("""COMPUTED_VALUE"""),"スラックス / カジュアルパンツ")</f>
        <v>スラックス / カジュアルパンツ</v>
      </c>
      <c r="C492" s="531" t="str">
        <f>IFERROR(__xludf.DUMMYFUNCTION("""COMPUTED_VALUE"""),"すそ口巾")</f>
        <v>すそ口巾</v>
      </c>
      <c r="D492" s="533" t="str">
        <f>IFERROR(__xludf.DUMMYFUNCTION("""COMPUTED_VALUE"""),"裏地なし")</f>
        <v>裏地なし</v>
      </c>
      <c r="E492" s="533"/>
      <c r="F492" s="534" t="str">
        <f>IFERROR(__xludf.DUMMYFUNCTION("""COMPUTED_VALUE"""),"すそ口巾 / 裏地なし")</f>
        <v>すそ口巾 / 裏地なし</v>
      </c>
      <c r="G492" s="533" t="str">
        <f>IFERROR(__xludf.DUMMYFUNCTION("""COMPUTED_VALUE"""),"すそ口巾 / 裏地なし")</f>
        <v>すそ口巾 / 裏地なし</v>
      </c>
      <c r="H492" s="572" t="str">
        <f>IFERROR(__xludf.DUMMYFUNCTION("""COMPUTED_VALUE"""),"1")</f>
        <v>1</v>
      </c>
      <c r="I492" s="536"/>
      <c r="J492" s="538">
        <f>IFERROR(__xludf.DUMMYFUNCTION("""COMPUTED_VALUE"""),5.0)</f>
        <v>5</v>
      </c>
      <c r="K492" s="537">
        <f>IFERROR(__xludf.DUMMYFUNCTION("""COMPUTED_VALUE"""),45996.0)</f>
        <v>45996</v>
      </c>
      <c r="L492" s="539">
        <f>IFERROR(__xludf.DUMMYFUNCTION("""COMPUTED_VALUE"""),46003.0)</f>
        <v>46003</v>
      </c>
      <c r="M492" s="540">
        <f>IFERROR(__xludf.DUMMYFUNCTION("""COMPUTED_VALUE"""),46008.0)</f>
        <v>46008</v>
      </c>
      <c r="N492" s="539">
        <f>IFERROR(__xludf.DUMMYFUNCTION("""COMPUTED_VALUE"""),4460.0)</f>
        <v>4460</v>
      </c>
      <c r="O492" s="593">
        <f>IFERROR(__xludf.DUMMYFUNCTION("""COMPUTED_VALUE"""),4050.0)</f>
        <v>4050</v>
      </c>
      <c r="P492" s="594">
        <f>IFERROR(__xludf.DUMMYFUNCTION("""COMPUTED_VALUE"""),2700.0)</f>
        <v>2700</v>
      </c>
      <c r="Q492" s="183"/>
      <c r="R492" s="544"/>
      <c r="S492" s="544"/>
      <c r="T492" s="544"/>
      <c r="U492" s="544"/>
      <c r="V492" s="544"/>
      <c r="W492" s="544"/>
      <c r="X492" s="544"/>
      <c r="Y492" s="544"/>
      <c r="Z492" s="544"/>
      <c r="AA492" s="544"/>
      <c r="AB492" s="544"/>
      <c r="AC492" s="544"/>
      <c r="AD492" s="544"/>
      <c r="AE492" s="183"/>
      <c r="AF492" s="183"/>
      <c r="AG492" s="183"/>
      <c r="AH492" s="183"/>
      <c r="AI492" s="183"/>
      <c r="AJ492" s="183"/>
      <c r="AK492" s="183"/>
      <c r="AL492" s="183"/>
      <c r="AM492" s="183"/>
    </row>
    <row r="493" hidden="1">
      <c r="A493" s="531" t="str">
        <f>IFERROR(__xludf.DUMMYFUNCTION("""COMPUTED_VALUE"""),"サイズ")</f>
        <v>サイズ</v>
      </c>
      <c r="B493" s="531" t="str">
        <f>IFERROR(__xludf.DUMMYFUNCTION("""COMPUTED_VALUE"""),"スラックス / カジュアルパンツ")</f>
        <v>スラックス / カジュアルパンツ</v>
      </c>
      <c r="C493" s="531" t="str">
        <f>IFERROR(__xludf.DUMMYFUNCTION("""COMPUTED_VALUE"""),"平尻")</f>
        <v>平尻</v>
      </c>
      <c r="D493" s="533"/>
      <c r="E493" s="533"/>
      <c r="F493" s="534" t="str">
        <f>IFERROR(__xludf.DUMMYFUNCTION("""COMPUTED_VALUE"""),"平尻")</f>
        <v>平尻</v>
      </c>
      <c r="G493" s="533" t="str">
        <f>IFERROR(__xludf.DUMMYFUNCTION("""COMPUTED_VALUE"""),"平尻")</f>
        <v>平尻</v>
      </c>
      <c r="H493" s="536"/>
      <c r="I493" s="536"/>
      <c r="J493" s="538" t="str">
        <f>IFERROR(__xludf.DUMMYFUNCTION("""COMPUTED_VALUE"""),"再製作")</f>
        <v>再製作</v>
      </c>
      <c r="K493" s="538" t="str">
        <f>IFERROR(__xludf.DUMMYFUNCTION("""COMPUTED_VALUE"""),"再製作")</f>
        <v>再製作</v>
      </c>
      <c r="L493" s="539" t="str">
        <f>IFERROR(__xludf.DUMMYFUNCTION("""COMPUTED_VALUE"""),"再製作")</f>
        <v>再製作</v>
      </c>
      <c r="M493" s="540" t="str">
        <f>IFERROR(__xludf.DUMMYFUNCTION("""COMPUTED_VALUE"""),"再製作")</f>
        <v>再製作</v>
      </c>
      <c r="N493" s="538" t="str">
        <f>IFERROR(__xludf.DUMMYFUNCTION("""COMPUTED_VALUE"""),"再製作")</f>
        <v>再製作</v>
      </c>
      <c r="O493" s="183" t="str">
        <f>IFERROR(__xludf.DUMMYFUNCTION("""COMPUTED_VALUE"""),"再製作")</f>
        <v>再製作</v>
      </c>
      <c r="P493" s="183"/>
      <c r="Q493" s="183"/>
      <c r="R493" s="544"/>
      <c r="S493" s="544"/>
      <c r="T493" s="544"/>
      <c r="U493" s="544"/>
      <c r="V493" s="544"/>
      <c r="W493" s="544"/>
      <c r="X493" s="544"/>
      <c r="Y493" s="544"/>
      <c r="Z493" s="544"/>
      <c r="AA493" s="544"/>
      <c r="AB493" s="544"/>
      <c r="AC493" s="544"/>
      <c r="AD493" s="544"/>
      <c r="AE493" s="183"/>
      <c r="AF493" s="183"/>
      <c r="AG493" s="183"/>
      <c r="AH493" s="183"/>
      <c r="AI493" s="183"/>
      <c r="AJ493" s="183"/>
      <c r="AK493" s="183"/>
      <c r="AL493" s="183"/>
      <c r="AM493" s="183"/>
    </row>
    <row r="494">
      <c r="A494" s="273" t="str">
        <f>IFERROR(__xludf.DUMMYFUNCTION("""COMPUTED_VALUE"""),"サイズ")</f>
        <v>サイズ</v>
      </c>
      <c r="B494" s="273" t="str">
        <f>IFERROR(__xludf.DUMMYFUNCTION("""COMPUTED_VALUE"""),"スラックス / カジュアルパンツ")</f>
        <v>スラックス / カジュアルパンツ</v>
      </c>
      <c r="C494" s="273" t="str">
        <f>IFERROR(__xludf.DUMMYFUNCTION("""COMPUTED_VALUE"""),"O脚")</f>
        <v>O脚</v>
      </c>
      <c r="D494" s="668"/>
      <c r="E494" s="668"/>
      <c r="F494" s="342" t="str">
        <f>IFERROR(__xludf.DUMMYFUNCTION("""COMPUTED_VALUE"""),"O脚")</f>
        <v>O脚</v>
      </c>
      <c r="G494" s="668" t="str">
        <f>IFERROR(__xludf.DUMMYFUNCTION("""COMPUTED_VALUE"""),"O脚")</f>
        <v>O脚</v>
      </c>
      <c r="H494" s="669"/>
      <c r="I494" s="669"/>
      <c r="J494" s="669" t="str">
        <f>IFERROR(__xludf.DUMMYFUNCTION("""COMPUTED_VALUE"""),"再製作")</f>
        <v>再製作</v>
      </c>
      <c r="K494" s="669" t="str">
        <f>IFERROR(__xludf.DUMMYFUNCTION("""COMPUTED_VALUE"""),"再製作")</f>
        <v>再製作</v>
      </c>
      <c r="L494" s="670" t="str">
        <f>IFERROR(__xludf.DUMMYFUNCTION("""COMPUTED_VALUE"""),"再製作")</f>
        <v>再製作</v>
      </c>
      <c r="M494" s="670" t="str">
        <f>IFERROR(__xludf.DUMMYFUNCTION("""COMPUTED_VALUE"""),"再製作")</f>
        <v>再製作</v>
      </c>
      <c r="N494" s="669" t="str">
        <f>IFERROR(__xludf.DUMMYFUNCTION("""COMPUTED_VALUE"""),"再製作")</f>
        <v>再製作</v>
      </c>
      <c r="O494" s="183" t="str">
        <f>IFERROR(__xludf.DUMMYFUNCTION("""COMPUTED_VALUE"""),"再製作")</f>
        <v>再製作</v>
      </c>
      <c r="P494" s="183"/>
      <c r="Q494" s="183"/>
      <c r="R494" s="544"/>
      <c r="S494" s="544"/>
      <c r="T494" s="544"/>
      <c r="U494" s="544"/>
      <c r="V494" s="544"/>
      <c r="W494" s="544"/>
      <c r="X494" s="544"/>
      <c r="Y494" s="544"/>
      <c r="Z494" s="544"/>
      <c r="AA494" s="544"/>
      <c r="AB494" s="544"/>
      <c r="AC494" s="544"/>
      <c r="AD494" s="544"/>
      <c r="AE494" s="183"/>
      <c r="AF494" s="183"/>
      <c r="AG494" s="183"/>
      <c r="AH494" s="183"/>
      <c r="AI494" s="183"/>
      <c r="AJ494" s="183"/>
      <c r="AK494" s="183"/>
      <c r="AL494" s="183"/>
      <c r="AM494" s="183"/>
    </row>
    <row r="495">
      <c r="A495" s="273" t="str">
        <f>IFERROR(__xludf.DUMMYFUNCTION("""COMPUTED_VALUE"""),"サイズ")</f>
        <v>サイズ</v>
      </c>
      <c r="B495" s="273" t="str">
        <f>IFERROR(__xludf.DUMMYFUNCTION("""COMPUTED_VALUE"""),"スラックス / カジュアルパンツ")</f>
        <v>スラックス / カジュアルパンツ</v>
      </c>
      <c r="C495" s="273" t="str">
        <f>IFERROR(__xludf.DUMMYFUNCTION("""COMPUTED_VALUE"""),"前股上")</f>
        <v>前股上</v>
      </c>
      <c r="D495" s="668"/>
      <c r="E495" s="668"/>
      <c r="F495" s="342" t="str">
        <f>IFERROR(__xludf.DUMMYFUNCTION("""COMPUTED_VALUE"""),"前股上")</f>
        <v>前股上</v>
      </c>
      <c r="G495" s="668" t="str">
        <f>IFERROR(__xludf.DUMMYFUNCTION("""COMPUTED_VALUE"""),"前股上")</f>
        <v>前股上</v>
      </c>
      <c r="H495" s="669"/>
      <c r="I495" s="669"/>
      <c r="J495" s="669" t="str">
        <f>IFERROR(__xludf.DUMMYFUNCTION("""COMPUTED_VALUE"""),"再製作")</f>
        <v>再製作</v>
      </c>
      <c r="K495" s="669" t="str">
        <f>IFERROR(__xludf.DUMMYFUNCTION("""COMPUTED_VALUE"""),"再製作")</f>
        <v>再製作</v>
      </c>
      <c r="L495" s="670" t="str">
        <f>IFERROR(__xludf.DUMMYFUNCTION("""COMPUTED_VALUE"""),"再製作")</f>
        <v>再製作</v>
      </c>
      <c r="M495" s="670" t="str">
        <f>IFERROR(__xludf.DUMMYFUNCTION("""COMPUTED_VALUE"""),"再製作")</f>
        <v>再製作</v>
      </c>
      <c r="N495" s="669" t="str">
        <f>IFERROR(__xludf.DUMMYFUNCTION("""COMPUTED_VALUE"""),"再製作")</f>
        <v>再製作</v>
      </c>
      <c r="O495" s="183" t="str">
        <f>IFERROR(__xludf.DUMMYFUNCTION("""COMPUTED_VALUE"""),"再製作")</f>
        <v>再製作</v>
      </c>
      <c r="P495" s="183"/>
      <c r="Q495" s="183"/>
      <c r="R495" s="544"/>
      <c r="S495" s="544"/>
      <c r="T495" s="544"/>
      <c r="U495" s="544"/>
      <c r="V495" s="544"/>
      <c r="W495" s="544"/>
      <c r="X495" s="544"/>
      <c r="Y495" s="544"/>
      <c r="Z495" s="544"/>
      <c r="AA495" s="544"/>
      <c r="AB495" s="544"/>
      <c r="AC495" s="544"/>
      <c r="AD495" s="544"/>
      <c r="AE495" s="183"/>
      <c r="AF495" s="183"/>
      <c r="AG495" s="183"/>
      <c r="AH495" s="183"/>
      <c r="AI495" s="183"/>
      <c r="AJ495" s="183"/>
      <c r="AK495" s="183"/>
      <c r="AL495" s="183"/>
      <c r="AM495" s="183"/>
    </row>
    <row r="496">
      <c r="A496" s="273" t="str">
        <f>IFERROR(__xludf.DUMMYFUNCTION("""COMPUTED_VALUE"""),"サイズ")</f>
        <v>サイズ</v>
      </c>
      <c r="B496" s="273" t="str">
        <f>IFERROR(__xludf.DUMMYFUNCTION("""COMPUTED_VALUE"""),"スラックス / カジュアルパンツ")</f>
        <v>スラックス / カジュアルパンツ</v>
      </c>
      <c r="C496" s="273" t="str">
        <f>IFERROR(__xludf.DUMMYFUNCTION("""COMPUTED_VALUE"""),"前股上")</f>
        <v>前股上</v>
      </c>
      <c r="D496" s="668"/>
      <c r="E496" s="668"/>
      <c r="F496" s="342" t="str">
        <f>IFERROR(__xludf.DUMMYFUNCTION("""COMPUTED_VALUE"""),"前股上")</f>
        <v>前股上</v>
      </c>
      <c r="G496" s="668" t="str">
        <f>IFERROR(__xludf.DUMMYFUNCTION("""COMPUTED_VALUE"""),"前股上")</f>
        <v>前股上</v>
      </c>
      <c r="H496" s="669"/>
      <c r="I496" s="669"/>
      <c r="J496" s="669" t="str">
        <f>IFERROR(__xludf.DUMMYFUNCTION("""COMPUTED_VALUE"""),"再製作")</f>
        <v>再製作</v>
      </c>
      <c r="K496" s="669" t="str">
        <f>IFERROR(__xludf.DUMMYFUNCTION("""COMPUTED_VALUE"""),"再製作")</f>
        <v>再製作</v>
      </c>
      <c r="L496" s="670" t="str">
        <f>IFERROR(__xludf.DUMMYFUNCTION("""COMPUTED_VALUE"""),"再製作")</f>
        <v>再製作</v>
      </c>
      <c r="M496" s="670" t="str">
        <f>IFERROR(__xludf.DUMMYFUNCTION("""COMPUTED_VALUE"""),"再製作")</f>
        <v>再製作</v>
      </c>
      <c r="N496" s="669" t="str">
        <f>IFERROR(__xludf.DUMMYFUNCTION("""COMPUTED_VALUE"""),"再製作")</f>
        <v>再製作</v>
      </c>
      <c r="O496" s="183" t="str">
        <f>IFERROR(__xludf.DUMMYFUNCTION("""COMPUTED_VALUE"""),"再製作")</f>
        <v>再製作</v>
      </c>
      <c r="P496" s="183"/>
      <c r="Q496" s="183"/>
      <c r="R496" s="544"/>
      <c r="S496" s="544"/>
      <c r="T496" s="544"/>
      <c r="U496" s="544"/>
      <c r="V496" s="544"/>
      <c r="W496" s="544"/>
      <c r="X496" s="544"/>
      <c r="Y496" s="544"/>
      <c r="Z496" s="544"/>
      <c r="AA496" s="544"/>
      <c r="AB496" s="544"/>
      <c r="AC496" s="544"/>
      <c r="AD496" s="544"/>
      <c r="AE496" s="183"/>
      <c r="AF496" s="183"/>
      <c r="AG496" s="183"/>
      <c r="AH496" s="183"/>
      <c r="AI496" s="183"/>
      <c r="AJ496" s="183"/>
      <c r="AK496" s="183"/>
      <c r="AL496" s="183"/>
      <c r="AM496" s="183"/>
    </row>
    <row r="497">
      <c r="A497" s="273" t="str">
        <f>IFERROR(__xludf.DUMMYFUNCTION("""COMPUTED_VALUE"""),"サイズ")</f>
        <v>サイズ</v>
      </c>
      <c r="B497" s="273" t="str">
        <f>IFERROR(__xludf.DUMMYFUNCTION("""COMPUTED_VALUE"""),"スラックス / カジュアルパンツ")</f>
        <v>スラックス / カジュアルパンツ</v>
      </c>
      <c r="C497" s="273" t="str">
        <f>IFERROR(__xludf.DUMMYFUNCTION("""COMPUTED_VALUE"""),"前股上")</f>
        <v>前股上</v>
      </c>
      <c r="D497" s="668"/>
      <c r="E497" s="668"/>
      <c r="F497" s="342" t="str">
        <f>IFERROR(__xludf.DUMMYFUNCTION("""COMPUTED_VALUE"""),"前股上")</f>
        <v>前股上</v>
      </c>
      <c r="G497" s="668" t="str">
        <f>IFERROR(__xludf.DUMMYFUNCTION("""COMPUTED_VALUE"""),"前股上")</f>
        <v>前股上</v>
      </c>
      <c r="H497" s="669"/>
      <c r="I497" s="669"/>
      <c r="J497" s="669" t="str">
        <f>IFERROR(__xludf.DUMMYFUNCTION("""COMPUTED_VALUE"""),"再製作")</f>
        <v>再製作</v>
      </c>
      <c r="K497" s="669" t="str">
        <f>IFERROR(__xludf.DUMMYFUNCTION("""COMPUTED_VALUE"""),"再製作")</f>
        <v>再製作</v>
      </c>
      <c r="L497" s="670" t="str">
        <f>IFERROR(__xludf.DUMMYFUNCTION("""COMPUTED_VALUE"""),"再製作")</f>
        <v>再製作</v>
      </c>
      <c r="M497" s="670" t="str">
        <f>IFERROR(__xludf.DUMMYFUNCTION("""COMPUTED_VALUE"""),"再製作")</f>
        <v>再製作</v>
      </c>
      <c r="N497" s="669" t="str">
        <f>IFERROR(__xludf.DUMMYFUNCTION("""COMPUTED_VALUE"""),"再製作")</f>
        <v>再製作</v>
      </c>
      <c r="O497" s="183" t="str">
        <f>IFERROR(__xludf.DUMMYFUNCTION("""COMPUTED_VALUE"""),"再製作")</f>
        <v>再製作</v>
      </c>
      <c r="P497" s="183"/>
      <c r="Q497" s="183"/>
      <c r="R497" s="544"/>
      <c r="S497" s="544"/>
      <c r="T497" s="544"/>
      <c r="U497" s="544"/>
      <c r="V497" s="544"/>
      <c r="W497" s="544"/>
      <c r="X497" s="544"/>
      <c r="Y497" s="544"/>
      <c r="Z497" s="544"/>
      <c r="AA497" s="544"/>
      <c r="AB497" s="544"/>
      <c r="AC497" s="544"/>
      <c r="AD497" s="544"/>
      <c r="AE497" s="183"/>
      <c r="AF497" s="183"/>
      <c r="AG497" s="183"/>
      <c r="AH497" s="183"/>
      <c r="AI497" s="183"/>
      <c r="AJ497" s="183"/>
      <c r="AK497" s="183"/>
      <c r="AL497" s="183"/>
      <c r="AM497" s="183"/>
    </row>
    <row r="498">
      <c r="A498" s="273" t="str">
        <f>IFERROR(__xludf.DUMMYFUNCTION("""COMPUTED_VALUE"""),"サイズ")</f>
        <v>サイズ</v>
      </c>
      <c r="B498" s="273" t="str">
        <f>IFERROR(__xludf.DUMMYFUNCTION("""COMPUTED_VALUE"""),"スラックス / カジュアルパンツ")</f>
        <v>スラックス / カジュアルパンツ</v>
      </c>
      <c r="C498" s="273" t="str">
        <f>IFERROR(__xludf.DUMMYFUNCTION("""COMPUTED_VALUE"""),"前股上")</f>
        <v>前股上</v>
      </c>
      <c r="D498" s="668"/>
      <c r="E498" s="668"/>
      <c r="F498" s="342" t="str">
        <f>IFERROR(__xludf.DUMMYFUNCTION("""COMPUTED_VALUE"""),"前股上")</f>
        <v>前股上</v>
      </c>
      <c r="G498" s="668" t="str">
        <f>IFERROR(__xludf.DUMMYFUNCTION("""COMPUTED_VALUE"""),"前股上")</f>
        <v>前股上</v>
      </c>
      <c r="H498" s="669"/>
      <c r="I498" s="669"/>
      <c r="J498" s="669" t="str">
        <f>IFERROR(__xludf.DUMMYFUNCTION("""COMPUTED_VALUE"""),"再製作")</f>
        <v>再製作</v>
      </c>
      <c r="K498" s="669" t="str">
        <f>IFERROR(__xludf.DUMMYFUNCTION("""COMPUTED_VALUE"""),"再製作")</f>
        <v>再製作</v>
      </c>
      <c r="L498" s="670" t="str">
        <f>IFERROR(__xludf.DUMMYFUNCTION("""COMPUTED_VALUE"""),"再製作")</f>
        <v>再製作</v>
      </c>
      <c r="M498" s="670" t="str">
        <f>IFERROR(__xludf.DUMMYFUNCTION("""COMPUTED_VALUE"""),"再製作")</f>
        <v>再製作</v>
      </c>
      <c r="N498" s="669" t="str">
        <f>IFERROR(__xludf.DUMMYFUNCTION("""COMPUTED_VALUE"""),"再製作")</f>
        <v>再製作</v>
      </c>
      <c r="O498" s="183" t="str">
        <f>IFERROR(__xludf.DUMMYFUNCTION("""COMPUTED_VALUE"""),"再製作")</f>
        <v>再製作</v>
      </c>
      <c r="P498" s="183"/>
      <c r="Q498" s="183"/>
      <c r="R498" s="544"/>
      <c r="S498" s="544"/>
      <c r="T498" s="544"/>
      <c r="U498" s="544"/>
      <c r="V498" s="544"/>
      <c r="W498" s="544"/>
      <c r="X498" s="544"/>
      <c r="Y498" s="544"/>
      <c r="Z498" s="544"/>
      <c r="AA498" s="544"/>
      <c r="AB498" s="544"/>
      <c r="AC498" s="544"/>
      <c r="AD498" s="544"/>
      <c r="AE498" s="183"/>
      <c r="AF498" s="183"/>
      <c r="AG498" s="183"/>
      <c r="AH498" s="183"/>
      <c r="AI498" s="183"/>
      <c r="AJ498" s="183"/>
      <c r="AK498" s="183"/>
      <c r="AL498" s="183"/>
      <c r="AM498" s="183"/>
    </row>
    <row r="499">
      <c r="A499" s="273" t="str">
        <f>IFERROR(__xludf.DUMMYFUNCTION("""COMPUTED_VALUE"""),"サイズ - ウィメンズ")</f>
        <v>サイズ - ウィメンズ</v>
      </c>
      <c r="B499" s="273" t="str">
        <f>IFERROR(__xludf.DUMMYFUNCTION("""COMPUTED_VALUE"""),"スラックス / カジュアルパンツ")</f>
        <v>スラックス / カジュアルパンツ</v>
      </c>
      <c r="C499" s="273" t="str">
        <f>IFERROR(__xludf.DUMMYFUNCTION("""COMPUTED_VALUE"""),"股下")</f>
        <v>股下</v>
      </c>
      <c r="D499" s="668"/>
      <c r="E499" s="671" t="str">
        <f>IFERROR(__xludf.DUMMYFUNCTION("""COMPUTED_VALUE"""),"裏地出しは不可")</f>
        <v>裏地出しは不可</v>
      </c>
      <c r="F499" s="342" t="str">
        <f>IFERROR(__xludf.DUMMYFUNCTION("""COMPUTED_VALUE"""),"股下")</f>
        <v>股下</v>
      </c>
      <c r="G499" s="668" t="str">
        <f>IFERROR(__xludf.DUMMYFUNCTION("""COMPUTED_VALUE"""),"股下（裏地出しは不可）")</f>
        <v>股下（裏地出しは不可）</v>
      </c>
      <c r="H499" s="672" t="str">
        <f>IFERROR(__xludf.DUMMYFUNCTION("""COMPUTED_VALUE"""),"-5")</f>
        <v>-5</v>
      </c>
      <c r="I499" s="669"/>
      <c r="J499" s="669">
        <f>IFERROR(__xludf.DUMMYFUNCTION("""COMPUTED_VALUE"""),5.0)</f>
        <v>5</v>
      </c>
      <c r="K499" s="673">
        <f>IFERROR(__xludf.DUMMYFUNCTION("""COMPUTED_VALUE"""),45996.0)</f>
        <v>45996</v>
      </c>
      <c r="L499" s="670">
        <f>IFERROR(__xludf.DUMMYFUNCTION("""COMPUTED_VALUE"""),46003.0)</f>
        <v>46003</v>
      </c>
      <c r="M499" s="670">
        <f>IFERROR(__xludf.DUMMYFUNCTION("""COMPUTED_VALUE"""),46008.0)</f>
        <v>46008</v>
      </c>
      <c r="N499" s="674">
        <f>IFERROR(__xludf.DUMMYFUNCTION("""COMPUTED_VALUE"""),3300.0)</f>
        <v>3300</v>
      </c>
      <c r="O499" s="593">
        <f>IFERROR(__xludf.DUMMYFUNCTION("""COMPUTED_VALUE"""),3000.0)</f>
        <v>3000</v>
      </c>
      <c r="P499" s="594">
        <f>IFERROR(__xludf.DUMMYFUNCTION("""COMPUTED_VALUE"""),2000.0)</f>
        <v>2000</v>
      </c>
      <c r="Q499" s="183"/>
      <c r="R499" s="544"/>
      <c r="S499" s="544"/>
      <c r="T499" s="544"/>
      <c r="U499" s="544"/>
      <c r="V499" s="544"/>
      <c r="W499" s="544"/>
      <c r="X499" s="544"/>
      <c r="Y499" s="544"/>
      <c r="Z499" s="544"/>
      <c r="AA499" s="544"/>
      <c r="AB499" s="544"/>
      <c r="AC499" s="544"/>
      <c r="AD499" s="544"/>
      <c r="AE499" s="183"/>
      <c r="AF499" s="183"/>
      <c r="AG499" s="183"/>
      <c r="AH499" s="183"/>
      <c r="AI499" s="183"/>
      <c r="AJ499" s="183"/>
      <c r="AK499" s="183"/>
      <c r="AL499" s="183"/>
      <c r="AM499" s="183"/>
    </row>
    <row r="500">
      <c r="A500" s="273" t="str">
        <f>IFERROR(__xludf.DUMMYFUNCTION("""COMPUTED_VALUE"""),"サイズ - ウィメンズ")</f>
        <v>サイズ - ウィメンズ</v>
      </c>
      <c r="B500" s="273" t="str">
        <f>IFERROR(__xludf.DUMMYFUNCTION("""COMPUTED_VALUE"""),"スラックス / カジュアルパンツ")</f>
        <v>スラックス / カジュアルパンツ</v>
      </c>
      <c r="C500" s="273" t="str">
        <f>IFERROR(__xludf.DUMMYFUNCTION("""COMPUTED_VALUE"""),"股下")</f>
        <v>股下</v>
      </c>
      <c r="D500" s="668"/>
      <c r="E500" s="671" t="str">
        <f>IFERROR(__xludf.DUMMYFUNCTION("""COMPUTED_VALUE"""),"裏地出しは不可")</f>
        <v>裏地出しは不可</v>
      </c>
      <c r="F500" s="342" t="str">
        <f>IFERROR(__xludf.DUMMYFUNCTION("""COMPUTED_VALUE"""),"股下")</f>
        <v>股下</v>
      </c>
      <c r="G500" s="668" t="str">
        <f>IFERROR(__xludf.DUMMYFUNCTION("""COMPUTED_VALUE"""),"股下（裏地出しは不可）")</f>
        <v>股下（裏地出しは不可）</v>
      </c>
      <c r="H500" s="672" t="str">
        <f>IFERROR(__xludf.DUMMYFUNCTION("""COMPUTED_VALUE"""),"-4.5")</f>
        <v>-4.5</v>
      </c>
      <c r="I500" s="669"/>
      <c r="J500" s="669">
        <f>IFERROR(__xludf.DUMMYFUNCTION("""COMPUTED_VALUE"""),5.0)</f>
        <v>5</v>
      </c>
      <c r="K500" s="673">
        <f>IFERROR(__xludf.DUMMYFUNCTION("""COMPUTED_VALUE"""),45996.0)</f>
        <v>45996</v>
      </c>
      <c r="L500" s="670">
        <f>IFERROR(__xludf.DUMMYFUNCTION("""COMPUTED_VALUE"""),46003.0)</f>
        <v>46003</v>
      </c>
      <c r="M500" s="670">
        <f>IFERROR(__xludf.DUMMYFUNCTION("""COMPUTED_VALUE"""),46008.0)</f>
        <v>46008</v>
      </c>
      <c r="N500" s="674">
        <f>IFERROR(__xludf.DUMMYFUNCTION("""COMPUTED_VALUE"""),3300.0)</f>
        <v>3300</v>
      </c>
      <c r="O500" s="593">
        <f>IFERROR(__xludf.DUMMYFUNCTION("""COMPUTED_VALUE"""),3000.0)</f>
        <v>3000</v>
      </c>
      <c r="P500" s="594">
        <f>IFERROR(__xludf.DUMMYFUNCTION("""COMPUTED_VALUE"""),2000.0)</f>
        <v>2000</v>
      </c>
      <c r="Q500" s="183"/>
      <c r="R500" s="544"/>
      <c r="S500" s="544"/>
      <c r="T500" s="544"/>
      <c r="U500" s="544"/>
      <c r="V500" s="544"/>
      <c r="W500" s="544"/>
      <c r="X500" s="544"/>
      <c r="Y500" s="544"/>
      <c r="Z500" s="544"/>
      <c r="AA500" s="544"/>
      <c r="AB500" s="544"/>
      <c r="AC500" s="544"/>
      <c r="AD500" s="544"/>
      <c r="AE500" s="183"/>
      <c r="AF500" s="183"/>
      <c r="AG500" s="183"/>
      <c r="AH500" s="183"/>
      <c r="AI500" s="183"/>
      <c r="AJ500" s="183"/>
      <c r="AK500" s="183"/>
      <c r="AL500" s="183"/>
      <c r="AM500" s="183"/>
    </row>
    <row r="501">
      <c r="A501" s="273" t="str">
        <f>IFERROR(__xludf.DUMMYFUNCTION("""COMPUTED_VALUE"""),"サイズ - ウィメンズ")</f>
        <v>サイズ - ウィメンズ</v>
      </c>
      <c r="B501" s="273" t="str">
        <f>IFERROR(__xludf.DUMMYFUNCTION("""COMPUTED_VALUE"""),"スラックス / カジュアルパンツ")</f>
        <v>スラックス / カジュアルパンツ</v>
      </c>
      <c r="C501" s="273" t="str">
        <f>IFERROR(__xludf.DUMMYFUNCTION("""COMPUTED_VALUE"""),"股下")</f>
        <v>股下</v>
      </c>
      <c r="D501" s="668"/>
      <c r="E501" s="671" t="str">
        <f>IFERROR(__xludf.DUMMYFUNCTION("""COMPUTED_VALUE"""),"裏地出しは不可")</f>
        <v>裏地出しは不可</v>
      </c>
      <c r="F501" s="342" t="str">
        <f>IFERROR(__xludf.DUMMYFUNCTION("""COMPUTED_VALUE"""),"股下")</f>
        <v>股下</v>
      </c>
      <c r="G501" s="668" t="str">
        <f>IFERROR(__xludf.DUMMYFUNCTION("""COMPUTED_VALUE"""),"股下（裏地出しは不可）")</f>
        <v>股下（裏地出しは不可）</v>
      </c>
      <c r="H501" s="672" t="str">
        <f>IFERROR(__xludf.DUMMYFUNCTION("""COMPUTED_VALUE"""),"-4")</f>
        <v>-4</v>
      </c>
      <c r="I501" s="669"/>
      <c r="J501" s="669">
        <f>IFERROR(__xludf.DUMMYFUNCTION("""COMPUTED_VALUE"""),5.0)</f>
        <v>5</v>
      </c>
      <c r="K501" s="673">
        <f>IFERROR(__xludf.DUMMYFUNCTION("""COMPUTED_VALUE"""),45996.0)</f>
        <v>45996</v>
      </c>
      <c r="L501" s="670">
        <f>IFERROR(__xludf.DUMMYFUNCTION("""COMPUTED_VALUE"""),46003.0)</f>
        <v>46003</v>
      </c>
      <c r="M501" s="670">
        <f>IFERROR(__xludf.DUMMYFUNCTION("""COMPUTED_VALUE"""),46008.0)</f>
        <v>46008</v>
      </c>
      <c r="N501" s="674">
        <f>IFERROR(__xludf.DUMMYFUNCTION("""COMPUTED_VALUE"""),3300.0)</f>
        <v>3300</v>
      </c>
      <c r="O501" s="593">
        <f>IFERROR(__xludf.DUMMYFUNCTION("""COMPUTED_VALUE"""),3000.0)</f>
        <v>3000</v>
      </c>
      <c r="P501" s="594">
        <f>IFERROR(__xludf.DUMMYFUNCTION("""COMPUTED_VALUE"""),2000.0)</f>
        <v>2000</v>
      </c>
      <c r="Q501" s="183"/>
      <c r="R501" s="544"/>
      <c r="S501" s="544"/>
      <c r="T501" s="544"/>
      <c r="U501" s="544"/>
      <c r="V501" s="544"/>
      <c r="W501" s="544"/>
      <c r="X501" s="544"/>
      <c r="Y501" s="544"/>
      <c r="Z501" s="544"/>
      <c r="AA501" s="544"/>
      <c r="AB501" s="544"/>
      <c r="AC501" s="544"/>
      <c r="AD501" s="544"/>
      <c r="AE501" s="183"/>
      <c r="AF501" s="183"/>
      <c r="AG501" s="183"/>
      <c r="AH501" s="183"/>
      <c r="AI501" s="183"/>
      <c r="AJ501" s="183"/>
      <c r="AK501" s="183"/>
      <c r="AL501" s="183"/>
      <c r="AM501" s="183"/>
    </row>
    <row r="502">
      <c r="A502" s="273" t="str">
        <f>IFERROR(__xludf.DUMMYFUNCTION("""COMPUTED_VALUE"""),"サイズ - ウィメンズ")</f>
        <v>サイズ - ウィメンズ</v>
      </c>
      <c r="B502" s="273" t="str">
        <f>IFERROR(__xludf.DUMMYFUNCTION("""COMPUTED_VALUE"""),"スラックス / カジュアルパンツ")</f>
        <v>スラックス / カジュアルパンツ</v>
      </c>
      <c r="C502" s="273" t="str">
        <f>IFERROR(__xludf.DUMMYFUNCTION("""COMPUTED_VALUE"""),"股下")</f>
        <v>股下</v>
      </c>
      <c r="D502" s="668"/>
      <c r="E502" s="671" t="str">
        <f>IFERROR(__xludf.DUMMYFUNCTION("""COMPUTED_VALUE"""),"裏地出しは不可")</f>
        <v>裏地出しは不可</v>
      </c>
      <c r="F502" s="342" t="str">
        <f>IFERROR(__xludf.DUMMYFUNCTION("""COMPUTED_VALUE"""),"股下")</f>
        <v>股下</v>
      </c>
      <c r="G502" s="668" t="str">
        <f>IFERROR(__xludf.DUMMYFUNCTION("""COMPUTED_VALUE"""),"股下（裏地出しは不可）")</f>
        <v>股下（裏地出しは不可）</v>
      </c>
      <c r="H502" s="672" t="str">
        <f>IFERROR(__xludf.DUMMYFUNCTION("""COMPUTED_VALUE"""),"-3.5")</f>
        <v>-3.5</v>
      </c>
      <c r="I502" s="669"/>
      <c r="J502" s="669">
        <f>IFERROR(__xludf.DUMMYFUNCTION("""COMPUTED_VALUE"""),5.0)</f>
        <v>5</v>
      </c>
      <c r="K502" s="673">
        <f>IFERROR(__xludf.DUMMYFUNCTION("""COMPUTED_VALUE"""),45996.0)</f>
        <v>45996</v>
      </c>
      <c r="L502" s="670">
        <f>IFERROR(__xludf.DUMMYFUNCTION("""COMPUTED_VALUE"""),46003.0)</f>
        <v>46003</v>
      </c>
      <c r="M502" s="670">
        <f>IFERROR(__xludf.DUMMYFUNCTION("""COMPUTED_VALUE"""),46008.0)</f>
        <v>46008</v>
      </c>
      <c r="N502" s="674">
        <f>IFERROR(__xludf.DUMMYFUNCTION("""COMPUTED_VALUE"""),3300.0)</f>
        <v>3300</v>
      </c>
      <c r="O502" s="593">
        <f>IFERROR(__xludf.DUMMYFUNCTION("""COMPUTED_VALUE"""),3000.0)</f>
        <v>3000</v>
      </c>
      <c r="P502" s="594">
        <f>IFERROR(__xludf.DUMMYFUNCTION("""COMPUTED_VALUE"""),2000.0)</f>
        <v>2000</v>
      </c>
      <c r="Q502" s="183"/>
      <c r="R502" s="544"/>
      <c r="S502" s="544"/>
      <c r="T502" s="544"/>
      <c r="U502" s="544"/>
      <c r="V502" s="544"/>
      <c r="W502" s="544"/>
      <c r="X502" s="544"/>
      <c r="Y502" s="544"/>
      <c r="Z502" s="544"/>
      <c r="AA502" s="544"/>
      <c r="AB502" s="544"/>
      <c r="AC502" s="544"/>
      <c r="AD502" s="544"/>
      <c r="AE502" s="183"/>
      <c r="AF502" s="183"/>
      <c r="AG502" s="183"/>
      <c r="AH502" s="183"/>
      <c r="AI502" s="183"/>
      <c r="AJ502" s="183"/>
      <c r="AK502" s="183"/>
      <c r="AL502" s="183"/>
      <c r="AM502" s="183"/>
    </row>
    <row r="503">
      <c r="A503" s="273" t="str">
        <f>IFERROR(__xludf.DUMMYFUNCTION("""COMPUTED_VALUE"""),"サイズ - ウィメンズ")</f>
        <v>サイズ - ウィメンズ</v>
      </c>
      <c r="B503" s="273" t="str">
        <f>IFERROR(__xludf.DUMMYFUNCTION("""COMPUTED_VALUE"""),"スラックス / カジュアルパンツ")</f>
        <v>スラックス / カジュアルパンツ</v>
      </c>
      <c r="C503" s="273" t="str">
        <f>IFERROR(__xludf.DUMMYFUNCTION("""COMPUTED_VALUE"""),"股下")</f>
        <v>股下</v>
      </c>
      <c r="D503" s="668"/>
      <c r="E503" s="671" t="str">
        <f>IFERROR(__xludf.DUMMYFUNCTION("""COMPUTED_VALUE"""),"裏地出しは不可")</f>
        <v>裏地出しは不可</v>
      </c>
      <c r="F503" s="342" t="str">
        <f>IFERROR(__xludf.DUMMYFUNCTION("""COMPUTED_VALUE"""),"股下")</f>
        <v>股下</v>
      </c>
      <c r="G503" s="668" t="str">
        <f>IFERROR(__xludf.DUMMYFUNCTION("""COMPUTED_VALUE"""),"股下（裏地出しは不可）")</f>
        <v>股下（裏地出しは不可）</v>
      </c>
      <c r="H503" s="672" t="str">
        <f>IFERROR(__xludf.DUMMYFUNCTION("""COMPUTED_VALUE"""),"-3")</f>
        <v>-3</v>
      </c>
      <c r="I503" s="669"/>
      <c r="J503" s="669">
        <f>IFERROR(__xludf.DUMMYFUNCTION("""COMPUTED_VALUE"""),5.0)</f>
        <v>5</v>
      </c>
      <c r="K503" s="673">
        <f>IFERROR(__xludf.DUMMYFUNCTION("""COMPUTED_VALUE"""),45996.0)</f>
        <v>45996</v>
      </c>
      <c r="L503" s="670">
        <f>IFERROR(__xludf.DUMMYFUNCTION("""COMPUTED_VALUE"""),46003.0)</f>
        <v>46003</v>
      </c>
      <c r="M503" s="670">
        <f>IFERROR(__xludf.DUMMYFUNCTION("""COMPUTED_VALUE"""),46008.0)</f>
        <v>46008</v>
      </c>
      <c r="N503" s="674">
        <f>IFERROR(__xludf.DUMMYFUNCTION("""COMPUTED_VALUE"""),3300.0)</f>
        <v>3300</v>
      </c>
      <c r="O503" s="593">
        <f>IFERROR(__xludf.DUMMYFUNCTION("""COMPUTED_VALUE"""),3000.0)</f>
        <v>3000</v>
      </c>
      <c r="P503" s="594">
        <f>IFERROR(__xludf.DUMMYFUNCTION("""COMPUTED_VALUE"""),2000.0)</f>
        <v>2000</v>
      </c>
      <c r="Q503" s="183"/>
      <c r="R503" s="544"/>
      <c r="S503" s="544"/>
      <c r="T503" s="544"/>
      <c r="U503" s="544"/>
      <c r="V503" s="544"/>
      <c r="W503" s="544"/>
      <c r="X503" s="544"/>
      <c r="Y503" s="544"/>
      <c r="Z503" s="544"/>
      <c r="AA503" s="544"/>
      <c r="AB503" s="544"/>
      <c r="AC503" s="544"/>
      <c r="AD503" s="544"/>
      <c r="AE503" s="183"/>
      <c r="AF503" s="183"/>
      <c r="AG503" s="183"/>
      <c r="AH503" s="183"/>
      <c r="AI503" s="183"/>
      <c r="AJ503" s="183"/>
      <c r="AK503" s="183"/>
      <c r="AL503" s="183"/>
      <c r="AM503" s="183"/>
    </row>
    <row r="504">
      <c r="A504" s="273" t="str">
        <f>IFERROR(__xludf.DUMMYFUNCTION("""COMPUTED_VALUE"""),"サイズ - ウィメンズ")</f>
        <v>サイズ - ウィメンズ</v>
      </c>
      <c r="B504" s="273" t="str">
        <f>IFERROR(__xludf.DUMMYFUNCTION("""COMPUTED_VALUE"""),"スラックス / カジュアルパンツ")</f>
        <v>スラックス / カジュアルパンツ</v>
      </c>
      <c r="C504" s="273" t="str">
        <f>IFERROR(__xludf.DUMMYFUNCTION("""COMPUTED_VALUE"""),"股下")</f>
        <v>股下</v>
      </c>
      <c r="D504" s="668"/>
      <c r="E504" s="671" t="str">
        <f>IFERROR(__xludf.DUMMYFUNCTION("""COMPUTED_VALUE"""),"裏地出しは不可")</f>
        <v>裏地出しは不可</v>
      </c>
      <c r="F504" s="342" t="str">
        <f>IFERROR(__xludf.DUMMYFUNCTION("""COMPUTED_VALUE"""),"股下")</f>
        <v>股下</v>
      </c>
      <c r="G504" s="668" t="str">
        <f>IFERROR(__xludf.DUMMYFUNCTION("""COMPUTED_VALUE"""),"股下（裏地出しは不可）")</f>
        <v>股下（裏地出しは不可）</v>
      </c>
      <c r="H504" s="672" t="str">
        <f>IFERROR(__xludf.DUMMYFUNCTION("""COMPUTED_VALUE"""),"-2.5")</f>
        <v>-2.5</v>
      </c>
      <c r="I504" s="669"/>
      <c r="J504" s="669">
        <f>IFERROR(__xludf.DUMMYFUNCTION("""COMPUTED_VALUE"""),5.0)</f>
        <v>5</v>
      </c>
      <c r="K504" s="673">
        <f>IFERROR(__xludf.DUMMYFUNCTION("""COMPUTED_VALUE"""),45996.0)</f>
        <v>45996</v>
      </c>
      <c r="L504" s="670">
        <f>IFERROR(__xludf.DUMMYFUNCTION("""COMPUTED_VALUE"""),46003.0)</f>
        <v>46003</v>
      </c>
      <c r="M504" s="670">
        <f>IFERROR(__xludf.DUMMYFUNCTION("""COMPUTED_VALUE"""),46008.0)</f>
        <v>46008</v>
      </c>
      <c r="N504" s="674">
        <f>IFERROR(__xludf.DUMMYFUNCTION("""COMPUTED_VALUE"""),3300.0)</f>
        <v>3300</v>
      </c>
      <c r="O504" s="593">
        <f>IFERROR(__xludf.DUMMYFUNCTION("""COMPUTED_VALUE"""),3000.0)</f>
        <v>3000</v>
      </c>
      <c r="P504" s="594">
        <f>IFERROR(__xludf.DUMMYFUNCTION("""COMPUTED_VALUE"""),2000.0)</f>
        <v>2000</v>
      </c>
      <c r="Q504" s="183"/>
      <c r="R504" s="544"/>
      <c r="S504" s="544"/>
      <c r="T504" s="544"/>
      <c r="U504" s="544"/>
      <c r="V504" s="544"/>
      <c r="W504" s="544"/>
      <c r="X504" s="544"/>
      <c r="Y504" s="544"/>
      <c r="Z504" s="544"/>
      <c r="AA504" s="544"/>
      <c r="AB504" s="544"/>
      <c r="AC504" s="544"/>
      <c r="AD504" s="544"/>
      <c r="AE504" s="183"/>
      <c r="AF504" s="183"/>
      <c r="AG504" s="183"/>
      <c r="AH504" s="183"/>
      <c r="AI504" s="183"/>
      <c r="AJ504" s="183"/>
      <c r="AK504" s="183"/>
      <c r="AL504" s="183"/>
      <c r="AM504" s="183"/>
    </row>
    <row r="505">
      <c r="A505" s="273" t="str">
        <f>IFERROR(__xludf.DUMMYFUNCTION("""COMPUTED_VALUE"""),"サイズ - ウィメンズ")</f>
        <v>サイズ - ウィメンズ</v>
      </c>
      <c r="B505" s="273" t="str">
        <f>IFERROR(__xludf.DUMMYFUNCTION("""COMPUTED_VALUE"""),"スラックス / カジュアルパンツ")</f>
        <v>スラックス / カジュアルパンツ</v>
      </c>
      <c r="C505" s="273" t="str">
        <f>IFERROR(__xludf.DUMMYFUNCTION("""COMPUTED_VALUE"""),"股下")</f>
        <v>股下</v>
      </c>
      <c r="D505" s="668"/>
      <c r="E505" s="671" t="str">
        <f>IFERROR(__xludf.DUMMYFUNCTION("""COMPUTED_VALUE"""),"裏地出しは不可")</f>
        <v>裏地出しは不可</v>
      </c>
      <c r="F505" s="342" t="str">
        <f>IFERROR(__xludf.DUMMYFUNCTION("""COMPUTED_VALUE"""),"股下")</f>
        <v>股下</v>
      </c>
      <c r="G505" s="668" t="str">
        <f>IFERROR(__xludf.DUMMYFUNCTION("""COMPUTED_VALUE"""),"股下（裏地出しは不可）")</f>
        <v>股下（裏地出しは不可）</v>
      </c>
      <c r="H505" s="672" t="str">
        <f>IFERROR(__xludf.DUMMYFUNCTION("""COMPUTED_VALUE"""),"-2")</f>
        <v>-2</v>
      </c>
      <c r="I505" s="669"/>
      <c r="J505" s="669">
        <f>IFERROR(__xludf.DUMMYFUNCTION("""COMPUTED_VALUE"""),5.0)</f>
        <v>5</v>
      </c>
      <c r="K505" s="673">
        <f>IFERROR(__xludf.DUMMYFUNCTION("""COMPUTED_VALUE"""),45996.0)</f>
        <v>45996</v>
      </c>
      <c r="L505" s="670">
        <f>IFERROR(__xludf.DUMMYFUNCTION("""COMPUTED_VALUE"""),46003.0)</f>
        <v>46003</v>
      </c>
      <c r="M505" s="670">
        <f>IFERROR(__xludf.DUMMYFUNCTION("""COMPUTED_VALUE"""),46008.0)</f>
        <v>46008</v>
      </c>
      <c r="N505" s="674">
        <f>IFERROR(__xludf.DUMMYFUNCTION("""COMPUTED_VALUE"""),3300.0)</f>
        <v>3300</v>
      </c>
      <c r="O505" s="593">
        <f>IFERROR(__xludf.DUMMYFUNCTION("""COMPUTED_VALUE"""),3000.0)</f>
        <v>3000</v>
      </c>
      <c r="P505" s="594">
        <f>IFERROR(__xludf.DUMMYFUNCTION("""COMPUTED_VALUE"""),2000.0)</f>
        <v>2000</v>
      </c>
      <c r="Q505" s="183"/>
      <c r="R505" s="544"/>
      <c r="S505" s="544"/>
      <c r="T505" s="544"/>
      <c r="U505" s="544"/>
      <c r="V505" s="544"/>
      <c r="W505" s="544"/>
      <c r="X505" s="544"/>
      <c r="Y505" s="544"/>
      <c r="Z505" s="544"/>
      <c r="AA505" s="544"/>
      <c r="AB505" s="544"/>
      <c r="AC505" s="544"/>
      <c r="AD505" s="544"/>
      <c r="AE505" s="183"/>
      <c r="AF505" s="183"/>
      <c r="AG505" s="183"/>
      <c r="AH505" s="183"/>
      <c r="AI505" s="183"/>
      <c r="AJ505" s="183"/>
      <c r="AK505" s="183"/>
      <c r="AL505" s="183"/>
      <c r="AM505" s="183"/>
    </row>
    <row r="506">
      <c r="A506" s="273" t="str">
        <f>IFERROR(__xludf.DUMMYFUNCTION("""COMPUTED_VALUE"""),"サイズ - ウィメンズ")</f>
        <v>サイズ - ウィメンズ</v>
      </c>
      <c r="B506" s="273" t="str">
        <f>IFERROR(__xludf.DUMMYFUNCTION("""COMPUTED_VALUE"""),"スラックス / カジュアルパンツ")</f>
        <v>スラックス / カジュアルパンツ</v>
      </c>
      <c r="C506" s="273" t="str">
        <f>IFERROR(__xludf.DUMMYFUNCTION("""COMPUTED_VALUE"""),"股下")</f>
        <v>股下</v>
      </c>
      <c r="D506" s="668"/>
      <c r="E506" s="671" t="str">
        <f>IFERROR(__xludf.DUMMYFUNCTION("""COMPUTED_VALUE"""),"裏地出しは不可")</f>
        <v>裏地出しは不可</v>
      </c>
      <c r="F506" s="342" t="str">
        <f>IFERROR(__xludf.DUMMYFUNCTION("""COMPUTED_VALUE"""),"股下")</f>
        <v>股下</v>
      </c>
      <c r="G506" s="668" t="str">
        <f>IFERROR(__xludf.DUMMYFUNCTION("""COMPUTED_VALUE"""),"股下（裏地出しは不可）")</f>
        <v>股下（裏地出しは不可）</v>
      </c>
      <c r="H506" s="672" t="str">
        <f>IFERROR(__xludf.DUMMYFUNCTION("""COMPUTED_VALUE"""),"-1.5")</f>
        <v>-1.5</v>
      </c>
      <c r="I506" s="669"/>
      <c r="J506" s="669">
        <f>IFERROR(__xludf.DUMMYFUNCTION("""COMPUTED_VALUE"""),5.0)</f>
        <v>5</v>
      </c>
      <c r="K506" s="673">
        <f>IFERROR(__xludf.DUMMYFUNCTION("""COMPUTED_VALUE"""),45996.0)</f>
        <v>45996</v>
      </c>
      <c r="L506" s="670">
        <f>IFERROR(__xludf.DUMMYFUNCTION("""COMPUTED_VALUE"""),46003.0)</f>
        <v>46003</v>
      </c>
      <c r="M506" s="670">
        <f>IFERROR(__xludf.DUMMYFUNCTION("""COMPUTED_VALUE"""),46008.0)</f>
        <v>46008</v>
      </c>
      <c r="N506" s="674">
        <f>IFERROR(__xludf.DUMMYFUNCTION("""COMPUTED_VALUE"""),3300.0)</f>
        <v>3300</v>
      </c>
      <c r="O506" s="593">
        <f>IFERROR(__xludf.DUMMYFUNCTION("""COMPUTED_VALUE"""),3000.0)</f>
        <v>3000</v>
      </c>
      <c r="P506" s="594">
        <f>IFERROR(__xludf.DUMMYFUNCTION("""COMPUTED_VALUE"""),2000.0)</f>
        <v>2000</v>
      </c>
      <c r="Q506" s="183"/>
      <c r="R506" s="544"/>
      <c r="S506" s="544"/>
      <c r="T506" s="544"/>
      <c r="U506" s="544"/>
      <c r="V506" s="544"/>
      <c r="W506" s="544"/>
      <c r="X506" s="544"/>
      <c r="Y506" s="544"/>
      <c r="Z506" s="544"/>
      <c r="AA506" s="544"/>
      <c r="AB506" s="544"/>
      <c r="AC506" s="544"/>
      <c r="AD506" s="544"/>
      <c r="AE506" s="183"/>
      <c r="AF506" s="183"/>
      <c r="AG506" s="183"/>
      <c r="AH506" s="183"/>
      <c r="AI506" s="183"/>
      <c r="AJ506" s="183"/>
      <c r="AK506" s="183"/>
      <c r="AL506" s="183"/>
      <c r="AM506" s="183"/>
    </row>
    <row r="507">
      <c r="A507" s="273" t="str">
        <f>IFERROR(__xludf.DUMMYFUNCTION("""COMPUTED_VALUE"""),"サイズ - ウィメンズ")</f>
        <v>サイズ - ウィメンズ</v>
      </c>
      <c r="B507" s="273" t="str">
        <f>IFERROR(__xludf.DUMMYFUNCTION("""COMPUTED_VALUE"""),"スラックス / カジュアルパンツ")</f>
        <v>スラックス / カジュアルパンツ</v>
      </c>
      <c r="C507" s="273" t="str">
        <f>IFERROR(__xludf.DUMMYFUNCTION("""COMPUTED_VALUE"""),"股下")</f>
        <v>股下</v>
      </c>
      <c r="D507" s="668"/>
      <c r="E507" s="671" t="str">
        <f>IFERROR(__xludf.DUMMYFUNCTION("""COMPUTED_VALUE"""),"裏地出しは不可")</f>
        <v>裏地出しは不可</v>
      </c>
      <c r="F507" s="342" t="str">
        <f>IFERROR(__xludf.DUMMYFUNCTION("""COMPUTED_VALUE"""),"股下")</f>
        <v>股下</v>
      </c>
      <c r="G507" s="668" t="str">
        <f>IFERROR(__xludf.DUMMYFUNCTION("""COMPUTED_VALUE"""),"股下（裏地出しは不可）")</f>
        <v>股下（裏地出しは不可）</v>
      </c>
      <c r="H507" s="672" t="str">
        <f>IFERROR(__xludf.DUMMYFUNCTION("""COMPUTED_VALUE"""),"-1")</f>
        <v>-1</v>
      </c>
      <c r="I507" s="669"/>
      <c r="J507" s="669">
        <f>IFERROR(__xludf.DUMMYFUNCTION("""COMPUTED_VALUE"""),5.0)</f>
        <v>5</v>
      </c>
      <c r="K507" s="673">
        <f>IFERROR(__xludf.DUMMYFUNCTION("""COMPUTED_VALUE"""),45996.0)</f>
        <v>45996</v>
      </c>
      <c r="L507" s="670">
        <f>IFERROR(__xludf.DUMMYFUNCTION("""COMPUTED_VALUE"""),46003.0)</f>
        <v>46003</v>
      </c>
      <c r="M507" s="670">
        <f>IFERROR(__xludf.DUMMYFUNCTION("""COMPUTED_VALUE"""),46008.0)</f>
        <v>46008</v>
      </c>
      <c r="N507" s="674">
        <f>IFERROR(__xludf.DUMMYFUNCTION("""COMPUTED_VALUE"""),3300.0)</f>
        <v>3300</v>
      </c>
      <c r="O507" s="593">
        <f>IFERROR(__xludf.DUMMYFUNCTION("""COMPUTED_VALUE"""),3000.0)</f>
        <v>3000</v>
      </c>
      <c r="P507" s="594">
        <f>IFERROR(__xludf.DUMMYFUNCTION("""COMPUTED_VALUE"""),2000.0)</f>
        <v>2000</v>
      </c>
      <c r="Q507" s="183"/>
      <c r="R507" s="544"/>
      <c r="S507" s="544"/>
      <c r="T507" s="544"/>
      <c r="U507" s="544"/>
      <c r="V507" s="544"/>
      <c r="W507" s="544"/>
      <c r="X507" s="544"/>
      <c r="Y507" s="544"/>
      <c r="Z507" s="544"/>
      <c r="AA507" s="544"/>
      <c r="AB507" s="544"/>
      <c r="AC507" s="544"/>
      <c r="AD507" s="544"/>
      <c r="AE507" s="183"/>
      <c r="AF507" s="183"/>
      <c r="AG507" s="183"/>
      <c r="AH507" s="183"/>
      <c r="AI507" s="183"/>
      <c r="AJ507" s="183"/>
      <c r="AK507" s="183"/>
      <c r="AL507" s="183"/>
      <c r="AM507" s="183"/>
    </row>
    <row r="508">
      <c r="A508" s="273" t="str">
        <f>IFERROR(__xludf.DUMMYFUNCTION("""COMPUTED_VALUE"""),"サイズ - ウィメンズ")</f>
        <v>サイズ - ウィメンズ</v>
      </c>
      <c r="B508" s="273" t="str">
        <f>IFERROR(__xludf.DUMMYFUNCTION("""COMPUTED_VALUE"""),"スラックス / カジュアルパンツ")</f>
        <v>スラックス / カジュアルパンツ</v>
      </c>
      <c r="C508" s="273" t="str">
        <f>IFERROR(__xludf.DUMMYFUNCTION("""COMPUTED_VALUE"""),"股下")</f>
        <v>股下</v>
      </c>
      <c r="D508" s="668"/>
      <c r="E508" s="671" t="str">
        <f>IFERROR(__xludf.DUMMYFUNCTION("""COMPUTED_VALUE"""),"裏地出しは不可")</f>
        <v>裏地出しは不可</v>
      </c>
      <c r="F508" s="342" t="str">
        <f>IFERROR(__xludf.DUMMYFUNCTION("""COMPUTED_VALUE"""),"股下")</f>
        <v>股下</v>
      </c>
      <c r="G508" s="668" t="str">
        <f>IFERROR(__xludf.DUMMYFUNCTION("""COMPUTED_VALUE"""),"股下（裏地出しは不可）")</f>
        <v>股下（裏地出しは不可）</v>
      </c>
      <c r="H508" s="672" t="str">
        <f>IFERROR(__xludf.DUMMYFUNCTION("""COMPUTED_VALUE"""),"-0.5")</f>
        <v>-0.5</v>
      </c>
      <c r="I508" s="669"/>
      <c r="J508" s="669">
        <f>IFERROR(__xludf.DUMMYFUNCTION("""COMPUTED_VALUE"""),5.0)</f>
        <v>5</v>
      </c>
      <c r="K508" s="673">
        <f>IFERROR(__xludf.DUMMYFUNCTION("""COMPUTED_VALUE"""),45996.0)</f>
        <v>45996</v>
      </c>
      <c r="L508" s="670">
        <f>IFERROR(__xludf.DUMMYFUNCTION("""COMPUTED_VALUE"""),46003.0)</f>
        <v>46003</v>
      </c>
      <c r="M508" s="670">
        <f>IFERROR(__xludf.DUMMYFUNCTION("""COMPUTED_VALUE"""),46008.0)</f>
        <v>46008</v>
      </c>
      <c r="N508" s="674">
        <f>IFERROR(__xludf.DUMMYFUNCTION("""COMPUTED_VALUE"""),3300.0)</f>
        <v>3300</v>
      </c>
      <c r="O508" s="593">
        <f>IFERROR(__xludf.DUMMYFUNCTION("""COMPUTED_VALUE"""),3000.0)</f>
        <v>3000</v>
      </c>
      <c r="P508" s="594">
        <f>IFERROR(__xludf.DUMMYFUNCTION("""COMPUTED_VALUE"""),2000.0)</f>
        <v>2000</v>
      </c>
      <c r="Q508" s="183"/>
      <c r="R508" s="544"/>
      <c r="S508" s="544"/>
      <c r="T508" s="544"/>
      <c r="U508" s="544"/>
      <c r="V508" s="544"/>
      <c r="W508" s="544"/>
      <c r="X508" s="544"/>
      <c r="Y508" s="544"/>
      <c r="Z508" s="544"/>
      <c r="AA508" s="544"/>
      <c r="AB508" s="544"/>
      <c r="AC508" s="544"/>
      <c r="AD508" s="544"/>
      <c r="AE508" s="183"/>
      <c r="AF508" s="183"/>
      <c r="AG508" s="183"/>
      <c r="AH508" s="183"/>
      <c r="AI508" s="183"/>
      <c r="AJ508" s="183"/>
      <c r="AK508" s="183"/>
      <c r="AL508" s="183"/>
      <c r="AM508" s="183"/>
    </row>
    <row r="509">
      <c r="A509" s="273" t="str">
        <f>IFERROR(__xludf.DUMMYFUNCTION("""COMPUTED_VALUE"""),"サイズ - ウィメンズ")</f>
        <v>サイズ - ウィメンズ</v>
      </c>
      <c r="B509" s="273" t="str">
        <f>IFERROR(__xludf.DUMMYFUNCTION("""COMPUTED_VALUE"""),"スラックス / カジュアルパンツ")</f>
        <v>スラックス / カジュアルパンツ</v>
      </c>
      <c r="C509" s="273" t="str">
        <f>IFERROR(__xludf.DUMMYFUNCTION("""COMPUTED_VALUE"""),"股下")</f>
        <v>股下</v>
      </c>
      <c r="D509" s="668"/>
      <c r="E509" s="671" t="str">
        <f>IFERROR(__xludf.DUMMYFUNCTION("""COMPUTED_VALUE"""),"裏地出しは不可")</f>
        <v>裏地出しは不可</v>
      </c>
      <c r="F509" s="342" t="str">
        <f>IFERROR(__xludf.DUMMYFUNCTION("""COMPUTED_VALUE"""),"股下")</f>
        <v>股下</v>
      </c>
      <c r="G509" s="668" t="str">
        <f>IFERROR(__xludf.DUMMYFUNCTION("""COMPUTED_VALUE"""),"股下（裏地出しは不可）")</f>
        <v>股下（裏地出しは不可）</v>
      </c>
      <c r="H509" s="672" t="str">
        <f>IFERROR(__xludf.DUMMYFUNCTION("""COMPUTED_VALUE"""),"0.5")</f>
        <v>0.5</v>
      </c>
      <c r="I509" s="669"/>
      <c r="J509" s="669">
        <f>IFERROR(__xludf.DUMMYFUNCTION("""COMPUTED_VALUE"""),5.0)</f>
        <v>5</v>
      </c>
      <c r="K509" s="673">
        <f>IFERROR(__xludf.DUMMYFUNCTION("""COMPUTED_VALUE"""),45996.0)</f>
        <v>45996</v>
      </c>
      <c r="L509" s="670">
        <f>IFERROR(__xludf.DUMMYFUNCTION("""COMPUTED_VALUE"""),46003.0)</f>
        <v>46003</v>
      </c>
      <c r="M509" s="670">
        <f>IFERROR(__xludf.DUMMYFUNCTION("""COMPUTED_VALUE"""),46008.0)</f>
        <v>46008</v>
      </c>
      <c r="N509" s="674">
        <f>IFERROR(__xludf.DUMMYFUNCTION("""COMPUTED_VALUE"""),3300.0)</f>
        <v>3300</v>
      </c>
      <c r="O509" s="593">
        <f>IFERROR(__xludf.DUMMYFUNCTION("""COMPUTED_VALUE"""),3000.0)</f>
        <v>3000</v>
      </c>
      <c r="P509" s="594">
        <f>IFERROR(__xludf.DUMMYFUNCTION("""COMPUTED_VALUE"""),2000.0)</f>
        <v>2000</v>
      </c>
      <c r="Q509" s="183"/>
      <c r="R509" s="544"/>
      <c r="S509" s="544"/>
      <c r="T509" s="544"/>
      <c r="U509" s="544"/>
      <c r="V509" s="544"/>
      <c r="W509" s="544"/>
      <c r="X509" s="544"/>
      <c r="Y509" s="544"/>
      <c r="Z509" s="544"/>
      <c r="AA509" s="544"/>
      <c r="AB509" s="544"/>
      <c r="AC509" s="544"/>
      <c r="AD509" s="544"/>
      <c r="AE509" s="183"/>
      <c r="AF509" s="183"/>
      <c r="AG509" s="183"/>
      <c r="AH509" s="183"/>
      <c r="AI509" s="183"/>
      <c r="AJ509" s="183"/>
      <c r="AK509" s="183"/>
      <c r="AL509" s="183"/>
      <c r="AM509" s="183"/>
    </row>
    <row r="510">
      <c r="A510" s="273" t="str">
        <f>IFERROR(__xludf.DUMMYFUNCTION("""COMPUTED_VALUE"""),"サイズ - ウィメンズ")</f>
        <v>サイズ - ウィメンズ</v>
      </c>
      <c r="B510" s="273" t="str">
        <f>IFERROR(__xludf.DUMMYFUNCTION("""COMPUTED_VALUE"""),"スラックス / カジュアルパンツ")</f>
        <v>スラックス / カジュアルパンツ</v>
      </c>
      <c r="C510" s="273" t="str">
        <f>IFERROR(__xludf.DUMMYFUNCTION("""COMPUTED_VALUE"""),"股下")</f>
        <v>股下</v>
      </c>
      <c r="D510" s="668"/>
      <c r="E510" s="671" t="str">
        <f>IFERROR(__xludf.DUMMYFUNCTION("""COMPUTED_VALUE"""),"裏地出しは不可")</f>
        <v>裏地出しは不可</v>
      </c>
      <c r="F510" s="342" t="str">
        <f>IFERROR(__xludf.DUMMYFUNCTION("""COMPUTED_VALUE"""),"股下")</f>
        <v>股下</v>
      </c>
      <c r="G510" s="668" t="str">
        <f>IFERROR(__xludf.DUMMYFUNCTION("""COMPUTED_VALUE"""),"股下（裏地出しは不可）")</f>
        <v>股下（裏地出しは不可）</v>
      </c>
      <c r="H510" s="672" t="str">
        <f>IFERROR(__xludf.DUMMYFUNCTION("""COMPUTED_VALUE"""),"1")</f>
        <v>1</v>
      </c>
      <c r="I510" s="669"/>
      <c r="J510" s="669">
        <f>IFERROR(__xludf.DUMMYFUNCTION("""COMPUTED_VALUE"""),5.0)</f>
        <v>5</v>
      </c>
      <c r="K510" s="673">
        <f>IFERROR(__xludf.DUMMYFUNCTION("""COMPUTED_VALUE"""),45996.0)</f>
        <v>45996</v>
      </c>
      <c r="L510" s="670">
        <f>IFERROR(__xludf.DUMMYFUNCTION("""COMPUTED_VALUE"""),46003.0)</f>
        <v>46003</v>
      </c>
      <c r="M510" s="670">
        <f>IFERROR(__xludf.DUMMYFUNCTION("""COMPUTED_VALUE"""),46008.0)</f>
        <v>46008</v>
      </c>
      <c r="N510" s="674">
        <f>IFERROR(__xludf.DUMMYFUNCTION("""COMPUTED_VALUE"""),3300.0)</f>
        <v>3300</v>
      </c>
      <c r="O510" s="593">
        <f>IFERROR(__xludf.DUMMYFUNCTION("""COMPUTED_VALUE"""),3000.0)</f>
        <v>3000</v>
      </c>
      <c r="P510" s="594">
        <f>IFERROR(__xludf.DUMMYFUNCTION("""COMPUTED_VALUE"""),2000.0)</f>
        <v>2000</v>
      </c>
      <c r="Q510" s="183"/>
      <c r="R510" s="544"/>
      <c r="S510" s="544"/>
      <c r="T510" s="544"/>
      <c r="U510" s="544"/>
      <c r="V510" s="544"/>
      <c r="W510" s="544"/>
      <c r="X510" s="544"/>
      <c r="Y510" s="544"/>
      <c r="Z510" s="544"/>
      <c r="AA510" s="544"/>
      <c r="AB510" s="544"/>
      <c r="AC510" s="544"/>
      <c r="AD510" s="544"/>
      <c r="AE510" s="183"/>
      <c r="AF510" s="183"/>
      <c r="AG510" s="183"/>
      <c r="AH510" s="183"/>
      <c r="AI510" s="183"/>
      <c r="AJ510" s="183"/>
      <c r="AK510" s="183"/>
      <c r="AL510" s="183"/>
      <c r="AM510" s="183"/>
    </row>
    <row r="511">
      <c r="A511" s="273" t="str">
        <f>IFERROR(__xludf.DUMMYFUNCTION("""COMPUTED_VALUE"""),"サイズ - ウィメンズ")</f>
        <v>サイズ - ウィメンズ</v>
      </c>
      <c r="B511" s="273" t="str">
        <f>IFERROR(__xludf.DUMMYFUNCTION("""COMPUTED_VALUE"""),"スラックス / カジュアルパンツ")</f>
        <v>スラックス / カジュアルパンツ</v>
      </c>
      <c r="C511" s="273" t="str">
        <f>IFERROR(__xludf.DUMMYFUNCTION("""COMPUTED_VALUE"""),"股下")</f>
        <v>股下</v>
      </c>
      <c r="D511" s="668"/>
      <c r="E511" s="671" t="str">
        <f>IFERROR(__xludf.DUMMYFUNCTION("""COMPUTED_VALUE"""),"裏地出しは不可")</f>
        <v>裏地出しは不可</v>
      </c>
      <c r="F511" s="342" t="str">
        <f>IFERROR(__xludf.DUMMYFUNCTION("""COMPUTED_VALUE"""),"股下")</f>
        <v>股下</v>
      </c>
      <c r="G511" s="668" t="str">
        <f>IFERROR(__xludf.DUMMYFUNCTION("""COMPUTED_VALUE"""),"股下（裏地出しは不可）")</f>
        <v>股下（裏地出しは不可）</v>
      </c>
      <c r="H511" s="672" t="str">
        <f>IFERROR(__xludf.DUMMYFUNCTION("""COMPUTED_VALUE"""),"1.5")</f>
        <v>1.5</v>
      </c>
      <c r="I511" s="669"/>
      <c r="J511" s="669">
        <f>IFERROR(__xludf.DUMMYFUNCTION("""COMPUTED_VALUE"""),5.0)</f>
        <v>5</v>
      </c>
      <c r="K511" s="673">
        <f>IFERROR(__xludf.DUMMYFUNCTION("""COMPUTED_VALUE"""),45996.0)</f>
        <v>45996</v>
      </c>
      <c r="L511" s="670">
        <f>IFERROR(__xludf.DUMMYFUNCTION("""COMPUTED_VALUE"""),46003.0)</f>
        <v>46003</v>
      </c>
      <c r="M511" s="670">
        <f>IFERROR(__xludf.DUMMYFUNCTION("""COMPUTED_VALUE"""),46008.0)</f>
        <v>46008</v>
      </c>
      <c r="N511" s="674">
        <f>IFERROR(__xludf.DUMMYFUNCTION("""COMPUTED_VALUE"""),3300.0)</f>
        <v>3300</v>
      </c>
      <c r="O511" s="593">
        <f>IFERROR(__xludf.DUMMYFUNCTION("""COMPUTED_VALUE"""),3000.0)</f>
        <v>3000</v>
      </c>
      <c r="P511" s="594">
        <f>IFERROR(__xludf.DUMMYFUNCTION("""COMPUTED_VALUE"""),2000.0)</f>
        <v>2000</v>
      </c>
      <c r="Q511" s="183"/>
      <c r="R511" s="544"/>
      <c r="S511" s="544"/>
      <c r="T511" s="544"/>
      <c r="U511" s="544"/>
      <c r="V511" s="544"/>
      <c r="W511" s="544"/>
      <c r="X511" s="544"/>
      <c r="Y511" s="544"/>
      <c r="Z511" s="544"/>
      <c r="AA511" s="544"/>
      <c r="AB511" s="544"/>
      <c r="AC511" s="544"/>
      <c r="AD511" s="544"/>
      <c r="AE511" s="183"/>
      <c r="AF511" s="183"/>
      <c r="AG511" s="183"/>
      <c r="AH511" s="183"/>
      <c r="AI511" s="183"/>
      <c r="AJ511" s="183"/>
      <c r="AK511" s="183"/>
      <c r="AL511" s="183"/>
      <c r="AM511" s="183"/>
    </row>
    <row r="512">
      <c r="A512" s="273" t="str">
        <f>IFERROR(__xludf.DUMMYFUNCTION("""COMPUTED_VALUE"""),"サイズ - ウィメンズ")</f>
        <v>サイズ - ウィメンズ</v>
      </c>
      <c r="B512" s="273" t="str">
        <f>IFERROR(__xludf.DUMMYFUNCTION("""COMPUTED_VALUE"""),"スラックス / カジュアルパンツ")</f>
        <v>スラックス / カジュアルパンツ</v>
      </c>
      <c r="C512" s="273" t="str">
        <f>IFERROR(__xludf.DUMMYFUNCTION("""COMPUTED_VALUE"""),"股下")</f>
        <v>股下</v>
      </c>
      <c r="D512" s="668"/>
      <c r="E512" s="671" t="str">
        <f>IFERROR(__xludf.DUMMYFUNCTION("""COMPUTED_VALUE"""),"裏地出しは不可")</f>
        <v>裏地出しは不可</v>
      </c>
      <c r="F512" s="342" t="str">
        <f>IFERROR(__xludf.DUMMYFUNCTION("""COMPUTED_VALUE"""),"股下")</f>
        <v>股下</v>
      </c>
      <c r="G512" s="668" t="str">
        <f>IFERROR(__xludf.DUMMYFUNCTION("""COMPUTED_VALUE"""),"股下（裏地出しは不可）")</f>
        <v>股下（裏地出しは不可）</v>
      </c>
      <c r="H512" s="672" t="str">
        <f>IFERROR(__xludf.DUMMYFUNCTION("""COMPUTED_VALUE"""),"2")</f>
        <v>2</v>
      </c>
      <c r="I512" s="669"/>
      <c r="J512" s="669">
        <f>IFERROR(__xludf.DUMMYFUNCTION("""COMPUTED_VALUE"""),5.0)</f>
        <v>5</v>
      </c>
      <c r="K512" s="673">
        <f>IFERROR(__xludf.DUMMYFUNCTION("""COMPUTED_VALUE"""),45996.0)</f>
        <v>45996</v>
      </c>
      <c r="L512" s="670">
        <f>IFERROR(__xludf.DUMMYFUNCTION("""COMPUTED_VALUE"""),46003.0)</f>
        <v>46003</v>
      </c>
      <c r="M512" s="670">
        <f>IFERROR(__xludf.DUMMYFUNCTION("""COMPUTED_VALUE"""),46008.0)</f>
        <v>46008</v>
      </c>
      <c r="N512" s="674">
        <f>IFERROR(__xludf.DUMMYFUNCTION("""COMPUTED_VALUE"""),3300.0)</f>
        <v>3300</v>
      </c>
      <c r="O512" s="593">
        <f>IFERROR(__xludf.DUMMYFUNCTION("""COMPUTED_VALUE"""),3000.0)</f>
        <v>3000</v>
      </c>
      <c r="P512" s="594">
        <f>IFERROR(__xludf.DUMMYFUNCTION("""COMPUTED_VALUE"""),2000.0)</f>
        <v>2000</v>
      </c>
      <c r="Q512" s="183"/>
      <c r="R512" s="544"/>
      <c r="S512" s="544"/>
      <c r="T512" s="544"/>
      <c r="U512" s="544"/>
      <c r="V512" s="544"/>
      <c r="W512" s="544"/>
      <c r="X512" s="544"/>
      <c r="Y512" s="544"/>
      <c r="Z512" s="544"/>
      <c r="AA512" s="544"/>
      <c r="AB512" s="544"/>
      <c r="AC512" s="544"/>
      <c r="AD512" s="544"/>
      <c r="AE512" s="183"/>
      <c r="AF512" s="183"/>
      <c r="AG512" s="183"/>
      <c r="AH512" s="183"/>
      <c r="AI512" s="183"/>
      <c r="AJ512" s="183"/>
      <c r="AK512" s="183"/>
      <c r="AL512" s="183"/>
      <c r="AM512" s="183"/>
    </row>
    <row r="513">
      <c r="A513" s="273" t="str">
        <f>IFERROR(__xludf.DUMMYFUNCTION("""COMPUTED_VALUE"""),"サイズ - ウィメンズ")</f>
        <v>サイズ - ウィメンズ</v>
      </c>
      <c r="B513" s="273" t="str">
        <f>IFERROR(__xludf.DUMMYFUNCTION("""COMPUTED_VALUE"""),"スラックス / カジュアルパンツ")</f>
        <v>スラックス / カジュアルパンツ</v>
      </c>
      <c r="C513" s="273" t="str">
        <f>IFERROR(__xludf.DUMMYFUNCTION("""COMPUTED_VALUE"""),"股下")</f>
        <v>股下</v>
      </c>
      <c r="D513" s="668"/>
      <c r="E513" s="671" t="str">
        <f>IFERROR(__xludf.DUMMYFUNCTION("""COMPUTED_VALUE"""),"裏地出しは不可")</f>
        <v>裏地出しは不可</v>
      </c>
      <c r="F513" s="342" t="str">
        <f>IFERROR(__xludf.DUMMYFUNCTION("""COMPUTED_VALUE"""),"股下")</f>
        <v>股下</v>
      </c>
      <c r="G513" s="668" t="str">
        <f>IFERROR(__xludf.DUMMYFUNCTION("""COMPUTED_VALUE"""),"股下（裏地出しは不可）")</f>
        <v>股下（裏地出しは不可）</v>
      </c>
      <c r="H513" s="672" t="str">
        <f>IFERROR(__xludf.DUMMYFUNCTION("""COMPUTED_VALUE"""),"2.5")</f>
        <v>2.5</v>
      </c>
      <c r="I513" s="669"/>
      <c r="J513" s="669">
        <f>IFERROR(__xludf.DUMMYFUNCTION("""COMPUTED_VALUE"""),5.0)</f>
        <v>5</v>
      </c>
      <c r="K513" s="673">
        <f>IFERROR(__xludf.DUMMYFUNCTION("""COMPUTED_VALUE"""),45996.0)</f>
        <v>45996</v>
      </c>
      <c r="L513" s="670">
        <f>IFERROR(__xludf.DUMMYFUNCTION("""COMPUTED_VALUE"""),46003.0)</f>
        <v>46003</v>
      </c>
      <c r="M513" s="670">
        <f>IFERROR(__xludf.DUMMYFUNCTION("""COMPUTED_VALUE"""),46008.0)</f>
        <v>46008</v>
      </c>
      <c r="N513" s="674">
        <f>IFERROR(__xludf.DUMMYFUNCTION("""COMPUTED_VALUE"""),3300.0)</f>
        <v>3300</v>
      </c>
      <c r="O513" s="593">
        <f>IFERROR(__xludf.DUMMYFUNCTION("""COMPUTED_VALUE"""),3000.0)</f>
        <v>3000</v>
      </c>
      <c r="P513" s="594">
        <f>IFERROR(__xludf.DUMMYFUNCTION("""COMPUTED_VALUE"""),2000.0)</f>
        <v>2000</v>
      </c>
      <c r="Q513" s="183"/>
      <c r="R513" s="544"/>
      <c r="S513" s="544"/>
      <c r="T513" s="544"/>
      <c r="U513" s="544"/>
      <c r="V513" s="544"/>
      <c r="W513" s="544"/>
      <c r="X513" s="544"/>
      <c r="Y513" s="544"/>
      <c r="Z513" s="544"/>
      <c r="AA513" s="544"/>
      <c r="AB513" s="544"/>
      <c r="AC513" s="544"/>
      <c r="AD513" s="544"/>
      <c r="AE513" s="183"/>
      <c r="AF513" s="183"/>
      <c r="AG513" s="183"/>
      <c r="AH513" s="183"/>
      <c r="AI513" s="183"/>
      <c r="AJ513" s="183"/>
      <c r="AK513" s="183"/>
      <c r="AL513" s="183"/>
      <c r="AM513" s="183"/>
    </row>
    <row r="514">
      <c r="A514" s="273" t="str">
        <f>IFERROR(__xludf.DUMMYFUNCTION("""COMPUTED_VALUE"""),"サイズ - ウィメンズ")</f>
        <v>サイズ - ウィメンズ</v>
      </c>
      <c r="B514" s="273" t="str">
        <f>IFERROR(__xludf.DUMMYFUNCTION("""COMPUTED_VALUE"""),"スラックス / カジュアルパンツ")</f>
        <v>スラックス / カジュアルパンツ</v>
      </c>
      <c r="C514" s="273" t="str">
        <f>IFERROR(__xludf.DUMMYFUNCTION("""COMPUTED_VALUE"""),"股下")</f>
        <v>股下</v>
      </c>
      <c r="D514" s="668"/>
      <c r="E514" s="671" t="str">
        <f>IFERROR(__xludf.DUMMYFUNCTION("""COMPUTED_VALUE"""),"裏地出しは不可")</f>
        <v>裏地出しは不可</v>
      </c>
      <c r="F514" s="342" t="str">
        <f>IFERROR(__xludf.DUMMYFUNCTION("""COMPUTED_VALUE"""),"股下")</f>
        <v>股下</v>
      </c>
      <c r="G514" s="668" t="str">
        <f>IFERROR(__xludf.DUMMYFUNCTION("""COMPUTED_VALUE"""),"股下（裏地出しは不可）")</f>
        <v>股下（裏地出しは不可）</v>
      </c>
      <c r="H514" s="672" t="str">
        <f>IFERROR(__xludf.DUMMYFUNCTION("""COMPUTED_VALUE"""),"3")</f>
        <v>3</v>
      </c>
      <c r="I514" s="669"/>
      <c r="J514" s="669">
        <f>IFERROR(__xludf.DUMMYFUNCTION("""COMPUTED_VALUE"""),5.0)</f>
        <v>5</v>
      </c>
      <c r="K514" s="673">
        <f>IFERROR(__xludf.DUMMYFUNCTION("""COMPUTED_VALUE"""),45996.0)</f>
        <v>45996</v>
      </c>
      <c r="L514" s="670">
        <f>IFERROR(__xludf.DUMMYFUNCTION("""COMPUTED_VALUE"""),46003.0)</f>
        <v>46003</v>
      </c>
      <c r="M514" s="670">
        <f>IFERROR(__xludf.DUMMYFUNCTION("""COMPUTED_VALUE"""),46008.0)</f>
        <v>46008</v>
      </c>
      <c r="N514" s="674">
        <f>IFERROR(__xludf.DUMMYFUNCTION("""COMPUTED_VALUE"""),3300.0)</f>
        <v>3300</v>
      </c>
      <c r="O514" s="593">
        <f>IFERROR(__xludf.DUMMYFUNCTION("""COMPUTED_VALUE"""),3000.0)</f>
        <v>3000</v>
      </c>
      <c r="P514" s="594">
        <f>IFERROR(__xludf.DUMMYFUNCTION("""COMPUTED_VALUE"""),2000.0)</f>
        <v>2000</v>
      </c>
      <c r="Q514" s="183"/>
      <c r="R514" s="544"/>
      <c r="S514" s="544"/>
      <c r="T514" s="544"/>
      <c r="U514" s="544"/>
      <c r="V514" s="544"/>
      <c r="W514" s="544"/>
      <c r="X514" s="544"/>
      <c r="Y514" s="544"/>
      <c r="Z514" s="544"/>
      <c r="AA514" s="544"/>
      <c r="AB514" s="544"/>
      <c r="AC514" s="544"/>
      <c r="AD514" s="544"/>
      <c r="AE514" s="183"/>
      <c r="AF514" s="183"/>
      <c r="AG514" s="183"/>
      <c r="AH514" s="183"/>
      <c r="AI514" s="183"/>
      <c r="AJ514" s="183"/>
      <c r="AK514" s="183"/>
      <c r="AL514" s="183"/>
      <c r="AM514" s="183"/>
    </row>
    <row r="515">
      <c r="A515" s="273" t="str">
        <f>IFERROR(__xludf.DUMMYFUNCTION("""COMPUTED_VALUE"""),"サイズ - ウィメンズ")</f>
        <v>サイズ - ウィメンズ</v>
      </c>
      <c r="B515" s="273" t="str">
        <f>IFERROR(__xludf.DUMMYFUNCTION("""COMPUTED_VALUE"""),"スラックス / カジュアルパンツ")</f>
        <v>スラックス / カジュアルパンツ</v>
      </c>
      <c r="C515" s="273" t="str">
        <f>IFERROR(__xludf.DUMMYFUNCTION("""COMPUTED_VALUE"""),"股下")</f>
        <v>股下</v>
      </c>
      <c r="D515" s="668"/>
      <c r="E515" s="671" t="str">
        <f>IFERROR(__xludf.DUMMYFUNCTION("""COMPUTED_VALUE"""),"裏地出しは不可")</f>
        <v>裏地出しは不可</v>
      </c>
      <c r="F515" s="342" t="str">
        <f>IFERROR(__xludf.DUMMYFUNCTION("""COMPUTED_VALUE"""),"股下")</f>
        <v>股下</v>
      </c>
      <c r="G515" s="668" t="str">
        <f>IFERROR(__xludf.DUMMYFUNCTION("""COMPUTED_VALUE"""),"股下（裏地出しは不可）")</f>
        <v>股下（裏地出しは不可）</v>
      </c>
      <c r="H515" s="672" t="str">
        <f>IFERROR(__xludf.DUMMYFUNCTION("""COMPUTED_VALUE"""),"3.5")</f>
        <v>3.5</v>
      </c>
      <c r="I515" s="669"/>
      <c r="J515" s="669">
        <f>IFERROR(__xludf.DUMMYFUNCTION("""COMPUTED_VALUE"""),5.0)</f>
        <v>5</v>
      </c>
      <c r="K515" s="673">
        <f>IFERROR(__xludf.DUMMYFUNCTION("""COMPUTED_VALUE"""),45996.0)</f>
        <v>45996</v>
      </c>
      <c r="L515" s="670">
        <f>IFERROR(__xludf.DUMMYFUNCTION("""COMPUTED_VALUE"""),46003.0)</f>
        <v>46003</v>
      </c>
      <c r="M515" s="670">
        <f>IFERROR(__xludf.DUMMYFUNCTION("""COMPUTED_VALUE"""),46008.0)</f>
        <v>46008</v>
      </c>
      <c r="N515" s="674">
        <f>IFERROR(__xludf.DUMMYFUNCTION("""COMPUTED_VALUE"""),3300.0)</f>
        <v>3300</v>
      </c>
      <c r="O515" s="593">
        <f>IFERROR(__xludf.DUMMYFUNCTION("""COMPUTED_VALUE"""),3000.0)</f>
        <v>3000</v>
      </c>
      <c r="P515" s="594">
        <f>IFERROR(__xludf.DUMMYFUNCTION("""COMPUTED_VALUE"""),2000.0)</f>
        <v>2000</v>
      </c>
      <c r="Q515" s="183"/>
      <c r="R515" s="544"/>
      <c r="S515" s="544"/>
      <c r="T515" s="544"/>
      <c r="U515" s="544"/>
      <c r="V515" s="544"/>
      <c r="W515" s="544"/>
      <c r="X515" s="544"/>
      <c r="Y515" s="544"/>
      <c r="Z515" s="544"/>
      <c r="AA515" s="544"/>
      <c r="AB515" s="544"/>
      <c r="AC515" s="544"/>
      <c r="AD515" s="544"/>
      <c r="AE515" s="183"/>
      <c r="AF515" s="183"/>
      <c r="AG515" s="183"/>
      <c r="AH515" s="183"/>
      <c r="AI515" s="183"/>
      <c r="AJ515" s="183"/>
      <c r="AK515" s="183"/>
      <c r="AL515" s="183"/>
      <c r="AM515" s="183"/>
    </row>
    <row r="516">
      <c r="A516" s="273" t="str">
        <f>IFERROR(__xludf.DUMMYFUNCTION("""COMPUTED_VALUE"""),"サイズ - ウィメンズ")</f>
        <v>サイズ - ウィメンズ</v>
      </c>
      <c r="B516" s="273" t="str">
        <f>IFERROR(__xludf.DUMMYFUNCTION("""COMPUTED_VALUE"""),"スラックス / カジュアルパンツ")</f>
        <v>スラックス / カジュアルパンツ</v>
      </c>
      <c r="C516" s="273" t="str">
        <f>IFERROR(__xludf.DUMMYFUNCTION("""COMPUTED_VALUE"""),"股下")</f>
        <v>股下</v>
      </c>
      <c r="D516" s="668"/>
      <c r="E516" s="671" t="str">
        <f>IFERROR(__xludf.DUMMYFUNCTION("""COMPUTED_VALUE"""),"裏地出しは不可")</f>
        <v>裏地出しは不可</v>
      </c>
      <c r="F516" s="342" t="str">
        <f>IFERROR(__xludf.DUMMYFUNCTION("""COMPUTED_VALUE"""),"股下")</f>
        <v>股下</v>
      </c>
      <c r="G516" s="668" t="str">
        <f>IFERROR(__xludf.DUMMYFUNCTION("""COMPUTED_VALUE"""),"股下（裏地出しは不可）")</f>
        <v>股下（裏地出しは不可）</v>
      </c>
      <c r="H516" s="672" t="str">
        <f>IFERROR(__xludf.DUMMYFUNCTION("""COMPUTED_VALUE"""),"4")</f>
        <v>4</v>
      </c>
      <c r="I516" s="669"/>
      <c r="J516" s="669">
        <f>IFERROR(__xludf.DUMMYFUNCTION("""COMPUTED_VALUE"""),5.0)</f>
        <v>5</v>
      </c>
      <c r="K516" s="673">
        <f>IFERROR(__xludf.DUMMYFUNCTION("""COMPUTED_VALUE"""),45996.0)</f>
        <v>45996</v>
      </c>
      <c r="L516" s="670">
        <f>IFERROR(__xludf.DUMMYFUNCTION("""COMPUTED_VALUE"""),46003.0)</f>
        <v>46003</v>
      </c>
      <c r="M516" s="670">
        <f>IFERROR(__xludf.DUMMYFUNCTION("""COMPUTED_VALUE"""),46008.0)</f>
        <v>46008</v>
      </c>
      <c r="N516" s="674">
        <f>IFERROR(__xludf.DUMMYFUNCTION("""COMPUTED_VALUE"""),3300.0)</f>
        <v>3300</v>
      </c>
      <c r="O516" s="593">
        <f>IFERROR(__xludf.DUMMYFUNCTION("""COMPUTED_VALUE"""),3000.0)</f>
        <v>3000</v>
      </c>
      <c r="P516" s="594">
        <f>IFERROR(__xludf.DUMMYFUNCTION("""COMPUTED_VALUE"""),2000.0)</f>
        <v>2000</v>
      </c>
      <c r="Q516" s="183"/>
      <c r="R516" s="544"/>
      <c r="S516" s="544"/>
      <c r="T516" s="544"/>
      <c r="U516" s="544"/>
      <c r="V516" s="544"/>
      <c r="W516" s="544"/>
      <c r="X516" s="544"/>
      <c r="Y516" s="544"/>
      <c r="Z516" s="544"/>
      <c r="AA516" s="544"/>
      <c r="AB516" s="544"/>
      <c r="AC516" s="544"/>
      <c r="AD516" s="544"/>
      <c r="AE516" s="183"/>
      <c r="AF516" s="183"/>
      <c r="AG516" s="183"/>
      <c r="AH516" s="183"/>
      <c r="AI516" s="183"/>
      <c r="AJ516" s="183"/>
      <c r="AK516" s="183"/>
      <c r="AL516" s="183"/>
      <c r="AM516" s="183"/>
    </row>
    <row r="517">
      <c r="A517" s="273" t="str">
        <f>IFERROR(__xludf.DUMMYFUNCTION("""COMPUTED_VALUE"""),"縫製")</f>
        <v>縫製</v>
      </c>
      <c r="B517" s="273" t="str">
        <f>IFERROR(__xludf.DUMMYFUNCTION("""COMPUTED_VALUE"""),"スラックス / カジュアルパンツ")</f>
        <v>スラックス / カジュアルパンツ</v>
      </c>
      <c r="C517" s="273" t="str">
        <f>IFERROR(__xludf.DUMMYFUNCTION("""COMPUTED_VALUE"""),"股擦れ防止加工後付け")</f>
        <v>股擦れ防止加工後付け</v>
      </c>
      <c r="D517" s="668"/>
      <c r="E517" s="668" t="str">
        <f>IFERROR(__xludf.DUMMYFUNCTION("""COMPUTED_VALUE"""),"後付けのお直しで行う場合、スラックスの裏地部分にかぶるような形であて布が付くような仕様となるため、着用感にやや変化が生じる場合がある。ご了承いたたけた場合のみ対応可")</f>
        <v>後付けのお直しで行う場合、スラックスの裏地部分にかぶるような形であて布が付くような仕様となるため、着用感にやや変化が生じる場合がある。ご了承いたたけた場合のみ対応可</v>
      </c>
      <c r="F517" s="342" t="str">
        <f>IFERROR(__xludf.DUMMYFUNCTION("""COMPUTED_VALUE"""),"股擦れ防止加工後付け")</f>
        <v>股擦れ防止加工後付け</v>
      </c>
      <c r="G517" s="668" t="str">
        <f>IFERROR(__xludf.DUMMYFUNCTION("""COMPUTED_VALUE"""),"股擦れ防止加工後付け（後付けのお直しで行う場合、スラックスの裏地部分にかぶるような形であて布が付くような仕様となるため、着用感にやや変化が生じる場合がある。ご了承いたたけた場合のみ対応可）")</f>
        <v>股擦れ防止加工後付け（後付けのお直しで行う場合、スラックスの裏地部分にかぶるような形であて布が付くような仕様となるため、着用感にやや変化が生じる場合がある。ご了承いたたけた場合のみ対応可）</v>
      </c>
      <c r="H517" s="669"/>
      <c r="I517" s="669" t="str">
        <f>IFERROR(__xludf.DUMMYFUNCTION("""COMPUTED_VALUE"""),"店舗/CS")</f>
        <v>店舗/CS</v>
      </c>
      <c r="J517" s="669"/>
      <c r="K517" s="669" t="str">
        <f>IFERROR(__xludf.DUMMYFUNCTION("""COMPUTED_VALUE"""),"約4週間")</f>
        <v>約4週間</v>
      </c>
      <c r="L517" s="670"/>
      <c r="M517" s="670"/>
      <c r="N517" s="674">
        <f>IFERROR(__xludf.DUMMYFUNCTION("""COMPUTED_VALUE"""),6600.0)</f>
        <v>6600</v>
      </c>
      <c r="O517" s="593">
        <f>IFERROR(__xludf.DUMMYFUNCTION("""COMPUTED_VALUE"""),6000.0)</f>
        <v>6000</v>
      </c>
      <c r="P517" s="594">
        <f>IFERROR(__xludf.DUMMYFUNCTION("""COMPUTED_VALUE"""),4000.0)</f>
        <v>4000</v>
      </c>
      <c r="Q517" s="183"/>
      <c r="R517" s="544"/>
      <c r="S517" s="544"/>
      <c r="T517" s="544"/>
      <c r="U517" s="544"/>
      <c r="V517" s="544"/>
      <c r="W517" s="544"/>
      <c r="X517" s="544"/>
      <c r="Y517" s="544"/>
      <c r="Z517" s="544"/>
      <c r="AA517" s="544"/>
      <c r="AB517" s="544"/>
      <c r="AC517" s="544"/>
      <c r="AD517" s="544"/>
      <c r="AE517" s="183"/>
      <c r="AF517" s="183"/>
      <c r="AG517" s="183"/>
      <c r="AH517" s="183"/>
      <c r="AI517" s="183"/>
      <c r="AJ517" s="183"/>
      <c r="AK517" s="183"/>
      <c r="AL517" s="183"/>
      <c r="AM517" s="183"/>
    </row>
    <row r="518">
      <c r="A518" s="273" t="str">
        <f>IFERROR(__xludf.DUMMYFUNCTION("""COMPUTED_VALUE"""),"サイズ")</f>
        <v>サイズ</v>
      </c>
      <c r="B518" s="273" t="str">
        <f>IFERROR(__xludf.DUMMYFUNCTION("""COMPUTED_VALUE"""),"チェスターコート")</f>
        <v>チェスターコート</v>
      </c>
      <c r="C518" s="675" t="str">
        <f>IFERROR(__xludf.DUMMYFUNCTION("""COMPUTED_VALUE"""),"仕上げプレス")</f>
        <v>仕上げプレス</v>
      </c>
      <c r="D518" s="668"/>
      <c r="E518" s="668"/>
      <c r="F518" s="607" t="str">
        <f>IFERROR(__xludf.DUMMYFUNCTION("""COMPUTED_VALUE"""),"仕上げプレス")</f>
        <v>仕上げプレス</v>
      </c>
      <c r="G518" s="676" t="str">
        <f>IFERROR(__xludf.DUMMYFUNCTION("""COMPUTED_VALUE"""),"仕上げプレス")</f>
        <v>仕上げプレス</v>
      </c>
      <c r="H518" s="669"/>
      <c r="I518" s="669" t="str">
        <f>IFERROR(__xludf.DUMMYFUNCTION("""COMPUTED_VALUE"""),"店舗/CS")</f>
        <v>店舗/CS</v>
      </c>
      <c r="J518" s="669"/>
      <c r="K518" s="669"/>
      <c r="L518" s="670"/>
      <c r="M518" s="670"/>
      <c r="N518" s="674">
        <f>IFERROR(__xludf.DUMMYFUNCTION("""COMPUTED_VALUE"""),770.0)</f>
        <v>770</v>
      </c>
      <c r="O518" s="593">
        <f>IFERROR(__xludf.DUMMYFUNCTION("""COMPUTED_VALUE"""),700.0)</f>
        <v>700</v>
      </c>
      <c r="P518" s="594">
        <f>IFERROR(__xludf.DUMMYFUNCTION("""COMPUTED_VALUE"""),350.0)</f>
        <v>350</v>
      </c>
      <c r="Q518" s="183"/>
      <c r="R518" s="544"/>
      <c r="S518" s="544"/>
      <c r="T518" s="544"/>
      <c r="U518" s="544"/>
      <c r="V518" s="544"/>
      <c r="W518" s="544"/>
      <c r="X518" s="544"/>
      <c r="Y518" s="544"/>
      <c r="Z518" s="544"/>
      <c r="AA518" s="544"/>
      <c r="AB518" s="544"/>
      <c r="AC518" s="544"/>
      <c r="AD518" s="544"/>
      <c r="AE518" s="183"/>
      <c r="AF518" s="183"/>
      <c r="AG518" s="183"/>
      <c r="AH518" s="183"/>
      <c r="AI518" s="183"/>
      <c r="AJ518" s="183"/>
      <c r="AK518" s="183"/>
      <c r="AL518" s="183"/>
      <c r="AM518" s="183"/>
    </row>
    <row r="519">
      <c r="A519" s="273" t="str">
        <f>IFERROR(__xludf.DUMMYFUNCTION("""COMPUTED_VALUE"""),"縫製")</f>
        <v>縫製</v>
      </c>
      <c r="B519" s="273" t="str">
        <f>IFERROR(__xludf.DUMMYFUNCTION("""COMPUTED_VALUE"""),"チェスターコート")</f>
        <v>チェスターコート</v>
      </c>
      <c r="C519" s="273" t="str">
        <f>IFERROR(__xludf.DUMMYFUNCTION("""COMPUTED_VALUE"""),"仕上げプレス")</f>
        <v>仕上げプレス</v>
      </c>
      <c r="D519" s="668"/>
      <c r="E519" s="668"/>
      <c r="F519" s="342" t="str">
        <f>IFERROR(__xludf.DUMMYFUNCTION("""COMPUTED_VALUE"""),"仕上げプレス")</f>
        <v>仕上げプレス</v>
      </c>
      <c r="G519" s="668" t="str">
        <f>IFERROR(__xludf.DUMMYFUNCTION("""COMPUTED_VALUE"""),"仕上げプレス")</f>
        <v>仕上げプレス</v>
      </c>
      <c r="H519" s="669"/>
      <c r="I519" s="669" t="str">
        <f>IFERROR(__xludf.DUMMYFUNCTION("""COMPUTED_VALUE"""),"店舗/CS")</f>
        <v>店舗/CS</v>
      </c>
      <c r="J519" s="669"/>
      <c r="K519" s="669"/>
      <c r="L519" s="670"/>
      <c r="M519" s="670"/>
      <c r="N519" s="674">
        <f>IFERROR(__xludf.DUMMYFUNCTION("""COMPUTED_VALUE"""),770.0)</f>
        <v>770</v>
      </c>
      <c r="O519" s="593">
        <f>IFERROR(__xludf.DUMMYFUNCTION("""COMPUTED_VALUE"""),700.0)</f>
        <v>700</v>
      </c>
      <c r="P519" s="594">
        <f>IFERROR(__xludf.DUMMYFUNCTION("""COMPUTED_VALUE"""),350.0)</f>
        <v>350</v>
      </c>
      <c r="Q519" s="183"/>
      <c r="R519" s="544"/>
      <c r="S519" s="544"/>
      <c r="T519" s="544"/>
      <c r="U519" s="544"/>
      <c r="V519" s="544"/>
      <c r="W519" s="544"/>
      <c r="X519" s="544"/>
      <c r="Y519" s="544"/>
      <c r="Z519" s="544"/>
      <c r="AA519" s="544"/>
      <c r="AB519" s="544"/>
      <c r="AC519" s="544"/>
      <c r="AD519" s="544"/>
      <c r="AE519" s="183"/>
      <c r="AF519" s="183"/>
      <c r="AG519" s="183"/>
      <c r="AH519" s="183"/>
      <c r="AI519" s="183"/>
      <c r="AJ519" s="183"/>
      <c r="AK519" s="183"/>
      <c r="AL519" s="183"/>
      <c r="AM519" s="183"/>
    </row>
    <row r="520">
      <c r="A520" s="273" t="str">
        <f>IFERROR(__xludf.DUMMYFUNCTION("""COMPUTED_VALUE"""),"サイズ")</f>
        <v>サイズ</v>
      </c>
      <c r="B520" s="273" t="str">
        <f>IFERROR(__xludf.DUMMYFUNCTION("""COMPUTED_VALUE"""),"チェスターコート")</f>
        <v>チェスターコート</v>
      </c>
      <c r="C520" s="273" t="str">
        <f>IFERROR(__xludf.DUMMYFUNCTION("""COMPUTED_VALUE"""),"肩巾")</f>
        <v>肩巾</v>
      </c>
      <c r="D520" s="668"/>
      <c r="E520" s="668" t="str">
        <f>IFERROR(__xludf.DUMMYFUNCTION("""COMPUTED_VALUE"""),"パターン限界値から -4cm~+6cmの範囲内で調整すること")</f>
        <v>パターン限界値から -4cm~+6cmの範囲内で調整すること</v>
      </c>
      <c r="F520" s="342" t="str">
        <f>IFERROR(__xludf.DUMMYFUNCTION("""COMPUTED_VALUE"""),"肩巾")</f>
        <v>肩巾</v>
      </c>
      <c r="G520" s="668" t="str">
        <f>IFERROR(__xludf.DUMMYFUNCTION("""COMPUTED_VALUE"""),"肩巾（パターン限界値から -4cm~+6cmの範囲内で調整すること）")</f>
        <v>肩巾（パターン限界値から -4cm~+6cmの範囲内で調整すること）</v>
      </c>
      <c r="H520" s="672" t="str">
        <f>IFERROR(__xludf.DUMMYFUNCTION("""COMPUTED_VALUE"""),"-1")</f>
        <v>-1</v>
      </c>
      <c r="I520" s="669"/>
      <c r="J520" s="669">
        <f>IFERROR(__xludf.DUMMYFUNCTION("""COMPUTED_VALUE"""),7.0)</f>
        <v>7</v>
      </c>
      <c r="K520" s="673">
        <f>IFERROR(__xludf.DUMMYFUNCTION("""COMPUTED_VALUE"""),46000.0)</f>
        <v>46000</v>
      </c>
      <c r="L520" s="670">
        <f>IFERROR(__xludf.DUMMYFUNCTION("""COMPUTED_VALUE"""),46003.0)</f>
        <v>46003</v>
      </c>
      <c r="M520" s="670">
        <f>IFERROR(__xludf.DUMMYFUNCTION("""COMPUTED_VALUE"""),46008.0)</f>
        <v>46008</v>
      </c>
      <c r="N520" s="674">
        <f>IFERROR(__xludf.DUMMYFUNCTION("""COMPUTED_VALUE"""),6880.0)</f>
        <v>6880</v>
      </c>
      <c r="O520" s="593">
        <f>IFERROR(__xludf.DUMMYFUNCTION("""COMPUTED_VALUE"""),6250.0)</f>
        <v>6250</v>
      </c>
      <c r="P520" s="594">
        <f>IFERROR(__xludf.DUMMYFUNCTION("""COMPUTED_VALUE"""),3500.0)</f>
        <v>3500</v>
      </c>
      <c r="Q520" s="183"/>
      <c r="R520" s="544"/>
      <c r="S520" s="544"/>
      <c r="T520" s="544"/>
      <c r="U520" s="544"/>
      <c r="V520" s="544"/>
      <c r="W520" s="544"/>
      <c r="X520" s="544"/>
      <c r="Y520" s="544"/>
      <c r="Z520" s="544"/>
      <c r="AA520" s="544"/>
      <c r="AB520" s="544"/>
      <c r="AC520" s="544"/>
      <c r="AD520" s="544"/>
      <c r="AE520" s="183"/>
      <c r="AF520" s="183"/>
      <c r="AG520" s="183"/>
      <c r="AH520" s="183"/>
      <c r="AI520" s="183"/>
      <c r="AJ520" s="183"/>
      <c r="AK520" s="183"/>
      <c r="AL520" s="183"/>
      <c r="AM520" s="183"/>
    </row>
    <row r="521">
      <c r="A521" s="273" t="str">
        <f>IFERROR(__xludf.DUMMYFUNCTION("""COMPUTED_VALUE"""),"サイズ")</f>
        <v>サイズ</v>
      </c>
      <c r="B521" s="273" t="str">
        <f>IFERROR(__xludf.DUMMYFUNCTION("""COMPUTED_VALUE"""),"チェスターコート")</f>
        <v>チェスターコート</v>
      </c>
      <c r="C521" s="273" t="str">
        <f>IFERROR(__xludf.DUMMYFUNCTION("""COMPUTED_VALUE"""),"バスト")</f>
        <v>バスト</v>
      </c>
      <c r="D521" s="668"/>
      <c r="E521" s="668"/>
      <c r="F521" s="342" t="str">
        <f>IFERROR(__xludf.DUMMYFUNCTION("""COMPUTED_VALUE"""),"バスト")</f>
        <v>バスト</v>
      </c>
      <c r="G521" s="668" t="str">
        <f>IFERROR(__xludf.DUMMYFUNCTION("""COMPUTED_VALUE"""),"バスト")</f>
        <v>バスト</v>
      </c>
      <c r="H521" s="669"/>
      <c r="I521" s="669"/>
      <c r="J521" s="669" t="str">
        <f>IFERROR(__xludf.DUMMYFUNCTION("""COMPUTED_VALUE"""),"再製作")</f>
        <v>再製作</v>
      </c>
      <c r="K521" s="669" t="str">
        <f>IFERROR(__xludf.DUMMYFUNCTION("""COMPUTED_VALUE"""),"再製作")</f>
        <v>再製作</v>
      </c>
      <c r="L521" s="670" t="str">
        <f>IFERROR(__xludf.DUMMYFUNCTION("""COMPUTED_VALUE"""),"再製作")</f>
        <v>再製作</v>
      </c>
      <c r="M521" s="670" t="str">
        <f>IFERROR(__xludf.DUMMYFUNCTION("""COMPUTED_VALUE"""),"再製作")</f>
        <v>再製作</v>
      </c>
      <c r="N521" s="669" t="str">
        <f>IFERROR(__xludf.DUMMYFUNCTION("""COMPUTED_VALUE"""),"再製作")</f>
        <v>再製作</v>
      </c>
      <c r="O521" s="183" t="str">
        <f>IFERROR(__xludf.DUMMYFUNCTION("""COMPUTED_VALUE"""),"再製作")</f>
        <v>再製作</v>
      </c>
      <c r="P521" s="594">
        <f>IFERROR(__xludf.DUMMYFUNCTION("""COMPUTED_VALUE"""),4500.0)</f>
        <v>4500</v>
      </c>
      <c r="Q521" s="183"/>
      <c r="R521" s="544"/>
      <c r="S521" s="544"/>
      <c r="T521" s="544"/>
      <c r="U521" s="544"/>
      <c r="V521" s="544"/>
      <c r="W521" s="544"/>
      <c r="X521" s="544"/>
      <c r="Y521" s="544"/>
      <c r="Z521" s="544"/>
      <c r="AA521" s="544"/>
      <c r="AB521" s="544"/>
      <c r="AC521" s="544"/>
      <c r="AD521" s="544"/>
      <c r="AE521" s="183"/>
      <c r="AF521" s="183"/>
      <c r="AG521" s="183"/>
      <c r="AH521" s="183"/>
      <c r="AI521" s="183"/>
      <c r="AJ521" s="183"/>
      <c r="AK521" s="183"/>
      <c r="AL521" s="183"/>
      <c r="AM521" s="183"/>
    </row>
    <row r="522">
      <c r="A522" s="273" t="str">
        <f>IFERROR(__xludf.DUMMYFUNCTION("""COMPUTED_VALUE"""),"サイズ")</f>
        <v>サイズ</v>
      </c>
      <c r="B522" s="273" t="str">
        <f>IFERROR(__xludf.DUMMYFUNCTION("""COMPUTED_VALUE"""),"チェスターコート")</f>
        <v>チェスターコート</v>
      </c>
      <c r="C522" s="273" t="str">
        <f>IFERROR(__xludf.DUMMYFUNCTION("""COMPUTED_VALUE"""),"ウエスト")</f>
        <v>ウエスト</v>
      </c>
      <c r="D522" s="668"/>
      <c r="E522" s="668" t="str">
        <f>IFERROR(__xludf.DUMMYFUNCTION("""COMPUTED_VALUE"""),"パターン限界値から -4cm~+6cm かつドロップ16cmの範囲内で調整すること")</f>
        <v>パターン限界値から -4cm~+6cm かつドロップ16cmの範囲内で調整すること</v>
      </c>
      <c r="F522" s="342" t="str">
        <f>IFERROR(__xludf.DUMMYFUNCTION("""COMPUTED_VALUE"""),"ウエスト")</f>
        <v>ウエスト</v>
      </c>
      <c r="G522" s="668" t="str">
        <f>IFERROR(__xludf.DUMMYFUNCTION("""COMPUTED_VALUE"""),"ウエスト（パターン限界値から -4cm~+6cm かつドロップ16cmの範囲内で調整すること）")</f>
        <v>ウエスト（パターン限界値から -4cm~+6cm かつドロップ16cmの範囲内で調整すること）</v>
      </c>
      <c r="H522" s="672" t="str">
        <f>IFERROR(__xludf.DUMMYFUNCTION("""COMPUTED_VALUE"""),"-8")</f>
        <v>-8</v>
      </c>
      <c r="I522" s="669"/>
      <c r="J522" s="669">
        <f>IFERROR(__xludf.DUMMYFUNCTION("""COMPUTED_VALUE"""),7.0)</f>
        <v>7</v>
      </c>
      <c r="K522" s="673">
        <f>IFERROR(__xludf.DUMMYFUNCTION("""COMPUTED_VALUE"""),46000.0)</f>
        <v>46000</v>
      </c>
      <c r="L522" s="670">
        <f>IFERROR(__xludf.DUMMYFUNCTION("""COMPUTED_VALUE"""),46003.0)</f>
        <v>46003</v>
      </c>
      <c r="M522" s="670">
        <f>IFERROR(__xludf.DUMMYFUNCTION("""COMPUTED_VALUE"""),46008.0)</f>
        <v>46008</v>
      </c>
      <c r="N522" s="674">
        <f>IFERROR(__xludf.DUMMYFUNCTION("""COMPUTED_VALUE"""),13200.0)</f>
        <v>13200</v>
      </c>
      <c r="O522" s="593">
        <f>IFERROR(__xludf.DUMMYFUNCTION("""COMPUTED_VALUE"""),12000.0)</f>
        <v>12000</v>
      </c>
      <c r="P522" s="594">
        <f>IFERROR(__xludf.DUMMYFUNCTION("""COMPUTED_VALUE"""),8000.0)</f>
        <v>8000</v>
      </c>
      <c r="Q522" s="183"/>
      <c r="R522" s="544"/>
      <c r="S522" s="544"/>
      <c r="T522" s="544"/>
      <c r="U522" s="544"/>
      <c r="V522" s="544"/>
      <c r="W522" s="544"/>
      <c r="X522" s="544"/>
      <c r="Y522" s="544"/>
      <c r="Z522" s="544"/>
      <c r="AA522" s="544"/>
      <c r="AB522" s="544"/>
      <c r="AC522" s="544"/>
      <c r="AD522" s="544"/>
      <c r="AE522" s="183"/>
      <c r="AF522" s="183"/>
      <c r="AG522" s="183"/>
      <c r="AH522" s="183"/>
      <c r="AI522" s="183"/>
      <c r="AJ522" s="183"/>
      <c r="AK522" s="183"/>
      <c r="AL522" s="183"/>
      <c r="AM522" s="183"/>
    </row>
    <row r="523">
      <c r="A523" s="273" t="str">
        <f>IFERROR(__xludf.DUMMYFUNCTION("""COMPUTED_VALUE"""),"サイズ")</f>
        <v>サイズ</v>
      </c>
      <c r="B523" s="273" t="str">
        <f>IFERROR(__xludf.DUMMYFUNCTION("""COMPUTED_VALUE"""),"チェスターコート")</f>
        <v>チェスターコート</v>
      </c>
      <c r="C523" s="273" t="str">
        <f>IFERROR(__xludf.DUMMYFUNCTION("""COMPUTED_VALUE"""),"ウエスト")</f>
        <v>ウエスト</v>
      </c>
      <c r="D523" s="668"/>
      <c r="E523" s="668" t="str">
        <f>IFERROR(__xludf.DUMMYFUNCTION("""COMPUTED_VALUE"""),"パターン限界値から -4cm~+6cm かつドロップ16cmの範囲内で調整すること")</f>
        <v>パターン限界値から -4cm~+6cm かつドロップ16cmの範囲内で調整すること</v>
      </c>
      <c r="F523" s="342" t="str">
        <f>IFERROR(__xludf.DUMMYFUNCTION("""COMPUTED_VALUE"""),"ウエスト")</f>
        <v>ウエスト</v>
      </c>
      <c r="G523" s="668" t="str">
        <f>IFERROR(__xludf.DUMMYFUNCTION("""COMPUTED_VALUE"""),"ウエスト（パターン限界値から -4cm~+6cm かつドロップ16cmの範囲内で調整すること）")</f>
        <v>ウエスト（パターン限界値から -4cm~+6cm かつドロップ16cmの範囲内で調整すること）</v>
      </c>
      <c r="H523" s="672" t="str">
        <f>IFERROR(__xludf.DUMMYFUNCTION("""COMPUTED_VALUE"""),"-7")</f>
        <v>-7</v>
      </c>
      <c r="I523" s="669"/>
      <c r="J523" s="669">
        <f>IFERROR(__xludf.DUMMYFUNCTION("""COMPUTED_VALUE"""),7.0)</f>
        <v>7</v>
      </c>
      <c r="K523" s="673">
        <f>IFERROR(__xludf.DUMMYFUNCTION("""COMPUTED_VALUE"""),46000.0)</f>
        <v>46000</v>
      </c>
      <c r="L523" s="670">
        <f>IFERROR(__xludf.DUMMYFUNCTION("""COMPUTED_VALUE"""),46003.0)</f>
        <v>46003</v>
      </c>
      <c r="M523" s="670">
        <f>IFERROR(__xludf.DUMMYFUNCTION("""COMPUTED_VALUE"""),46008.0)</f>
        <v>46008</v>
      </c>
      <c r="N523" s="674">
        <f>IFERROR(__xludf.DUMMYFUNCTION("""COMPUTED_VALUE"""),13200.0)</f>
        <v>13200</v>
      </c>
      <c r="O523" s="593">
        <f>IFERROR(__xludf.DUMMYFUNCTION("""COMPUTED_VALUE"""),12000.0)</f>
        <v>12000</v>
      </c>
      <c r="P523" s="594">
        <f>IFERROR(__xludf.DUMMYFUNCTION("""COMPUTED_VALUE"""),8000.0)</f>
        <v>8000</v>
      </c>
      <c r="Q523" s="183"/>
      <c r="R523" s="544"/>
      <c r="S523" s="544"/>
      <c r="T523" s="544"/>
      <c r="U523" s="544"/>
      <c r="V523" s="544"/>
      <c r="W523" s="544"/>
      <c r="X523" s="544"/>
      <c r="Y523" s="544"/>
      <c r="Z523" s="544"/>
      <c r="AA523" s="544"/>
      <c r="AB523" s="544"/>
      <c r="AC523" s="544"/>
      <c r="AD523" s="544"/>
      <c r="AE523" s="183"/>
      <c r="AF523" s="183"/>
      <c r="AG523" s="183"/>
      <c r="AH523" s="183"/>
      <c r="AI523" s="183"/>
      <c r="AJ523" s="183"/>
      <c r="AK523" s="183"/>
      <c r="AL523" s="183"/>
      <c r="AM523" s="183"/>
    </row>
    <row r="524">
      <c r="A524" s="273" t="str">
        <f>IFERROR(__xludf.DUMMYFUNCTION("""COMPUTED_VALUE"""),"サイズ")</f>
        <v>サイズ</v>
      </c>
      <c r="B524" s="273" t="str">
        <f>IFERROR(__xludf.DUMMYFUNCTION("""COMPUTED_VALUE"""),"チェスターコート")</f>
        <v>チェスターコート</v>
      </c>
      <c r="C524" s="273" t="str">
        <f>IFERROR(__xludf.DUMMYFUNCTION("""COMPUTED_VALUE"""),"ウエスト")</f>
        <v>ウエスト</v>
      </c>
      <c r="D524" s="668"/>
      <c r="E524" s="668" t="str">
        <f>IFERROR(__xludf.DUMMYFUNCTION("""COMPUTED_VALUE"""),"パターン限界値から -4cm~+6cm かつドロップ16cmの範囲内で調整すること")</f>
        <v>パターン限界値から -4cm~+6cm かつドロップ16cmの範囲内で調整すること</v>
      </c>
      <c r="F524" s="342" t="str">
        <f>IFERROR(__xludf.DUMMYFUNCTION("""COMPUTED_VALUE"""),"ウエスト")</f>
        <v>ウエスト</v>
      </c>
      <c r="G524" s="668" t="str">
        <f>IFERROR(__xludf.DUMMYFUNCTION("""COMPUTED_VALUE"""),"ウエスト（パターン限界値から -4cm~+6cm かつドロップ16cmの範囲内で調整すること）")</f>
        <v>ウエスト（パターン限界値から -4cm~+6cm かつドロップ16cmの範囲内で調整すること）</v>
      </c>
      <c r="H524" s="672" t="str">
        <f>IFERROR(__xludf.DUMMYFUNCTION("""COMPUTED_VALUE"""),"-6")</f>
        <v>-6</v>
      </c>
      <c r="I524" s="669"/>
      <c r="J524" s="669">
        <f>IFERROR(__xludf.DUMMYFUNCTION("""COMPUTED_VALUE"""),7.0)</f>
        <v>7</v>
      </c>
      <c r="K524" s="673">
        <f>IFERROR(__xludf.DUMMYFUNCTION("""COMPUTED_VALUE"""),46000.0)</f>
        <v>46000</v>
      </c>
      <c r="L524" s="670">
        <f>IFERROR(__xludf.DUMMYFUNCTION("""COMPUTED_VALUE"""),46003.0)</f>
        <v>46003</v>
      </c>
      <c r="M524" s="670">
        <f>IFERROR(__xludf.DUMMYFUNCTION("""COMPUTED_VALUE"""),46008.0)</f>
        <v>46008</v>
      </c>
      <c r="N524" s="674">
        <f>IFERROR(__xludf.DUMMYFUNCTION("""COMPUTED_VALUE"""),13200.0)</f>
        <v>13200</v>
      </c>
      <c r="O524" s="593">
        <f>IFERROR(__xludf.DUMMYFUNCTION("""COMPUTED_VALUE"""),12000.0)</f>
        <v>12000</v>
      </c>
      <c r="P524" s="594">
        <f>IFERROR(__xludf.DUMMYFUNCTION("""COMPUTED_VALUE"""),8000.0)</f>
        <v>8000</v>
      </c>
      <c r="Q524" s="183"/>
      <c r="R524" s="544"/>
      <c r="S524" s="544"/>
      <c r="T524" s="544"/>
      <c r="U524" s="544"/>
      <c r="V524" s="544"/>
      <c r="W524" s="544"/>
      <c r="X524" s="544"/>
      <c r="Y524" s="544"/>
      <c r="Z524" s="544"/>
      <c r="AA524" s="544"/>
      <c r="AB524" s="544"/>
      <c r="AC524" s="544"/>
      <c r="AD524" s="544"/>
      <c r="AE524" s="183"/>
      <c r="AF524" s="183"/>
      <c r="AG524" s="183"/>
      <c r="AH524" s="183"/>
      <c r="AI524" s="183"/>
      <c r="AJ524" s="183"/>
      <c r="AK524" s="183"/>
      <c r="AL524" s="183"/>
      <c r="AM524" s="183"/>
    </row>
    <row r="525">
      <c r="A525" s="273" t="str">
        <f>IFERROR(__xludf.DUMMYFUNCTION("""COMPUTED_VALUE"""),"サイズ")</f>
        <v>サイズ</v>
      </c>
      <c r="B525" s="273" t="str">
        <f>IFERROR(__xludf.DUMMYFUNCTION("""COMPUTED_VALUE"""),"チェスターコート")</f>
        <v>チェスターコート</v>
      </c>
      <c r="C525" s="273" t="str">
        <f>IFERROR(__xludf.DUMMYFUNCTION("""COMPUTED_VALUE"""),"ウエスト")</f>
        <v>ウエスト</v>
      </c>
      <c r="D525" s="668"/>
      <c r="E525" s="668" t="str">
        <f>IFERROR(__xludf.DUMMYFUNCTION("""COMPUTED_VALUE"""),"パターン限界値から -4cm~+6cm かつドロップ16cmの範囲内で調整すること")</f>
        <v>パターン限界値から -4cm~+6cm かつドロップ16cmの範囲内で調整すること</v>
      </c>
      <c r="F525" s="342" t="str">
        <f>IFERROR(__xludf.DUMMYFUNCTION("""COMPUTED_VALUE"""),"ウエスト")</f>
        <v>ウエスト</v>
      </c>
      <c r="G525" s="668" t="str">
        <f>IFERROR(__xludf.DUMMYFUNCTION("""COMPUTED_VALUE"""),"ウエスト（パターン限界値から -4cm~+6cm かつドロップ16cmの範囲内で調整すること）")</f>
        <v>ウエスト（パターン限界値から -4cm~+6cm かつドロップ16cmの範囲内で調整すること）</v>
      </c>
      <c r="H525" s="672" t="str">
        <f>IFERROR(__xludf.DUMMYFUNCTION("""COMPUTED_VALUE"""),"-5")</f>
        <v>-5</v>
      </c>
      <c r="I525" s="669"/>
      <c r="J525" s="669">
        <f>IFERROR(__xludf.DUMMYFUNCTION("""COMPUTED_VALUE"""),7.0)</f>
        <v>7</v>
      </c>
      <c r="K525" s="673">
        <f>IFERROR(__xludf.DUMMYFUNCTION("""COMPUTED_VALUE"""),46000.0)</f>
        <v>46000</v>
      </c>
      <c r="L525" s="670">
        <f>IFERROR(__xludf.DUMMYFUNCTION("""COMPUTED_VALUE"""),46003.0)</f>
        <v>46003</v>
      </c>
      <c r="M525" s="670">
        <f>IFERROR(__xludf.DUMMYFUNCTION("""COMPUTED_VALUE"""),46008.0)</f>
        <v>46008</v>
      </c>
      <c r="N525" s="674">
        <f>IFERROR(__xludf.DUMMYFUNCTION("""COMPUTED_VALUE"""),13200.0)</f>
        <v>13200</v>
      </c>
      <c r="O525" s="593">
        <f>IFERROR(__xludf.DUMMYFUNCTION("""COMPUTED_VALUE"""),12000.0)</f>
        <v>12000</v>
      </c>
      <c r="P525" s="594">
        <f>IFERROR(__xludf.DUMMYFUNCTION("""COMPUTED_VALUE"""),8000.0)</f>
        <v>8000</v>
      </c>
      <c r="Q525" s="183"/>
      <c r="R525" s="544"/>
      <c r="S525" s="544"/>
      <c r="T525" s="544"/>
      <c r="U525" s="544"/>
      <c r="V525" s="544"/>
      <c r="W525" s="544"/>
      <c r="X525" s="544"/>
      <c r="Y525" s="544"/>
      <c r="Z525" s="544"/>
      <c r="AA525" s="544"/>
      <c r="AB525" s="544"/>
      <c r="AC525" s="544"/>
      <c r="AD525" s="544"/>
      <c r="AE525" s="183"/>
      <c r="AF525" s="183"/>
      <c r="AG525" s="183"/>
      <c r="AH525" s="183"/>
      <c r="AI525" s="183"/>
      <c r="AJ525" s="183"/>
      <c r="AK525" s="183"/>
      <c r="AL525" s="183"/>
      <c r="AM525" s="183"/>
    </row>
    <row r="526">
      <c r="A526" s="273" t="str">
        <f>IFERROR(__xludf.DUMMYFUNCTION("""COMPUTED_VALUE"""),"サイズ")</f>
        <v>サイズ</v>
      </c>
      <c r="B526" s="273" t="str">
        <f>IFERROR(__xludf.DUMMYFUNCTION("""COMPUTED_VALUE"""),"チェスターコート")</f>
        <v>チェスターコート</v>
      </c>
      <c r="C526" s="273" t="str">
        <f>IFERROR(__xludf.DUMMYFUNCTION("""COMPUTED_VALUE"""),"ウエスト")</f>
        <v>ウエスト</v>
      </c>
      <c r="D526" s="668"/>
      <c r="E526" s="668" t="str">
        <f>IFERROR(__xludf.DUMMYFUNCTION("""COMPUTED_VALUE"""),"パターン限界値から -4cm~+6cm かつドロップ16cmの範囲内で調整すること")</f>
        <v>パターン限界値から -4cm~+6cm かつドロップ16cmの範囲内で調整すること</v>
      </c>
      <c r="F526" s="342" t="str">
        <f>IFERROR(__xludf.DUMMYFUNCTION("""COMPUTED_VALUE"""),"ウエスト")</f>
        <v>ウエスト</v>
      </c>
      <c r="G526" s="668" t="str">
        <f>IFERROR(__xludf.DUMMYFUNCTION("""COMPUTED_VALUE"""),"ウエスト（パターン限界値から -4cm~+6cm かつドロップ16cmの範囲内で調整すること）")</f>
        <v>ウエスト（パターン限界値から -4cm~+6cm かつドロップ16cmの範囲内で調整すること）</v>
      </c>
      <c r="H526" s="672" t="str">
        <f>IFERROR(__xludf.DUMMYFUNCTION("""COMPUTED_VALUE"""),"-4")</f>
        <v>-4</v>
      </c>
      <c r="I526" s="669"/>
      <c r="J526" s="669">
        <f>IFERROR(__xludf.DUMMYFUNCTION("""COMPUTED_VALUE"""),7.0)</f>
        <v>7</v>
      </c>
      <c r="K526" s="673">
        <f>IFERROR(__xludf.DUMMYFUNCTION("""COMPUTED_VALUE"""),46000.0)</f>
        <v>46000</v>
      </c>
      <c r="L526" s="670">
        <f>IFERROR(__xludf.DUMMYFUNCTION("""COMPUTED_VALUE"""),46003.0)</f>
        <v>46003</v>
      </c>
      <c r="M526" s="670">
        <f>IFERROR(__xludf.DUMMYFUNCTION("""COMPUTED_VALUE"""),46008.0)</f>
        <v>46008</v>
      </c>
      <c r="N526" s="674">
        <f>IFERROR(__xludf.DUMMYFUNCTION("""COMPUTED_VALUE"""),13200.0)</f>
        <v>13200</v>
      </c>
      <c r="O526" s="593">
        <f>IFERROR(__xludf.DUMMYFUNCTION("""COMPUTED_VALUE"""),12000.0)</f>
        <v>12000</v>
      </c>
      <c r="P526" s="594">
        <f>IFERROR(__xludf.DUMMYFUNCTION("""COMPUTED_VALUE"""),8000.0)</f>
        <v>8000</v>
      </c>
      <c r="Q526" s="183"/>
      <c r="R526" s="544"/>
      <c r="S526" s="544"/>
      <c r="T526" s="544"/>
      <c r="U526" s="544"/>
      <c r="V526" s="544"/>
      <c r="W526" s="544"/>
      <c r="X526" s="544"/>
      <c r="Y526" s="544"/>
      <c r="Z526" s="544"/>
      <c r="AA526" s="544"/>
      <c r="AB526" s="544"/>
      <c r="AC526" s="544"/>
      <c r="AD526" s="544"/>
      <c r="AE526" s="183"/>
      <c r="AF526" s="183"/>
      <c r="AG526" s="183"/>
      <c r="AH526" s="183"/>
      <c r="AI526" s="183"/>
      <c r="AJ526" s="183"/>
      <c r="AK526" s="183"/>
      <c r="AL526" s="183"/>
      <c r="AM526" s="183"/>
    </row>
    <row r="527">
      <c r="A527" s="273" t="str">
        <f>IFERROR(__xludf.DUMMYFUNCTION("""COMPUTED_VALUE"""),"サイズ")</f>
        <v>サイズ</v>
      </c>
      <c r="B527" s="273" t="str">
        <f>IFERROR(__xludf.DUMMYFUNCTION("""COMPUTED_VALUE"""),"チェスターコート")</f>
        <v>チェスターコート</v>
      </c>
      <c r="C527" s="273" t="str">
        <f>IFERROR(__xludf.DUMMYFUNCTION("""COMPUTED_VALUE"""),"ウエスト")</f>
        <v>ウエスト</v>
      </c>
      <c r="D527" s="668"/>
      <c r="E527" s="668" t="str">
        <f>IFERROR(__xludf.DUMMYFUNCTION("""COMPUTED_VALUE"""),"パターン限界値から -4cm~+6cm かつドロップ16cmの範囲内で調整すること")</f>
        <v>パターン限界値から -4cm~+6cm かつドロップ16cmの範囲内で調整すること</v>
      </c>
      <c r="F527" s="342" t="str">
        <f>IFERROR(__xludf.DUMMYFUNCTION("""COMPUTED_VALUE"""),"ウエスト")</f>
        <v>ウエスト</v>
      </c>
      <c r="G527" s="668" t="str">
        <f>IFERROR(__xludf.DUMMYFUNCTION("""COMPUTED_VALUE"""),"ウエスト（パターン限界値から -4cm~+6cm かつドロップ16cmの範囲内で調整すること）")</f>
        <v>ウエスト（パターン限界値から -4cm~+6cm かつドロップ16cmの範囲内で調整すること）</v>
      </c>
      <c r="H527" s="672" t="str">
        <f>IFERROR(__xludf.DUMMYFUNCTION("""COMPUTED_VALUE"""),"-3")</f>
        <v>-3</v>
      </c>
      <c r="I527" s="669"/>
      <c r="J527" s="669">
        <f>IFERROR(__xludf.DUMMYFUNCTION("""COMPUTED_VALUE"""),7.0)</f>
        <v>7</v>
      </c>
      <c r="K527" s="673">
        <f>IFERROR(__xludf.DUMMYFUNCTION("""COMPUTED_VALUE"""),46000.0)</f>
        <v>46000</v>
      </c>
      <c r="L527" s="670">
        <f>IFERROR(__xludf.DUMMYFUNCTION("""COMPUTED_VALUE"""),46003.0)</f>
        <v>46003</v>
      </c>
      <c r="M527" s="670">
        <f>IFERROR(__xludf.DUMMYFUNCTION("""COMPUTED_VALUE"""),46008.0)</f>
        <v>46008</v>
      </c>
      <c r="N527" s="674">
        <f>IFERROR(__xludf.DUMMYFUNCTION("""COMPUTED_VALUE"""),13200.0)</f>
        <v>13200</v>
      </c>
      <c r="O527" s="593">
        <f>IFERROR(__xludf.DUMMYFUNCTION("""COMPUTED_VALUE"""),12000.0)</f>
        <v>12000</v>
      </c>
      <c r="P527" s="594">
        <f>IFERROR(__xludf.DUMMYFUNCTION("""COMPUTED_VALUE"""),8000.0)</f>
        <v>8000</v>
      </c>
      <c r="Q527" s="183"/>
      <c r="R527" s="544"/>
      <c r="S527" s="544"/>
      <c r="T527" s="544"/>
      <c r="U527" s="544"/>
      <c r="V527" s="544"/>
      <c r="W527" s="544"/>
      <c r="X527" s="544"/>
      <c r="Y527" s="544"/>
      <c r="Z527" s="544"/>
      <c r="AA527" s="544"/>
      <c r="AB527" s="544"/>
      <c r="AC527" s="544"/>
      <c r="AD527" s="544"/>
      <c r="AE527" s="183"/>
      <c r="AF527" s="183"/>
      <c r="AG527" s="183"/>
      <c r="AH527" s="183"/>
      <c r="AI527" s="183"/>
      <c r="AJ527" s="183"/>
      <c r="AK527" s="183"/>
      <c r="AL527" s="183"/>
      <c r="AM527" s="183"/>
    </row>
    <row r="528">
      <c r="A528" s="273" t="str">
        <f>IFERROR(__xludf.DUMMYFUNCTION("""COMPUTED_VALUE"""),"サイズ")</f>
        <v>サイズ</v>
      </c>
      <c r="B528" s="273" t="str">
        <f>IFERROR(__xludf.DUMMYFUNCTION("""COMPUTED_VALUE"""),"チェスターコート")</f>
        <v>チェスターコート</v>
      </c>
      <c r="C528" s="273" t="str">
        <f>IFERROR(__xludf.DUMMYFUNCTION("""COMPUTED_VALUE"""),"ウエスト")</f>
        <v>ウエスト</v>
      </c>
      <c r="D528" s="668"/>
      <c r="E528" s="668" t="str">
        <f>IFERROR(__xludf.DUMMYFUNCTION("""COMPUTED_VALUE"""),"パターン限界値から -4cm~+6cm かつドロップ16cmの範囲内で調整すること")</f>
        <v>パターン限界値から -4cm~+6cm かつドロップ16cmの範囲内で調整すること</v>
      </c>
      <c r="F528" s="342" t="str">
        <f>IFERROR(__xludf.DUMMYFUNCTION("""COMPUTED_VALUE"""),"ウエスト")</f>
        <v>ウエスト</v>
      </c>
      <c r="G528" s="668" t="str">
        <f>IFERROR(__xludf.DUMMYFUNCTION("""COMPUTED_VALUE"""),"ウエスト（パターン限界値から -4cm~+6cm かつドロップ16cmの範囲内で調整すること）")</f>
        <v>ウエスト（パターン限界値から -4cm~+6cm かつドロップ16cmの範囲内で調整すること）</v>
      </c>
      <c r="H528" s="672" t="str">
        <f>IFERROR(__xludf.DUMMYFUNCTION("""COMPUTED_VALUE"""),"-2")</f>
        <v>-2</v>
      </c>
      <c r="I528" s="669"/>
      <c r="J528" s="669">
        <f>IFERROR(__xludf.DUMMYFUNCTION("""COMPUTED_VALUE"""),7.0)</f>
        <v>7</v>
      </c>
      <c r="K528" s="673">
        <f>IFERROR(__xludf.DUMMYFUNCTION("""COMPUTED_VALUE"""),46000.0)</f>
        <v>46000</v>
      </c>
      <c r="L528" s="670">
        <f>IFERROR(__xludf.DUMMYFUNCTION("""COMPUTED_VALUE"""),46003.0)</f>
        <v>46003</v>
      </c>
      <c r="M528" s="670">
        <f>IFERROR(__xludf.DUMMYFUNCTION("""COMPUTED_VALUE"""),46008.0)</f>
        <v>46008</v>
      </c>
      <c r="N528" s="674">
        <f>IFERROR(__xludf.DUMMYFUNCTION("""COMPUTED_VALUE"""),13200.0)</f>
        <v>13200</v>
      </c>
      <c r="O528" s="593">
        <f>IFERROR(__xludf.DUMMYFUNCTION("""COMPUTED_VALUE"""),12000.0)</f>
        <v>12000</v>
      </c>
      <c r="P528" s="594">
        <f>IFERROR(__xludf.DUMMYFUNCTION("""COMPUTED_VALUE"""),8000.0)</f>
        <v>8000</v>
      </c>
      <c r="Q528" s="183"/>
      <c r="R528" s="544"/>
      <c r="S528" s="544"/>
      <c r="T528" s="544"/>
      <c r="U528" s="544"/>
      <c r="V528" s="544"/>
      <c r="W528" s="544"/>
      <c r="X528" s="544"/>
      <c r="Y528" s="544"/>
      <c r="Z528" s="544"/>
      <c r="AA528" s="544"/>
      <c r="AB528" s="544"/>
      <c r="AC528" s="544"/>
      <c r="AD528" s="544"/>
      <c r="AE528" s="183"/>
      <c r="AF528" s="183"/>
      <c r="AG528" s="183"/>
      <c r="AH528" s="183"/>
      <c r="AI528" s="183"/>
      <c r="AJ528" s="183"/>
      <c r="AK528" s="183"/>
      <c r="AL528" s="183"/>
      <c r="AM528" s="183"/>
    </row>
    <row r="529">
      <c r="A529" s="273" t="str">
        <f>IFERROR(__xludf.DUMMYFUNCTION("""COMPUTED_VALUE"""),"サイズ")</f>
        <v>サイズ</v>
      </c>
      <c r="B529" s="273" t="str">
        <f>IFERROR(__xludf.DUMMYFUNCTION("""COMPUTED_VALUE"""),"チェスターコート")</f>
        <v>チェスターコート</v>
      </c>
      <c r="C529" s="273" t="str">
        <f>IFERROR(__xludf.DUMMYFUNCTION("""COMPUTED_VALUE"""),"ウエスト")</f>
        <v>ウエスト</v>
      </c>
      <c r="D529" s="668"/>
      <c r="E529" s="668" t="str">
        <f>IFERROR(__xludf.DUMMYFUNCTION("""COMPUTED_VALUE"""),"パターン限界値から -4cm~+6cm かつドロップ16cmの範囲内で調整すること")</f>
        <v>パターン限界値から -4cm~+6cm かつドロップ16cmの範囲内で調整すること</v>
      </c>
      <c r="F529" s="342" t="str">
        <f>IFERROR(__xludf.DUMMYFUNCTION("""COMPUTED_VALUE"""),"ウエスト")</f>
        <v>ウエスト</v>
      </c>
      <c r="G529" s="668" t="str">
        <f>IFERROR(__xludf.DUMMYFUNCTION("""COMPUTED_VALUE"""),"ウエスト（パターン限界値から -4cm~+6cm かつドロップ16cmの範囲内で調整すること）")</f>
        <v>ウエスト（パターン限界値から -4cm~+6cm かつドロップ16cmの範囲内で調整すること）</v>
      </c>
      <c r="H529" s="672" t="str">
        <f>IFERROR(__xludf.DUMMYFUNCTION("""COMPUTED_VALUE"""),"-1")</f>
        <v>-1</v>
      </c>
      <c r="I529" s="669"/>
      <c r="J529" s="669">
        <f>IFERROR(__xludf.DUMMYFUNCTION("""COMPUTED_VALUE"""),7.0)</f>
        <v>7</v>
      </c>
      <c r="K529" s="673">
        <f>IFERROR(__xludf.DUMMYFUNCTION("""COMPUTED_VALUE"""),46000.0)</f>
        <v>46000</v>
      </c>
      <c r="L529" s="670">
        <f>IFERROR(__xludf.DUMMYFUNCTION("""COMPUTED_VALUE"""),46003.0)</f>
        <v>46003</v>
      </c>
      <c r="M529" s="670">
        <f>IFERROR(__xludf.DUMMYFUNCTION("""COMPUTED_VALUE"""),46008.0)</f>
        <v>46008</v>
      </c>
      <c r="N529" s="674">
        <f>IFERROR(__xludf.DUMMYFUNCTION("""COMPUTED_VALUE"""),13200.0)</f>
        <v>13200</v>
      </c>
      <c r="O529" s="593">
        <f>IFERROR(__xludf.DUMMYFUNCTION("""COMPUTED_VALUE"""),12000.0)</f>
        <v>12000</v>
      </c>
      <c r="P529" s="594">
        <f>IFERROR(__xludf.DUMMYFUNCTION("""COMPUTED_VALUE"""),8000.0)</f>
        <v>8000</v>
      </c>
      <c r="Q529" s="183"/>
      <c r="R529" s="544"/>
      <c r="S529" s="544"/>
      <c r="T529" s="544"/>
      <c r="U529" s="544"/>
      <c r="V529" s="544"/>
      <c r="W529" s="544"/>
      <c r="X529" s="544"/>
      <c r="Y529" s="544"/>
      <c r="Z529" s="544"/>
      <c r="AA529" s="544"/>
      <c r="AB529" s="544"/>
      <c r="AC529" s="544"/>
      <c r="AD529" s="544"/>
      <c r="AE529" s="183"/>
      <c r="AF529" s="183"/>
      <c r="AG529" s="183"/>
      <c r="AH529" s="183"/>
      <c r="AI529" s="183"/>
      <c r="AJ529" s="183"/>
      <c r="AK529" s="183"/>
      <c r="AL529" s="183"/>
      <c r="AM529" s="183"/>
    </row>
    <row r="530">
      <c r="A530" s="273" t="str">
        <f>IFERROR(__xludf.DUMMYFUNCTION("""COMPUTED_VALUE"""),"サイズ")</f>
        <v>サイズ</v>
      </c>
      <c r="B530" s="273" t="str">
        <f>IFERROR(__xludf.DUMMYFUNCTION("""COMPUTED_VALUE"""),"チェスターコート")</f>
        <v>チェスターコート</v>
      </c>
      <c r="C530" s="273" t="str">
        <f>IFERROR(__xludf.DUMMYFUNCTION("""COMPUTED_VALUE"""),"袖丈")</f>
        <v>袖丈</v>
      </c>
      <c r="D530" s="668"/>
      <c r="E530" s="668"/>
      <c r="F530" s="342" t="str">
        <f>IFERROR(__xludf.DUMMYFUNCTION("""COMPUTED_VALUE"""),"袖丈")</f>
        <v>袖丈</v>
      </c>
      <c r="G530" s="668" t="str">
        <f>IFERROR(__xludf.DUMMYFUNCTION("""COMPUTED_VALUE"""),"袖丈")</f>
        <v>袖丈</v>
      </c>
      <c r="H530" s="672" t="str">
        <f>IFERROR(__xludf.DUMMYFUNCTION("""COMPUTED_VALUE"""),"-1.5")</f>
        <v>-1.5</v>
      </c>
      <c r="I530" s="669"/>
      <c r="J530" s="669">
        <f>IFERROR(__xludf.DUMMYFUNCTION("""COMPUTED_VALUE"""),7.0)</f>
        <v>7</v>
      </c>
      <c r="K530" s="673">
        <f>IFERROR(__xludf.DUMMYFUNCTION("""COMPUTED_VALUE"""),46000.0)</f>
        <v>46000</v>
      </c>
      <c r="L530" s="670">
        <f>IFERROR(__xludf.DUMMYFUNCTION("""COMPUTED_VALUE"""),46003.0)</f>
        <v>46003</v>
      </c>
      <c r="M530" s="670">
        <f>IFERROR(__xludf.DUMMYFUNCTION("""COMPUTED_VALUE"""),46008.0)</f>
        <v>46008</v>
      </c>
      <c r="N530" s="674">
        <f>IFERROR(__xludf.DUMMYFUNCTION("""COMPUTED_VALUE"""),3300.0)</f>
        <v>3300</v>
      </c>
      <c r="O530" s="593">
        <f>IFERROR(__xludf.DUMMYFUNCTION("""COMPUTED_VALUE"""),3000.0)</f>
        <v>3000</v>
      </c>
      <c r="P530" s="594">
        <f>IFERROR(__xludf.DUMMYFUNCTION("""COMPUTED_VALUE"""),2000.0)</f>
        <v>2000</v>
      </c>
      <c r="Q530" s="183"/>
      <c r="R530" s="544"/>
      <c r="S530" s="544"/>
      <c r="T530" s="544"/>
      <c r="U530" s="544"/>
      <c r="V530" s="544"/>
      <c r="W530" s="544"/>
      <c r="X530" s="544"/>
      <c r="Y530" s="544"/>
      <c r="Z530" s="544"/>
      <c r="AA530" s="544"/>
      <c r="AB530" s="544"/>
      <c r="AC530" s="544"/>
      <c r="AD530" s="544"/>
      <c r="AE530" s="183"/>
      <c r="AF530" s="183"/>
      <c r="AG530" s="183"/>
      <c r="AH530" s="183"/>
      <c r="AI530" s="183"/>
      <c r="AJ530" s="183"/>
      <c r="AK530" s="183"/>
      <c r="AL530" s="183"/>
      <c r="AM530" s="183"/>
    </row>
    <row r="531">
      <c r="A531" s="273" t="str">
        <f>IFERROR(__xludf.DUMMYFUNCTION("""COMPUTED_VALUE"""),"サイズ")</f>
        <v>サイズ</v>
      </c>
      <c r="B531" s="273" t="str">
        <f>IFERROR(__xludf.DUMMYFUNCTION("""COMPUTED_VALUE"""),"チェスターコート")</f>
        <v>チェスターコート</v>
      </c>
      <c r="C531" s="273" t="str">
        <f>IFERROR(__xludf.DUMMYFUNCTION("""COMPUTED_VALUE"""),"袖丈")</f>
        <v>袖丈</v>
      </c>
      <c r="D531" s="668"/>
      <c r="E531" s="668"/>
      <c r="F531" s="342" t="str">
        <f>IFERROR(__xludf.DUMMYFUNCTION("""COMPUTED_VALUE"""),"袖丈")</f>
        <v>袖丈</v>
      </c>
      <c r="G531" s="668" t="str">
        <f>IFERROR(__xludf.DUMMYFUNCTION("""COMPUTED_VALUE"""),"袖丈")</f>
        <v>袖丈</v>
      </c>
      <c r="H531" s="672" t="str">
        <f>IFERROR(__xludf.DUMMYFUNCTION("""COMPUTED_VALUE"""),"-1")</f>
        <v>-1</v>
      </c>
      <c r="I531" s="669"/>
      <c r="J531" s="669">
        <f>IFERROR(__xludf.DUMMYFUNCTION("""COMPUTED_VALUE"""),7.0)</f>
        <v>7</v>
      </c>
      <c r="K531" s="673">
        <f>IFERROR(__xludf.DUMMYFUNCTION("""COMPUTED_VALUE"""),46000.0)</f>
        <v>46000</v>
      </c>
      <c r="L531" s="670">
        <f>IFERROR(__xludf.DUMMYFUNCTION("""COMPUTED_VALUE"""),46003.0)</f>
        <v>46003</v>
      </c>
      <c r="M531" s="670">
        <f>IFERROR(__xludf.DUMMYFUNCTION("""COMPUTED_VALUE"""),46008.0)</f>
        <v>46008</v>
      </c>
      <c r="N531" s="674">
        <f>IFERROR(__xludf.DUMMYFUNCTION("""COMPUTED_VALUE"""),3300.0)</f>
        <v>3300</v>
      </c>
      <c r="O531" s="593">
        <f>IFERROR(__xludf.DUMMYFUNCTION("""COMPUTED_VALUE"""),3000.0)</f>
        <v>3000</v>
      </c>
      <c r="P531" s="594">
        <f>IFERROR(__xludf.DUMMYFUNCTION("""COMPUTED_VALUE"""),2000.0)</f>
        <v>2000</v>
      </c>
      <c r="Q531" s="183"/>
      <c r="R531" s="544"/>
      <c r="S531" s="544"/>
      <c r="T531" s="544"/>
      <c r="U531" s="544"/>
      <c r="V531" s="544"/>
      <c r="W531" s="544"/>
      <c r="X531" s="544"/>
      <c r="Y531" s="544"/>
      <c r="Z531" s="544"/>
      <c r="AA531" s="544"/>
      <c r="AB531" s="544"/>
      <c r="AC531" s="544"/>
      <c r="AD531" s="544"/>
      <c r="AE531" s="183"/>
      <c r="AF531" s="183"/>
      <c r="AG531" s="183"/>
      <c r="AH531" s="183"/>
      <c r="AI531" s="183"/>
      <c r="AJ531" s="183"/>
      <c r="AK531" s="183"/>
      <c r="AL531" s="183"/>
      <c r="AM531" s="183"/>
    </row>
    <row r="532">
      <c r="A532" s="273" t="str">
        <f>IFERROR(__xludf.DUMMYFUNCTION("""COMPUTED_VALUE"""),"サイズ")</f>
        <v>サイズ</v>
      </c>
      <c r="B532" s="273" t="str">
        <f>IFERROR(__xludf.DUMMYFUNCTION("""COMPUTED_VALUE"""),"チェスターコート")</f>
        <v>チェスターコート</v>
      </c>
      <c r="C532" s="273" t="str">
        <f>IFERROR(__xludf.DUMMYFUNCTION("""COMPUTED_VALUE"""),"袖丈")</f>
        <v>袖丈</v>
      </c>
      <c r="D532" s="668"/>
      <c r="E532" s="668"/>
      <c r="F532" s="342" t="str">
        <f>IFERROR(__xludf.DUMMYFUNCTION("""COMPUTED_VALUE"""),"袖丈")</f>
        <v>袖丈</v>
      </c>
      <c r="G532" s="668" t="str">
        <f>IFERROR(__xludf.DUMMYFUNCTION("""COMPUTED_VALUE"""),"袖丈")</f>
        <v>袖丈</v>
      </c>
      <c r="H532" s="672" t="str">
        <f>IFERROR(__xludf.DUMMYFUNCTION("""COMPUTED_VALUE"""),"-0.5")</f>
        <v>-0.5</v>
      </c>
      <c r="I532" s="669"/>
      <c r="J532" s="669">
        <f>IFERROR(__xludf.DUMMYFUNCTION("""COMPUTED_VALUE"""),7.0)</f>
        <v>7</v>
      </c>
      <c r="K532" s="673">
        <f>IFERROR(__xludf.DUMMYFUNCTION("""COMPUTED_VALUE"""),46000.0)</f>
        <v>46000</v>
      </c>
      <c r="L532" s="670">
        <f>IFERROR(__xludf.DUMMYFUNCTION("""COMPUTED_VALUE"""),46003.0)</f>
        <v>46003</v>
      </c>
      <c r="M532" s="670">
        <f>IFERROR(__xludf.DUMMYFUNCTION("""COMPUTED_VALUE"""),46008.0)</f>
        <v>46008</v>
      </c>
      <c r="N532" s="674">
        <f>IFERROR(__xludf.DUMMYFUNCTION("""COMPUTED_VALUE"""),3300.0)</f>
        <v>3300</v>
      </c>
      <c r="O532" s="593">
        <f>IFERROR(__xludf.DUMMYFUNCTION("""COMPUTED_VALUE"""),3000.0)</f>
        <v>3000</v>
      </c>
      <c r="P532" s="594">
        <f>IFERROR(__xludf.DUMMYFUNCTION("""COMPUTED_VALUE"""),2000.0)</f>
        <v>2000</v>
      </c>
      <c r="Q532" s="183"/>
      <c r="R532" s="544"/>
      <c r="S532" s="544"/>
      <c r="T532" s="544"/>
      <c r="U532" s="544"/>
      <c r="V532" s="544"/>
      <c r="W532" s="544"/>
      <c r="X532" s="544"/>
      <c r="Y532" s="544"/>
      <c r="Z532" s="544"/>
      <c r="AA532" s="544"/>
      <c r="AB532" s="544"/>
      <c r="AC532" s="544"/>
      <c r="AD532" s="544"/>
      <c r="AE532" s="183"/>
      <c r="AF532" s="183"/>
      <c r="AG532" s="183"/>
      <c r="AH532" s="183"/>
      <c r="AI532" s="183"/>
      <c r="AJ532" s="183"/>
      <c r="AK532" s="183"/>
      <c r="AL532" s="183"/>
      <c r="AM532" s="183"/>
    </row>
    <row r="533">
      <c r="A533" s="273" t="str">
        <f>IFERROR(__xludf.DUMMYFUNCTION("""COMPUTED_VALUE"""),"サイズ")</f>
        <v>サイズ</v>
      </c>
      <c r="B533" s="273" t="str">
        <f>IFERROR(__xludf.DUMMYFUNCTION("""COMPUTED_VALUE"""),"チェスターコート")</f>
        <v>チェスターコート</v>
      </c>
      <c r="C533" s="273" t="str">
        <f>IFERROR(__xludf.DUMMYFUNCTION("""COMPUTED_VALUE"""),"着丈")</f>
        <v>着丈</v>
      </c>
      <c r="D533" s="668"/>
      <c r="E533" s="668" t="str">
        <f>IFERROR(__xludf.DUMMYFUNCTION("""COMPUTED_VALUE"""),"パターン限界値から ±20cmの範囲内で調整すること")</f>
        <v>パターン限界値から ±20cmの範囲内で調整すること</v>
      </c>
      <c r="F533" s="342" t="str">
        <f>IFERROR(__xludf.DUMMYFUNCTION("""COMPUTED_VALUE"""),"着丈")</f>
        <v>着丈</v>
      </c>
      <c r="G533" s="668" t="str">
        <f>IFERROR(__xludf.DUMMYFUNCTION("""COMPUTED_VALUE"""),"着丈（パターン限界値から ±20cmの範囲内で調整すること）")</f>
        <v>着丈（パターン限界値から ±20cmの範囲内で調整すること）</v>
      </c>
      <c r="H533" s="672" t="str">
        <f>IFERROR(__xludf.DUMMYFUNCTION("""COMPUTED_VALUE"""),"-5")</f>
        <v>-5</v>
      </c>
      <c r="I533" s="669"/>
      <c r="J533" s="669">
        <f>IFERROR(__xludf.DUMMYFUNCTION("""COMPUTED_VALUE"""),7.0)</f>
        <v>7</v>
      </c>
      <c r="K533" s="673">
        <f>IFERROR(__xludf.DUMMYFUNCTION("""COMPUTED_VALUE"""),46000.0)</f>
        <v>46000</v>
      </c>
      <c r="L533" s="670">
        <f>IFERROR(__xludf.DUMMYFUNCTION("""COMPUTED_VALUE"""),46003.0)</f>
        <v>46003</v>
      </c>
      <c r="M533" s="670">
        <f>IFERROR(__xludf.DUMMYFUNCTION("""COMPUTED_VALUE"""),46008.0)</f>
        <v>46008</v>
      </c>
      <c r="N533" s="674">
        <f>IFERROR(__xludf.DUMMYFUNCTION("""COMPUTED_VALUE"""),9900.0)</f>
        <v>9900</v>
      </c>
      <c r="O533" s="593">
        <f>IFERROR(__xludf.DUMMYFUNCTION("""COMPUTED_VALUE"""),9000.0)</f>
        <v>9000</v>
      </c>
      <c r="P533" s="594">
        <f>IFERROR(__xludf.DUMMYFUNCTION("""COMPUTED_VALUE"""),6000.0)</f>
        <v>6000</v>
      </c>
      <c r="Q533" s="183"/>
      <c r="R533" s="544"/>
      <c r="S533" s="544"/>
      <c r="T533" s="544"/>
      <c r="U533" s="544"/>
      <c r="V533" s="544"/>
      <c r="W533" s="544"/>
      <c r="X533" s="544"/>
      <c r="Y533" s="544"/>
      <c r="Z533" s="544"/>
      <c r="AA533" s="544"/>
      <c r="AB533" s="544"/>
      <c r="AC533" s="544"/>
      <c r="AD533" s="544"/>
      <c r="AE533" s="183"/>
      <c r="AF533" s="183"/>
      <c r="AG533" s="183"/>
      <c r="AH533" s="183"/>
      <c r="AI533" s="183"/>
      <c r="AJ533" s="183"/>
      <c r="AK533" s="183"/>
      <c r="AL533" s="183"/>
      <c r="AM533" s="183"/>
    </row>
    <row r="534">
      <c r="A534" s="273" t="str">
        <f>IFERROR(__xludf.DUMMYFUNCTION("""COMPUTED_VALUE"""),"サイズ")</f>
        <v>サイズ</v>
      </c>
      <c r="B534" s="273" t="str">
        <f>IFERROR(__xludf.DUMMYFUNCTION("""COMPUTED_VALUE"""),"チェスターコート")</f>
        <v>チェスターコート</v>
      </c>
      <c r="C534" s="273" t="str">
        <f>IFERROR(__xludf.DUMMYFUNCTION("""COMPUTED_VALUE"""),"着丈")</f>
        <v>着丈</v>
      </c>
      <c r="D534" s="668"/>
      <c r="E534" s="668" t="str">
        <f>IFERROR(__xludf.DUMMYFUNCTION("""COMPUTED_VALUE"""),"パターン限界値から ±20cmの範囲内で調整すること")</f>
        <v>パターン限界値から ±20cmの範囲内で調整すること</v>
      </c>
      <c r="F534" s="342" t="str">
        <f>IFERROR(__xludf.DUMMYFUNCTION("""COMPUTED_VALUE"""),"着丈")</f>
        <v>着丈</v>
      </c>
      <c r="G534" s="668" t="str">
        <f>IFERROR(__xludf.DUMMYFUNCTION("""COMPUTED_VALUE"""),"着丈（パターン限界値から ±20cmの範囲内で調整すること）")</f>
        <v>着丈（パターン限界値から ±20cmの範囲内で調整すること）</v>
      </c>
      <c r="H534" s="672" t="str">
        <f>IFERROR(__xludf.DUMMYFUNCTION("""COMPUTED_VALUE"""),"-4")</f>
        <v>-4</v>
      </c>
      <c r="I534" s="669"/>
      <c r="J534" s="669">
        <f>IFERROR(__xludf.DUMMYFUNCTION("""COMPUTED_VALUE"""),7.0)</f>
        <v>7</v>
      </c>
      <c r="K534" s="673">
        <f>IFERROR(__xludf.DUMMYFUNCTION("""COMPUTED_VALUE"""),46000.0)</f>
        <v>46000</v>
      </c>
      <c r="L534" s="670">
        <f>IFERROR(__xludf.DUMMYFUNCTION("""COMPUTED_VALUE"""),46003.0)</f>
        <v>46003</v>
      </c>
      <c r="M534" s="670">
        <f>IFERROR(__xludf.DUMMYFUNCTION("""COMPUTED_VALUE"""),46008.0)</f>
        <v>46008</v>
      </c>
      <c r="N534" s="674">
        <f>IFERROR(__xludf.DUMMYFUNCTION("""COMPUTED_VALUE"""),9900.0)</f>
        <v>9900</v>
      </c>
      <c r="O534" s="593">
        <f>IFERROR(__xludf.DUMMYFUNCTION("""COMPUTED_VALUE"""),9000.0)</f>
        <v>9000</v>
      </c>
      <c r="P534" s="594">
        <f>IFERROR(__xludf.DUMMYFUNCTION("""COMPUTED_VALUE"""),6000.0)</f>
        <v>6000</v>
      </c>
      <c r="Q534" s="183"/>
      <c r="R534" s="544"/>
      <c r="S534" s="544"/>
      <c r="T534" s="544"/>
      <c r="U534" s="544"/>
      <c r="V534" s="544"/>
      <c r="W534" s="544"/>
      <c r="X534" s="544"/>
      <c r="Y534" s="544"/>
      <c r="Z534" s="544"/>
      <c r="AA534" s="544"/>
      <c r="AB534" s="544"/>
      <c r="AC534" s="544"/>
      <c r="AD534" s="544"/>
      <c r="AE534" s="183"/>
      <c r="AF534" s="183"/>
      <c r="AG534" s="183"/>
      <c r="AH534" s="183"/>
      <c r="AI534" s="183"/>
      <c r="AJ534" s="183"/>
      <c r="AK534" s="183"/>
      <c r="AL534" s="183"/>
      <c r="AM534" s="183"/>
    </row>
    <row r="535">
      <c r="A535" s="273" t="str">
        <f>IFERROR(__xludf.DUMMYFUNCTION("""COMPUTED_VALUE"""),"サイズ")</f>
        <v>サイズ</v>
      </c>
      <c r="B535" s="273" t="str">
        <f>IFERROR(__xludf.DUMMYFUNCTION("""COMPUTED_VALUE"""),"チェスターコート")</f>
        <v>チェスターコート</v>
      </c>
      <c r="C535" s="273" t="str">
        <f>IFERROR(__xludf.DUMMYFUNCTION("""COMPUTED_VALUE"""),"着丈")</f>
        <v>着丈</v>
      </c>
      <c r="D535" s="668"/>
      <c r="E535" s="668" t="str">
        <f>IFERROR(__xludf.DUMMYFUNCTION("""COMPUTED_VALUE"""),"パターン限界値から ±20cmの範囲内で調整すること")</f>
        <v>パターン限界値から ±20cmの範囲内で調整すること</v>
      </c>
      <c r="F535" s="342" t="str">
        <f>IFERROR(__xludf.DUMMYFUNCTION("""COMPUTED_VALUE"""),"着丈")</f>
        <v>着丈</v>
      </c>
      <c r="G535" s="668" t="str">
        <f>IFERROR(__xludf.DUMMYFUNCTION("""COMPUTED_VALUE"""),"着丈（パターン限界値から ±20cmの範囲内で調整すること）")</f>
        <v>着丈（パターン限界値から ±20cmの範囲内で調整すること）</v>
      </c>
      <c r="H535" s="672" t="str">
        <f>IFERROR(__xludf.DUMMYFUNCTION("""COMPUTED_VALUE"""),"-3")</f>
        <v>-3</v>
      </c>
      <c r="I535" s="669"/>
      <c r="J535" s="669">
        <f>IFERROR(__xludf.DUMMYFUNCTION("""COMPUTED_VALUE"""),7.0)</f>
        <v>7</v>
      </c>
      <c r="K535" s="673">
        <f>IFERROR(__xludf.DUMMYFUNCTION("""COMPUTED_VALUE"""),46000.0)</f>
        <v>46000</v>
      </c>
      <c r="L535" s="670">
        <f>IFERROR(__xludf.DUMMYFUNCTION("""COMPUTED_VALUE"""),46003.0)</f>
        <v>46003</v>
      </c>
      <c r="M535" s="670">
        <f>IFERROR(__xludf.DUMMYFUNCTION("""COMPUTED_VALUE"""),46008.0)</f>
        <v>46008</v>
      </c>
      <c r="N535" s="674">
        <f>IFERROR(__xludf.DUMMYFUNCTION("""COMPUTED_VALUE"""),9900.0)</f>
        <v>9900</v>
      </c>
      <c r="O535" s="593">
        <f>IFERROR(__xludf.DUMMYFUNCTION("""COMPUTED_VALUE"""),9000.0)</f>
        <v>9000</v>
      </c>
      <c r="P535" s="594">
        <f>IFERROR(__xludf.DUMMYFUNCTION("""COMPUTED_VALUE"""),6000.0)</f>
        <v>6000</v>
      </c>
      <c r="Q535" s="183"/>
      <c r="R535" s="544"/>
      <c r="S535" s="544"/>
      <c r="T535" s="544"/>
      <c r="U535" s="544"/>
      <c r="V535" s="544"/>
      <c r="W535" s="544"/>
      <c r="X535" s="544"/>
      <c r="Y535" s="544"/>
      <c r="Z535" s="544"/>
      <c r="AA535" s="544"/>
      <c r="AB535" s="544"/>
      <c r="AC535" s="544"/>
      <c r="AD535" s="544"/>
      <c r="AE535" s="183"/>
      <c r="AF535" s="183"/>
      <c r="AG535" s="183"/>
      <c r="AH535" s="183"/>
      <c r="AI535" s="183"/>
      <c r="AJ535" s="183"/>
      <c r="AK535" s="183"/>
      <c r="AL535" s="183"/>
      <c r="AM535" s="183"/>
    </row>
    <row r="536">
      <c r="A536" s="273" t="str">
        <f>IFERROR(__xludf.DUMMYFUNCTION("""COMPUTED_VALUE"""),"サイズ")</f>
        <v>サイズ</v>
      </c>
      <c r="B536" s="273" t="str">
        <f>IFERROR(__xludf.DUMMYFUNCTION("""COMPUTED_VALUE"""),"チェスターコート")</f>
        <v>チェスターコート</v>
      </c>
      <c r="C536" s="273" t="str">
        <f>IFERROR(__xludf.DUMMYFUNCTION("""COMPUTED_VALUE"""),"着丈")</f>
        <v>着丈</v>
      </c>
      <c r="D536" s="668"/>
      <c r="E536" s="668" t="str">
        <f>IFERROR(__xludf.DUMMYFUNCTION("""COMPUTED_VALUE"""),"パターン限界値から ±20cmの範囲内で調整すること")</f>
        <v>パターン限界値から ±20cmの範囲内で調整すること</v>
      </c>
      <c r="F536" s="342" t="str">
        <f>IFERROR(__xludf.DUMMYFUNCTION("""COMPUTED_VALUE"""),"着丈")</f>
        <v>着丈</v>
      </c>
      <c r="G536" s="668" t="str">
        <f>IFERROR(__xludf.DUMMYFUNCTION("""COMPUTED_VALUE"""),"着丈（パターン限界値から ±20cmの範囲内で調整すること）")</f>
        <v>着丈（パターン限界値から ±20cmの範囲内で調整すること）</v>
      </c>
      <c r="H536" s="672" t="str">
        <f>IFERROR(__xludf.DUMMYFUNCTION("""COMPUTED_VALUE"""),"-2")</f>
        <v>-2</v>
      </c>
      <c r="I536" s="669"/>
      <c r="J536" s="669">
        <f>IFERROR(__xludf.DUMMYFUNCTION("""COMPUTED_VALUE"""),7.0)</f>
        <v>7</v>
      </c>
      <c r="K536" s="673">
        <f>IFERROR(__xludf.DUMMYFUNCTION("""COMPUTED_VALUE"""),46000.0)</f>
        <v>46000</v>
      </c>
      <c r="L536" s="670">
        <f>IFERROR(__xludf.DUMMYFUNCTION("""COMPUTED_VALUE"""),46003.0)</f>
        <v>46003</v>
      </c>
      <c r="M536" s="670">
        <f>IFERROR(__xludf.DUMMYFUNCTION("""COMPUTED_VALUE"""),46008.0)</f>
        <v>46008</v>
      </c>
      <c r="N536" s="674">
        <f>IFERROR(__xludf.DUMMYFUNCTION("""COMPUTED_VALUE"""),9900.0)</f>
        <v>9900</v>
      </c>
      <c r="O536" s="593">
        <f>IFERROR(__xludf.DUMMYFUNCTION("""COMPUTED_VALUE"""),9000.0)</f>
        <v>9000</v>
      </c>
      <c r="P536" s="594">
        <f>IFERROR(__xludf.DUMMYFUNCTION("""COMPUTED_VALUE"""),6000.0)</f>
        <v>6000</v>
      </c>
      <c r="Q536" s="183"/>
      <c r="R536" s="544"/>
      <c r="S536" s="544"/>
      <c r="T536" s="544"/>
      <c r="U536" s="544"/>
      <c r="V536" s="544"/>
      <c r="W536" s="544"/>
      <c r="X536" s="544"/>
      <c r="Y536" s="544"/>
      <c r="Z536" s="544"/>
      <c r="AA536" s="544"/>
      <c r="AB536" s="544"/>
      <c r="AC536" s="544"/>
      <c r="AD536" s="544"/>
      <c r="AE536" s="183"/>
      <c r="AF536" s="183"/>
      <c r="AG536" s="183"/>
      <c r="AH536" s="183"/>
      <c r="AI536" s="183"/>
      <c r="AJ536" s="183"/>
      <c r="AK536" s="183"/>
      <c r="AL536" s="183"/>
      <c r="AM536" s="183"/>
    </row>
    <row r="537">
      <c r="A537" s="273" t="str">
        <f>IFERROR(__xludf.DUMMYFUNCTION("""COMPUTED_VALUE"""),"サイズ")</f>
        <v>サイズ</v>
      </c>
      <c r="B537" s="273" t="str">
        <f>IFERROR(__xludf.DUMMYFUNCTION("""COMPUTED_VALUE"""),"チェスターコート")</f>
        <v>チェスターコート</v>
      </c>
      <c r="C537" s="273" t="str">
        <f>IFERROR(__xludf.DUMMYFUNCTION("""COMPUTED_VALUE"""),"着丈")</f>
        <v>着丈</v>
      </c>
      <c r="D537" s="668"/>
      <c r="E537" s="668" t="str">
        <f>IFERROR(__xludf.DUMMYFUNCTION("""COMPUTED_VALUE"""),"パターン限界値から ±20cmの範囲内で調整すること")</f>
        <v>パターン限界値から ±20cmの範囲内で調整すること</v>
      </c>
      <c r="F537" s="342" t="str">
        <f>IFERROR(__xludf.DUMMYFUNCTION("""COMPUTED_VALUE"""),"着丈")</f>
        <v>着丈</v>
      </c>
      <c r="G537" s="668" t="str">
        <f>IFERROR(__xludf.DUMMYFUNCTION("""COMPUTED_VALUE"""),"着丈（パターン限界値から ±20cmの範囲内で調整すること）")</f>
        <v>着丈（パターン限界値から ±20cmの範囲内で調整すること）</v>
      </c>
      <c r="H537" s="672" t="str">
        <f>IFERROR(__xludf.DUMMYFUNCTION("""COMPUTED_VALUE"""),"-1")</f>
        <v>-1</v>
      </c>
      <c r="I537" s="669"/>
      <c r="J537" s="669">
        <f>IFERROR(__xludf.DUMMYFUNCTION("""COMPUTED_VALUE"""),7.0)</f>
        <v>7</v>
      </c>
      <c r="K537" s="673">
        <f>IFERROR(__xludf.DUMMYFUNCTION("""COMPUTED_VALUE"""),46000.0)</f>
        <v>46000</v>
      </c>
      <c r="L537" s="670">
        <f>IFERROR(__xludf.DUMMYFUNCTION("""COMPUTED_VALUE"""),46003.0)</f>
        <v>46003</v>
      </c>
      <c r="M537" s="670">
        <f>IFERROR(__xludf.DUMMYFUNCTION("""COMPUTED_VALUE"""),46008.0)</f>
        <v>46008</v>
      </c>
      <c r="N537" s="674">
        <f>IFERROR(__xludf.DUMMYFUNCTION("""COMPUTED_VALUE"""),9900.0)</f>
        <v>9900</v>
      </c>
      <c r="O537" s="593">
        <f>IFERROR(__xludf.DUMMYFUNCTION("""COMPUTED_VALUE"""),9000.0)</f>
        <v>9000</v>
      </c>
      <c r="P537" s="594">
        <f>IFERROR(__xludf.DUMMYFUNCTION("""COMPUTED_VALUE"""),6000.0)</f>
        <v>6000</v>
      </c>
      <c r="Q537" s="183"/>
      <c r="R537" s="544"/>
      <c r="S537" s="544"/>
      <c r="T537" s="544"/>
      <c r="U537" s="544"/>
      <c r="V537" s="544"/>
      <c r="W537" s="544"/>
      <c r="X537" s="544"/>
      <c r="Y537" s="544"/>
      <c r="Z537" s="544"/>
      <c r="AA537" s="544"/>
      <c r="AB537" s="544"/>
      <c r="AC537" s="544"/>
      <c r="AD537" s="544"/>
      <c r="AE537" s="183"/>
      <c r="AF537" s="183"/>
      <c r="AG537" s="183"/>
      <c r="AH537" s="183"/>
      <c r="AI537" s="183"/>
      <c r="AJ537" s="183"/>
      <c r="AK537" s="183"/>
      <c r="AL537" s="183"/>
      <c r="AM537" s="183"/>
    </row>
    <row r="538">
      <c r="A538" s="273" t="str">
        <f>IFERROR(__xludf.DUMMYFUNCTION("""COMPUTED_VALUE"""),"サイズ")</f>
        <v>サイズ</v>
      </c>
      <c r="B538" s="273" t="str">
        <f>IFERROR(__xludf.DUMMYFUNCTION("""COMPUTED_VALUE"""),"チェスターコート")</f>
        <v>チェスターコート</v>
      </c>
      <c r="C538" s="273" t="str">
        <f>IFERROR(__xludf.DUMMYFUNCTION("""COMPUTED_VALUE"""),"裾まわり")</f>
        <v>裾まわり</v>
      </c>
      <c r="D538" s="668"/>
      <c r="E538" s="668" t="str">
        <f>IFERROR(__xludf.DUMMYFUNCTION("""COMPUTED_VALUE"""),"パターン限界値から ±8cmの範囲内で調整すること")</f>
        <v>パターン限界値から ±8cmの範囲内で調整すること</v>
      </c>
      <c r="F538" s="342" t="str">
        <f>IFERROR(__xludf.DUMMYFUNCTION("""COMPUTED_VALUE"""),"裾まわり")</f>
        <v>裾まわり</v>
      </c>
      <c r="G538" s="668" t="str">
        <f>IFERROR(__xludf.DUMMYFUNCTION("""COMPUTED_VALUE"""),"裾まわり（パターン限界値から ±8cmの範囲内で調整すること）")</f>
        <v>裾まわり（パターン限界値から ±8cmの範囲内で調整すること）</v>
      </c>
      <c r="H538" s="672" t="str">
        <f>IFERROR(__xludf.DUMMYFUNCTION("""COMPUTED_VALUE"""),"-8")</f>
        <v>-8</v>
      </c>
      <c r="I538" s="669"/>
      <c r="J538" s="669">
        <f>IFERROR(__xludf.DUMMYFUNCTION("""COMPUTED_VALUE"""),10.0)</f>
        <v>10</v>
      </c>
      <c r="K538" s="673">
        <f>IFERROR(__xludf.DUMMYFUNCTION("""COMPUTED_VALUE"""),46003.0)</f>
        <v>46003</v>
      </c>
      <c r="L538" s="670">
        <f>IFERROR(__xludf.DUMMYFUNCTION("""COMPUTED_VALUE"""),46003.0)</f>
        <v>46003</v>
      </c>
      <c r="M538" s="670">
        <f>IFERROR(__xludf.DUMMYFUNCTION("""COMPUTED_VALUE"""),46008.0)</f>
        <v>46008</v>
      </c>
      <c r="N538" s="674">
        <f>IFERROR(__xludf.DUMMYFUNCTION("""COMPUTED_VALUE"""),13200.0)</f>
        <v>13200</v>
      </c>
      <c r="O538" s="593">
        <f>IFERROR(__xludf.DUMMYFUNCTION("""COMPUTED_VALUE"""),12000.0)</f>
        <v>12000</v>
      </c>
      <c r="P538" s="594">
        <f>IFERROR(__xludf.DUMMYFUNCTION("""COMPUTED_VALUE"""),8000.0)</f>
        <v>8000</v>
      </c>
      <c r="Q538" s="183"/>
      <c r="R538" s="544"/>
      <c r="S538" s="544"/>
      <c r="T538" s="544"/>
      <c r="U538" s="544"/>
      <c r="V538" s="544"/>
      <c r="W538" s="544"/>
      <c r="X538" s="544"/>
      <c r="Y538" s="544"/>
      <c r="Z538" s="544"/>
      <c r="AA538" s="544"/>
      <c r="AB538" s="544"/>
      <c r="AC538" s="544"/>
      <c r="AD538" s="544"/>
      <c r="AE538" s="183"/>
      <c r="AF538" s="183"/>
      <c r="AG538" s="183"/>
      <c r="AH538" s="183"/>
      <c r="AI538" s="183"/>
      <c r="AJ538" s="183"/>
      <c r="AK538" s="183"/>
      <c r="AL538" s="183"/>
      <c r="AM538" s="183"/>
    </row>
    <row r="539">
      <c r="A539" s="273" t="str">
        <f>IFERROR(__xludf.DUMMYFUNCTION("""COMPUTED_VALUE"""),"サイズ")</f>
        <v>サイズ</v>
      </c>
      <c r="B539" s="273" t="str">
        <f>IFERROR(__xludf.DUMMYFUNCTION("""COMPUTED_VALUE"""),"チェスターコート")</f>
        <v>チェスターコート</v>
      </c>
      <c r="C539" s="273" t="str">
        <f>IFERROR(__xludf.DUMMYFUNCTION("""COMPUTED_VALUE"""),"裾まわり")</f>
        <v>裾まわり</v>
      </c>
      <c r="D539" s="668"/>
      <c r="E539" s="668" t="str">
        <f>IFERROR(__xludf.DUMMYFUNCTION("""COMPUTED_VALUE"""),"パターン限界値から ±8cmの範囲内で調整すること")</f>
        <v>パターン限界値から ±8cmの範囲内で調整すること</v>
      </c>
      <c r="F539" s="342" t="str">
        <f>IFERROR(__xludf.DUMMYFUNCTION("""COMPUTED_VALUE"""),"裾まわり")</f>
        <v>裾まわり</v>
      </c>
      <c r="G539" s="668" t="str">
        <f>IFERROR(__xludf.DUMMYFUNCTION("""COMPUTED_VALUE"""),"裾まわり（パターン限界値から ±8cmの範囲内で調整すること）")</f>
        <v>裾まわり（パターン限界値から ±8cmの範囲内で調整すること）</v>
      </c>
      <c r="H539" s="672" t="str">
        <f>IFERROR(__xludf.DUMMYFUNCTION("""COMPUTED_VALUE"""),"-7")</f>
        <v>-7</v>
      </c>
      <c r="I539" s="669"/>
      <c r="J539" s="669">
        <f>IFERROR(__xludf.DUMMYFUNCTION("""COMPUTED_VALUE"""),10.0)</f>
        <v>10</v>
      </c>
      <c r="K539" s="673">
        <f>IFERROR(__xludf.DUMMYFUNCTION("""COMPUTED_VALUE"""),46003.0)</f>
        <v>46003</v>
      </c>
      <c r="L539" s="670">
        <f>IFERROR(__xludf.DUMMYFUNCTION("""COMPUTED_VALUE"""),46003.0)</f>
        <v>46003</v>
      </c>
      <c r="M539" s="670">
        <f>IFERROR(__xludf.DUMMYFUNCTION("""COMPUTED_VALUE"""),46008.0)</f>
        <v>46008</v>
      </c>
      <c r="N539" s="674">
        <f>IFERROR(__xludf.DUMMYFUNCTION("""COMPUTED_VALUE"""),13200.0)</f>
        <v>13200</v>
      </c>
      <c r="O539" s="593">
        <f>IFERROR(__xludf.DUMMYFUNCTION("""COMPUTED_VALUE"""),12000.0)</f>
        <v>12000</v>
      </c>
      <c r="P539" s="594">
        <f>IFERROR(__xludf.DUMMYFUNCTION("""COMPUTED_VALUE"""),8000.0)</f>
        <v>8000</v>
      </c>
      <c r="Q539" s="183"/>
      <c r="R539" s="544"/>
      <c r="S539" s="544"/>
      <c r="T539" s="544"/>
      <c r="U539" s="544"/>
      <c r="V539" s="544"/>
      <c r="W539" s="544"/>
      <c r="X539" s="544"/>
      <c r="Y539" s="544"/>
      <c r="Z539" s="544"/>
      <c r="AA539" s="544"/>
      <c r="AB539" s="544"/>
      <c r="AC539" s="544"/>
      <c r="AD539" s="544"/>
      <c r="AE539" s="183"/>
      <c r="AF539" s="183"/>
      <c r="AG539" s="183"/>
      <c r="AH539" s="183"/>
      <c r="AI539" s="183"/>
      <c r="AJ539" s="183"/>
      <c r="AK539" s="183"/>
      <c r="AL539" s="183"/>
      <c r="AM539" s="183"/>
    </row>
    <row r="540">
      <c r="A540" s="273" t="str">
        <f>IFERROR(__xludf.DUMMYFUNCTION("""COMPUTED_VALUE"""),"サイズ")</f>
        <v>サイズ</v>
      </c>
      <c r="B540" s="273" t="str">
        <f>IFERROR(__xludf.DUMMYFUNCTION("""COMPUTED_VALUE"""),"チェスターコート")</f>
        <v>チェスターコート</v>
      </c>
      <c r="C540" s="273" t="str">
        <f>IFERROR(__xludf.DUMMYFUNCTION("""COMPUTED_VALUE"""),"裾まわり")</f>
        <v>裾まわり</v>
      </c>
      <c r="D540" s="668"/>
      <c r="E540" s="668" t="str">
        <f>IFERROR(__xludf.DUMMYFUNCTION("""COMPUTED_VALUE"""),"パターン限界値から ±8cmの範囲内で調整すること")</f>
        <v>パターン限界値から ±8cmの範囲内で調整すること</v>
      </c>
      <c r="F540" s="342" t="str">
        <f>IFERROR(__xludf.DUMMYFUNCTION("""COMPUTED_VALUE"""),"裾まわり")</f>
        <v>裾まわり</v>
      </c>
      <c r="G540" s="668" t="str">
        <f>IFERROR(__xludf.DUMMYFUNCTION("""COMPUTED_VALUE"""),"裾まわり（パターン限界値から ±8cmの範囲内で調整すること）")</f>
        <v>裾まわり（パターン限界値から ±8cmの範囲内で調整すること）</v>
      </c>
      <c r="H540" s="672" t="str">
        <f>IFERROR(__xludf.DUMMYFUNCTION("""COMPUTED_VALUE"""),"-6")</f>
        <v>-6</v>
      </c>
      <c r="I540" s="669"/>
      <c r="J540" s="669">
        <f>IFERROR(__xludf.DUMMYFUNCTION("""COMPUTED_VALUE"""),10.0)</f>
        <v>10</v>
      </c>
      <c r="K540" s="673">
        <f>IFERROR(__xludf.DUMMYFUNCTION("""COMPUTED_VALUE"""),46003.0)</f>
        <v>46003</v>
      </c>
      <c r="L540" s="670">
        <f>IFERROR(__xludf.DUMMYFUNCTION("""COMPUTED_VALUE"""),46003.0)</f>
        <v>46003</v>
      </c>
      <c r="M540" s="670">
        <f>IFERROR(__xludf.DUMMYFUNCTION("""COMPUTED_VALUE"""),46008.0)</f>
        <v>46008</v>
      </c>
      <c r="N540" s="674">
        <f>IFERROR(__xludf.DUMMYFUNCTION("""COMPUTED_VALUE"""),13200.0)</f>
        <v>13200</v>
      </c>
      <c r="O540" s="593">
        <f>IFERROR(__xludf.DUMMYFUNCTION("""COMPUTED_VALUE"""),12000.0)</f>
        <v>12000</v>
      </c>
      <c r="P540" s="594">
        <f>IFERROR(__xludf.DUMMYFUNCTION("""COMPUTED_VALUE"""),8000.0)</f>
        <v>8000</v>
      </c>
      <c r="Q540" s="183"/>
      <c r="R540" s="544"/>
      <c r="S540" s="544"/>
      <c r="T540" s="544"/>
      <c r="U540" s="544"/>
      <c r="V540" s="544"/>
      <c r="W540" s="544"/>
      <c r="X540" s="544"/>
      <c r="Y540" s="544"/>
      <c r="Z540" s="544"/>
      <c r="AA540" s="544"/>
      <c r="AB540" s="544"/>
      <c r="AC540" s="544"/>
      <c r="AD540" s="544"/>
      <c r="AE540" s="183"/>
      <c r="AF540" s="183"/>
      <c r="AG540" s="183"/>
      <c r="AH540" s="183"/>
      <c r="AI540" s="183"/>
      <c r="AJ540" s="183"/>
      <c r="AK540" s="183"/>
      <c r="AL540" s="183"/>
      <c r="AM540" s="183"/>
    </row>
    <row r="541">
      <c r="A541" s="273" t="str">
        <f>IFERROR(__xludf.DUMMYFUNCTION("""COMPUTED_VALUE"""),"サイズ")</f>
        <v>サイズ</v>
      </c>
      <c r="B541" s="273" t="str">
        <f>IFERROR(__xludf.DUMMYFUNCTION("""COMPUTED_VALUE"""),"チェスターコート")</f>
        <v>チェスターコート</v>
      </c>
      <c r="C541" s="273" t="str">
        <f>IFERROR(__xludf.DUMMYFUNCTION("""COMPUTED_VALUE"""),"裾まわり")</f>
        <v>裾まわり</v>
      </c>
      <c r="D541" s="668"/>
      <c r="E541" s="668" t="str">
        <f>IFERROR(__xludf.DUMMYFUNCTION("""COMPUTED_VALUE"""),"パターン限界値から ±8cmの範囲内で調整すること")</f>
        <v>パターン限界値から ±8cmの範囲内で調整すること</v>
      </c>
      <c r="F541" s="342" t="str">
        <f>IFERROR(__xludf.DUMMYFUNCTION("""COMPUTED_VALUE"""),"裾まわり")</f>
        <v>裾まわり</v>
      </c>
      <c r="G541" s="668" t="str">
        <f>IFERROR(__xludf.DUMMYFUNCTION("""COMPUTED_VALUE"""),"裾まわり（パターン限界値から ±8cmの範囲内で調整すること）")</f>
        <v>裾まわり（パターン限界値から ±8cmの範囲内で調整すること）</v>
      </c>
      <c r="H541" s="672" t="str">
        <f>IFERROR(__xludf.DUMMYFUNCTION("""COMPUTED_VALUE"""),"-5")</f>
        <v>-5</v>
      </c>
      <c r="I541" s="669"/>
      <c r="J541" s="669">
        <f>IFERROR(__xludf.DUMMYFUNCTION("""COMPUTED_VALUE"""),10.0)</f>
        <v>10</v>
      </c>
      <c r="K541" s="673">
        <f>IFERROR(__xludf.DUMMYFUNCTION("""COMPUTED_VALUE"""),46003.0)</f>
        <v>46003</v>
      </c>
      <c r="L541" s="670">
        <f>IFERROR(__xludf.DUMMYFUNCTION("""COMPUTED_VALUE"""),46003.0)</f>
        <v>46003</v>
      </c>
      <c r="M541" s="670">
        <f>IFERROR(__xludf.DUMMYFUNCTION("""COMPUTED_VALUE"""),46008.0)</f>
        <v>46008</v>
      </c>
      <c r="N541" s="674">
        <f>IFERROR(__xludf.DUMMYFUNCTION("""COMPUTED_VALUE"""),13200.0)</f>
        <v>13200</v>
      </c>
      <c r="O541" s="593">
        <f>IFERROR(__xludf.DUMMYFUNCTION("""COMPUTED_VALUE"""),12000.0)</f>
        <v>12000</v>
      </c>
      <c r="P541" s="594">
        <f>IFERROR(__xludf.DUMMYFUNCTION("""COMPUTED_VALUE"""),8000.0)</f>
        <v>8000</v>
      </c>
      <c r="Q541" s="183"/>
      <c r="R541" s="544"/>
      <c r="S541" s="544"/>
      <c r="T541" s="544"/>
      <c r="U541" s="544"/>
      <c r="V541" s="544"/>
      <c r="W541" s="544"/>
      <c r="X541" s="544"/>
      <c r="Y541" s="544"/>
      <c r="Z541" s="544"/>
      <c r="AA541" s="544"/>
      <c r="AB541" s="544"/>
      <c r="AC541" s="544"/>
      <c r="AD541" s="544"/>
      <c r="AE541" s="183"/>
      <c r="AF541" s="183"/>
      <c r="AG541" s="183"/>
      <c r="AH541" s="183"/>
      <c r="AI541" s="183"/>
      <c r="AJ541" s="183"/>
      <c r="AK541" s="183"/>
      <c r="AL541" s="183"/>
      <c r="AM541" s="183"/>
    </row>
    <row r="542">
      <c r="A542" s="273" t="str">
        <f>IFERROR(__xludf.DUMMYFUNCTION("""COMPUTED_VALUE"""),"サイズ")</f>
        <v>サイズ</v>
      </c>
      <c r="B542" s="273" t="str">
        <f>IFERROR(__xludf.DUMMYFUNCTION("""COMPUTED_VALUE"""),"チェスターコート")</f>
        <v>チェスターコート</v>
      </c>
      <c r="C542" s="273" t="str">
        <f>IFERROR(__xludf.DUMMYFUNCTION("""COMPUTED_VALUE"""),"裾まわり")</f>
        <v>裾まわり</v>
      </c>
      <c r="D542" s="668"/>
      <c r="E542" s="668" t="str">
        <f>IFERROR(__xludf.DUMMYFUNCTION("""COMPUTED_VALUE"""),"パターン限界値から ±8cmの範囲内で調整すること")</f>
        <v>パターン限界値から ±8cmの範囲内で調整すること</v>
      </c>
      <c r="F542" s="342" t="str">
        <f>IFERROR(__xludf.DUMMYFUNCTION("""COMPUTED_VALUE"""),"裾まわり")</f>
        <v>裾まわり</v>
      </c>
      <c r="G542" s="668" t="str">
        <f>IFERROR(__xludf.DUMMYFUNCTION("""COMPUTED_VALUE"""),"裾まわり（パターン限界値から ±8cmの範囲内で調整すること）")</f>
        <v>裾まわり（パターン限界値から ±8cmの範囲内で調整すること）</v>
      </c>
      <c r="H542" s="672" t="str">
        <f>IFERROR(__xludf.DUMMYFUNCTION("""COMPUTED_VALUE"""),"-4")</f>
        <v>-4</v>
      </c>
      <c r="I542" s="669"/>
      <c r="J542" s="669">
        <f>IFERROR(__xludf.DUMMYFUNCTION("""COMPUTED_VALUE"""),10.0)</f>
        <v>10</v>
      </c>
      <c r="K542" s="673">
        <f>IFERROR(__xludf.DUMMYFUNCTION("""COMPUTED_VALUE"""),46003.0)</f>
        <v>46003</v>
      </c>
      <c r="L542" s="670">
        <f>IFERROR(__xludf.DUMMYFUNCTION("""COMPUTED_VALUE"""),46003.0)</f>
        <v>46003</v>
      </c>
      <c r="M542" s="670">
        <f>IFERROR(__xludf.DUMMYFUNCTION("""COMPUTED_VALUE"""),46008.0)</f>
        <v>46008</v>
      </c>
      <c r="N542" s="674">
        <f>IFERROR(__xludf.DUMMYFUNCTION("""COMPUTED_VALUE"""),13200.0)</f>
        <v>13200</v>
      </c>
      <c r="O542" s="593">
        <f>IFERROR(__xludf.DUMMYFUNCTION("""COMPUTED_VALUE"""),12000.0)</f>
        <v>12000</v>
      </c>
      <c r="P542" s="594">
        <f>IFERROR(__xludf.DUMMYFUNCTION("""COMPUTED_VALUE"""),8000.0)</f>
        <v>8000</v>
      </c>
      <c r="Q542" s="183"/>
      <c r="R542" s="544"/>
      <c r="S542" s="544"/>
      <c r="T542" s="544"/>
      <c r="U542" s="544"/>
      <c r="V542" s="544"/>
      <c r="W542" s="544"/>
      <c r="X542" s="544"/>
      <c r="Y542" s="544"/>
      <c r="Z542" s="544"/>
      <c r="AA542" s="544"/>
      <c r="AB542" s="544"/>
      <c r="AC542" s="544"/>
      <c r="AD542" s="544"/>
      <c r="AE542" s="183"/>
      <c r="AF542" s="183"/>
      <c r="AG542" s="183"/>
      <c r="AH542" s="183"/>
      <c r="AI542" s="183"/>
      <c r="AJ542" s="183"/>
      <c r="AK542" s="183"/>
      <c r="AL542" s="183"/>
      <c r="AM542" s="183"/>
    </row>
    <row r="543">
      <c r="A543" s="273" t="str">
        <f>IFERROR(__xludf.DUMMYFUNCTION("""COMPUTED_VALUE"""),"サイズ")</f>
        <v>サイズ</v>
      </c>
      <c r="B543" s="273" t="str">
        <f>IFERROR(__xludf.DUMMYFUNCTION("""COMPUTED_VALUE"""),"チェスターコート")</f>
        <v>チェスターコート</v>
      </c>
      <c r="C543" s="273" t="str">
        <f>IFERROR(__xludf.DUMMYFUNCTION("""COMPUTED_VALUE"""),"裾まわり")</f>
        <v>裾まわり</v>
      </c>
      <c r="D543" s="668"/>
      <c r="E543" s="668" t="str">
        <f>IFERROR(__xludf.DUMMYFUNCTION("""COMPUTED_VALUE"""),"パターン限界値から ±8cmの範囲内で調整すること")</f>
        <v>パターン限界値から ±8cmの範囲内で調整すること</v>
      </c>
      <c r="F543" s="342" t="str">
        <f>IFERROR(__xludf.DUMMYFUNCTION("""COMPUTED_VALUE"""),"裾まわり")</f>
        <v>裾まわり</v>
      </c>
      <c r="G543" s="668" t="str">
        <f>IFERROR(__xludf.DUMMYFUNCTION("""COMPUTED_VALUE"""),"裾まわり（パターン限界値から ±8cmの範囲内で調整すること）")</f>
        <v>裾まわり（パターン限界値から ±8cmの範囲内で調整すること）</v>
      </c>
      <c r="H543" s="672" t="str">
        <f>IFERROR(__xludf.DUMMYFUNCTION("""COMPUTED_VALUE"""),"-3")</f>
        <v>-3</v>
      </c>
      <c r="I543" s="669"/>
      <c r="J543" s="669">
        <f>IFERROR(__xludf.DUMMYFUNCTION("""COMPUTED_VALUE"""),10.0)</f>
        <v>10</v>
      </c>
      <c r="K543" s="673">
        <f>IFERROR(__xludf.DUMMYFUNCTION("""COMPUTED_VALUE"""),46003.0)</f>
        <v>46003</v>
      </c>
      <c r="L543" s="670">
        <f>IFERROR(__xludf.DUMMYFUNCTION("""COMPUTED_VALUE"""),46003.0)</f>
        <v>46003</v>
      </c>
      <c r="M543" s="670">
        <f>IFERROR(__xludf.DUMMYFUNCTION("""COMPUTED_VALUE"""),46008.0)</f>
        <v>46008</v>
      </c>
      <c r="N543" s="674">
        <f>IFERROR(__xludf.DUMMYFUNCTION("""COMPUTED_VALUE"""),13200.0)</f>
        <v>13200</v>
      </c>
      <c r="O543" s="593">
        <f>IFERROR(__xludf.DUMMYFUNCTION("""COMPUTED_VALUE"""),12000.0)</f>
        <v>12000</v>
      </c>
      <c r="P543" s="594">
        <f>IFERROR(__xludf.DUMMYFUNCTION("""COMPUTED_VALUE"""),8000.0)</f>
        <v>8000</v>
      </c>
      <c r="Q543" s="183"/>
      <c r="R543" s="544"/>
      <c r="S543" s="544"/>
      <c r="T543" s="544"/>
      <c r="U543" s="544"/>
      <c r="V543" s="544"/>
      <c r="W543" s="544"/>
      <c r="X543" s="544"/>
      <c r="Y543" s="544"/>
      <c r="Z543" s="544"/>
      <c r="AA543" s="544"/>
      <c r="AB543" s="544"/>
      <c r="AC543" s="544"/>
      <c r="AD543" s="544"/>
      <c r="AE543" s="183"/>
      <c r="AF543" s="183"/>
      <c r="AG543" s="183"/>
      <c r="AH543" s="183"/>
      <c r="AI543" s="183"/>
      <c r="AJ543" s="183"/>
      <c r="AK543" s="183"/>
      <c r="AL543" s="183"/>
      <c r="AM543" s="183"/>
    </row>
    <row r="544">
      <c r="A544" s="273" t="str">
        <f>IFERROR(__xludf.DUMMYFUNCTION("""COMPUTED_VALUE"""),"サイズ")</f>
        <v>サイズ</v>
      </c>
      <c r="B544" s="273" t="str">
        <f>IFERROR(__xludf.DUMMYFUNCTION("""COMPUTED_VALUE"""),"チェスターコート")</f>
        <v>チェスターコート</v>
      </c>
      <c r="C544" s="273" t="str">
        <f>IFERROR(__xludf.DUMMYFUNCTION("""COMPUTED_VALUE"""),"裾まわり")</f>
        <v>裾まわり</v>
      </c>
      <c r="D544" s="668"/>
      <c r="E544" s="668" t="str">
        <f>IFERROR(__xludf.DUMMYFUNCTION("""COMPUTED_VALUE"""),"パターン限界値から ±8cmの範囲内で調整すること")</f>
        <v>パターン限界値から ±8cmの範囲内で調整すること</v>
      </c>
      <c r="F544" s="342" t="str">
        <f>IFERROR(__xludf.DUMMYFUNCTION("""COMPUTED_VALUE"""),"裾まわり")</f>
        <v>裾まわり</v>
      </c>
      <c r="G544" s="668" t="str">
        <f>IFERROR(__xludf.DUMMYFUNCTION("""COMPUTED_VALUE"""),"裾まわり（パターン限界値から ±8cmの範囲内で調整すること）")</f>
        <v>裾まわり（パターン限界値から ±8cmの範囲内で調整すること）</v>
      </c>
      <c r="H544" s="672" t="str">
        <f>IFERROR(__xludf.DUMMYFUNCTION("""COMPUTED_VALUE"""),"-2")</f>
        <v>-2</v>
      </c>
      <c r="I544" s="669"/>
      <c r="J544" s="669">
        <f>IFERROR(__xludf.DUMMYFUNCTION("""COMPUTED_VALUE"""),10.0)</f>
        <v>10</v>
      </c>
      <c r="K544" s="673">
        <f>IFERROR(__xludf.DUMMYFUNCTION("""COMPUTED_VALUE"""),46003.0)</f>
        <v>46003</v>
      </c>
      <c r="L544" s="670">
        <f>IFERROR(__xludf.DUMMYFUNCTION("""COMPUTED_VALUE"""),46003.0)</f>
        <v>46003</v>
      </c>
      <c r="M544" s="670">
        <f>IFERROR(__xludf.DUMMYFUNCTION("""COMPUTED_VALUE"""),46008.0)</f>
        <v>46008</v>
      </c>
      <c r="N544" s="674">
        <f>IFERROR(__xludf.DUMMYFUNCTION("""COMPUTED_VALUE"""),13200.0)</f>
        <v>13200</v>
      </c>
      <c r="O544" s="593">
        <f>IFERROR(__xludf.DUMMYFUNCTION("""COMPUTED_VALUE"""),12000.0)</f>
        <v>12000</v>
      </c>
      <c r="P544" s="594">
        <f>IFERROR(__xludf.DUMMYFUNCTION("""COMPUTED_VALUE"""),8000.0)</f>
        <v>8000</v>
      </c>
      <c r="Q544" s="183"/>
      <c r="R544" s="544"/>
      <c r="S544" s="544"/>
      <c r="T544" s="544"/>
      <c r="U544" s="544"/>
      <c r="V544" s="544"/>
      <c r="W544" s="544"/>
      <c r="X544" s="544"/>
      <c r="Y544" s="544"/>
      <c r="Z544" s="544"/>
      <c r="AA544" s="544"/>
      <c r="AB544" s="544"/>
      <c r="AC544" s="544"/>
      <c r="AD544" s="544"/>
      <c r="AE544" s="183"/>
      <c r="AF544" s="183"/>
      <c r="AG544" s="183"/>
      <c r="AH544" s="183"/>
      <c r="AI544" s="183"/>
      <c r="AJ544" s="183"/>
      <c r="AK544" s="183"/>
      <c r="AL544" s="183"/>
      <c r="AM544" s="183"/>
    </row>
    <row r="545">
      <c r="A545" s="273" t="str">
        <f>IFERROR(__xludf.DUMMYFUNCTION("""COMPUTED_VALUE"""),"サイズ")</f>
        <v>サイズ</v>
      </c>
      <c r="B545" s="273" t="str">
        <f>IFERROR(__xludf.DUMMYFUNCTION("""COMPUTED_VALUE"""),"チェスターコート")</f>
        <v>チェスターコート</v>
      </c>
      <c r="C545" s="273" t="str">
        <f>IFERROR(__xludf.DUMMYFUNCTION("""COMPUTED_VALUE"""),"裾まわり")</f>
        <v>裾まわり</v>
      </c>
      <c r="D545" s="668"/>
      <c r="E545" s="668" t="str">
        <f>IFERROR(__xludf.DUMMYFUNCTION("""COMPUTED_VALUE"""),"パターン限界値から ±8cmの範囲内で調整すること")</f>
        <v>パターン限界値から ±8cmの範囲内で調整すること</v>
      </c>
      <c r="F545" s="342" t="str">
        <f>IFERROR(__xludf.DUMMYFUNCTION("""COMPUTED_VALUE"""),"裾まわり")</f>
        <v>裾まわり</v>
      </c>
      <c r="G545" s="668" t="str">
        <f>IFERROR(__xludf.DUMMYFUNCTION("""COMPUTED_VALUE"""),"裾まわり（パターン限界値から ±8cmの範囲内で調整すること）")</f>
        <v>裾まわり（パターン限界値から ±8cmの範囲内で調整すること）</v>
      </c>
      <c r="H545" s="672" t="str">
        <f>IFERROR(__xludf.DUMMYFUNCTION("""COMPUTED_VALUE"""),"-1")</f>
        <v>-1</v>
      </c>
      <c r="I545" s="669"/>
      <c r="J545" s="669">
        <f>IFERROR(__xludf.DUMMYFUNCTION("""COMPUTED_VALUE"""),10.0)</f>
        <v>10</v>
      </c>
      <c r="K545" s="673">
        <f>IFERROR(__xludf.DUMMYFUNCTION("""COMPUTED_VALUE"""),46003.0)</f>
        <v>46003</v>
      </c>
      <c r="L545" s="670">
        <f>IFERROR(__xludf.DUMMYFUNCTION("""COMPUTED_VALUE"""),46003.0)</f>
        <v>46003</v>
      </c>
      <c r="M545" s="670">
        <f>IFERROR(__xludf.DUMMYFUNCTION("""COMPUTED_VALUE"""),46008.0)</f>
        <v>46008</v>
      </c>
      <c r="N545" s="674">
        <f>IFERROR(__xludf.DUMMYFUNCTION("""COMPUTED_VALUE"""),13200.0)</f>
        <v>13200</v>
      </c>
      <c r="O545" s="593">
        <f>IFERROR(__xludf.DUMMYFUNCTION("""COMPUTED_VALUE"""),12000.0)</f>
        <v>12000</v>
      </c>
      <c r="P545" s="594">
        <f>IFERROR(__xludf.DUMMYFUNCTION("""COMPUTED_VALUE"""),8000.0)</f>
        <v>8000</v>
      </c>
      <c r="Q545" s="183"/>
      <c r="R545" s="544"/>
      <c r="S545" s="544"/>
      <c r="T545" s="544"/>
      <c r="U545" s="544"/>
      <c r="V545" s="544"/>
      <c r="W545" s="544"/>
      <c r="X545" s="544"/>
      <c r="Y545" s="544"/>
      <c r="Z545" s="544"/>
      <c r="AA545" s="544"/>
      <c r="AB545" s="544"/>
      <c r="AC545" s="544"/>
      <c r="AD545" s="544"/>
      <c r="AE545" s="183"/>
      <c r="AF545" s="183"/>
      <c r="AG545" s="183"/>
      <c r="AH545" s="183"/>
      <c r="AI545" s="183"/>
      <c r="AJ545" s="183"/>
      <c r="AK545" s="183"/>
      <c r="AL545" s="183"/>
      <c r="AM545" s="183"/>
    </row>
    <row r="546">
      <c r="A546" s="273" t="str">
        <f>IFERROR(__xludf.DUMMYFUNCTION("""COMPUTED_VALUE"""),"サイズ")</f>
        <v>サイズ</v>
      </c>
      <c r="B546" s="273" t="str">
        <f>IFERROR(__xludf.DUMMYFUNCTION("""COMPUTED_VALUE"""),"チノパン")</f>
        <v>チノパン</v>
      </c>
      <c r="C546" s="675" t="str">
        <f>IFERROR(__xludf.DUMMYFUNCTION("""COMPUTED_VALUE"""),"仕上げプレス")</f>
        <v>仕上げプレス</v>
      </c>
      <c r="D546" s="668"/>
      <c r="E546" s="668"/>
      <c r="F546" s="607" t="str">
        <f>IFERROR(__xludf.DUMMYFUNCTION("""COMPUTED_VALUE"""),"仕上げプレス")</f>
        <v>仕上げプレス</v>
      </c>
      <c r="G546" s="676" t="str">
        <f>IFERROR(__xludf.DUMMYFUNCTION("""COMPUTED_VALUE"""),"仕上げプレス")</f>
        <v>仕上げプレス</v>
      </c>
      <c r="H546" s="669"/>
      <c r="I546" s="669" t="str">
        <f>IFERROR(__xludf.DUMMYFUNCTION("""COMPUTED_VALUE"""),"店舗/CS")</f>
        <v>店舗/CS</v>
      </c>
      <c r="J546" s="669"/>
      <c r="K546" s="669"/>
      <c r="L546" s="670"/>
      <c r="M546" s="670"/>
      <c r="N546" s="674">
        <f>IFERROR(__xludf.DUMMYFUNCTION("""COMPUTED_VALUE"""),250.0)</f>
        <v>250</v>
      </c>
      <c r="O546" s="593">
        <f>IFERROR(__xludf.DUMMYFUNCTION("""COMPUTED_VALUE"""),227.0)</f>
        <v>227</v>
      </c>
      <c r="P546" s="594">
        <f>IFERROR(__xludf.DUMMYFUNCTION("""COMPUTED_VALUE"""),150.0)</f>
        <v>150</v>
      </c>
      <c r="Q546" s="183"/>
      <c r="R546" s="544"/>
      <c r="S546" s="544"/>
      <c r="T546" s="544"/>
      <c r="U546" s="544"/>
      <c r="V546" s="544"/>
      <c r="W546" s="544"/>
      <c r="X546" s="544"/>
      <c r="Y546" s="544"/>
      <c r="Z546" s="544"/>
      <c r="AA546" s="544"/>
      <c r="AB546" s="544"/>
      <c r="AC546" s="544"/>
      <c r="AD546" s="544"/>
      <c r="AE546" s="183"/>
      <c r="AF546" s="183"/>
      <c r="AG546" s="183"/>
      <c r="AH546" s="183"/>
      <c r="AI546" s="183"/>
      <c r="AJ546" s="183"/>
      <c r="AK546" s="183"/>
      <c r="AL546" s="183"/>
      <c r="AM546" s="183"/>
    </row>
    <row r="547">
      <c r="A547" s="273" t="str">
        <f>IFERROR(__xludf.DUMMYFUNCTION("""COMPUTED_VALUE"""),"縫製")</f>
        <v>縫製</v>
      </c>
      <c r="B547" s="273" t="str">
        <f>IFERROR(__xludf.DUMMYFUNCTION("""COMPUTED_VALUE"""),"チノパン")</f>
        <v>チノパン</v>
      </c>
      <c r="C547" s="273" t="str">
        <f>IFERROR(__xludf.DUMMYFUNCTION("""COMPUTED_VALUE"""),"仕上げプレス")</f>
        <v>仕上げプレス</v>
      </c>
      <c r="D547" s="668"/>
      <c r="E547" s="668"/>
      <c r="F547" s="342" t="str">
        <f>IFERROR(__xludf.DUMMYFUNCTION("""COMPUTED_VALUE"""),"仕上げプレス")</f>
        <v>仕上げプレス</v>
      </c>
      <c r="G547" s="668" t="str">
        <f>IFERROR(__xludf.DUMMYFUNCTION("""COMPUTED_VALUE"""),"仕上げプレス")</f>
        <v>仕上げプレス</v>
      </c>
      <c r="H547" s="669"/>
      <c r="I547" s="669" t="str">
        <f>IFERROR(__xludf.DUMMYFUNCTION("""COMPUTED_VALUE"""),"店舗/CS")</f>
        <v>店舗/CS</v>
      </c>
      <c r="J547" s="669"/>
      <c r="K547" s="669"/>
      <c r="L547" s="670"/>
      <c r="M547" s="670"/>
      <c r="N547" s="674">
        <f>IFERROR(__xludf.DUMMYFUNCTION("""COMPUTED_VALUE"""),550.0)</f>
        <v>550</v>
      </c>
      <c r="O547" s="593">
        <f>IFERROR(__xludf.DUMMYFUNCTION("""COMPUTED_VALUE"""),500.0)</f>
        <v>500</v>
      </c>
      <c r="P547" s="594">
        <f>IFERROR(__xludf.DUMMYFUNCTION("""COMPUTED_VALUE"""),150.0)</f>
        <v>150</v>
      </c>
      <c r="Q547" s="183"/>
      <c r="R547" s="544"/>
      <c r="S547" s="544"/>
      <c r="T547" s="544"/>
      <c r="U547" s="544"/>
      <c r="V547" s="544"/>
      <c r="W547" s="544"/>
      <c r="X547" s="544"/>
      <c r="Y547" s="544"/>
      <c r="Z547" s="544"/>
      <c r="AA547" s="544"/>
      <c r="AB547" s="544"/>
      <c r="AC547" s="544"/>
      <c r="AD547" s="544"/>
      <c r="AE547" s="183"/>
      <c r="AF547" s="183"/>
      <c r="AG547" s="183"/>
      <c r="AH547" s="183"/>
      <c r="AI547" s="183"/>
      <c r="AJ547" s="183"/>
      <c r="AK547" s="183"/>
      <c r="AL547" s="183"/>
      <c r="AM547" s="183"/>
    </row>
    <row r="548">
      <c r="A548" s="273" t="str">
        <f>IFERROR(__xludf.DUMMYFUNCTION("""COMPUTED_VALUE"""),"縫製")</f>
        <v>縫製</v>
      </c>
      <c r="B548" s="273" t="str">
        <f>IFERROR(__xludf.DUMMYFUNCTION("""COMPUTED_VALUE"""),"チノパン")</f>
        <v>チノパン</v>
      </c>
      <c r="C548" s="273" t="str">
        <f>IFERROR(__xludf.DUMMYFUNCTION("""COMPUTED_VALUE"""),"再プレスのみ")</f>
        <v>再プレスのみ</v>
      </c>
      <c r="D548" s="668"/>
      <c r="E548" s="668"/>
      <c r="F548" s="342" t="str">
        <f>IFERROR(__xludf.DUMMYFUNCTION("""COMPUTED_VALUE"""),"再プレスのみ")</f>
        <v>再プレスのみ</v>
      </c>
      <c r="G548" s="668" t="str">
        <f>IFERROR(__xludf.DUMMYFUNCTION("""COMPUTED_VALUE"""),"再プレスのみ")</f>
        <v>再プレスのみ</v>
      </c>
      <c r="H548" s="669"/>
      <c r="I548" s="669" t="str">
        <f>IFERROR(__xludf.DUMMYFUNCTION("""COMPUTED_VALUE"""),"店舗/CS")</f>
        <v>店舗/CS</v>
      </c>
      <c r="J548" s="669"/>
      <c r="K548" s="669" t="str">
        <f>IFERROR(__xludf.DUMMYFUNCTION("""COMPUTED_VALUE"""),"3営業日前後")</f>
        <v>3営業日前後</v>
      </c>
      <c r="L548" s="670"/>
      <c r="M548" s="670"/>
      <c r="N548" s="674">
        <f>IFERROR(__xludf.DUMMYFUNCTION("""COMPUTED_VALUE"""),550.0)</f>
        <v>550</v>
      </c>
      <c r="O548" s="593">
        <f>IFERROR(__xludf.DUMMYFUNCTION("""COMPUTED_VALUE"""),500.0)</f>
        <v>500</v>
      </c>
      <c r="P548" s="594">
        <f>IFERROR(__xludf.DUMMYFUNCTION("""COMPUTED_VALUE"""),150.0)</f>
        <v>150</v>
      </c>
      <c r="Q548" s="183"/>
      <c r="R548" s="544"/>
      <c r="S548" s="544"/>
      <c r="T548" s="544"/>
      <c r="U548" s="544"/>
      <c r="V548" s="544"/>
      <c r="W548" s="544"/>
      <c r="X548" s="544"/>
      <c r="Y548" s="544"/>
      <c r="Z548" s="544"/>
      <c r="AA548" s="544"/>
      <c r="AB548" s="544"/>
      <c r="AC548" s="544"/>
      <c r="AD548" s="544"/>
      <c r="AE548" s="183"/>
      <c r="AF548" s="183"/>
      <c r="AG548" s="183"/>
      <c r="AH548" s="183"/>
      <c r="AI548" s="183"/>
      <c r="AJ548" s="183"/>
      <c r="AK548" s="183"/>
      <c r="AL548" s="183"/>
      <c r="AM548" s="183"/>
    </row>
    <row r="549">
      <c r="A549" s="273" t="str">
        <f>IFERROR(__xludf.DUMMYFUNCTION("""COMPUTED_VALUE"""),"縫製")</f>
        <v>縫製</v>
      </c>
      <c r="B549" s="273" t="str">
        <f>IFERROR(__xludf.DUMMYFUNCTION("""COMPUTED_VALUE"""),"チノパン")</f>
        <v>チノパン</v>
      </c>
      <c r="C549" s="273" t="str">
        <f>IFERROR(__xludf.DUMMYFUNCTION("""COMPUTED_VALUE"""),"ボタン購入のみ")</f>
        <v>ボタン購入のみ</v>
      </c>
      <c r="D549" s="668"/>
      <c r="E549" s="668" t="str">
        <f>IFERROR(__xludf.DUMMYFUNCTION("""COMPUTED_VALUE"""),"配送料不要")</f>
        <v>配送料不要</v>
      </c>
      <c r="F549" s="342" t="str">
        <f>IFERROR(__xludf.DUMMYFUNCTION("""COMPUTED_VALUE"""),"ボタン購入のみ")</f>
        <v>ボタン購入のみ</v>
      </c>
      <c r="G549" s="668" t="str">
        <f>IFERROR(__xludf.DUMMYFUNCTION("""COMPUTED_VALUE"""),"ボタン購入のみ（配送料不要）")</f>
        <v>ボタン購入のみ（配送料不要）</v>
      </c>
      <c r="H549" s="669"/>
      <c r="I549" s="669" t="str">
        <f>IFERROR(__xludf.DUMMYFUNCTION("""COMPUTED_VALUE"""),"店舗/CS")</f>
        <v>店舗/CS</v>
      </c>
      <c r="J549" s="669"/>
      <c r="K549" s="669" t="str">
        <f>IFERROR(__xludf.DUMMYFUNCTION("""COMPUTED_VALUE"""),"7営業日前後")</f>
        <v>7営業日前後</v>
      </c>
      <c r="L549" s="670"/>
      <c r="M549" s="670"/>
      <c r="N549" s="674">
        <f>IFERROR(__xludf.DUMMYFUNCTION("""COMPUTED_VALUE"""),1000.0)</f>
        <v>1000</v>
      </c>
      <c r="O549" s="593">
        <f>IFERROR(__xludf.DUMMYFUNCTION("""COMPUTED_VALUE"""),909.0)</f>
        <v>909</v>
      </c>
      <c r="P549" s="594" t="str">
        <f>IFERROR(__xludf.DUMMYFUNCTION("""COMPUTED_VALUE"""),"未定")</f>
        <v>未定</v>
      </c>
      <c r="Q549" s="183"/>
      <c r="R549" s="544"/>
      <c r="S549" s="544"/>
      <c r="T549" s="544"/>
      <c r="U549" s="544"/>
      <c r="V549" s="544"/>
      <c r="W549" s="544"/>
      <c r="X549" s="544"/>
      <c r="Y549" s="544"/>
      <c r="Z549" s="544"/>
      <c r="AA549" s="544"/>
      <c r="AB549" s="544"/>
      <c r="AC549" s="544"/>
      <c r="AD549" s="544"/>
      <c r="AE549" s="183"/>
      <c r="AF549" s="183"/>
      <c r="AG549" s="183"/>
      <c r="AH549" s="183"/>
      <c r="AI549" s="183"/>
      <c r="AJ549" s="183"/>
      <c r="AK549" s="183"/>
      <c r="AL549" s="183"/>
      <c r="AM549" s="183"/>
    </row>
    <row r="550">
      <c r="A550" s="273" t="str">
        <f>IFERROR(__xludf.DUMMYFUNCTION("""COMPUTED_VALUE"""),"縫製")</f>
        <v>縫製</v>
      </c>
      <c r="B550" s="273" t="str">
        <f>IFERROR(__xludf.DUMMYFUNCTION("""COMPUTED_VALUE"""),"チノパン")</f>
        <v>チノパン</v>
      </c>
      <c r="C550" s="273" t="str">
        <f>IFERROR(__xludf.DUMMYFUNCTION("""COMPUTED_VALUE"""),"ボタンお直し (購入＋つけ直し)")</f>
        <v>ボタンお直し (購入＋つけ直し)</v>
      </c>
      <c r="D550" s="668"/>
      <c r="E550" s="668"/>
      <c r="F550" s="342" t="str">
        <f>IFERROR(__xludf.DUMMYFUNCTION("""COMPUTED_VALUE"""),"ボタンお直し (購入＋つけ直し)")</f>
        <v>ボタンお直し (購入＋つけ直し)</v>
      </c>
      <c r="G550" s="668" t="str">
        <f>IFERROR(__xludf.DUMMYFUNCTION("""COMPUTED_VALUE"""),"ボタンお直し (購入＋つけ直し)")</f>
        <v>ボタンお直し (購入＋つけ直し)</v>
      </c>
      <c r="H550" s="669"/>
      <c r="I550" s="669" t="str">
        <f>IFERROR(__xludf.DUMMYFUNCTION("""COMPUTED_VALUE"""),"店舗/CS")</f>
        <v>店舗/CS</v>
      </c>
      <c r="J550" s="669"/>
      <c r="K550" s="669" t="str">
        <f>IFERROR(__xludf.DUMMYFUNCTION("""COMPUTED_VALUE"""),"約2週間")</f>
        <v>約2週間</v>
      </c>
      <c r="L550" s="670"/>
      <c r="M550" s="670"/>
      <c r="N550" s="674">
        <f>IFERROR(__xludf.DUMMYFUNCTION("""COMPUTED_VALUE"""),2480.0)</f>
        <v>2480</v>
      </c>
      <c r="O550" s="593">
        <f>IFERROR(__xludf.DUMMYFUNCTION("""COMPUTED_VALUE"""),2250.0)</f>
        <v>2250</v>
      </c>
      <c r="P550" s="594">
        <f>IFERROR(__xludf.DUMMYFUNCTION("""COMPUTED_VALUE"""),1500.0)</f>
        <v>1500</v>
      </c>
      <c r="Q550" s="183"/>
      <c r="R550" s="544"/>
      <c r="S550" s="544"/>
      <c r="T550" s="544"/>
      <c r="U550" s="544"/>
      <c r="V550" s="544"/>
      <c r="W550" s="544"/>
      <c r="X550" s="544"/>
      <c r="Y550" s="544"/>
      <c r="Z550" s="544"/>
      <c r="AA550" s="544"/>
      <c r="AB550" s="544"/>
      <c r="AC550" s="544"/>
      <c r="AD550" s="544"/>
      <c r="AE550" s="183"/>
      <c r="AF550" s="183"/>
      <c r="AG550" s="183"/>
      <c r="AH550" s="183"/>
      <c r="AI550" s="183"/>
      <c r="AJ550" s="183"/>
      <c r="AK550" s="183"/>
      <c r="AL550" s="183"/>
      <c r="AM550" s="183"/>
    </row>
    <row r="551">
      <c r="A551" s="273" t="str">
        <f>IFERROR(__xludf.DUMMYFUNCTION("""COMPUTED_VALUE"""),"縫製")</f>
        <v>縫製</v>
      </c>
      <c r="B551" s="273" t="str">
        <f>IFERROR(__xludf.DUMMYFUNCTION("""COMPUTED_VALUE"""),"チノパン")</f>
        <v>チノパン</v>
      </c>
      <c r="C551" s="273" t="str">
        <f>IFERROR(__xludf.DUMMYFUNCTION("""COMPUTED_VALUE"""),"緩くなったボタンの付け直し")</f>
        <v>緩くなったボタンの付け直し</v>
      </c>
      <c r="D551" s="668"/>
      <c r="E551" s="668"/>
      <c r="F551" s="342" t="str">
        <f>IFERROR(__xludf.DUMMYFUNCTION("""COMPUTED_VALUE"""),"緩くなったボタンの付け直し")</f>
        <v>緩くなったボタンの付け直し</v>
      </c>
      <c r="G551" s="668" t="str">
        <f>IFERROR(__xludf.DUMMYFUNCTION("""COMPUTED_VALUE"""),"緩くなったボタンの付け直し")</f>
        <v>緩くなったボタンの付け直し</v>
      </c>
      <c r="H551" s="669"/>
      <c r="I551" s="669" t="str">
        <f>IFERROR(__xludf.DUMMYFUNCTION("""COMPUTED_VALUE"""),"店舗/CS")</f>
        <v>店舗/CS</v>
      </c>
      <c r="J551" s="669"/>
      <c r="K551" s="669" t="str">
        <f>IFERROR(__xludf.DUMMYFUNCTION("""COMPUTED_VALUE"""),"約2週間")</f>
        <v>約2週間</v>
      </c>
      <c r="L551" s="670"/>
      <c r="M551" s="670"/>
      <c r="N551" s="674">
        <f>IFERROR(__xludf.DUMMYFUNCTION("""COMPUTED_VALUE"""),660.0)</f>
        <v>660</v>
      </c>
      <c r="O551" s="593">
        <f>IFERROR(__xludf.DUMMYFUNCTION("""COMPUTED_VALUE"""),600.0)</f>
        <v>600</v>
      </c>
      <c r="P551" s="594">
        <f>IFERROR(__xludf.DUMMYFUNCTION("""COMPUTED_VALUE"""),120.0)</f>
        <v>120</v>
      </c>
      <c r="Q551" s="183"/>
      <c r="R551" s="544"/>
      <c r="S551" s="544"/>
      <c r="T551" s="544"/>
      <c r="U551" s="544"/>
      <c r="V551" s="544"/>
      <c r="W551" s="544"/>
      <c r="X551" s="544"/>
      <c r="Y551" s="544"/>
      <c r="Z551" s="544"/>
      <c r="AA551" s="544"/>
      <c r="AB551" s="544"/>
      <c r="AC551" s="544"/>
      <c r="AD551" s="544"/>
      <c r="AE551" s="183"/>
      <c r="AF551" s="183"/>
      <c r="AG551" s="183"/>
      <c r="AH551" s="183"/>
      <c r="AI551" s="183"/>
      <c r="AJ551" s="183"/>
      <c r="AK551" s="183"/>
      <c r="AL551" s="183"/>
      <c r="AM551" s="183"/>
    </row>
    <row r="552">
      <c r="A552" s="273" t="str">
        <f>IFERROR(__xludf.DUMMYFUNCTION("""COMPUTED_VALUE"""),"縫製")</f>
        <v>縫製</v>
      </c>
      <c r="B552" s="273" t="str">
        <f>IFERROR(__xludf.DUMMYFUNCTION("""COMPUTED_VALUE"""),"チノパン")</f>
        <v>チノパン</v>
      </c>
      <c r="C552" s="273" t="str">
        <f>IFERROR(__xludf.DUMMYFUNCTION("""COMPUTED_VALUE"""),"ベルトループの付け直し")</f>
        <v>ベルトループの付け直し</v>
      </c>
      <c r="D552" s="668"/>
      <c r="E552" s="668"/>
      <c r="F552" s="342" t="str">
        <f>IFERROR(__xludf.DUMMYFUNCTION("""COMPUTED_VALUE"""),"ベルトループの付け直し")</f>
        <v>ベルトループの付け直し</v>
      </c>
      <c r="G552" s="668" t="str">
        <f>IFERROR(__xludf.DUMMYFUNCTION("""COMPUTED_VALUE"""),"ベルトループの付け直し")</f>
        <v>ベルトループの付け直し</v>
      </c>
      <c r="H552" s="669"/>
      <c r="I552" s="669" t="str">
        <f>IFERROR(__xludf.DUMMYFUNCTION("""COMPUTED_VALUE"""),"店舗/CS")</f>
        <v>店舗/CS</v>
      </c>
      <c r="J552" s="669"/>
      <c r="K552" s="669" t="str">
        <f>IFERROR(__xludf.DUMMYFUNCTION("""COMPUTED_VALUE"""),"7営業日前後")</f>
        <v>7営業日前後</v>
      </c>
      <c r="L552" s="670"/>
      <c r="M552" s="670"/>
      <c r="N552" s="674">
        <f>IFERROR(__xludf.DUMMYFUNCTION("""COMPUTED_VALUE"""),2480.0)</f>
        <v>2480</v>
      </c>
      <c r="O552" s="593">
        <f>IFERROR(__xludf.DUMMYFUNCTION("""COMPUTED_VALUE"""),2250.0)</f>
        <v>2250</v>
      </c>
      <c r="P552" s="594">
        <f>IFERROR(__xludf.DUMMYFUNCTION("""COMPUTED_VALUE"""),1500.0)</f>
        <v>1500</v>
      </c>
      <c r="Q552" s="183"/>
      <c r="R552" s="544"/>
      <c r="S552" s="544"/>
      <c r="T552" s="544"/>
      <c r="U552" s="544"/>
      <c r="V552" s="544"/>
      <c r="W552" s="544"/>
      <c r="X552" s="544"/>
      <c r="Y552" s="544"/>
      <c r="Z552" s="544"/>
      <c r="AA552" s="544"/>
      <c r="AB552" s="544"/>
      <c r="AC552" s="544"/>
      <c r="AD552" s="544"/>
      <c r="AE552" s="183"/>
      <c r="AF552" s="183"/>
      <c r="AG552" s="183"/>
      <c r="AH552" s="183"/>
      <c r="AI552" s="183"/>
      <c r="AJ552" s="183"/>
      <c r="AK552" s="183"/>
      <c r="AL552" s="183"/>
      <c r="AM552" s="183"/>
    </row>
    <row r="553">
      <c r="A553" s="273" t="str">
        <f>IFERROR(__xludf.DUMMYFUNCTION("""COMPUTED_VALUE"""),"縫製")</f>
        <v>縫製</v>
      </c>
      <c r="B553" s="273" t="str">
        <f>IFERROR(__xludf.DUMMYFUNCTION("""COMPUTED_VALUE"""),"チノパン")</f>
        <v>チノパン</v>
      </c>
      <c r="C553" s="273" t="str">
        <f>IFERROR(__xludf.DUMMYFUNCTION("""COMPUTED_VALUE"""),"ベルトループ自体の破損")</f>
        <v>ベルトループ自体の破損</v>
      </c>
      <c r="D553" s="668"/>
      <c r="E553" s="668" t="str">
        <f>IFERROR(__xludf.DUMMYFUNCTION("""COMPUTED_VALUE"""),"・共布必要
・裾がシングルの場合、過去にすそお直ししていなければ共布無しでも2本までは対応可
対応NG；生地破損がおきている。共布がなく、ダブルすそ。共布がなく、過去にすそお直しをしている。")</f>
        <v>・共布必要
・裾がシングルの場合、過去にすそお直ししていなければ共布無しでも2本までは対応可
対応NG；生地破損がおきている。共布がなく、ダブルすそ。共布がなく、過去にすそお直しをしている。</v>
      </c>
      <c r="F553" s="342" t="str">
        <f>IFERROR(__xludf.DUMMYFUNCTION("""COMPUTED_VALUE"""),"ベルトループ自体の破損")</f>
        <v>ベルトループ自体の破損</v>
      </c>
      <c r="G553" s="668" t="str">
        <f>IFERROR(__xludf.DUMMYFUNCTION("""COMPUTED_VALUE"""),"ベルトループ自体の破損（・共布必要
・裾がシングルの場合、過去にすそお直ししていなければ共布無しでも2本までは対応可
対応NG；生地破損がおきている。共布がなく、ダブルすそ。共布がなく、過去にすそお直しをしている。）")</f>
        <v>ベルトループ自体の破損（・共布必要
・裾がシングルの場合、過去にすそお直ししていなければ共布無しでも2本までは対応可
対応NG；生地破損がおきている。共布がなく、ダブルすそ。共布がなく、過去にすそお直しをしている。）</v>
      </c>
      <c r="H553" s="669"/>
      <c r="I553" s="669" t="str">
        <f>IFERROR(__xludf.DUMMYFUNCTION("""COMPUTED_VALUE"""),"店舗/CS")</f>
        <v>店舗/CS</v>
      </c>
      <c r="J553" s="669"/>
      <c r="K553" s="669" t="str">
        <f>IFERROR(__xludf.DUMMYFUNCTION("""COMPUTED_VALUE"""),"7営業日前後")</f>
        <v>7営業日前後</v>
      </c>
      <c r="L553" s="670"/>
      <c r="M553" s="670"/>
      <c r="N553" s="674">
        <f>IFERROR(__xludf.DUMMYFUNCTION("""COMPUTED_VALUE"""),4950.0)</f>
        <v>4950</v>
      </c>
      <c r="O553" s="593">
        <f>IFERROR(__xludf.DUMMYFUNCTION("""COMPUTED_VALUE"""),4500.0)</f>
        <v>4500</v>
      </c>
      <c r="P553" s="183"/>
      <c r="Q553" s="183"/>
      <c r="R553" s="544"/>
      <c r="S553" s="544"/>
      <c r="T553" s="544"/>
      <c r="U553" s="544"/>
      <c r="V553" s="544"/>
      <c r="W553" s="544"/>
      <c r="X553" s="544"/>
      <c r="Y553" s="544"/>
      <c r="Z553" s="544"/>
      <c r="AA553" s="544"/>
      <c r="AB553" s="544"/>
      <c r="AC553" s="544"/>
      <c r="AD553" s="544"/>
      <c r="AE553" s="183"/>
      <c r="AF553" s="183"/>
      <c r="AG553" s="183"/>
      <c r="AH553" s="183"/>
      <c r="AI553" s="183"/>
      <c r="AJ553" s="183"/>
      <c r="AK553" s="183"/>
      <c r="AL553" s="183"/>
      <c r="AM553" s="183"/>
    </row>
    <row r="554">
      <c r="A554" s="273" t="str">
        <f>IFERROR(__xludf.DUMMYFUNCTION("""COMPUTED_VALUE"""),"縫製")</f>
        <v>縫製</v>
      </c>
      <c r="B554" s="273" t="str">
        <f>IFERROR(__xludf.DUMMYFUNCTION("""COMPUTED_VALUE"""),"チノパン")</f>
        <v>チノパン</v>
      </c>
      <c r="C554" s="273" t="str">
        <f>IFERROR(__xludf.DUMMYFUNCTION("""COMPUTED_VALUE"""),"すそほつれ直し (ルイス直し)")</f>
        <v>すそほつれ直し (ルイス直し)</v>
      </c>
      <c r="D554" s="668"/>
      <c r="E554" s="668" t="str">
        <f>IFERROR(__xludf.DUMMYFUNCTION("""COMPUTED_VALUE"""),"対応NG：生地破損がおきているもの")</f>
        <v>対応NG：生地破損がおきているもの</v>
      </c>
      <c r="F554" s="342" t="str">
        <f>IFERROR(__xludf.DUMMYFUNCTION("""COMPUTED_VALUE"""),"すそほつれ直し (ルイス直し)")</f>
        <v>すそほつれ直し (ルイス直し)</v>
      </c>
      <c r="G554" s="668" t="str">
        <f>IFERROR(__xludf.DUMMYFUNCTION("""COMPUTED_VALUE"""),"すそほつれ直し (ルイス直し)（対応NG：生地破損がおきているもの）")</f>
        <v>すそほつれ直し (ルイス直し)（対応NG：生地破損がおきているもの）</v>
      </c>
      <c r="H554" s="669"/>
      <c r="I554" s="669" t="str">
        <f>IFERROR(__xludf.DUMMYFUNCTION("""COMPUTED_VALUE"""),"店舗/CS")</f>
        <v>店舗/CS</v>
      </c>
      <c r="J554" s="669">
        <f>IFERROR(__xludf.DUMMYFUNCTION("""COMPUTED_VALUE"""),7.0)</f>
        <v>7</v>
      </c>
      <c r="K554" s="673">
        <f>IFERROR(__xludf.DUMMYFUNCTION("""COMPUTED_VALUE"""),46000.0)</f>
        <v>46000</v>
      </c>
      <c r="L554" s="670"/>
      <c r="M554" s="670"/>
      <c r="N554" s="674">
        <f>IFERROR(__xludf.DUMMYFUNCTION("""COMPUTED_VALUE"""),1320.0)</f>
        <v>1320</v>
      </c>
      <c r="O554" s="593">
        <f>IFERROR(__xludf.DUMMYFUNCTION("""COMPUTED_VALUE"""),1200.0)</f>
        <v>1200</v>
      </c>
      <c r="P554" s="594">
        <f>IFERROR(__xludf.DUMMYFUNCTION("""COMPUTED_VALUE"""),800.0)</f>
        <v>800</v>
      </c>
      <c r="Q554" s="183"/>
      <c r="R554" s="544"/>
      <c r="S554" s="544"/>
      <c r="T554" s="544"/>
      <c r="U554" s="544"/>
      <c r="V554" s="544"/>
      <c r="W554" s="544"/>
      <c r="X554" s="544"/>
      <c r="Y554" s="544"/>
      <c r="Z554" s="544"/>
      <c r="AA554" s="544"/>
      <c r="AB554" s="544"/>
      <c r="AC554" s="544"/>
      <c r="AD554" s="544"/>
      <c r="AE554" s="183"/>
      <c r="AF554" s="183"/>
      <c r="AG554" s="183"/>
      <c r="AH554" s="183"/>
      <c r="AI554" s="183"/>
      <c r="AJ554" s="183"/>
      <c r="AK554" s="183"/>
      <c r="AL554" s="183"/>
      <c r="AM554" s="183"/>
    </row>
    <row r="555">
      <c r="A555" s="273" t="str">
        <f>IFERROR(__xludf.DUMMYFUNCTION("""COMPUTED_VALUE"""),"縫製")</f>
        <v>縫製</v>
      </c>
      <c r="B555" s="273" t="str">
        <f>IFERROR(__xludf.DUMMYFUNCTION("""COMPUTED_VALUE"""),"チノパン")</f>
        <v>チノパン</v>
      </c>
      <c r="C555" s="273" t="str">
        <f>IFERROR(__xludf.DUMMYFUNCTION("""COMPUTED_VALUE"""),"かけはぎ　縦横5㎝×5cm以内")</f>
        <v>かけはぎ　縦横5㎝×5cm以内</v>
      </c>
      <c r="D555" s="668"/>
      <c r="E555" s="668" t="str">
        <f>IFERROR(__xludf.DUMMYFUNCTION("""COMPUTED_VALUE"""),"※ 共布必要
股ずれ等の生地が摩耗している場合、繊維をつむぐことが出来ない為、対応不可。
※裾シングルの場合、縫い代で4cm×4cmまで対応可、過去に裾お直ししている場合は不可")</f>
        <v>※ 共布必要
股ずれ等の生地が摩耗している場合、繊維をつむぐことが出来ない為、対応不可。
※裾シングルの場合、縫い代で4cm×4cmまで対応可、過去に裾お直ししている場合は不可</v>
      </c>
      <c r="F555" s="342" t="str">
        <f>IFERROR(__xludf.DUMMYFUNCTION("""COMPUTED_VALUE"""),"かけはぎ　縦横5㎝×5cm以内")</f>
        <v>かけはぎ　縦横5㎝×5cm以内</v>
      </c>
      <c r="G555" s="668" t="str">
        <f>IFERROR(__xludf.DUMMYFUNCTION("""COMPUTED_VALUE"""),"かけはぎ　縦横5㎝×5cm以内（※ 共布必要
股ずれ等の生地が摩耗している場合、繊維をつむぐことが出来ない為、対応不可。
※裾シングルの場合、縫い代で4cm×4cmまで対応可、過去に裾お直ししている場合は不可）")</f>
        <v>かけはぎ　縦横5㎝×5cm以内（※ 共布必要
股ずれ等の生地が摩耗している場合、繊維をつむぐことが出来ない為、対応不可。
※裾シングルの場合、縫い代で4cm×4cmまで対応可、過去に裾お直ししている場合は不可）</v>
      </c>
      <c r="H555" s="669"/>
      <c r="I555" s="669" t="str">
        <f>IFERROR(__xludf.DUMMYFUNCTION("""COMPUTED_VALUE"""),"店舗/CS")</f>
        <v>店舗/CS</v>
      </c>
      <c r="J555" s="669"/>
      <c r="K555" s="669" t="str">
        <f>IFERROR(__xludf.DUMMYFUNCTION("""COMPUTED_VALUE"""),"約4週間")</f>
        <v>約4週間</v>
      </c>
      <c r="L555" s="670"/>
      <c r="M555" s="670"/>
      <c r="N555" s="674">
        <f>IFERROR(__xludf.DUMMYFUNCTION("""COMPUTED_VALUE"""),22440.0)</f>
        <v>22440</v>
      </c>
      <c r="O555" s="593">
        <f>IFERROR(__xludf.DUMMYFUNCTION("""COMPUTED_VALUE"""),20400.0)</f>
        <v>20400</v>
      </c>
      <c r="P555" s="594" t="str">
        <f>IFERROR(__xludf.DUMMYFUNCTION("""COMPUTED_VALUE"""),"未定")</f>
        <v>未定</v>
      </c>
      <c r="Q555" s="183"/>
      <c r="R555" s="544"/>
      <c r="S555" s="544"/>
      <c r="T555" s="544"/>
      <c r="U555" s="544"/>
      <c r="V555" s="544"/>
      <c r="W555" s="544"/>
      <c r="X555" s="544"/>
      <c r="Y555" s="544"/>
      <c r="Z555" s="544"/>
      <c r="AA555" s="544"/>
      <c r="AB555" s="544"/>
      <c r="AC555" s="544"/>
      <c r="AD555" s="544"/>
      <c r="AE555" s="183"/>
      <c r="AF555" s="183"/>
      <c r="AG555" s="183"/>
      <c r="AH555" s="183"/>
      <c r="AI555" s="183"/>
      <c r="AJ555" s="183"/>
      <c r="AK555" s="183"/>
      <c r="AL555" s="183"/>
      <c r="AM555" s="183"/>
    </row>
    <row r="556">
      <c r="A556" s="273" t="str">
        <f>IFERROR(__xludf.DUMMYFUNCTION("""COMPUTED_VALUE"""),"縫製")</f>
        <v>縫製</v>
      </c>
      <c r="B556" s="273" t="str">
        <f>IFERROR(__xludf.DUMMYFUNCTION("""COMPUTED_VALUE"""),"チノパン")</f>
        <v>チノパン</v>
      </c>
      <c r="C556" s="273" t="str">
        <f>IFERROR(__xludf.DUMMYFUNCTION("""COMPUTED_VALUE"""),"タタキ (小) 4cm四方以内")</f>
        <v>タタキ (小) 4cm四方以内</v>
      </c>
      <c r="D556" s="668"/>
      <c r="E556" s="668" t="str">
        <f>IFERROR(__xludf.DUMMYFUNCTION("""COMPUTED_VALUE"""),"補修布必要。似寄り生地で対応可")</f>
        <v>補修布必要。似寄り生地で対応可</v>
      </c>
      <c r="F556" s="342" t="str">
        <f>IFERROR(__xludf.DUMMYFUNCTION("""COMPUTED_VALUE"""),"タタキ (小) 4cm四方以内")</f>
        <v>タタキ (小) 4cm四方以内</v>
      </c>
      <c r="G556" s="668" t="str">
        <f>IFERROR(__xludf.DUMMYFUNCTION("""COMPUTED_VALUE"""),"タタキ (小) 4cm四方以内（補修布必要。似寄り生地で対応可）")</f>
        <v>タタキ (小) 4cm四方以内（補修布必要。似寄り生地で対応可）</v>
      </c>
      <c r="H556" s="669"/>
      <c r="I556" s="669" t="str">
        <f>IFERROR(__xludf.DUMMYFUNCTION("""COMPUTED_VALUE"""),"店舗/CS")</f>
        <v>店舗/CS</v>
      </c>
      <c r="J556" s="669">
        <f>IFERROR(__xludf.DUMMYFUNCTION("""COMPUTED_VALUE"""),7.0)</f>
        <v>7</v>
      </c>
      <c r="K556" s="673">
        <f>IFERROR(__xludf.DUMMYFUNCTION("""COMPUTED_VALUE"""),46000.0)</f>
        <v>46000</v>
      </c>
      <c r="L556" s="670"/>
      <c r="M556" s="670"/>
      <c r="N556" s="674">
        <f>IFERROR(__xludf.DUMMYFUNCTION("""COMPUTED_VALUE"""),1320.0)</f>
        <v>1320</v>
      </c>
      <c r="O556" s="593">
        <f>IFERROR(__xludf.DUMMYFUNCTION("""COMPUTED_VALUE"""),1200.0)</f>
        <v>1200</v>
      </c>
      <c r="P556" s="594">
        <f>IFERROR(__xludf.DUMMYFUNCTION("""COMPUTED_VALUE"""),800.0)</f>
        <v>800</v>
      </c>
      <c r="Q556" s="183"/>
      <c r="R556" s="544"/>
      <c r="S556" s="544"/>
      <c r="T556" s="544"/>
      <c r="U556" s="544"/>
      <c r="V556" s="544"/>
      <c r="W556" s="544"/>
      <c r="X556" s="544"/>
      <c r="Y556" s="544"/>
      <c r="Z556" s="544"/>
      <c r="AA556" s="544"/>
      <c r="AB556" s="544"/>
      <c r="AC556" s="544"/>
      <c r="AD556" s="544"/>
      <c r="AE556" s="183"/>
      <c r="AF556" s="183"/>
      <c r="AG556" s="183"/>
      <c r="AH556" s="183"/>
      <c r="AI556" s="183"/>
      <c r="AJ556" s="183"/>
      <c r="AK556" s="183"/>
      <c r="AL556" s="183"/>
      <c r="AM556" s="183"/>
    </row>
    <row r="557">
      <c r="A557" s="273" t="str">
        <f>IFERROR(__xludf.DUMMYFUNCTION("""COMPUTED_VALUE"""),"縫製")</f>
        <v>縫製</v>
      </c>
      <c r="B557" s="273" t="str">
        <f>IFERROR(__xludf.DUMMYFUNCTION("""COMPUTED_VALUE"""),"チノパン")</f>
        <v>チノパン</v>
      </c>
      <c r="C557" s="273" t="str">
        <f>IFERROR(__xludf.DUMMYFUNCTION("""COMPUTED_VALUE"""),"タタキ (大) 10㎝四方以上")</f>
        <v>タタキ (大) 10㎝四方以上</v>
      </c>
      <c r="D557" s="668"/>
      <c r="E557" s="668" t="str">
        <f>IFERROR(__xludf.DUMMYFUNCTION("""COMPUTED_VALUE"""),"※技術的には10cm四方以上も修繕できるが、5cm×5cm以上は見た目としても、耐久性としても品質担保ができない")</f>
        <v>※技術的には10cm四方以上も修繕できるが、5cm×5cm以上は見た目としても、耐久性としても品質担保ができない</v>
      </c>
      <c r="F557" s="342" t="str">
        <f>IFERROR(__xludf.DUMMYFUNCTION("""COMPUTED_VALUE"""),"タタキ (大) 10㎝四方以上")</f>
        <v>タタキ (大) 10㎝四方以上</v>
      </c>
      <c r="G557" s="668" t="str">
        <f>IFERROR(__xludf.DUMMYFUNCTION("""COMPUTED_VALUE"""),"タタキ (大) 10㎝四方以上（※技術的には10cm四方以上も修繕できるが、5cm×5cm以上は見た目としても、耐久性としても品質担保ができない）")</f>
        <v>タタキ (大) 10㎝四方以上（※技術的には10cm四方以上も修繕できるが、5cm×5cm以上は見た目としても、耐久性としても品質担保ができない）</v>
      </c>
      <c r="H557" s="669"/>
      <c r="I557" s="669" t="str">
        <f>IFERROR(__xludf.DUMMYFUNCTION("""COMPUTED_VALUE"""),"SCM⇄TB")</f>
        <v>SCM⇄TB</v>
      </c>
      <c r="J557" s="669">
        <f>IFERROR(__xludf.DUMMYFUNCTION("""COMPUTED_VALUE"""),7.0)</f>
        <v>7</v>
      </c>
      <c r="K557" s="673">
        <f>IFERROR(__xludf.DUMMYFUNCTION("""COMPUTED_VALUE"""),46000.0)</f>
        <v>46000</v>
      </c>
      <c r="L557" s="670"/>
      <c r="M557" s="670"/>
      <c r="N557" s="674">
        <f>IFERROR(__xludf.DUMMYFUNCTION("""COMPUTED_VALUE"""),2530.0)</f>
        <v>2530</v>
      </c>
      <c r="O557" s="593">
        <f>IFERROR(__xludf.DUMMYFUNCTION("""COMPUTED_VALUE"""),2300.0)</f>
        <v>2300</v>
      </c>
      <c r="P557" s="594">
        <f>IFERROR(__xludf.DUMMYFUNCTION("""COMPUTED_VALUE"""),1400.0)</f>
        <v>1400</v>
      </c>
      <c r="Q557" s="183"/>
      <c r="R557" s="544"/>
      <c r="S557" s="544"/>
      <c r="T557" s="544"/>
      <c r="U557" s="544"/>
      <c r="V557" s="544"/>
      <c r="W557" s="544"/>
      <c r="X557" s="544"/>
      <c r="Y557" s="544"/>
      <c r="Z557" s="544"/>
      <c r="AA557" s="544"/>
      <c r="AB557" s="544"/>
      <c r="AC557" s="544"/>
      <c r="AD557" s="544"/>
      <c r="AE557" s="183"/>
      <c r="AF557" s="183"/>
      <c r="AG557" s="183"/>
      <c r="AH557" s="183"/>
      <c r="AI557" s="183"/>
      <c r="AJ557" s="183"/>
      <c r="AK557" s="183"/>
      <c r="AL557" s="183"/>
      <c r="AM557" s="183"/>
    </row>
    <row r="558">
      <c r="A558" s="273" t="str">
        <f>IFERROR(__xludf.DUMMYFUNCTION("""COMPUTED_VALUE"""),"サイズ")</f>
        <v>サイズ</v>
      </c>
      <c r="B558" s="273" t="str">
        <f>IFERROR(__xludf.DUMMYFUNCTION("""COMPUTED_VALUE"""),"チノパン")</f>
        <v>チノパン</v>
      </c>
      <c r="C558" s="273" t="str">
        <f>IFERROR(__xludf.DUMMYFUNCTION("""COMPUTED_VALUE"""),"パンツウエスト")</f>
        <v>パンツウエスト</v>
      </c>
      <c r="D558" s="668"/>
      <c r="E558" s="668"/>
      <c r="F558" s="342" t="str">
        <f>IFERROR(__xludf.DUMMYFUNCTION("""COMPUTED_VALUE"""),"パンツウエスト")</f>
        <v>パンツウエスト</v>
      </c>
      <c r="G558" s="668" t="str">
        <f>IFERROR(__xludf.DUMMYFUNCTION("""COMPUTED_VALUE"""),"パンツウエスト")</f>
        <v>パンツウエスト</v>
      </c>
      <c r="H558" s="672" t="str">
        <f>IFERROR(__xludf.DUMMYFUNCTION("""COMPUTED_VALUE"""),"-4")</f>
        <v>-4</v>
      </c>
      <c r="I558" s="669"/>
      <c r="J558" s="669">
        <f>IFERROR(__xludf.DUMMYFUNCTION("""COMPUTED_VALUE"""),5.0)</f>
        <v>5</v>
      </c>
      <c r="K558" s="673">
        <f>IFERROR(__xludf.DUMMYFUNCTION("""COMPUTED_VALUE"""),45996.0)</f>
        <v>45996</v>
      </c>
      <c r="L558" s="670">
        <f>IFERROR(__xludf.DUMMYFUNCTION("""COMPUTED_VALUE"""),46002.0)</f>
        <v>46002</v>
      </c>
      <c r="M558" s="670">
        <f>IFERROR(__xludf.DUMMYFUNCTION("""COMPUTED_VALUE"""),46002.0)</f>
        <v>46002</v>
      </c>
      <c r="N558" s="674">
        <f>IFERROR(__xludf.DUMMYFUNCTION("""COMPUTED_VALUE"""),2530.0)</f>
        <v>2530</v>
      </c>
      <c r="O558" s="593">
        <f>IFERROR(__xludf.DUMMYFUNCTION("""COMPUTED_VALUE"""),2300.0)</f>
        <v>2300</v>
      </c>
      <c r="P558" s="594">
        <f>IFERROR(__xludf.DUMMYFUNCTION("""COMPUTED_VALUE"""),1500.0)</f>
        <v>1500</v>
      </c>
      <c r="Q558" s="183"/>
      <c r="R558" s="544"/>
      <c r="S558" s="544"/>
      <c r="T558" s="544"/>
      <c r="U558" s="544"/>
      <c r="V558" s="544"/>
      <c r="W558" s="544"/>
      <c r="X558" s="544"/>
      <c r="Y558" s="544"/>
      <c r="Z558" s="544"/>
      <c r="AA558" s="544"/>
      <c r="AB558" s="544"/>
      <c r="AC558" s="544"/>
      <c r="AD558" s="544"/>
      <c r="AE558" s="183"/>
      <c r="AF558" s="183"/>
      <c r="AG558" s="183"/>
      <c r="AH558" s="183"/>
      <c r="AI558" s="183"/>
      <c r="AJ558" s="183"/>
      <c r="AK558" s="183"/>
      <c r="AL558" s="183"/>
      <c r="AM558" s="183"/>
    </row>
    <row r="559">
      <c r="A559" s="273" t="str">
        <f>IFERROR(__xludf.DUMMYFUNCTION("""COMPUTED_VALUE"""),"サイズ")</f>
        <v>サイズ</v>
      </c>
      <c r="B559" s="273" t="str">
        <f>IFERROR(__xludf.DUMMYFUNCTION("""COMPUTED_VALUE"""),"チノパン")</f>
        <v>チノパン</v>
      </c>
      <c r="C559" s="273" t="str">
        <f>IFERROR(__xludf.DUMMYFUNCTION("""COMPUTED_VALUE"""),"パンツウエスト")</f>
        <v>パンツウエスト</v>
      </c>
      <c r="D559" s="668"/>
      <c r="E559" s="668"/>
      <c r="F559" s="342" t="str">
        <f>IFERROR(__xludf.DUMMYFUNCTION("""COMPUTED_VALUE"""),"パンツウエスト")</f>
        <v>パンツウエスト</v>
      </c>
      <c r="G559" s="668" t="str">
        <f>IFERROR(__xludf.DUMMYFUNCTION("""COMPUTED_VALUE"""),"パンツウエスト")</f>
        <v>パンツウエスト</v>
      </c>
      <c r="H559" s="672" t="str">
        <f>IFERROR(__xludf.DUMMYFUNCTION("""COMPUTED_VALUE"""),"-3")</f>
        <v>-3</v>
      </c>
      <c r="I559" s="669"/>
      <c r="J559" s="669">
        <f>IFERROR(__xludf.DUMMYFUNCTION("""COMPUTED_VALUE"""),5.0)</f>
        <v>5</v>
      </c>
      <c r="K559" s="673">
        <f>IFERROR(__xludf.DUMMYFUNCTION("""COMPUTED_VALUE"""),45996.0)</f>
        <v>45996</v>
      </c>
      <c r="L559" s="670">
        <f>IFERROR(__xludf.DUMMYFUNCTION("""COMPUTED_VALUE"""),46002.0)</f>
        <v>46002</v>
      </c>
      <c r="M559" s="670">
        <f>IFERROR(__xludf.DUMMYFUNCTION("""COMPUTED_VALUE"""),46002.0)</f>
        <v>46002</v>
      </c>
      <c r="N559" s="674">
        <f>IFERROR(__xludf.DUMMYFUNCTION("""COMPUTED_VALUE"""),2530.0)</f>
        <v>2530</v>
      </c>
      <c r="O559" s="593">
        <f>IFERROR(__xludf.DUMMYFUNCTION("""COMPUTED_VALUE"""),2300.0)</f>
        <v>2300</v>
      </c>
      <c r="P559" s="594">
        <f>IFERROR(__xludf.DUMMYFUNCTION("""COMPUTED_VALUE"""),1500.0)</f>
        <v>1500</v>
      </c>
      <c r="Q559" s="183"/>
      <c r="R559" s="544"/>
      <c r="S559" s="544"/>
      <c r="T559" s="544"/>
      <c r="U559" s="544"/>
      <c r="V559" s="544"/>
      <c r="W559" s="544"/>
      <c r="X559" s="544"/>
      <c r="Y559" s="544"/>
      <c r="Z559" s="544"/>
      <c r="AA559" s="544"/>
      <c r="AB559" s="544"/>
      <c r="AC559" s="544"/>
      <c r="AD559" s="544"/>
      <c r="AE559" s="183"/>
      <c r="AF559" s="183"/>
      <c r="AG559" s="183"/>
      <c r="AH559" s="183"/>
      <c r="AI559" s="183"/>
      <c r="AJ559" s="183"/>
      <c r="AK559" s="183"/>
      <c r="AL559" s="183"/>
      <c r="AM559" s="183"/>
    </row>
    <row r="560">
      <c r="A560" s="273" t="str">
        <f>IFERROR(__xludf.DUMMYFUNCTION("""COMPUTED_VALUE"""),"サイズ")</f>
        <v>サイズ</v>
      </c>
      <c r="B560" s="273" t="str">
        <f>IFERROR(__xludf.DUMMYFUNCTION("""COMPUTED_VALUE"""),"チノパン")</f>
        <v>チノパン</v>
      </c>
      <c r="C560" s="273" t="str">
        <f>IFERROR(__xludf.DUMMYFUNCTION("""COMPUTED_VALUE"""),"パンツウエスト")</f>
        <v>パンツウエスト</v>
      </c>
      <c r="D560" s="668"/>
      <c r="E560" s="668"/>
      <c r="F560" s="342" t="str">
        <f>IFERROR(__xludf.DUMMYFUNCTION("""COMPUTED_VALUE"""),"パンツウエスト")</f>
        <v>パンツウエスト</v>
      </c>
      <c r="G560" s="668" t="str">
        <f>IFERROR(__xludf.DUMMYFUNCTION("""COMPUTED_VALUE"""),"パンツウエスト")</f>
        <v>パンツウエスト</v>
      </c>
      <c r="H560" s="672" t="str">
        <f>IFERROR(__xludf.DUMMYFUNCTION("""COMPUTED_VALUE"""),"-2")</f>
        <v>-2</v>
      </c>
      <c r="I560" s="669"/>
      <c r="J560" s="669">
        <f>IFERROR(__xludf.DUMMYFUNCTION("""COMPUTED_VALUE"""),5.0)</f>
        <v>5</v>
      </c>
      <c r="K560" s="673">
        <f>IFERROR(__xludf.DUMMYFUNCTION("""COMPUTED_VALUE"""),45996.0)</f>
        <v>45996</v>
      </c>
      <c r="L560" s="670">
        <f>IFERROR(__xludf.DUMMYFUNCTION("""COMPUTED_VALUE"""),46002.0)</f>
        <v>46002</v>
      </c>
      <c r="M560" s="670">
        <f>IFERROR(__xludf.DUMMYFUNCTION("""COMPUTED_VALUE"""),46002.0)</f>
        <v>46002</v>
      </c>
      <c r="N560" s="674">
        <f>IFERROR(__xludf.DUMMYFUNCTION("""COMPUTED_VALUE"""),2530.0)</f>
        <v>2530</v>
      </c>
      <c r="O560" s="593">
        <f>IFERROR(__xludf.DUMMYFUNCTION("""COMPUTED_VALUE"""),2300.0)</f>
        <v>2300</v>
      </c>
      <c r="P560" s="594">
        <f>IFERROR(__xludf.DUMMYFUNCTION("""COMPUTED_VALUE"""),1500.0)</f>
        <v>1500</v>
      </c>
      <c r="Q560" s="183"/>
      <c r="R560" s="544"/>
      <c r="S560" s="544"/>
      <c r="T560" s="544"/>
      <c r="U560" s="544"/>
      <c r="V560" s="544"/>
      <c r="W560" s="544"/>
      <c r="X560" s="544"/>
      <c r="Y560" s="544"/>
      <c r="Z560" s="544"/>
      <c r="AA560" s="544"/>
      <c r="AB560" s="544"/>
      <c r="AC560" s="544"/>
      <c r="AD560" s="544"/>
      <c r="AE560" s="183"/>
      <c r="AF560" s="183"/>
      <c r="AG560" s="183"/>
      <c r="AH560" s="183"/>
      <c r="AI560" s="183"/>
      <c r="AJ560" s="183"/>
      <c r="AK560" s="183"/>
      <c r="AL560" s="183"/>
      <c r="AM560" s="183"/>
    </row>
    <row r="561">
      <c r="A561" s="273" t="str">
        <f>IFERROR(__xludf.DUMMYFUNCTION("""COMPUTED_VALUE"""),"サイズ")</f>
        <v>サイズ</v>
      </c>
      <c r="B561" s="273" t="str">
        <f>IFERROR(__xludf.DUMMYFUNCTION("""COMPUTED_VALUE"""),"チノパン")</f>
        <v>チノパン</v>
      </c>
      <c r="C561" s="273" t="str">
        <f>IFERROR(__xludf.DUMMYFUNCTION("""COMPUTED_VALUE"""),"パンツウエスト")</f>
        <v>パンツウエスト</v>
      </c>
      <c r="D561" s="668"/>
      <c r="E561" s="668"/>
      <c r="F561" s="342" t="str">
        <f>IFERROR(__xludf.DUMMYFUNCTION("""COMPUTED_VALUE"""),"パンツウエスト")</f>
        <v>パンツウエスト</v>
      </c>
      <c r="G561" s="668" t="str">
        <f>IFERROR(__xludf.DUMMYFUNCTION("""COMPUTED_VALUE"""),"パンツウエスト")</f>
        <v>パンツウエスト</v>
      </c>
      <c r="H561" s="672" t="str">
        <f>IFERROR(__xludf.DUMMYFUNCTION("""COMPUTED_VALUE"""),"-1")</f>
        <v>-1</v>
      </c>
      <c r="I561" s="669"/>
      <c r="J561" s="669">
        <f>IFERROR(__xludf.DUMMYFUNCTION("""COMPUTED_VALUE"""),5.0)</f>
        <v>5</v>
      </c>
      <c r="K561" s="673">
        <f>IFERROR(__xludf.DUMMYFUNCTION("""COMPUTED_VALUE"""),45996.0)</f>
        <v>45996</v>
      </c>
      <c r="L561" s="670">
        <f>IFERROR(__xludf.DUMMYFUNCTION("""COMPUTED_VALUE"""),46002.0)</f>
        <v>46002</v>
      </c>
      <c r="M561" s="670">
        <f>IFERROR(__xludf.DUMMYFUNCTION("""COMPUTED_VALUE"""),46002.0)</f>
        <v>46002</v>
      </c>
      <c r="N561" s="674">
        <f>IFERROR(__xludf.DUMMYFUNCTION("""COMPUTED_VALUE"""),2530.0)</f>
        <v>2530</v>
      </c>
      <c r="O561" s="593">
        <f>IFERROR(__xludf.DUMMYFUNCTION("""COMPUTED_VALUE"""),2300.0)</f>
        <v>2300</v>
      </c>
      <c r="P561" s="594">
        <f>IFERROR(__xludf.DUMMYFUNCTION("""COMPUTED_VALUE"""),1500.0)</f>
        <v>1500</v>
      </c>
      <c r="Q561" s="183"/>
      <c r="R561" s="544"/>
      <c r="S561" s="544"/>
      <c r="T561" s="544"/>
      <c r="U561" s="544"/>
      <c r="V561" s="544"/>
      <c r="W561" s="544"/>
      <c r="X561" s="544"/>
      <c r="Y561" s="544"/>
      <c r="Z561" s="544"/>
      <c r="AA561" s="544"/>
      <c r="AB561" s="544"/>
      <c r="AC561" s="544"/>
      <c r="AD561" s="544"/>
      <c r="AE561" s="183"/>
      <c r="AF561" s="183"/>
      <c r="AG561" s="183"/>
      <c r="AH561" s="183"/>
      <c r="AI561" s="183"/>
      <c r="AJ561" s="183"/>
      <c r="AK561" s="183"/>
      <c r="AL561" s="183"/>
      <c r="AM561" s="183"/>
    </row>
    <row r="562">
      <c r="A562" s="273" t="str">
        <f>IFERROR(__xludf.DUMMYFUNCTION("""COMPUTED_VALUE"""),"サイズ")</f>
        <v>サイズ</v>
      </c>
      <c r="B562" s="273" t="str">
        <f>IFERROR(__xludf.DUMMYFUNCTION("""COMPUTED_VALUE"""),"チノパン")</f>
        <v>チノパン</v>
      </c>
      <c r="C562" s="273" t="str">
        <f>IFERROR(__xludf.DUMMYFUNCTION("""COMPUTED_VALUE"""),"股上")</f>
        <v>股上</v>
      </c>
      <c r="D562" s="668"/>
      <c r="E562" s="668"/>
      <c r="F562" s="342" t="str">
        <f>IFERROR(__xludf.DUMMYFUNCTION("""COMPUTED_VALUE"""),"股上")</f>
        <v>股上</v>
      </c>
      <c r="G562" s="668" t="str">
        <f>IFERROR(__xludf.DUMMYFUNCTION("""COMPUTED_VALUE"""),"股上")</f>
        <v>股上</v>
      </c>
      <c r="H562" s="672" t="str">
        <f>IFERROR(__xludf.DUMMYFUNCTION("""COMPUTED_VALUE"""),"-0.5")</f>
        <v>-0.5</v>
      </c>
      <c r="I562" s="669"/>
      <c r="J562" s="669">
        <f>IFERROR(__xludf.DUMMYFUNCTION("""COMPUTED_VALUE"""),7.0)</f>
        <v>7</v>
      </c>
      <c r="K562" s="673">
        <f>IFERROR(__xludf.DUMMYFUNCTION("""COMPUTED_VALUE"""),46000.0)</f>
        <v>46000</v>
      </c>
      <c r="L562" s="670">
        <f>IFERROR(__xludf.DUMMYFUNCTION("""COMPUTED_VALUE"""),46002.0)</f>
        <v>46002</v>
      </c>
      <c r="M562" s="670">
        <f>IFERROR(__xludf.DUMMYFUNCTION("""COMPUTED_VALUE"""),46002.0)</f>
        <v>46002</v>
      </c>
      <c r="N562" s="674">
        <f>IFERROR(__xludf.DUMMYFUNCTION("""COMPUTED_VALUE"""),13200.0)</f>
        <v>13200</v>
      </c>
      <c r="O562" s="593">
        <f>IFERROR(__xludf.DUMMYFUNCTION("""COMPUTED_VALUE"""),12000.0)</f>
        <v>12000</v>
      </c>
      <c r="P562" s="594">
        <f>IFERROR(__xludf.DUMMYFUNCTION("""COMPUTED_VALUE"""),2500.0)</f>
        <v>2500</v>
      </c>
      <c r="Q562" s="183"/>
      <c r="R562" s="544"/>
      <c r="S562" s="544"/>
      <c r="T562" s="544"/>
      <c r="U562" s="544"/>
      <c r="V562" s="544"/>
      <c r="W562" s="544"/>
      <c r="X562" s="544"/>
      <c r="Y562" s="544"/>
      <c r="Z562" s="544"/>
      <c r="AA562" s="544"/>
      <c r="AB562" s="544"/>
      <c r="AC562" s="544"/>
      <c r="AD562" s="544"/>
      <c r="AE562" s="183"/>
      <c r="AF562" s="183"/>
      <c r="AG562" s="183"/>
      <c r="AH562" s="183"/>
      <c r="AI562" s="183"/>
      <c r="AJ562" s="183"/>
      <c r="AK562" s="183"/>
      <c r="AL562" s="183"/>
      <c r="AM562" s="183"/>
    </row>
    <row r="563">
      <c r="A563" s="273" t="str">
        <f>IFERROR(__xludf.DUMMYFUNCTION("""COMPUTED_VALUE"""),"サイズ")</f>
        <v>サイズ</v>
      </c>
      <c r="B563" s="273" t="str">
        <f>IFERROR(__xludf.DUMMYFUNCTION("""COMPUTED_VALUE"""),"チノパン")</f>
        <v>チノパン</v>
      </c>
      <c r="C563" s="273" t="str">
        <f>IFERROR(__xludf.DUMMYFUNCTION("""COMPUTED_VALUE"""),"股下")</f>
        <v>股下</v>
      </c>
      <c r="D563" s="671" t="str">
        <f>IFERROR(__xludf.DUMMYFUNCTION("""COMPUTED_VALUE"""),"シングル")</f>
        <v>シングル</v>
      </c>
      <c r="E563" s="671" t="str">
        <f>IFERROR(__xludf.DUMMYFUNCTION("""COMPUTED_VALUE"""),"左右であっても1箇所換算")</f>
        <v>左右であっても1箇所換算</v>
      </c>
      <c r="F563" s="342" t="str">
        <f>IFERROR(__xludf.DUMMYFUNCTION("""COMPUTED_VALUE"""),"股下 / シングル")</f>
        <v>股下 / シングル</v>
      </c>
      <c r="G563" s="668" t="str">
        <f>IFERROR(__xludf.DUMMYFUNCTION("""COMPUTED_VALUE"""),"股下 / シングル（左右であっても1箇所換算）")</f>
        <v>股下 / シングル（左右であっても1箇所換算）</v>
      </c>
      <c r="H563" s="672" t="str">
        <f>IFERROR(__xludf.DUMMYFUNCTION("""COMPUTED_VALUE"""),"-6")</f>
        <v>-6</v>
      </c>
      <c r="I563" s="669"/>
      <c r="J563" s="669">
        <f>IFERROR(__xludf.DUMMYFUNCTION("""COMPUTED_VALUE"""),5.0)</f>
        <v>5</v>
      </c>
      <c r="K563" s="673">
        <f>IFERROR(__xludf.DUMMYFUNCTION("""COMPUTED_VALUE"""),45996.0)</f>
        <v>45996</v>
      </c>
      <c r="L563" s="670">
        <f>IFERROR(__xludf.DUMMYFUNCTION("""COMPUTED_VALUE"""),46002.0)</f>
        <v>46002</v>
      </c>
      <c r="M563" s="670">
        <f>IFERROR(__xludf.DUMMYFUNCTION("""COMPUTED_VALUE"""),46002.0)</f>
        <v>46002</v>
      </c>
      <c r="N563" s="674">
        <f>IFERROR(__xludf.DUMMYFUNCTION("""COMPUTED_VALUE"""),3300.0)</f>
        <v>3300</v>
      </c>
      <c r="O563" s="593">
        <f>IFERROR(__xludf.DUMMYFUNCTION("""COMPUTED_VALUE"""),3000.0)</f>
        <v>3000</v>
      </c>
      <c r="P563" s="594">
        <f>IFERROR(__xludf.DUMMYFUNCTION("""COMPUTED_VALUE"""),900.0)</f>
        <v>900</v>
      </c>
      <c r="Q563" s="183"/>
      <c r="R563" s="544"/>
      <c r="S563" s="544"/>
      <c r="T563" s="544"/>
      <c r="U563" s="544"/>
      <c r="V563" s="544"/>
      <c r="W563" s="544"/>
      <c r="X563" s="544"/>
      <c r="Y563" s="544"/>
      <c r="Z563" s="544"/>
      <c r="AA563" s="544"/>
      <c r="AB563" s="544"/>
      <c r="AC563" s="544"/>
      <c r="AD563" s="544"/>
      <c r="AE563" s="183"/>
      <c r="AF563" s="183"/>
      <c r="AG563" s="183"/>
      <c r="AH563" s="183"/>
      <c r="AI563" s="183"/>
      <c r="AJ563" s="183"/>
      <c r="AK563" s="183"/>
      <c r="AL563" s="183"/>
      <c r="AM563" s="183"/>
    </row>
    <row r="564">
      <c r="A564" s="273" t="str">
        <f>IFERROR(__xludf.DUMMYFUNCTION("""COMPUTED_VALUE"""),"サイズ")</f>
        <v>サイズ</v>
      </c>
      <c r="B564" s="273" t="str">
        <f>IFERROR(__xludf.DUMMYFUNCTION("""COMPUTED_VALUE"""),"チノパン")</f>
        <v>チノパン</v>
      </c>
      <c r="C564" s="273" t="str">
        <f>IFERROR(__xludf.DUMMYFUNCTION("""COMPUTED_VALUE"""),"股下")</f>
        <v>股下</v>
      </c>
      <c r="D564" s="671" t="str">
        <f>IFERROR(__xludf.DUMMYFUNCTION("""COMPUTED_VALUE"""),"シングル")</f>
        <v>シングル</v>
      </c>
      <c r="E564" s="671" t="str">
        <f>IFERROR(__xludf.DUMMYFUNCTION("""COMPUTED_VALUE"""),"左右であっても1箇所換算")</f>
        <v>左右であっても1箇所換算</v>
      </c>
      <c r="F564" s="342" t="str">
        <f>IFERROR(__xludf.DUMMYFUNCTION("""COMPUTED_VALUE"""),"股下 / シングル")</f>
        <v>股下 / シングル</v>
      </c>
      <c r="G564" s="668" t="str">
        <f>IFERROR(__xludf.DUMMYFUNCTION("""COMPUTED_VALUE"""),"股下 / シングル（左右であっても1箇所換算）")</f>
        <v>股下 / シングル（左右であっても1箇所換算）</v>
      </c>
      <c r="H564" s="672" t="str">
        <f>IFERROR(__xludf.DUMMYFUNCTION("""COMPUTED_VALUE"""),"-5.5")</f>
        <v>-5.5</v>
      </c>
      <c r="I564" s="669"/>
      <c r="J564" s="669">
        <f>IFERROR(__xludf.DUMMYFUNCTION("""COMPUTED_VALUE"""),5.0)</f>
        <v>5</v>
      </c>
      <c r="K564" s="673">
        <f>IFERROR(__xludf.DUMMYFUNCTION("""COMPUTED_VALUE"""),45996.0)</f>
        <v>45996</v>
      </c>
      <c r="L564" s="670">
        <f>IFERROR(__xludf.DUMMYFUNCTION("""COMPUTED_VALUE"""),46002.0)</f>
        <v>46002</v>
      </c>
      <c r="M564" s="670">
        <f>IFERROR(__xludf.DUMMYFUNCTION("""COMPUTED_VALUE"""),46002.0)</f>
        <v>46002</v>
      </c>
      <c r="N564" s="674">
        <f>IFERROR(__xludf.DUMMYFUNCTION("""COMPUTED_VALUE"""),3300.0)</f>
        <v>3300</v>
      </c>
      <c r="O564" s="593">
        <f>IFERROR(__xludf.DUMMYFUNCTION("""COMPUTED_VALUE"""),3000.0)</f>
        <v>3000</v>
      </c>
      <c r="P564" s="594">
        <f>IFERROR(__xludf.DUMMYFUNCTION("""COMPUTED_VALUE"""),900.0)</f>
        <v>900</v>
      </c>
      <c r="Q564" s="183"/>
      <c r="R564" s="544"/>
      <c r="S564" s="544"/>
      <c r="T564" s="544"/>
      <c r="U564" s="544"/>
      <c r="V564" s="544"/>
      <c r="W564" s="544"/>
      <c r="X564" s="544"/>
      <c r="Y564" s="544"/>
      <c r="Z564" s="544"/>
      <c r="AA564" s="544"/>
      <c r="AB564" s="544"/>
      <c r="AC564" s="544"/>
      <c r="AD564" s="544"/>
      <c r="AE564" s="183"/>
      <c r="AF564" s="183"/>
      <c r="AG564" s="183"/>
      <c r="AH564" s="183"/>
      <c r="AI564" s="183"/>
      <c r="AJ564" s="183"/>
      <c r="AK564" s="183"/>
      <c r="AL564" s="183"/>
      <c r="AM564" s="183"/>
    </row>
    <row r="565">
      <c r="A565" s="273" t="str">
        <f>IFERROR(__xludf.DUMMYFUNCTION("""COMPUTED_VALUE"""),"サイズ")</f>
        <v>サイズ</v>
      </c>
      <c r="B565" s="273" t="str">
        <f>IFERROR(__xludf.DUMMYFUNCTION("""COMPUTED_VALUE"""),"チノパン")</f>
        <v>チノパン</v>
      </c>
      <c r="C565" s="273" t="str">
        <f>IFERROR(__xludf.DUMMYFUNCTION("""COMPUTED_VALUE"""),"股下")</f>
        <v>股下</v>
      </c>
      <c r="D565" s="671" t="str">
        <f>IFERROR(__xludf.DUMMYFUNCTION("""COMPUTED_VALUE"""),"シングル")</f>
        <v>シングル</v>
      </c>
      <c r="E565" s="671" t="str">
        <f>IFERROR(__xludf.DUMMYFUNCTION("""COMPUTED_VALUE"""),"左右であっても1箇所換算")</f>
        <v>左右であっても1箇所換算</v>
      </c>
      <c r="F565" s="342" t="str">
        <f>IFERROR(__xludf.DUMMYFUNCTION("""COMPUTED_VALUE"""),"股下 / シングル")</f>
        <v>股下 / シングル</v>
      </c>
      <c r="G565" s="668" t="str">
        <f>IFERROR(__xludf.DUMMYFUNCTION("""COMPUTED_VALUE"""),"股下 / シングル（左右であっても1箇所換算）")</f>
        <v>股下 / シングル（左右であっても1箇所換算）</v>
      </c>
      <c r="H565" s="672" t="str">
        <f>IFERROR(__xludf.DUMMYFUNCTION("""COMPUTED_VALUE"""),"-5")</f>
        <v>-5</v>
      </c>
      <c r="I565" s="669"/>
      <c r="J565" s="669">
        <f>IFERROR(__xludf.DUMMYFUNCTION("""COMPUTED_VALUE"""),5.0)</f>
        <v>5</v>
      </c>
      <c r="K565" s="673">
        <f>IFERROR(__xludf.DUMMYFUNCTION("""COMPUTED_VALUE"""),45996.0)</f>
        <v>45996</v>
      </c>
      <c r="L565" s="670">
        <f>IFERROR(__xludf.DUMMYFUNCTION("""COMPUTED_VALUE"""),46002.0)</f>
        <v>46002</v>
      </c>
      <c r="M565" s="670">
        <f>IFERROR(__xludf.DUMMYFUNCTION("""COMPUTED_VALUE"""),46002.0)</f>
        <v>46002</v>
      </c>
      <c r="N565" s="674">
        <f>IFERROR(__xludf.DUMMYFUNCTION("""COMPUTED_VALUE"""),3300.0)</f>
        <v>3300</v>
      </c>
      <c r="O565" s="593">
        <f>IFERROR(__xludf.DUMMYFUNCTION("""COMPUTED_VALUE"""),3000.0)</f>
        <v>3000</v>
      </c>
      <c r="P565" s="594">
        <f>IFERROR(__xludf.DUMMYFUNCTION("""COMPUTED_VALUE"""),900.0)</f>
        <v>900</v>
      </c>
      <c r="Q565" s="183"/>
      <c r="R565" s="544"/>
      <c r="S565" s="544"/>
      <c r="T565" s="544"/>
      <c r="U565" s="544"/>
      <c r="V565" s="544"/>
      <c r="W565" s="544"/>
      <c r="X565" s="544"/>
      <c r="Y565" s="544"/>
      <c r="Z565" s="544"/>
      <c r="AA565" s="544"/>
      <c r="AB565" s="544"/>
      <c r="AC565" s="544"/>
      <c r="AD565" s="544"/>
      <c r="AE565" s="183"/>
      <c r="AF565" s="183"/>
      <c r="AG565" s="183"/>
      <c r="AH565" s="183"/>
      <c r="AI565" s="183"/>
      <c r="AJ565" s="183"/>
      <c r="AK565" s="183"/>
      <c r="AL565" s="183"/>
      <c r="AM565" s="183"/>
    </row>
    <row r="566">
      <c r="A566" s="273" t="str">
        <f>IFERROR(__xludf.DUMMYFUNCTION("""COMPUTED_VALUE"""),"サイズ")</f>
        <v>サイズ</v>
      </c>
      <c r="B566" s="273" t="str">
        <f>IFERROR(__xludf.DUMMYFUNCTION("""COMPUTED_VALUE"""),"チノパン")</f>
        <v>チノパン</v>
      </c>
      <c r="C566" s="273" t="str">
        <f>IFERROR(__xludf.DUMMYFUNCTION("""COMPUTED_VALUE"""),"股下")</f>
        <v>股下</v>
      </c>
      <c r="D566" s="671" t="str">
        <f>IFERROR(__xludf.DUMMYFUNCTION("""COMPUTED_VALUE"""),"シングル")</f>
        <v>シングル</v>
      </c>
      <c r="E566" s="671" t="str">
        <f>IFERROR(__xludf.DUMMYFUNCTION("""COMPUTED_VALUE"""),"左右であっても1箇所換算")</f>
        <v>左右であっても1箇所換算</v>
      </c>
      <c r="F566" s="342" t="str">
        <f>IFERROR(__xludf.DUMMYFUNCTION("""COMPUTED_VALUE"""),"股下 / シングル")</f>
        <v>股下 / シングル</v>
      </c>
      <c r="G566" s="668" t="str">
        <f>IFERROR(__xludf.DUMMYFUNCTION("""COMPUTED_VALUE"""),"股下 / シングル（左右であっても1箇所換算）")</f>
        <v>股下 / シングル（左右であっても1箇所換算）</v>
      </c>
      <c r="H566" s="672" t="str">
        <f>IFERROR(__xludf.DUMMYFUNCTION("""COMPUTED_VALUE"""),"-4.5")</f>
        <v>-4.5</v>
      </c>
      <c r="I566" s="669"/>
      <c r="J566" s="669">
        <f>IFERROR(__xludf.DUMMYFUNCTION("""COMPUTED_VALUE"""),5.0)</f>
        <v>5</v>
      </c>
      <c r="K566" s="673">
        <f>IFERROR(__xludf.DUMMYFUNCTION("""COMPUTED_VALUE"""),45996.0)</f>
        <v>45996</v>
      </c>
      <c r="L566" s="670">
        <f>IFERROR(__xludf.DUMMYFUNCTION("""COMPUTED_VALUE"""),46002.0)</f>
        <v>46002</v>
      </c>
      <c r="M566" s="670">
        <f>IFERROR(__xludf.DUMMYFUNCTION("""COMPUTED_VALUE"""),46002.0)</f>
        <v>46002</v>
      </c>
      <c r="N566" s="674">
        <f>IFERROR(__xludf.DUMMYFUNCTION("""COMPUTED_VALUE"""),3300.0)</f>
        <v>3300</v>
      </c>
      <c r="O566" s="593">
        <f>IFERROR(__xludf.DUMMYFUNCTION("""COMPUTED_VALUE"""),3000.0)</f>
        <v>3000</v>
      </c>
      <c r="P566" s="594">
        <f>IFERROR(__xludf.DUMMYFUNCTION("""COMPUTED_VALUE"""),900.0)</f>
        <v>900</v>
      </c>
      <c r="Q566" s="183"/>
      <c r="R566" s="544"/>
      <c r="S566" s="544"/>
      <c r="T566" s="544"/>
      <c r="U566" s="544"/>
      <c r="V566" s="544"/>
      <c r="W566" s="544"/>
      <c r="X566" s="544"/>
      <c r="Y566" s="544"/>
      <c r="Z566" s="544"/>
      <c r="AA566" s="544"/>
      <c r="AB566" s="544"/>
      <c r="AC566" s="544"/>
      <c r="AD566" s="544"/>
      <c r="AE566" s="183"/>
      <c r="AF566" s="183"/>
      <c r="AG566" s="183"/>
      <c r="AH566" s="183"/>
      <c r="AI566" s="183"/>
      <c r="AJ566" s="183"/>
      <c r="AK566" s="183"/>
      <c r="AL566" s="183"/>
      <c r="AM566" s="183"/>
    </row>
    <row r="567">
      <c r="A567" s="273" t="str">
        <f>IFERROR(__xludf.DUMMYFUNCTION("""COMPUTED_VALUE"""),"サイズ")</f>
        <v>サイズ</v>
      </c>
      <c r="B567" s="273" t="str">
        <f>IFERROR(__xludf.DUMMYFUNCTION("""COMPUTED_VALUE"""),"チノパン")</f>
        <v>チノパン</v>
      </c>
      <c r="C567" s="273" t="str">
        <f>IFERROR(__xludf.DUMMYFUNCTION("""COMPUTED_VALUE"""),"股下")</f>
        <v>股下</v>
      </c>
      <c r="D567" s="671" t="str">
        <f>IFERROR(__xludf.DUMMYFUNCTION("""COMPUTED_VALUE"""),"シングル")</f>
        <v>シングル</v>
      </c>
      <c r="E567" s="671" t="str">
        <f>IFERROR(__xludf.DUMMYFUNCTION("""COMPUTED_VALUE"""),"左右であっても1箇所換算")</f>
        <v>左右であっても1箇所換算</v>
      </c>
      <c r="F567" s="342" t="str">
        <f>IFERROR(__xludf.DUMMYFUNCTION("""COMPUTED_VALUE"""),"股下 / シングル")</f>
        <v>股下 / シングル</v>
      </c>
      <c r="G567" s="668" t="str">
        <f>IFERROR(__xludf.DUMMYFUNCTION("""COMPUTED_VALUE"""),"股下 / シングル（左右であっても1箇所換算）")</f>
        <v>股下 / シングル（左右であっても1箇所換算）</v>
      </c>
      <c r="H567" s="672" t="str">
        <f>IFERROR(__xludf.DUMMYFUNCTION("""COMPUTED_VALUE"""),"-4")</f>
        <v>-4</v>
      </c>
      <c r="I567" s="669"/>
      <c r="J567" s="669">
        <f>IFERROR(__xludf.DUMMYFUNCTION("""COMPUTED_VALUE"""),5.0)</f>
        <v>5</v>
      </c>
      <c r="K567" s="673">
        <f>IFERROR(__xludf.DUMMYFUNCTION("""COMPUTED_VALUE"""),45996.0)</f>
        <v>45996</v>
      </c>
      <c r="L567" s="670">
        <f>IFERROR(__xludf.DUMMYFUNCTION("""COMPUTED_VALUE"""),46002.0)</f>
        <v>46002</v>
      </c>
      <c r="M567" s="670">
        <f>IFERROR(__xludf.DUMMYFUNCTION("""COMPUTED_VALUE"""),46002.0)</f>
        <v>46002</v>
      </c>
      <c r="N567" s="674">
        <f>IFERROR(__xludf.DUMMYFUNCTION("""COMPUTED_VALUE"""),3300.0)</f>
        <v>3300</v>
      </c>
      <c r="O567" s="593">
        <f>IFERROR(__xludf.DUMMYFUNCTION("""COMPUTED_VALUE"""),3000.0)</f>
        <v>3000</v>
      </c>
      <c r="P567" s="594">
        <f>IFERROR(__xludf.DUMMYFUNCTION("""COMPUTED_VALUE"""),900.0)</f>
        <v>900</v>
      </c>
      <c r="Q567" s="183"/>
      <c r="R567" s="544"/>
      <c r="S567" s="544"/>
      <c r="T567" s="544"/>
      <c r="U567" s="544"/>
      <c r="V567" s="544"/>
      <c r="W567" s="544"/>
      <c r="X567" s="544"/>
      <c r="Y567" s="544"/>
      <c r="Z567" s="544"/>
      <c r="AA567" s="544"/>
      <c r="AB567" s="544"/>
      <c r="AC567" s="544"/>
      <c r="AD567" s="544"/>
      <c r="AE567" s="183"/>
      <c r="AF567" s="183"/>
      <c r="AG567" s="183"/>
      <c r="AH567" s="183"/>
      <c r="AI567" s="183"/>
      <c r="AJ567" s="183"/>
      <c r="AK567" s="183"/>
      <c r="AL567" s="183"/>
      <c r="AM567" s="183"/>
    </row>
    <row r="568">
      <c r="A568" s="273" t="str">
        <f>IFERROR(__xludf.DUMMYFUNCTION("""COMPUTED_VALUE"""),"サイズ")</f>
        <v>サイズ</v>
      </c>
      <c r="B568" s="273" t="str">
        <f>IFERROR(__xludf.DUMMYFUNCTION("""COMPUTED_VALUE"""),"チノパン")</f>
        <v>チノパン</v>
      </c>
      <c r="C568" s="273" t="str">
        <f>IFERROR(__xludf.DUMMYFUNCTION("""COMPUTED_VALUE"""),"股下")</f>
        <v>股下</v>
      </c>
      <c r="D568" s="671" t="str">
        <f>IFERROR(__xludf.DUMMYFUNCTION("""COMPUTED_VALUE"""),"シングル")</f>
        <v>シングル</v>
      </c>
      <c r="E568" s="671" t="str">
        <f>IFERROR(__xludf.DUMMYFUNCTION("""COMPUTED_VALUE"""),"左右であっても1箇所換算")</f>
        <v>左右であっても1箇所換算</v>
      </c>
      <c r="F568" s="342" t="str">
        <f>IFERROR(__xludf.DUMMYFUNCTION("""COMPUTED_VALUE"""),"股下 / シングル")</f>
        <v>股下 / シングル</v>
      </c>
      <c r="G568" s="668" t="str">
        <f>IFERROR(__xludf.DUMMYFUNCTION("""COMPUTED_VALUE"""),"股下 / シングル（左右であっても1箇所換算）")</f>
        <v>股下 / シングル（左右であっても1箇所換算）</v>
      </c>
      <c r="H568" s="672" t="str">
        <f>IFERROR(__xludf.DUMMYFUNCTION("""COMPUTED_VALUE"""),"-3.5")</f>
        <v>-3.5</v>
      </c>
      <c r="I568" s="669"/>
      <c r="J568" s="669">
        <f>IFERROR(__xludf.DUMMYFUNCTION("""COMPUTED_VALUE"""),5.0)</f>
        <v>5</v>
      </c>
      <c r="K568" s="673">
        <f>IFERROR(__xludf.DUMMYFUNCTION("""COMPUTED_VALUE"""),45996.0)</f>
        <v>45996</v>
      </c>
      <c r="L568" s="670">
        <f>IFERROR(__xludf.DUMMYFUNCTION("""COMPUTED_VALUE"""),46002.0)</f>
        <v>46002</v>
      </c>
      <c r="M568" s="670">
        <f>IFERROR(__xludf.DUMMYFUNCTION("""COMPUTED_VALUE"""),46002.0)</f>
        <v>46002</v>
      </c>
      <c r="N568" s="674">
        <f>IFERROR(__xludf.DUMMYFUNCTION("""COMPUTED_VALUE"""),3300.0)</f>
        <v>3300</v>
      </c>
      <c r="O568" s="593">
        <f>IFERROR(__xludf.DUMMYFUNCTION("""COMPUTED_VALUE"""),3000.0)</f>
        <v>3000</v>
      </c>
      <c r="P568" s="594">
        <f>IFERROR(__xludf.DUMMYFUNCTION("""COMPUTED_VALUE"""),900.0)</f>
        <v>900</v>
      </c>
      <c r="Q568" s="183"/>
      <c r="R568" s="544"/>
      <c r="S568" s="544"/>
      <c r="T568" s="544"/>
      <c r="U568" s="544"/>
      <c r="V568" s="544"/>
      <c r="W568" s="544"/>
      <c r="X568" s="544"/>
      <c r="Y568" s="544"/>
      <c r="Z568" s="544"/>
      <c r="AA568" s="544"/>
      <c r="AB568" s="544"/>
      <c r="AC568" s="544"/>
      <c r="AD568" s="544"/>
      <c r="AE568" s="183"/>
      <c r="AF568" s="183"/>
      <c r="AG568" s="183"/>
      <c r="AH568" s="183"/>
      <c r="AI568" s="183"/>
      <c r="AJ568" s="183"/>
      <c r="AK568" s="183"/>
      <c r="AL568" s="183"/>
      <c r="AM568" s="183"/>
    </row>
    <row r="569">
      <c r="A569" s="273" t="str">
        <f>IFERROR(__xludf.DUMMYFUNCTION("""COMPUTED_VALUE"""),"サイズ")</f>
        <v>サイズ</v>
      </c>
      <c r="B569" s="273" t="str">
        <f>IFERROR(__xludf.DUMMYFUNCTION("""COMPUTED_VALUE"""),"チノパン")</f>
        <v>チノパン</v>
      </c>
      <c r="C569" s="273" t="str">
        <f>IFERROR(__xludf.DUMMYFUNCTION("""COMPUTED_VALUE"""),"股下")</f>
        <v>股下</v>
      </c>
      <c r="D569" s="671" t="str">
        <f>IFERROR(__xludf.DUMMYFUNCTION("""COMPUTED_VALUE"""),"シングル")</f>
        <v>シングル</v>
      </c>
      <c r="E569" s="671" t="str">
        <f>IFERROR(__xludf.DUMMYFUNCTION("""COMPUTED_VALUE"""),"左右であっても1箇所換算")</f>
        <v>左右であっても1箇所換算</v>
      </c>
      <c r="F569" s="342" t="str">
        <f>IFERROR(__xludf.DUMMYFUNCTION("""COMPUTED_VALUE"""),"股下 / シングル")</f>
        <v>股下 / シングル</v>
      </c>
      <c r="G569" s="668" t="str">
        <f>IFERROR(__xludf.DUMMYFUNCTION("""COMPUTED_VALUE"""),"股下 / シングル（左右であっても1箇所換算）")</f>
        <v>股下 / シングル（左右であっても1箇所換算）</v>
      </c>
      <c r="H569" s="672" t="str">
        <f>IFERROR(__xludf.DUMMYFUNCTION("""COMPUTED_VALUE"""),"-3")</f>
        <v>-3</v>
      </c>
      <c r="I569" s="669"/>
      <c r="J569" s="669">
        <f>IFERROR(__xludf.DUMMYFUNCTION("""COMPUTED_VALUE"""),5.0)</f>
        <v>5</v>
      </c>
      <c r="K569" s="673">
        <f>IFERROR(__xludf.DUMMYFUNCTION("""COMPUTED_VALUE"""),45996.0)</f>
        <v>45996</v>
      </c>
      <c r="L569" s="670">
        <f>IFERROR(__xludf.DUMMYFUNCTION("""COMPUTED_VALUE"""),46002.0)</f>
        <v>46002</v>
      </c>
      <c r="M569" s="670">
        <f>IFERROR(__xludf.DUMMYFUNCTION("""COMPUTED_VALUE"""),46002.0)</f>
        <v>46002</v>
      </c>
      <c r="N569" s="674">
        <f>IFERROR(__xludf.DUMMYFUNCTION("""COMPUTED_VALUE"""),3300.0)</f>
        <v>3300</v>
      </c>
      <c r="O569" s="593">
        <f>IFERROR(__xludf.DUMMYFUNCTION("""COMPUTED_VALUE"""),3000.0)</f>
        <v>3000</v>
      </c>
      <c r="P569" s="594">
        <f>IFERROR(__xludf.DUMMYFUNCTION("""COMPUTED_VALUE"""),900.0)</f>
        <v>900</v>
      </c>
      <c r="Q569" s="183"/>
      <c r="R569" s="544"/>
      <c r="S569" s="544"/>
      <c r="T569" s="544"/>
      <c r="U569" s="544"/>
      <c r="V569" s="544"/>
      <c r="W569" s="544"/>
      <c r="X569" s="544"/>
      <c r="Y569" s="544"/>
      <c r="Z569" s="544"/>
      <c r="AA569" s="544"/>
      <c r="AB569" s="544"/>
      <c r="AC569" s="544"/>
      <c r="AD569" s="544"/>
      <c r="AE569" s="183"/>
      <c r="AF569" s="183"/>
      <c r="AG569" s="183"/>
      <c r="AH569" s="183"/>
      <c r="AI569" s="183"/>
      <c r="AJ569" s="183"/>
      <c r="AK569" s="183"/>
      <c r="AL569" s="183"/>
      <c r="AM569" s="183"/>
    </row>
    <row r="570">
      <c r="A570" s="273" t="str">
        <f>IFERROR(__xludf.DUMMYFUNCTION("""COMPUTED_VALUE"""),"サイズ")</f>
        <v>サイズ</v>
      </c>
      <c r="B570" s="273" t="str">
        <f>IFERROR(__xludf.DUMMYFUNCTION("""COMPUTED_VALUE"""),"チノパン")</f>
        <v>チノパン</v>
      </c>
      <c r="C570" s="273" t="str">
        <f>IFERROR(__xludf.DUMMYFUNCTION("""COMPUTED_VALUE"""),"股下")</f>
        <v>股下</v>
      </c>
      <c r="D570" s="671" t="str">
        <f>IFERROR(__xludf.DUMMYFUNCTION("""COMPUTED_VALUE"""),"シングル")</f>
        <v>シングル</v>
      </c>
      <c r="E570" s="671" t="str">
        <f>IFERROR(__xludf.DUMMYFUNCTION("""COMPUTED_VALUE"""),"左右であっても1箇所換算")</f>
        <v>左右であっても1箇所換算</v>
      </c>
      <c r="F570" s="342" t="str">
        <f>IFERROR(__xludf.DUMMYFUNCTION("""COMPUTED_VALUE"""),"股下 / シングル")</f>
        <v>股下 / シングル</v>
      </c>
      <c r="G570" s="668" t="str">
        <f>IFERROR(__xludf.DUMMYFUNCTION("""COMPUTED_VALUE"""),"股下 / シングル（左右であっても1箇所換算）")</f>
        <v>股下 / シングル（左右であっても1箇所換算）</v>
      </c>
      <c r="H570" s="672" t="str">
        <f>IFERROR(__xludf.DUMMYFUNCTION("""COMPUTED_VALUE"""),"-2.5")</f>
        <v>-2.5</v>
      </c>
      <c r="I570" s="669"/>
      <c r="J570" s="669">
        <f>IFERROR(__xludf.DUMMYFUNCTION("""COMPUTED_VALUE"""),5.0)</f>
        <v>5</v>
      </c>
      <c r="K570" s="673">
        <f>IFERROR(__xludf.DUMMYFUNCTION("""COMPUTED_VALUE"""),45996.0)</f>
        <v>45996</v>
      </c>
      <c r="L570" s="670">
        <f>IFERROR(__xludf.DUMMYFUNCTION("""COMPUTED_VALUE"""),46002.0)</f>
        <v>46002</v>
      </c>
      <c r="M570" s="670">
        <f>IFERROR(__xludf.DUMMYFUNCTION("""COMPUTED_VALUE"""),46002.0)</f>
        <v>46002</v>
      </c>
      <c r="N570" s="674">
        <f>IFERROR(__xludf.DUMMYFUNCTION("""COMPUTED_VALUE"""),3300.0)</f>
        <v>3300</v>
      </c>
      <c r="O570" s="593">
        <f>IFERROR(__xludf.DUMMYFUNCTION("""COMPUTED_VALUE"""),3000.0)</f>
        <v>3000</v>
      </c>
      <c r="P570" s="594">
        <f>IFERROR(__xludf.DUMMYFUNCTION("""COMPUTED_VALUE"""),900.0)</f>
        <v>900</v>
      </c>
      <c r="Q570" s="183"/>
      <c r="R570" s="544"/>
      <c r="S570" s="544"/>
      <c r="T570" s="544"/>
      <c r="U570" s="544"/>
      <c r="V570" s="544"/>
      <c r="W570" s="544"/>
      <c r="X570" s="544"/>
      <c r="Y570" s="544"/>
      <c r="Z570" s="544"/>
      <c r="AA570" s="544"/>
      <c r="AB570" s="544"/>
      <c r="AC570" s="544"/>
      <c r="AD570" s="544"/>
      <c r="AE570" s="183"/>
      <c r="AF570" s="183"/>
      <c r="AG570" s="183"/>
      <c r="AH570" s="183"/>
      <c r="AI570" s="183"/>
      <c r="AJ570" s="183"/>
      <c r="AK570" s="183"/>
      <c r="AL570" s="183"/>
      <c r="AM570" s="183"/>
    </row>
    <row r="571">
      <c r="A571" s="273" t="str">
        <f>IFERROR(__xludf.DUMMYFUNCTION("""COMPUTED_VALUE"""),"サイズ")</f>
        <v>サイズ</v>
      </c>
      <c r="B571" s="273" t="str">
        <f>IFERROR(__xludf.DUMMYFUNCTION("""COMPUTED_VALUE"""),"チノパン")</f>
        <v>チノパン</v>
      </c>
      <c r="C571" s="273" t="str">
        <f>IFERROR(__xludf.DUMMYFUNCTION("""COMPUTED_VALUE"""),"股下")</f>
        <v>股下</v>
      </c>
      <c r="D571" s="671" t="str">
        <f>IFERROR(__xludf.DUMMYFUNCTION("""COMPUTED_VALUE"""),"シングル")</f>
        <v>シングル</v>
      </c>
      <c r="E571" s="671" t="str">
        <f>IFERROR(__xludf.DUMMYFUNCTION("""COMPUTED_VALUE"""),"左右であっても1箇所換算")</f>
        <v>左右であっても1箇所換算</v>
      </c>
      <c r="F571" s="342" t="str">
        <f>IFERROR(__xludf.DUMMYFUNCTION("""COMPUTED_VALUE"""),"股下 / シングル")</f>
        <v>股下 / シングル</v>
      </c>
      <c r="G571" s="668" t="str">
        <f>IFERROR(__xludf.DUMMYFUNCTION("""COMPUTED_VALUE"""),"股下 / シングル（左右であっても1箇所換算）")</f>
        <v>股下 / シングル（左右であっても1箇所換算）</v>
      </c>
      <c r="H571" s="672" t="str">
        <f>IFERROR(__xludf.DUMMYFUNCTION("""COMPUTED_VALUE"""),"-2")</f>
        <v>-2</v>
      </c>
      <c r="I571" s="669"/>
      <c r="J571" s="669">
        <f>IFERROR(__xludf.DUMMYFUNCTION("""COMPUTED_VALUE"""),5.0)</f>
        <v>5</v>
      </c>
      <c r="K571" s="673">
        <f>IFERROR(__xludf.DUMMYFUNCTION("""COMPUTED_VALUE"""),45996.0)</f>
        <v>45996</v>
      </c>
      <c r="L571" s="670">
        <f>IFERROR(__xludf.DUMMYFUNCTION("""COMPUTED_VALUE"""),46002.0)</f>
        <v>46002</v>
      </c>
      <c r="M571" s="670">
        <f>IFERROR(__xludf.DUMMYFUNCTION("""COMPUTED_VALUE"""),46002.0)</f>
        <v>46002</v>
      </c>
      <c r="N571" s="674">
        <f>IFERROR(__xludf.DUMMYFUNCTION("""COMPUTED_VALUE"""),3300.0)</f>
        <v>3300</v>
      </c>
      <c r="O571" s="593">
        <f>IFERROR(__xludf.DUMMYFUNCTION("""COMPUTED_VALUE"""),3000.0)</f>
        <v>3000</v>
      </c>
      <c r="P571" s="594">
        <f>IFERROR(__xludf.DUMMYFUNCTION("""COMPUTED_VALUE"""),900.0)</f>
        <v>900</v>
      </c>
      <c r="Q571" s="183"/>
      <c r="R571" s="544"/>
      <c r="S571" s="544"/>
      <c r="T571" s="544"/>
      <c r="U571" s="544"/>
      <c r="V571" s="544"/>
      <c r="W571" s="544"/>
      <c r="X571" s="544"/>
      <c r="Y571" s="544"/>
      <c r="Z571" s="544"/>
      <c r="AA571" s="544"/>
      <c r="AB571" s="544"/>
      <c r="AC571" s="544"/>
      <c r="AD571" s="544"/>
      <c r="AE571" s="183"/>
      <c r="AF571" s="183"/>
      <c r="AG571" s="183"/>
      <c r="AH571" s="183"/>
      <c r="AI571" s="183"/>
      <c r="AJ571" s="183"/>
      <c r="AK571" s="183"/>
      <c r="AL571" s="183"/>
      <c r="AM571" s="183"/>
    </row>
    <row r="572">
      <c r="A572" s="273" t="str">
        <f>IFERROR(__xludf.DUMMYFUNCTION("""COMPUTED_VALUE"""),"サイズ")</f>
        <v>サイズ</v>
      </c>
      <c r="B572" s="273" t="str">
        <f>IFERROR(__xludf.DUMMYFUNCTION("""COMPUTED_VALUE"""),"チノパン")</f>
        <v>チノパン</v>
      </c>
      <c r="C572" s="273" t="str">
        <f>IFERROR(__xludf.DUMMYFUNCTION("""COMPUTED_VALUE"""),"股下")</f>
        <v>股下</v>
      </c>
      <c r="D572" s="671" t="str">
        <f>IFERROR(__xludf.DUMMYFUNCTION("""COMPUTED_VALUE"""),"シングル")</f>
        <v>シングル</v>
      </c>
      <c r="E572" s="671" t="str">
        <f>IFERROR(__xludf.DUMMYFUNCTION("""COMPUTED_VALUE"""),"左右であっても1箇所換算")</f>
        <v>左右であっても1箇所換算</v>
      </c>
      <c r="F572" s="342" t="str">
        <f>IFERROR(__xludf.DUMMYFUNCTION("""COMPUTED_VALUE"""),"股下 / シングル")</f>
        <v>股下 / シングル</v>
      </c>
      <c r="G572" s="668" t="str">
        <f>IFERROR(__xludf.DUMMYFUNCTION("""COMPUTED_VALUE"""),"股下 / シングル（左右であっても1箇所換算）")</f>
        <v>股下 / シングル（左右であっても1箇所換算）</v>
      </c>
      <c r="H572" s="672" t="str">
        <f>IFERROR(__xludf.DUMMYFUNCTION("""COMPUTED_VALUE"""),"-1.5")</f>
        <v>-1.5</v>
      </c>
      <c r="I572" s="669"/>
      <c r="J572" s="669">
        <f>IFERROR(__xludf.DUMMYFUNCTION("""COMPUTED_VALUE"""),5.0)</f>
        <v>5</v>
      </c>
      <c r="K572" s="673">
        <f>IFERROR(__xludf.DUMMYFUNCTION("""COMPUTED_VALUE"""),45996.0)</f>
        <v>45996</v>
      </c>
      <c r="L572" s="670">
        <f>IFERROR(__xludf.DUMMYFUNCTION("""COMPUTED_VALUE"""),46002.0)</f>
        <v>46002</v>
      </c>
      <c r="M572" s="670">
        <f>IFERROR(__xludf.DUMMYFUNCTION("""COMPUTED_VALUE"""),46002.0)</f>
        <v>46002</v>
      </c>
      <c r="N572" s="674">
        <f>IFERROR(__xludf.DUMMYFUNCTION("""COMPUTED_VALUE"""),3300.0)</f>
        <v>3300</v>
      </c>
      <c r="O572" s="593">
        <f>IFERROR(__xludf.DUMMYFUNCTION("""COMPUTED_VALUE"""),3000.0)</f>
        <v>3000</v>
      </c>
      <c r="P572" s="594">
        <f>IFERROR(__xludf.DUMMYFUNCTION("""COMPUTED_VALUE"""),900.0)</f>
        <v>900</v>
      </c>
      <c r="Q572" s="183"/>
      <c r="R572" s="544"/>
      <c r="S572" s="544"/>
      <c r="T572" s="544"/>
      <c r="U572" s="544"/>
      <c r="V572" s="544"/>
      <c r="W572" s="544"/>
      <c r="X572" s="544"/>
      <c r="Y572" s="544"/>
      <c r="Z572" s="544"/>
      <c r="AA572" s="544"/>
      <c r="AB572" s="544"/>
      <c r="AC572" s="544"/>
      <c r="AD572" s="544"/>
      <c r="AE572" s="183"/>
      <c r="AF572" s="183"/>
      <c r="AG572" s="183"/>
      <c r="AH572" s="183"/>
      <c r="AI572" s="183"/>
      <c r="AJ572" s="183"/>
      <c r="AK572" s="183"/>
      <c r="AL572" s="183"/>
      <c r="AM572" s="183"/>
    </row>
    <row r="573">
      <c r="A573" s="273" t="str">
        <f>IFERROR(__xludf.DUMMYFUNCTION("""COMPUTED_VALUE"""),"サイズ")</f>
        <v>サイズ</v>
      </c>
      <c r="B573" s="273" t="str">
        <f>IFERROR(__xludf.DUMMYFUNCTION("""COMPUTED_VALUE"""),"チノパン")</f>
        <v>チノパン</v>
      </c>
      <c r="C573" s="273" t="str">
        <f>IFERROR(__xludf.DUMMYFUNCTION("""COMPUTED_VALUE"""),"股下")</f>
        <v>股下</v>
      </c>
      <c r="D573" s="671" t="str">
        <f>IFERROR(__xludf.DUMMYFUNCTION("""COMPUTED_VALUE"""),"シングル")</f>
        <v>シングル</v>
      </c>
      <c r="E573" s="671" t="str">
        <f>IFERROR(__xludf.DUMMYFUNCTION("""COMPUTED_VALUE"""),"左右であっても1箇所換算")</f>
        <v>左右であっても1箇所換算</v>
      </c>
      <c r="F573" s="342" t="str">
        <f>IFERROR(__xludf.DUMMYFUNCTION("""COMPUTED_VALUE"""),"股下 / シングル")</f>
        <v>股下 / シングル</v>
      </c>
      <c r="G573" s="668" t="str">
        <f>IFERROR(__xludf.DUMMYFUNCTION("""COMPUTED_VALUE"""),"股下 / シングル（左右であっても1箇所換算）")</f>
        <v>股下 / シングル（左右であっても1箇所換算）</v>
      </c>
      <c r="H573" s="672" t="str">
        <f>IFERROR(__xludf.DUMMYFUNCTION("""COMPUTED_VALUE"""),"-1")</f>
        <v>-1</v>
      </c>
      <c r="I573" s="669"/>
      <c r="J573" s="669">
        <f>IFERROR(__xludf.DUMMYFUNCTION("""COMPUTED_VALUE"""),5.0)</f>
        <v>5</v>
      </c>
      <c r="K573" s="673">
        <f>IFERROR(__xludf.DUMMYFUNCTION("""COMPUTED_VALUE"""),45996.0)</f>
        <v>45996</v>
      </c>
      <c r="L573" s="670">
        <f>IFERROR(__xludf.DUMMYFUNCTION("""COMPUTED_VALUE"""),46002.0)</f>
        <v>46002</v>
      </c>
      <c r="M573" s="670">
        <f>IFERROR(__xludf.DUMMYFUNCTION("""COMPUTED_VALUE"""),46002.0)</f>
        <v>46002</v>
      </c>
      <c r="N573" s="674">
        <f>IFERROR(__xludf.DUMMYFUNCTION("""COMPUTED_VALUE"""),3300.0)</f>
        <v>3300</v>
      </c>
      <c r="O573" s="593">
        <f>IFERROR(__xludf.DUMMYFUNCTION("""COMPUTED_VALUE"""),3000.0)</f>
        <v>3000</v>
      </c>
      <c r="P573" s="594">
        <f>IFERROR(__xludf.DUMMYFUNCTION("""COMPUTED_VALUE"""),900.0)</f>
        <v>900</v>
      </c>
      <c r="Q573" s="183"/>
      <c r="R573" s="544"/>
      <c r="S573" s="544"/>
      <c r="T573" s="544"/>
      <c r="U573" s="544"/>
      <c r="V573" s="544"/>
      <c r="W573" s="544"/>
      <c r="X573" s="544"/>
      <c r="Y573" s="544"/>
      <c r="Z573" s="544"/>
      <c r="AA573" s="544"/>
      <c r="AB573" s="544"/>
      <c r="AC573" s="544"/>
      <c r="AD573" s="544"/>
      <c r="AE573" s="183"/>
      <c r="AF573" s="183"/>
      <c r="AG573" s="183"/>
      <c r="AH573" s="183"/>
      <c r="AI573" s="183"/>
      <c r="AJ573" s="183"/>
      <c r="AK573" s="183"/>
      <c r="AL573" s="183"/>
      <c r="AM573" s="183"/>
    </row>
    <row r="574">
      <c r="A574" s="273" t="str">
        <f>IFERROR(__xludf.DUMMYFUNCTION("""COMPUTED_VALUE"""),"サイズ")</f>
        <v>サイズ</v>
      </c>
      <c r="B574" s="273" t="str">
        <f>IFERROR(__xludf.DUMMYFUNCTION("""COMPUTED_VALUE"""),"チノパン")</f>
        <v>チノパン</v>
      </c>
      <c r="C574" s="273" t="str">
        <f>IFERROR(__xludf.DUMMYFUNCTION("""COMPUTED_VALUE"""),"股下")</f>
        <v>股下</v>
      </c>
      <c r="D574" s="671" t="str">
        <f>IFERROR(__xludf.DUMMYFUNCTION("""COMPUTED_VALUE"""),"シングル")</f>
        <v>シングル</v>
      </c>
      <c r="E574" s="671" t="str">
        <f>IFERROR(__xludf.DUMMYFUNCTION("""COMPUTED_VALUE"""),"左右であっても1箇所換算")</f>
        <v>左右であっても1箇所換算</v>
      </c>
      <c r="F574" s="342" t="str">
        <f>IFERROR(__xludf.DUMMYFUNCTION("""COMPUTED_VALUE"""),"股下 / シングル")</f>
        <v>股下 / シングル</v>
      </c>
      <c r="G574" s="668" t="str">
        <f>IFERROR(__xludf.DUMMYFUNCTION("""COMPUTED_VALUE"""),"股下 / シングル（左右であっても1箇所換算）")</f>
        <v>股下 / シングル（左右であっても1箇所換算）</v>
      </c>
      <c r="H574" s="672" t="str">
        <f>IFERROR(__xludf.DUMMYFUNCTION("""COMPUTED_VALUE"""),"-0.5")</f>
        <v>-0.5</v>
      </c>
      <c r="I574" s="669"/>
      <c r="J574" s="669">
        <f>IFERROR(__xludf.DUMMYFUNCTION("""COMPUTED_VALUE"""),5.0)</f>
        <v>5</v>
      </c>
      <c r="K574" s="673">
        <f>IFERROR(__xludf.DUMMYFUNCTION("""COMPUTED_VALUE"""),45996.0)</f>
        <v>45996</v>
      </c>
      <c r="L574" s="670">
        <f>IFERROR(__xludf.DUMMYFUNCTION("""COMPUTED_VALUE"""),46002.0)</f>
        <v>46002</v>
      </c>
      <c r="M574" s="670">
        <f>IFERROR(__xludf.DUMMYFUNCTION("""COMPUTED_VALUE"""),46002.0)</f>
        <v>46002</v>
      </c>
      <c r="N574" s="674">
        <f>IFERROR(__xludf.DUMMYFUNCTION("""COMPUTED_VALUE"""),3300.0)</f>
        <v>3300</v>
      </c>
      <c r="O574" s="593">
        <f>IFERROR(__xludf.DUMMYFUNCTION("""COMPUTED_VALUE"""),3000.0)</f>
        <v>3000</v>
      </c>
      <c r="P574" s="594">
        <f>IFERROR(__xludf.DUMMYFUNCTION("""COMPUTED_VALUE"""),900.0)</f>
        <v>900</v>
      </c>
      <c r="Q574" s="183"/>
      <c r="R574" s="544"/>
      <c r="S574" s="544"/>
      <c r="T574" s="544"/>
      <c r="U574" s="544"/>
      <c r="V574" s="544"/>
      <c r="W574" s="544"/>
      <c r="X574" s="544"/>
      <c r="Y574" s="544"/>
      <c r="Z574" s="544"/>
      <c r="AA574" s="544"/>
      <c r="AB574" s="544"/>
      <c r="AC574" s="544"/>
      <c r="AD574" s="544"/>
      <c r="AE574" s="183"/>
      <c r="AF574" s="183"/>
      <c r="AG574" s="183"/>
      <c r="AH574" s="183"/>
      <c r="AI574" s="183"/>
      <c r="AJ574" s="183"/>
      <c r="AK574" s="183"/>
      <c r="AL574" s="183"/>
      <c r="AM574" s="183"/>
    </row>
    <row r="575">
      <c r="A575" s="273" t="str">
        <f>IFERROR(__xludf.DUMMYFUNCTION("""COMPUTED_VALUE"""),"サイズ")</f>
        <v>サイズ</v>
      </c>
      <c r="B575" s="273" t="str">
        <f>IFERROR(__xludf.DUMMYFUNCTION("""COMPUTED_VALUE"""),"チノパン")</f>
        <v>チノパン</v>
      </c>
      <c r="C575" s="273" t="str">
        <f>IFERROR(__xludf.DUMMYFUNCTION("""COMPUTED_VALUE"""),"股下")</f>
        <v>股下</v>
      </c>
      <c r="D575" s="671" t="str">
        <f>IFERROR(__xludf.DUMMYFUNCTION("""COMPUTED_VALUE"""),"ダブル")</f>
        <v>ダブル</v>
      </c>
      <c r="E575" s="671" t="str">
        <f>IFERROR(__xludf.DUMMYFUNCTION("""COMPUTED_VALUE"""),"左右であっても1箇所換算")</f>
        <v>左右であっても1箇所換算</v>
      </c>
      <c r="F575" s="342" t="str">
        <f>IFERROR(__xludf.DUMMYFUNCTION("""COMPUTED_VALUE"""),"股下 / ダブル")</f>
        <v>股下 / ダブル</v>
      </c>
      <c r="G575" s="668" t="str">
        <f>IFERROR(__xludf.DUMMYFUNCTION("""COMPUTED_VALUE"""),"股下 / ダブル（左右であっても1箇所換算）")</f>
        <v>股下 / ダブル（左右であっても1箇所換算）</v>
      </c>
      <c r="H575" s="669"/>
      <c r="I575" s="669"/>
      <c r="J575" s="669" t="str">
        <f>IFERROR(__xludf.DUMMYFUNCTION("""COMPUTED_VALUE"""),"再製作")</f>
        <v>再製作</v>
      </c>
      <c r="K575" s="669" t="str">
        <f>IFERROR(__xludf.DUMMYFUNCTION("""COMPUTED_VALUE"""),"再製作")</f>
        <v>再製作</v>
      </c>
      <c r="L575" s="670" t="str">
        <f>IFERROR(__xludf.DUMMYFUNCTION("""COMPUTED_VALUE"""),"再製作")</f>
        <v>再製作</v>
      </c>
      <c r="M575" s="670" t="str">
        <f>IFERROR(__xludf.DUMMYFUNCTION("""COMPUTED_VALUE"""),"再製作")</f>
        <v>再製作</v>
      </c>
      <c r="N575" s="669" t="str">
        <f>IFERROR(__xludf.DUMMYFUNCTION("""COMPUTED_VALUE"""),"再製作")</f>
        <v>再製作</v>
      </c>
      <c r="O575" s="183" t="str">
        <f>IFERROR(__xludf.DUMMYFUNCTION("""COMPUTED_VALUE"""),"再製作")</f>
        <v>再製作</v>
      </c>
      <c r="P575" s="183"/>
      <c r="Q575" s="183"/>
      <c r="R575" s="544"/>
      <c r="S575" s="544"/>
      <c r="T575" s="544"/>
      <c r="U575" s="544"/>
      <c r="V575" s="544"/>
      <c r="W575" s="544"/>
      <c r="X575" s="544"/>
      <c r="Y575" s="544"/>
      <c r="Z575" s="544"/>
      <c r="AA575" s="544"/>
      <c r="AB575" s="544"/>
      <c r="AC575" s="544"/>
      <c r="AD575" s="544"/>
      <c r="AE575" s="183"/>
      <c r="AF575" s="183"/>
      <c r="AG575" s="183"/>
      <c r="AH575" s="183"/>
      <c r="AI575" s="183"/>
      <c r="AJ575" s="183"/>
      <c r="AK575" s="183"/>
      <c r="AL575" s="183"/>
      <c r="AM575" s="183"/>
    </row>
    <row r="576">
      <c r="A576" s="273" t="str">
        <f>IFERROR(__xludf.DUMMYFUNCTION("""COMPUTED_VALUE"""),"サイズ")</f>
        <v>サイズ</v>
      </c>
      <c r="B576" s="273" t="str">
        <f>IFERROR(__xludf.DUMMYFUNCTION("""COMPUTED_VALUE"""),"チノパン")</f>
        <v>チノパン</v>
      </c>
      <c r="C576" s="273" t="str">
        <f>IFERROR(__xludf.DUMMYFUNCTION("""COMPUTED_VALUE"""),"股下")</f>
        <v>股下</v>
      </c>
      <c r="D576" s="671" t="str">
        <f>IFERROR(__xludf.DUMMYFUNCTION("""COMPUTED_VALUE"""),"ステッチ")</f>
        <v>ステッチ</v>
      </c>
      <c r="E576" s="671" t="str">
        <f>IFERROR(__xludf.DUMMYFUNCTION("""COMPUTED_VALUE"""),"左右であっても1箇所換算")</f>
        <v>左右であっても1箇所換算</v>
      </c>
      <c r="F576" s="342" t="str">
        <f>IFERROR(__xludf.DUMMYFUNCTION("""COMPUTED_VALUE"""),"股下 / ステッチ")</f>
        <v>股下 / ステッチ</v>
      </c>
      <c r="G576" s="668" t="str">
        <f>IFERROR(__xludf.DUMMYFUNCTION("""COMPUTED_VALUE"""),"股下 / ステッチ（左右であっても1箇所換算）")</f>
        <v>股下 / ステッチ（左右であっても1箇所換算）</v>
      </c>
      <c r="H576" s="669"/>
      <c r="I576" s="669"/>
      <c r="J576" s="669" t="str">
        <f>IFERROR(__xludf.DUMMYFUNCTION("""COMPUTED_VALUE"""),"再製作")</f>
        <v>再製作</v>
      </c>
      <c r="K576" s="669" t="str">
        <f>IFERROR(__xludf.DUMMYFUNCTION("""COMPUTED_VALUE"""),"再製作")</f>
        <v>再製作</v>
      </c>
      <c r="L576" s="670" t="str">
        <f>IFERROR(__xludf.DUMMYFUNCTION("""COMPUTED_VALUE"""),"再製作")</f>
        <v>再製作</v>
      </c>
      <c r="M576" s="670" t="str">
        <f>IFERROR(__xludf.DUMMYFUNCTION("""COMPUTED_VALUE"""),"再製作")</f>
        <v>再製作</v>
      </c>
      <c r="N576" s="669" t="str">
        <f>IFERROR(__xludf.DUMMYFUNCTION("""COMPUTED_VALUE"""),"再製作")</f>
        <v>再製作</v>
      </c>
      <c r="O576" s="183" t="str">
        <f>IFERROR(__xludf.DUMMYFUNCTION("""COMPUTED_VALUE"""),"再製作")</f>
        <v>再製作</v>
      </c>
      <c r="P576" s="183"/>
      <c r="Q576" s="183"/>
      <c r="R576" s="544"/>
      <c r="S576" s="544"/>
      <c r="T576" s="544"/>
      <c r="U576" s="544"/>
      <c r="V576" s="544"/>
      <c r="W576" s="544"/>
      <c r="X576" s="544"/>
      <c r="Y576" s="544"/>
      <c r="Z576" s="544"/>
      <c r="AA576" s="544"/>
      <c r="AB576" s="544"/>
      <c r="AC576" s="544"/>
      <c r="AD576" s="544"/>
      <c r="AE576" s="183"/>
      <c r="AF576" s="183"/>
      <c r="AG576" s="183"/>
      <c r="AH576" s="183"/>
      <c r="AI576" s="183"/>
      <c r="AJ576" s="183"/>
      <c r="AK576" s="183"/>
      <c r="AL576" s="183"/>
      <c r="AM576" s="183"/>
    </row>
    <row r="577">
      <c r="A577" s="273" t="str">
        <f>IFERROR(__xludf.DUMMYFUNCTION("""COMPUTED_VALUE"""),"サイズ")</f>
        <v>サイズ</v>
      </c>
      <c r="B577" s="273" t="str">
        <f>IFERROR(__xludf.DUMMYFUNCTION("""COMPUTED_VALUE"""),"チノパン")</f>
        <v>チノパン</v>
      </c>
      <c r="C577" s="273" t="str">
        <f>IFERROR(__xludf.DUMMYFUNCTION("""COMPUTED_VALUE"""),"渡り巾")</f>
        <v>渡り巾</v>
      </c>
      <c r="D577" s="668"/>
      <c r="E577" s="668"/>
      <c r="F577" s="342" t="str">
        <f>IFERROR(__xludf.DUMMYFUNCTION("""COMPUTED_VALUE"""),"渡り巾")</f>
        <v>渡り巾</v>
      </c>
      <c r="G577" s="668" t="str">
        <f>IFERROR(__xludf.DUMMYFUNCTION("""COMPUTED_VALUE"""),"渡り巾")</f>
        <v>渡り巾</v>
      </c>
      <c r="H577" s="672" t="str">
        <f>IFERROR(__xludf.DUMMYFUNCTION("""COMPUTED_VALUE"""),"-2")</f>
        <v>-2</v>
      </c>
      <c r="I577" s="669"/>
      <c r="J577" s="669">
        <f>IFERROR(__xludf.DUMMYFUNCTION("""COMPUTED_VALUE"""),5.0)</f>
        <v>5</v>
      </c>
      <c r="K577" s="673">
        <f>IFERROR(__xludf.DUMMYFUNCTION("""COMPUTED_VALUE"""),45996.0)</f>
        <v>45996</v>
      </c>
      <c r="L577" s="670">
        <f>IFERROR(__xludf.DUMMYFUNCTION("""COMPUTED_VALUE"""),46002.0)</f>
        <v>46002</v>
      </c>
      <c r="M577" s="670">
        <f>IFERROR(__xludf.DUMMYFUNCTION("""COMPUTED_VALUE"""),46002.0)</f>
        <v>46002</v>
      </c>
      <c r="N577" s="674">
        <f>IFERROR(__xludf.DUMMYFUNCTION("""COMPUTED_VALUE"""),4130.0)</f>
        <v>4130</v>
      </c>
      <c r="O577" s="593">
        <f>IFERROR(__xludf.DUMMYFUNCTION("""COMPUTED_VALUE"""),3750.0)</f>
        <v>3750</v>
      </c>
      <c r="P577" s="594">
        <f>IFERROR(__xludf.DUMMYFUNCTION("""COMPUTED_VALUE"""),2500.0)</f>
        <v>2500</v>
      </c>
      <c r="Q577" s="183"/>
      <c r="R577" s="544"/>
      <c r="S577" s="544"/>
      <c r="T577" s="544"/>
      <c r="U577" s="544"/>
      <c r="V577" s="544"/>
      <c r="W577" s="544"/>
      <c r="X577" s="544"/>
      <c r="Y577" s="544"/>
      <c r="Z577" s="544"/>
      <c r="AA577" s="544"/>
      <c r="AB577" s="544"/>
      <c r="AC577" s="544"/>
      <c r="AD577" s="544"/>
      <c r="AE577" s="183"/>
      <c r="AF577" s="183"/>
      <c r="AG577" s="183"/>
      <c r="AH577" s="183"/>
      <c r="AI577" s="183"/>
      <c r="AJ577" s="183"/>
      <c r="AK577" s="183"/>
      <c r="AL577" s="183"/>
      <c r="AM577" s="183"/>
    </row>
    <row r="578">
      <c r="A578" s="273" t="str">
        <f>IFERROR(__xludf.DUMMYFUNCTION("""COMPUTED_VALUE"""),"サイズ")</f>
        <v>サイズ</v>
      </c>
      <c r="B578" s="273" t="str">
        <f>IFERROR(__xludf.DUMMYFUNCTION("""COMPUTED_VALUE"""),"チノパン")</f>
        <v>チノパン</v>
      </c>
      <c r="C578" s="273" t="str">
        <f>IFERROR(__xludf.DUMMYFUNCTION("""COMPUTED_VALUE"""),"渡り巾")</f>
        <v>渡り巾</v>
      </c>
      <c r="D578" s="668"/>
      <c r="E578" s="668"/>
      <c r="F578" s="342" t="str">
        <f>IFERROR(__xludf.DUMMYFUNCTION("""COMPUTED_VALUE"""),"渡り巾")</f>
        <v>渡り巾</v>
      </c>
      <c r="G578" s="668" t="str">
        <f>IFERROR(__xludf.DUMMYFUNCTION("""COMPUTED_VALUE"""),"渡り巾")</f>
        <v>渡り巾</v>
      </c>
      <c r="H578" s="672" t="str">
        <f>IFERROR(__xludf.DUMMYFUNCTION("""COMPUTED_VALUE"""),"-1.5")</f>
        <v>-1.5</v>
      </c>
      <c r="I578" s="669"/>
      <c r="J578" s="669">
        <f>IFERROR(__xludf.DUMMYFUNCTION("""COMPUTED_VALUE"""),5.0)</f>
        <v>5</v>
      </c>
      <c r="K578" s="673">
        <f>IFERROR(__xludf.DUMMYFUNCTION("""COMPUTED_VALUE"""),45996.0)</f>
        <v>45996</v>
      </c>
      <c r="L578" s="670">
        <f>IFERROR(__xludf.DUMMYFUNCTION("""COMPUTED_VALUE"""),46002.0)</f>
        <v>46002</v>
      </c>
      <c r="M578" s="670">
        <f>IFERROR(__xludf.DUMMYFUNCTION("""COMPUTED_VALUE"""),46002.0)</f>
        <v>46002</v>
      </c>
      <c r="N578" s="674">
        <f>IFERROR(__xludf.DUMMYFUNCTION("""COMPUTED_VALUE"""),4130.0)</f>
        <v>4130</v>
      </c>
      <c r="O578" s="593">
        <f>IFERROR(__xludf.DUMMYFUNCTION("""COMPUTED_VALUE"""),3750.0)</f>
        <v>3750</v>
      </c>
      <c r="P578" s="594">
        <f>IFERROR(__xludf.DUMMYFUNCTION("""COMPUTED_VALUE"""),2500.0)</f>
        <v>2500</v>
      </c>
      <c r="Q578" s="183"/>
      <c r="R578" s="544"/>
      <c r="S578" s="544"/>
      <c r="T578" s="544"/>
      <c r="U578" s="544"/>
      <c r="V578" s="544"/>
      <c r="W578" s="544"/>
      <c r="X578" s="544"/>
      <c r="Y578" s="544"/>
      <c r="Z578" s="544"/>
      <c r="AA578" s="544"/>
      <c r="AB578" s="544"/>
      <c r="AC578" s="544"/>
      <c r="AD578" s="544"/>
      <c r="AE578" s="183"/>
      <c r="AF578" s="183"/>
      <c r="AG578" s="183"/>
      <c r="AH578" s="183"/>
      <c r="AI578" s="183"/>
      <c r="AJ578" s="183"/>
      <c r="AK578" s="183"/>
      <c r="AL578" s="183"/>
      <c r="AM578" s="183"/>
    </row>
    <row r="579">
      <c r="A579" s="273" t="str">
        <f>IFERROR(__xludf.DUMMYFUNCTION("""COMPUTED_VALUE"""),"サイズ")</f>
        <v>サイズ</v>
      </c>
      <c r="B579" s="273" t="str">
        <f>IFERROR(__xludf.DUMMYFUNCTION("""COMPUTED_VALUE"""),"チノパン")</f>
        <v>チノパン</v>
      </c>
      <c r="C579" s="273" t="str">
        <f>IFERROR(__xludf.DUMMYFUNCTION("""COMPUTED_VALUE"""),"渡り巾")</f>
        <v>渡り巾</v>
      </c>
      <c r="D579" s="668"/>
      <c r="E579" s="668"/>
      <c r="F579" s="342" t="str">
        <f>IFERROR(__xludf.DUMMYFUNCTION("""COMPUTED_VALUE"""),"渡り巾")</f>
        <v>渡り巾</v>
      </c>
      <c r="G579" s="668" t="str">
        <f>IFERROR(__xludf.DUMMYFUNCTION("""COMPUTED_VALUE"""),"渡り巾")</f>
        <v>渡り巾</v>
      </c>
      <c r="H579" s="672" t="str">
        <f>IFERROR(__xludf.DUMMYFUNCTION("""COMPUTED_VALUE"""),"-1")</f>
        <v>-1</v>
      </c>
      <c r="I579" s="669"/>
      <c r="J579" s="669">
        <f>IFERROR(__xludf.DUMMYFUNCTION("""COMPUTED_VALUE"""),5.0)</f>
        <v>5</v>
      </c>
      <c r="K579" s="673">
        <f>IFERROR(__xludf.DUMMYFUNCTION("""COMPUTED_VALUE"""),45996.0)</f>
        <v>45996</v>
      </c>
      <c r="L579" s="670">
        <f>IFERROR(__xludf.DUMMYFUNCTION("""COMPUTED_VALUE"""),46002.0)</f>
        <v>46002</v>
      </c>
      <c r="M579" s="670">
        <f>IFERROR(__xludf.DUMMYFUNCTION("""COMPUTED_VALUE"""),46002.0)</f>
        <v>46002</v>
      </c>
      <c r="N579" s="674">
        <f>IFERROR(__xludf.DUMMYFUNCTION("""COMPUTED_VALUE"""),4130.0)</f>
        <v>4130</v>
      </c>
      <c r="O579" s="593">
        <f>IFERROR(__xludf.DUMMYFUNCTION("""COMPUTED_VALUE"""),3750.0)</f>
        <v>3750</v>
      </c>
      <c r="P579" s="594">
        <f>IFERROR(__xludf.DUMMYFUNCTION("""COMPUTED_VALUE"""),2500.0)</f>
        <v>2500</v>
      </c>
      <c r="Q579" s="183"/>
      <c r="R579" s="544"/>
      <c r="S579" s="544"/>
      <c r="T579" s="544"/>
      <c r="U579" s="544"/>
      <c r="V579" s="544"/>
      <c r="W579" s="544"/>
      <c r="X579" s="544"/>
      <c r="Y579" s="544"/>
      <c r="Z579" s="544"/>
      <c r="AA579" s="544"/>
      <c r="AB579" s="544"/>
      <c r="AC579" s="544"/>
      <c r="AD579" s="544"/>
      <c r="AE579" s="183"/>
      <c r="AF579" s="183"/>
      <c r="AG579" s="183"/>
      <c r="AH579" s="183"/>
      <c r="AI579" s="183"/>
      <c r="AJ579" s="183"/>
      <c r="AK579" s="183"/>
      <c r="AL579" s="183"/>
      <c r="AM579" s="183"/>
    </row>
    <row r="580">
      <c r="A580" s="273" t="str">
        <f>IFERROR(__xludf.DUMMYFUNCTION("""COMPUTED_VALUE"""),"サイズ")</f>
        <v>サイズ</v>
      </c>
      <c r="B580" s="273" t="str">
        <f>IFERROR(__xludf.DUMMYFUNCTION("""COMPUTED_VALUE"""),"チノパン")</f>
        <v>チノパン</v>
      </c>
      <c r="C580" s="273" t="str">
        <f>IFERROR(__xludf.DUMMYFUNCTION("""COMPUTED_VALUE"""),"渡り巾")</f>
        <v>渡り巾</v>
      </c>
      <c r="D580" s="668"/>
      <c r="E580" s="668"/>
      <c r="F580" s="342" t="str">
        <f>IFERROR(__xludf.DUMMYFUNCTION("""COMPUTED_VALUE"""),"渡り巾")</f>
        <v>渡り巾</v>
      </c>
      <c r="G580" s="668" t="str">
        <f>IFERROR(__xludf.DUMMYFUNCTION("""COMPUTED_VALUE"""),"渡り巾")</f>
        <v>渡り巾</v>
      </c>
      <c r="H580" s="672" t="str">
        <f>IFERROR(__xludf.DUMMYFUNCTION("""COMPUTED_VALUE"""),"-0.5")</f>
        <v>-0.5</v>
      </c>
      <c r="I580" s="669"/>
      <c r="J580" s="669">
        <f>IFERROR(__xludf.DUMMYFUNCTION("""COMPUTED_VALUE"""),5.0)</f>
        <v>5</v>
      </c>
      <c r="K580" s="673">
        <f>IFERROR(__xludf.DUMMYFUNCTION("""COMPUTED_VALUE"""),45996.0)</f>
        <v>45996</v>
      </c>
      <c r="L580" s="670">
        <f>IFERROR(__xludf.DUMMYFUNCTION("""COMPUTED_VALUE"""),46002.0)</f>
        <v>46002</v>
      </c>
      <c r="M580" s="670">
        <f>IFERROR(__xludf.DUMMYFUNCTION("""COMPUTED_VALUE"""),46002.0)</f>
        <v>46002</v>
      </c>
      <c r="N580" s="674">
        <f>IFERROR(__xludf.DUMMYFUNCTION("""COMPUTED_VALUE"""),4130.0)</f>
        <v>4130</v>
      </c>
      <c r="O580" s="593">
        <f>IFERROR(__xludf.DUMMYFUNCTION("""COMPUTED_VALUE"""),3750.0)</f>
        <v>3750</v>
      </c>
      <c r="P580" s="594">
        <f>IFERROR(__xludf.DUMMYFUNCTION("""COMPUTED_VALUE"""),2500.0)</f>
        <v>2500</v>
      </c>
      <c r="Q580" s="183"/>
      <c r="R580" s="544"/>
      <c r="S580" s="544"/>
      <c r="T580" s="544"/>
      <c r="U580" s="544"/>
      <c r="V580" s="544"/>
      <c r="W580" s="544"/>
      <c r="X580" s="544"/>
      <c r="Y580" s="544"/>
      <c r="Z580" s="544"/>
      <c r="AA580" s="544"/>
      <c r="AB580" s="544"/>
      <c r="AC580" s="544"/>
      <c r="AD580" s="544"/>
      <c r="AE580" s="183"/>
      <c r="AF580" s="183"/>
      <c r="AG580" s="183"/>
      <c r="AH580" s="183"/>
      <c r="AI580" s="183"/>
      <c r="AJ580" s="183"/>
      <c r="AK580" s="183"/>
      <c r="AL580" s="183"/>
      <c r="AM580" s="183"/>
    </row>
    <row r="581">
      <c r="A581" s="273" t="str">
        <f>IFERROR(__xludf.DUMMYFUNCTION("""COMPUTED_VALUE"""),"サイズ")</f>
        <v>サイズ</v>
      </c>
      <c r="B581" s="273" t="str">
        <f>IFERROR(__xludf.DUMMYFUNCTION("""COMPUTED_VALUE"""),"チノパン")</f>
        <v>チノパン</v>
      </c>
      <c r="C581" s="273" t="str">
        <f>IFERROR(__xludf.DUMMYFUNCTION("""COMPUTED_VALUE"""),"ひざ巾")</f>
        <v>ひざ巾</v>
      </c>
      <c r="D581" s="668"/>
      <c r="E581" s="668"/>
      <c r="F581" s="342" t="str">
        <f>IFERROR(__xludf.DUMMYFUNCTION("""COMPUTED_VALUE"""),"ひざ巾")</f>
        <v>ひざ巾</v>
      </c>
      <c r="G581" s="668" t="str">
        <f>IFERROR(__xludf.DUMMYFUNCTION("""COMPUTED_VALUE"""),"ひざ巾")</f>
        <v>ひざ巾</v>
      </c>
      <c r="H581" s="672" t="str">
        <f>IFERROR(__xludf.DUMMYFUNCTION("""COMPUTED_VALUE"""),"-2.5")</f>
        <v>-2.5</v>
      </c>
      <c r="I581" s="669"/>
      <c r="J581" s="669">
        <f>IFERROR(__xludf.DUMMYFUNCTION("""COMPUTED_VALUE"""),5.0)</f>
        <v>5</v>
      </c>
      <c r="K581" s="673">
        <f>IFERROR(__xludf.DUMMYFUNCTION("""COMPUTED_VALUE"""),45996.0)</f>
        <v>45996</v>
      </c>
      <c r="L581" s="670">
        <f>IFERROR(__xludf.DUMMYFUNCTION("""COMPUTED_VALUE"""),46002.0)</f>
        <v>46002</v>
      </c>
      <c r="M581" s="670">
        <f>IFERROR(__xludf.DUMMYFUNCTION("""COMPUTED_VALUE"""),46002.0)</f>
        <v>46002</v>
      </c>
      <c r="N581" s="674">
        <f>IFERROR(__xludf.DUMMYFUNCTION("""COMPUTED_VALUE"""),1650.0)</f>
        <v>1650</v>
      </c>
      <c r="O581" s="593">
        <f>IFERROR(__xludf.DUMMYFUNCTION("""COMPUTED_VALUE"""),1500.0)</f>
        <v>1500</v>
      </c>
      <c r="P581" s="594">
        <f>IFERROR(__xludf.DUMMYFUNCTION("""COMPUTED_VALUE"""),1000.0)</f>
        <v>1000</v>
      </c>
      <c r="Q581" s="183"/>
      <c r="R581" s="544"/>
      <c r="S581" s="544"/>
      <c r="T581" s="544"/>
      <c r="U581" s="544"/>
      <c r="V581" s="544"/>
      <c r="W581" s="544"/>
      <c r="X581" s="544"/>
      <c r="Y581" s="544"/>
      <c r="Z581" s="544"/>
      <c r="AA581" s="544"/>
      <c r="AB581" s="544"/>
      <c r="AC581" s="544"/>
      <c r="AD581" s="544"/>
      <c r="AE581" s="183"/>
      <c r="AF581" s="183"/>
      <c r="AG581" s="183"/>
      <c r="AH581" s="183"/>
      <c r="AI581" s="183"/>
      <c r="AJ581" s="183"/>
      <c r="AK581" s="183"/>
      <c r="AL581" s="183"/>
      <c r="AM581" s="183"/>
    </row>
    <row r="582">
      <c r="A582" s="273" t="str">
        <f>IFERROR(__xludf.DUMMYFUNCTION("""COMPUTED_VALUE"""),"サイズ")</f>
        <v>サイズ</v>
      </c>
      <c r="B582" s="273" t="str">
        <f>IFERROR(__xludf.DUMMYFUNCTION("""COMPUTED_VALUE"""),"チノパン")</f>
        <v>チノパン</v>
      </c>
      <c r="C582" s="273" t="str">
        <f>IFERROR(__xludf.DUMMYFUNCTION("""COMPUTED_VALUE"""),"ひざ巾")</f>
        <v>ひざ巾</v>
      </c>
      <c r="D582" s="668"/>
      <c r="E582" s="668"/>
      <c r="F582" s="342" t="str">
        <f>IFERROR(__xludf.DUMMYFUNCTION("""COMPUTED_VALUE"""),"ひざ巾")</f>
        <v>ひざ巾</v>
      </c>
      <c r="G582" s="668" t="str">
        <f>IFERROR(__xludf.DUMMYFUNCTION("""COMPUTED_VALUE"""),"ひざ巾")</f>
        <v>ひざ巾</v>
      </c>
      <c r="H582" s="672" t="str">
        <f>IFERROR(__xludf.DUMMYFUNCTION("""COMPUTED_VALUE"""),"-3")</f>
        <v>-3</v>
      </c>
      <c r="I582" s="669"/>
      <c r="J582" s="669">
        <f>IFERROR(__xludf.DUMMYFUNCTION("""COMPUTED_VALUE"""),5.0)</f>
        <v>5</v>
      </c>
      <c r="K582" s="673">
        <f>IFERROR(__xludf.DUMMYFUNCTION("""COMPUTED_VALUE"""),45996.0)</f>
        <v>45996</v>
      </c>
      <c r="L582" s="670">
        <f>IFERROR(__xludf.DUMMYFUNCTION("""COMPUTED_VALUE"""),46002.0)</f>
        <v>46002</v>
      </c>
      <c r="M582" s="670">
        <f>IFERROR(__xludf.DUMMYFUNCTION("""COMPUTED_VALUE"""),46002.0)</f>
        <v>46002</v>
      </c>
      <c r="N582" s="674">
        <f>IFERROR(__xludf.DUMMYFUNCTION("""COMPUTED_VALUE"""),1650.0)</f>
        <v>1650</v>
      </c>
      <c r="O582" s="593">
        <f>IFERROR(__xludf.DUMMYFUNCTION("""COMPUTED_VALUE"""),1500.0)</f>
        <v>1500</v>
      </c>
      <c r="P582" s="594">
        <f>IFERROR(__xludf.DUMMYFUNCTION("""COMPUTED_VALUE"""),1000.0)</f>
        <v>1000</v>
      </c>
      <c r="Q582" s="183"/>
      <c r="R582" s="544"/>
      <c r="S582" s="544"/>
      <c r="T582" s="544"/>
      <c r="U582" s="544"/>
      <c r="V582" s="544"/>
      <c r="W582" s="544"/>
      <c r="X582" s="544"/>
      <c r="Y582" s="544"/>
      <c r="Z582" s="544"/>
      <c r="AA582" s="544"/>
      <c r="AB582" s="544"/>
      <c r="AC582" s="544"/>
      <c r="AD582" s="544"/>
      <c r="AE582" s="183"/>
      <c r="AF582" s="183"/>
      <c r="AG582" s="183"/>
      <c r="AH582" s="183"/>
      <c r="AI582" s="183"/>
      <c r="AJ582" s="183"/>
      <c r="AK582" s="183"/>
      <c r="AL582" s="183"/>
      <c r="AM582" s="183"/>
    </row>
    <row r="583">
      <c r="A583" s="273" t="str">
        <f>IFERROR(__xludf.DUMMYFUNCTION("""COMPUTED_VALUE"""),"サイズ")</f>
        <v>サイズ</v>
      </c>
      <c r="B583" s="273" t="str">
        <f>IFERROR(__xludf.DUMMYFUNCTION("""COMPUTED_VALUE"""),"チノパン")</f>
        <v>チノパン</v>
      </c>
      <c r="C583" s="273" t="str">
        <f>IFERROR(__xludf.DUMMYFUNCTION("""COMPUTED_VALUE"""),"ひざ巾")</f>
        <v>ひざ巾</v>
      </c>
      <c r="D583" s="668"/>
      <c r="E583" s="668"/>
      <c r="F583" s="342" t="str">
        <f>IFERROR(__xludf.DUMMYFUNCTION("""COMPUTED_VALUE"""),"ひざ巾")</f>
        <v>ひざ巾</v>
      </c>
      <c r="G583" s="668" t="str">
        <f>IFERROR(__xludf.DUMMYFUNCTION("""COMPUTED_VALUE"""),"ひざ巾")</f>
        <v>ひざ巾</v>
      </c>
      <c r="H583" s="672" t="str">
        <f>IFERROR(__xludf.DUMMYFUNCTION("""COMPUTED_VALUE"""),"-3.5")</f>
        <v>-3.5</v>
      </c>
      <c r="I583" s="669"/>
      <c r="J583" s="669">
        <f>IFERROR(__xludf.DUMMYFUNCTION("""COMPUTED_VALUE"""),5.0)</f>
        <v>5</v>
      </c>
      <c r="K583" s="673">
        <f>IFERROR(__xludf.DUMMYFUNCTION("""COMPUTED_VALUE"""),45996.0)</f>
        <v>45996</v>
      </c>
      <c r="L583" s="670">
        <f>IFERROR(__xludf.DUMMYFUNCTION("""COMPUTED_VALUE"""),46002.0)</f>
        <v>46002</v>
      </c>
      <c r="M583" s="670">
        <f>IFERROR(__xludf.DUMMYFUNCTION("""COMPUTED_VALUE"""),46002.0)</f>
        <v>46002</v>
      </c>
      <c r="N583" s="674">
        <f>IFERROR(__xludf.DUMMYFUNCTION("""COMPUTED_VALUE"""),1650.0)</f>
        <v>1650</v>
      </c>
      <c r="O583" s="593">
        <f>IFERROR(__xludf.DUMMYFUNCTION("""COMPUTED_VALUE"""),1500.0)</f>
        <v>1500</v>
      </c>
      <c r="P583" s="594">
        <f>IFERROR(__xludf.DUMMYFUNCTION("""COMPUTED_VALUE"""),1000.0)</f>
        <v>1000</v>
      </c>
      <c r="Q583" s="183"/>
      <c r="R583" s="544"/>
      <c r="S583" s="544"/>
      <c r="T583" s="544"/>
      <c r="U583" s="544"/>
      <c r="V583" s="544"/>
      <c r="W583" s="544"/>
      <c r="X583" s="544"/>
      <c r="Y583" s="544"/>
      <c r="Z583" s="544"/>
      <c r="AA583" s="544"/>
      <c r="AB583" s="544"/>
      <c r="AC583" s="544"/>
      <c r="AD583" s="544"/>
      <c r="AE583" s="183"/>
      <c r="AF583" s="183"/>
      <c r="AG583" s="183"/>
      <c r="AH583" s="183"/>
      <c r="AI583" s="183"/>
      <c r="AJ583" s="183"/>
      <c r="AK583" s="183"/>
      <c r="AL583" s="183"/>
      <c r="AM583" s="183"/>
    </row>
    <row r="584">
      <c r="A584" s="273" t="str">
        <f>IFERROR(__xludf.DUMMYFUNCTION("""COMPUTED_VALUE"""),"サイズ")</f>
        <v>サイズ</v>
      </c>
      <c r="B584" s="273" t="str">
        <f>IFERROR(__xludf.DUMMYFUNCTION("""COMPUTED_VALUE"""),"チノパン")</f>
        <v>チノパン</v>
      </c>
      <c r="C584" s="273" t="str">
        <f>IFERROR(__xludf.DUMMYFUNCTION("""COMPUTED_VALUE"""),"ひざ巾")</f>
        <v>ひざ巾</v>
      </c>
      <c r="D584" s="668"/>
      <c r="E584" s="668"/>
      <c r="F584" s="342" t="str">
        <f>IFERROR(__xludf.DUMMYFUNCTION("""COMPUTED_VALUE"""),"ひざ巾")</f>
        <v>ひざ巾</v>
      </c>
      <c r="G584" s="668" t="str">
        <f>IFERROR(__xludf.DUMMYFUNCTION("""COMPUTED_VALUE"""),"ひざ巾")</f>
        <v>ひざ巾</v>
      </c>
      <c r="H584" s="672" t="str">
        <f>IFERROR(__xludf.DUMMYFUNCTION("""COMPUTED_VALUE"""),"-4")</f>
        <v>-4</v>
      </c>
      <c r="I584" s="669"/>
      <c r="J584" s="669">
        <f>IFERROR(__xludf.DUMMYFUNCTION("""COMPUTED_VALUE"""),5.0)</f>
        <v>5</v>
      </c>
      <c r="K584" s="673">
        <f>IFERROR(__xludf.DUMMYFUNCTION("""COMPUTED_VALUE"""),45996.0)</f>
        <v>45996</v>
      </c>
      <c r="L584" s="670">
        <f>IFERROR(__xludf.DUMMYFUNCTION("""COMPUTED_VALUE"""),46002.0)</f>
        <v>46002</v>
      </c>
      <c r="M584" s="670">
        <f>IFERROR(__xludf.DUMMYFUNCTION("""COMPUTED_VALUE"""),46002.0)</f>
        <v>46002</v>
      </c>
      <c r="N584" s="674">
        <f>IFERROR(__xludf.DUMMYFUNCTION("""COMPUTED_VALUE"""),1650.0)</f>
        <v>1650</v>
      </c>
      <c r="O584" s="593">
        <f>IFERROR(__xludf.DUMMYFUNCTION("""COMPUTED_VALUE"""),1500.0)</f>
        <v>1500</v>
      </c>
      <c r="P584" s="594">
        <f>IFERROR(__xludf.DUMMYFUNCTION("""COMPUTED_VALUE"""),1000.0)</f>
        <v>1000</v>
      </c>
      <c r="Q584" s="183"/>
      <c r="R584" s="544"/>
      <c r="S584" s="544"/>
      <c r="T584" s="544"/>
      <c r="U584" s="544"/>
      <c r="V584" s="544"/>
      <c r="W584" s="544"/>
      <c r="X584" s="544"/>
      <c r="Y584" s="544"/>
      <c r="Z584" s="544"/>
      <c r="AA584" s="544"/>
      <c r="AB584" s="544"/>
      <c r="AC584" s="544"/>
      <c r="AD584" s="544"/>
      <c r="AE584" s="183"/>
      <c r="AF584" s="183"/>
      <c r="AG584" s="183"/>
      <c r="AH584" s="183"/>
      <c r="AI584" s="183"/>
      <c r="AJ584" s="183"/>
      <c r="AK584" s="183"/>
      <c r="AL584" s="183"/>
      <c r="AM584" s="183"/>
    </row>
    <row r="585">
      <c r="A585" s="273" t="str">
        <f>IFERROR(__xludf.DUMMYFUNCTION("""COMPUTED_VALUE"""),"サイズ")</f>
        <v>サイズ</v>
      </c>
      <c r="B585" s="273" t="str">
        <f>IFERROR(__xludf.DUMMYFUNCTION("""COMPUTED_VALUE"""),"チノパン")</f>
        <v>チノパン</v>
      </c>
      <c r="C585" s="273" t="str">
        <f>IFERROR(__xludf.DUMMYFUNCTION("""COMPUTED_VALUE"""),"ひざ巾")</f>
        <v>ひざ巾</v>
      </c>
      <c r="D585" s="668"/>
      <c r="E585" s="668"/>
      <c r="F585" s="342" t="str">
        <f>IFERROR(__xludf.DUMMYFUNCTION("""COMPUTED_VALUE"""),"ひざ巾")</f>
        <v>ひざ巾</v>
      </c>
      <c r="G585" s="668" t="str">
        <f>IFERROR(__xludf.DUMMYFUNCTION("""COMPUTED_VALUE"""),"ひざ巾")</f>
        <v>ひざ巾</v>
      </c>
      <c r="H585" s="672" t="str">
        <f>IFERROR(__xludf.DUMMYFUNCTION("""COMPUTED_VALUE"""),"-2")</f>
        <v>-2</v>
      </c>
      <c r="I585" s="669"/>
      <c r="J585" s="669">
        <f>IFERROR(__xludf.DUMMYFUNCTION("""COMPUTED_VALUE"""),5.0)</f>
        <v>5</v>
      </c>
      <c r="K585" s="673">
        <f>IFERROR(__xludf.DUMMYFUNCTION("""COMPUTED_VALUE"""),45996.0)</f>
        <v>45996</v>
      </c>
      <c r="L585" s="670">
        <f>IFERROR(__xludf.DUMMYFUNCTION("""COMPUTED_VALUE"""),46002.0)</f>
        <v>46002</v>
      </c>
      <c r="M585" s="670">
        <f>IFERROR(__xludf.DUMMYFUNCTION("""COMPUTED_VALUE"""),46002.0)</f>
        <v>46002</v>
      </c>
      <c r="N585" s="674">
        <f>IFERROR(__xludf.DUMMYFUNCTION("""COMPUTED_VALUE"""),1650.0)</f>
        <v>1650</v>
      </c>
      <c r="O585" s="593">
        <f>IFERROR(__xludf.DUMMYFUNCTION("""COMPUTED_VALUE"""),1500.0)</f>
        <v>1500</v>
      </c>
      <c r="P585" s="594">
        <f>IFERROR(__xludf.DUMMYFUNCTION("""COMPUTED_VALUE"""),1000.0)</f>
        <v>1000</v>
      </c>
      <c r="Q585" s="183"/>
      <c r="R585" s="544"/>
      <c r="S585" s="544"/>
      <c r="T585" s="544"/>
      <c r="U585" s="544"/>
      <c r="V585" s="544"/>
      <c r="W585" s="544"/>
      <c r="X585" s="544"/>
      <c r="Y585" s="544"/>
      <c r="Z585" s="544"/>
      <c r="AA585" s="544"/>
      <c r="AB585" s="544"/>
      <c r="AC585" s="544"/>
      <c r="AD585" s="544"/>
      <c r="AE585" s="183"/>
      <c r="AF585" s="183"/>
      <c r="AG585" s="183"/>
      <c r="AH585" s="183"/>
      <c r="AI585" s="183"/>
      <c r="AJ585" s="183"/>
      <c r="AK585" s="183"/>
      <c r="AL585" s="183"/>
      <c r="AM585" s="183"/>
    </row>
    <row r="586">
      <c r="A586" s="273" t="str">
        <f>IFERROR(__xludf.DUMMYFUNCTION("""COMPUTED_VALUE"""),"サイズ")</f>
        <v>サイズ</v>
      </c>
      <c r="B586" s="273" t="str">
        <f>IFERROR(__xludf.DUMMYFUNCTION("""COMPUTED_VALUE"""),"チノパン")</f>
        <v>チノパン</v>
      </c>
      <c r="C586" s="273" t="str">
        <f>IFERROR(__xludf.DUMMYFUNCTION("""COMPUTED_VALUE"""),"ひざ巾")</f>
        <v>ひざ巾</v>
      </c>
      <c r="D586" s="668"/>
      <c r="E586" s="668"/>
      <c r="F586" s="342" t="str">
        <f>IFERROR(__xludf.DUMMYFUNCTION("""COMPUTED_VALUE"""),"ひざ巾")</f>
        <v>ひざ巾</v>
      </c>
      <c r="G586" s="668" t="str">
        <f>IFERROR(__xludf.DUMMYFUNCTION("""COMPUTED_VALUE"""),"ひざ巾")</f>
        <v>ひざ巾</v>
      </c>
      <c r="H586" s="672" t="str">
        <f>IFERROR(__xludf.DUMMYFUNCTION("""COMPUTED_VALUE"""),"-1.5")</f>
        <v>-1.5</v>
      </c>
      <c r="I586" s="669"/>
      <c r="J586" s="669">
        <f>IFERROR(__xludf.DUMMYFUNCTION("""COMPUTED_VALUE"""),5.0)</f>
        <v>5</v>
      </c>
      <c r="K586" s="673">
        <f>IFERROR(__xludf.DUMMYFUNCTION("""COMPUTED_VALUE"""),45996.0)</f>
        <v>45996</v>
      </c>
      <c r="L586" s="670">
        <f>IFERROR(__xludf.DUMMYFUNCTION("""COMPUTED_VALUE"""),46002.0)</f>
        <v>46002</v>
      </c>
      <c r="M586" s="670">
        <f>IFERROR(__xludf.DUMMYFUNCTION("""COMPUTED_VALUE"""),46002.0)</f>
        <v>46002</v>
      </c>
      <c r="N586" s="674">
        <f>IFERROR(__xludf.DUMMYFUNCTION("""COMPUTED_VALUE"""),1650.0)</f>
        <v>1650</v>
      </c>
      <c r="O586" s="593">
        <f>IFERROR(__xludf.DUMMYFUNCTION("""COMPUTED_VALUE"""),1500.0)</f>
        <v>1500</v>
      </c>
      <c r="P586" s="594">
        <f>IFERROR(__xludf.DUMMYFUNCTION("""COMPUTED_VALUE"""),1000.0)</f>
        <v>1000</v>
      </c>
      <c r="Q586" s="183"/>
      <c r="R586" s="544"/>
      <c r="S586" s="544"/>
      <c r="T586" s="544"/>
      <c r="U586" s="544"/>
      <c r="V586" s="544"/>
      <c r="W586" s="544"/>
      <c r="X586" s="544"/>
      <c r="Y586" s="544"/>
      <c r="Z586" s="544"/>
      <c r="AA586" s="544"/>
      <c r="AB586" s="544"/>
      <c r="AC586" s="544"/>
      <c r="AD586" s="544"/>
      <c r="AE586" s="183"/>
      <c r="AF586" s="183"/>
      <c r="AG586" s="183"/>
      <c r="AH586" s="183"/>
      <c r="AI586" s="183"/>
      <c r="AJ586" s="183"/>
      <c r="AK586" s="183"/>
      <c r="AL586" s="183"/>
      <c r="AM586" s="183"/>
    </row>
    <row r="587">
      <c r="A587" s="273" t="str">
        <f>IFERROR(__xludf.DUMMYFUNCTION("""COMPUTED_VALUE"""),"サイズ")</f>
        <v>サイズ</v>
      </c>
      <c r="B587" s="273" t="str">
        <f>IFERROR(__xludf.DUMMYFUNCTION("""COMPUTED_VALUE"""),"チノパン")</f>
        <v>チノパン</v>
      </c>
      <c r="C587" s="273" t="str">
        <f>IFERROR(__xludf.DUMMYFUNCTION("""COMPUTED_VALUE"""),"ひざ巾")</f>
        <v>ひざ巾</v>
      </c>
      <c r="D587" s="668"/>
      <c r="E587" s="668"/>
      <c r="F587" s="342" t="str">
        <f>IFERROR(__xludf.DUMMYFUNCTION("""COMPUTED_VALUE"""),"ひざ巾")</f>
        <v>ひざ巾</v>
      </c>
      <c r="G587" s="668" t="str">
        <f>IFERROR(__xludf.DUMMYFUNCTION("""COMPUTED_VALUE"""),"ひざ巾")</f>
        <v>ひざ巾</v>
      </c>
      <c r="H587" s="672" t="str">
        <f>IFERROR(__xludf.DUMMYFUNCTION("""COMPUTED_VALUE"""),"-1")</f>
        <v>-1</v>
      </c>
      <c r="I587" s="669"/>
      <c r="J587" s="669">
        <f>IFERROR(__xludf.DUMMYFUNCTION("""COMPUTED_VALUE"""),5.0)</f>
        <v>5</v>
      </c>
      <c r="K587" s="673">
        <f>IFERROR(__xludf.DUMMYFUNCTION("""COMPUTED_VALUE"""),45996.0)</f>
        <v>45996</v>
      </c>
      <c r="L587" s="670">
        <f>IFERROR(__xludf.DUMMYFUNCTION("""COMPUTED_VALUE"""),46002.0)</f>
        <v>46002</v>
      </c>
      <c r="M587" s="670">
        <f>IFERROR(__xludf.DUMMYFUNCTION("""COMPUTED_VALUE"""),46002.0)</f>
        <v>46002</v>
      </c>
      <c r="N587" s="674">
        <f>IFERROR(__xludf.DUMMYFUNCTION("""COMPUTED_VALUE"""),1650.0)</f>
        <v>1650</v>
      </c>
      <c r="O587" s="593">
        <f>IFERROR(__xludf.DUMMYFUNCTION("""COMPUTED_VALUE"""),1500.0)</f>
        <v>1500</v>
      </c>
      <c r="P587" s="594">
        <f>IFERROR(__xludf.DUMMYFUNCTION("""COMPUTED_VALUE"""),1000.0)</f>
        <v>1000</v>
      </c>
      <c r="Q587" s="183"/>
      <c r="R587" s="544"/>
      <c r="S587" s="544"/>
      <c r="T587" s="544"/>
      <c r="U587" s="544"/>
      <c r="V587" s="544"/>
      <c r="W587" s="544"/>
      <c r="X587" s="544"/>
      <c r="Y587" s="544"/>
      <c r="Z587" s="544"/>
      <c r="AA587" s="544"/>
      <c r="AB587" s="544"/>
      <c r="AC587" s="544"/>
      <c r="AD587" s="544"/>
      <c r="AE587" s="183"/>
      <c r="AF587" s="183"/>
      <c r="AG587" s="183"/>
      <c r="AH587" s="183"/>
      <c r="AI587" s="183"/>
      <c r="AJ587" s="183"/>
      <c r="AK587" s="183"/>
      <c r="AL587" s="183"/>
      <c r="AM587" s="183"/>
    </row>
    <row r="588">
      <c r="A588" s="273" t="str">
        <f>IFERROR(__xludf.DUMMYFUNCTION("""COMPUTED_VALUE"""),"サイズ")</f>
        <v>サイズ</v>
      </c>
      <c r="B588" s="273" t="str">
        <f>IFERROR(__xludf.DUMMYFUNCTION("""COMPUTED_VALUE"""),"チノパン")</f>
        <v>チノパン</v>
      </c>
      <c r="C588" s="273" t="str">
        <f>IFERROR(__xludf.DUMMYFUNCTION("""COMPUTED_VALUE"""),"ひざ巾")</f>
        <v>ひざ巾</v>
      </c>
      <c r="D588" s="668"/>
      <c r="E588" s="668"/>
      <c r="F588" s="342" t="str">
        <f>IFERROR(__xludf.DUMMYFUNCTION("""COMPUTED_VALUE"""),"ひざ巾")</f>
        <v>ひざ巾</v>
      </c>
      <c r="G588" s="668" t="str">
        <f>IFERROR(__xludf.DUMMYFUNCTION("""COMPUTED_VALUE"""),"ひざ巾")</f>
        <v>ひざ巾</v>
      </c>
      <c r="H588" s="672" t="str">
        <f>IFERROR(__xludf.DUMMYFUNCTION("""COMPUTED_VALUE"""),"-0.5")</f>
        <v>-0.5</v>
      </c>
      <c r="I588" s="669"/>
      <c r="J588" s="669">
        <f>IFERROR(__xludf.DUMMYFUNCTION("""COMPUTED_VALUE"""),5.0)</f>
        <v>5</v>
      </c>
      <c r="K588" s="673">
        <f>IFERROR(__xludf.DUMMYFUNCTION("""COMPUTED_VALUE"""),45996.0)</f>
        <v>45996</v>
      </c>
      <c r="L588" s="670">
        <f>IFERROR(__xludf.DUMMYFUNCTION("""COMPUTED_VALUE"""),46002.0)</f>
        <v>46002</v>
      </c>
      <c r="M588" s="670">
        <f>IFERROR(__xludf.DUMMYFUNCTION("""COMPUTED_VALUE"""),46002.0)</f>
        <v>46002</v>
      </c>
      <c r="N588" s="674">
        <f>IFERROR(__xludf.DUMMYFUNCTION("""COMPUTED_VALUE"""),1650.0)</f>
        <v>1650</v>
      </c>
      <c r="O588" s="593">
        <f>IFERROR(__xludf.DUMMYFUNCTION("""COMPUTED_VALUE"""),1500.0)</f>
        <v>1500</v>
      </c>
      <c r="P588" s="594">
        <f>IFERROR(__xludf.DUMMYFUNCTION("""COMPUTED_VALUE"""),1000.0)</f>
        <v>1000</v>
      </c>
      <c r="Q588" s="183"/>
      <c r="R588" s="544"/>
      <c r="S588" s="544"/>
      <c r="T588" s="544"/>
      <c r="U588" s="544"/>
      <c r="V588" s="544"/>
      <c r="W588" s="544"/>
      <c r="X588" s="544"/>
      <c r="Y588" s="544"/>
      <c r="Z588" s="544"/>
      <c r="AA588" s="544"/>
      <c r="AB588" s="544"/>
      <c r="AC588" s="544"/>
      <c r="AD588" s="544"/>
      <c r="AE588" s="183"/>
      <c r="AF588" s="183"/>
      <c r="AG588" s="183"/>
      <c r="AH588" s="183"/>
      <c r="AI588" s="183"/>
      <c r="AJ588" s="183"/>
      <c r="AK588" s="183"/>
      <c r="AL588" s="183"/>
      <c r="AM588" s="183"/>
    </row>
    <row r="589">
      <c r="A589" s="273" t="str">
        <f>IFERROR(__xludf.DUMMYFUNCTION("""COMPUTED_VALUE"""),"縫製")</f>
        <v>縫製</v>
      </c>
      <c r="B589" s="273" t="str">
        <f>IFERROR(__xludf.DUMMYFUNCTION("""COMPUTED_VALUE"""),"アルスターコート")</f>
        <v>アルスターコート</v>
      </c>
      <c r="C589" s="273" t="str">
        <f>IFERROR(__xludf.DUMMYFUNCTION("""COMPUTED_VALUE"""),"仕上げプレス")</f>
        <v>仕上げプレス</v>
      </c>
      <c r="D589" s="668"/>
      <c r="E589" s="668"/>
      <c r="F589" s="342" t="str">
        <f>IFERROR(__xludf.DUMMYFUNCTION("""COMPUTED_VALUE"""),"仕上げプレス")</f>
        <v>仕上げプレス</v>
      </c>
      <c r="G589" s="668" t="str">
        <f>IFERROR(__xludf.DUMMYFUNCTION("""COMPUTED_VALUE"""),"仕上げプレス")</f>
        <v>仕上げプレス</v>
      </c>
      <c r="H589" s="669"/>
      <c r="I589" s="669" t="str">
        <f>IFERROR(__xludf.DUMMYFUNCTION("""COMPUTED_VALUE"""),"店舗/CS")</f>
        <v>店舗/CS</v>
      </c>
      <c r="J589" s="669"/>
      <c r="K589" s="669"/>
      <c r="L589" s="670"/>
      <c r="M589" s="670"/>
      <c r="N589" s="674">
        <f>IFERROR(__xludf.DUMMYFUNCTION("""COMPUTED_VALUE"""),770.0)</f>
        <v>770</v>
      </c>
      <c r="O589" s="593">
        <f>IFERROR(__xludf.DUMMYFUNCTION("""COMPUTED_VALUE"""),700.0)</f>
        <v>700</v>
      </c>
      <c r="P589" s="594">
        <f>IFERROR(__xludf.DUMMYFUNCTION("""COMPUTED_VALUE"""),350.0)</f>
        <v>350</v>
      </c>
      <c r="Q589" s="183"/>
      <c r="R589" s="544"/>
      <c r="S589" s="544"/>
      <c r="T589" s="544"/>
      <c r="U589" s="544"/>
      <c r="V589" s="544"/>
      <c r="W589" s="544"/>
      <c r="X589" s="544"/>
      <c r="Y589" s="544"/>
      <c r="Z589" s="544"/>
      <c r="AA589" s="544"/>
      <c r="AB589" s="544"/>
      <c r="AC589" s="544"/>
      <c r="AD589" s="544"/>
      <c r="AE589" s="183"/>
      <c r="AF589" s="183"/>
      <c r="AG589" s="183"/>
      <c r="AH589" s="183"/>
      <c r="AI589" s="183"/>
      <c r="AJ589" s="183"/>
      <c r="AK589" s="183"/>
      <c r="AL589" s="183"/>
      <c r="AM589" s="183"/>
    </row>
    <row r="590">
      <c r="A590" s="273" t="str">
        <f>IFERROR(__xludf.DUMMYFUNCTION("""COMPUTED_VALUE"""),"サイズ")</f>
        <v>サイズ</v>
      </c>
      <c r="B590" s="273" t="str">
        <f>IFERROR(__xludf.DUMMYFUNCTION("""COMPUTED_VALUE"""),"チノパン")</f>
        <v>チノパン</v>
      </c>
      <c r="C590" s="273" t="str">
        <f>IFERROR(__xludf.DUMMYFUNCTION("""COMPUTED_VALUE"""),"すそ口巾")</f>
        <v>すそ口巾</v>
      </c>
      <c r="D590" s="668" t="str">
        <f>IFERROR(__xludf.DUMMYFUNCTION("""COMPUTED_VALUE"""),"シングル")</f>
        <v>シングル</v>
      </c>
      <c r="E590" s="668"/>
      <c r="F590" s="342" t="str">
        <f>IFERROR(__xludf.DUMMYFUNCTION("""COMPUTED_VALUE"""),"すそ口巾 / シングル")</f>
        <v>すそ口巾 / シングル</v>
      </c>
      <c r="G590" s="668" t="str">
        <f>IFERROR(__xludf.DUMMYFUNCTION("""COMPUTED_VALUE"""),"すそ口巾 / シングル")</f>
        <v>すそ口巾 / シングル</v>
      </c>
      <c r="H590" s="672" t="str">
        <f>IFERROR(__xludf.DUMMYFUNCTION("""COMPUTED_VALUE"""),"-4")</f>
        <v>-4</v>
      </c>
      <c r="I590" s="669"/>
      <c r="J590" s="669">
        <f>IFERROR(__xludf.DUMMYFUNCTION("""COMPUTED_VALUE"""),5.0)</f>
        <v>5</v>
      </c>
      <c r="K590" s="673">
        <f>IFERROR(__xludf.DUMMYFUNCTION("""COMPUTED_VALUE"""),45996.0)</f>
        <v>45996</v>
      </c>
      <c r="L590" s="670">
        <f>IFERROR(__xludf.DUMMYFUNCTION("""COMPUTED_VALUE"""),46002.0)</f>
        <v>46002</v>
      </c>
      <c r="M590" s="670">
        <f>IFERROR(__xludf.DUMMYFUNCTION("""COMPUTED_VALUE"""),46002.0)</f>
        <v>46002</v>
      </c>
      <c r="N590" s="674">
        <f>IFERROR(__xludf.DUMMYFUNCTION("""COMPUTED_VALUE"""),2810.0)</f>
        <v>2810</v>
      </c>
      <c r="O590" s="593">
        <f>IFERROR(__xludf.DUMMYFUNCTION("""COMPUTED_VALUE"""),2550.0)</f>
        <v>2550</v>
      </c>
      <c r="P590" s="594">
        <f>IFERROR(__xludf.DUMMYFUNCTION("""COMPUTED_VALUE"""),1600.0)</f>
        <v>1600</v>
      </c>
      <c r="Q590" s="183"/>
      <c r="R590" s="544" t="str">
        <f>IFERROR(__xludf.DUMMYFUNCTION("""COMPUTED_VALUE"""),"O列要確認")</f>
        <v>O列要確認</v>
      </c>
      <c r="S590" s="544"/>
      <c r="T590" s="544"/>
      <c r="U590" s="544"/>
      <c r="V590" s="544"/>
      <c r="W590" s="544"/>
      <c r="X590" s="544"/>
      <c r="Y590" s="544"/>
      <c r="Z590" s="544"/>
      <c r="AA590" s="544"/>
      <c r="AB590" s="544"/>
      <c r="AC590" s="544"/>
      <c r="AD590" s="544"/>
      <c r="AE590" s="183"/>
      <c r="AF590" s="183"/>
      <c r="AG590" s="183"/>
      <c r="AH590" s="183"/>
      <c r="AI590" s="183"/>
      <c r="AJ590" s="183"/>
      <c r="AK590" s="183"/>
      <c r="AL590" s="183"/>
      <c r="AM590" s="183"/>
    </row>
    <row r="591">
      <c r="A591" s="273" t="str">
        <f>IFERROR(__xludf.DUMMYFUNCTION("""COMPUTED_VALUE"""),"サイズ")</f>
        <v>サイズ</v>
      </c>
      <c r="B591" s="273" t="str">
        <f>IFERROR(__xludf.DUMMYFUNCTION("""COMPUTED_VALUE"""),"チノパン")</f>
        <v>チノパン</v>
      </c>
      <c r="C591" s="273" t="str">
        <f>IFERROR(__xludf.DUMMYFUNCTION("""COMPUTED_VALUE"""),"すそ口巾")</f>
        <v>すそ口巾</v>
      </c>
      <c r="D591" s="668" t="str">
        <f>IFERROR(__xludf.DUMMYFUNCTION("""COMPUTED_VALUE"""),"シングル")</f>
        <v>シングル</v>
      </c>
      <c r="E591" s="668"/>
      <c r="F591" s="342" t="str">
        <f>IFERROR(__xludf.DUMMYFUNCTION("""COMPUTED_VALUE"""),"すそ口巾 / シングル")</f>
        <v>すそ口巾 / シングル</v>
      </c>
      <c r="G591" s="668" t="str">
        <f>IFERROR(__xludf.DUMMYFUNCTION("""COMPUTED_VALUE"""),"すそ口巾 / シングル")</f>
        <v>すそ口巾 / シングル</v>
      </c>
      <c r="H591" s="672" t="str">
        <f>IFERROR(__xludf.DUMMYFUNCTION("""COMPUTED_VALUE"""),"-3.5")</f>
        <v>-3.5</v>
      </c>
      <c r="I591" s="669"/>
      <c r="J591" s="669">
        <f>IFERROR(__xludf.DUMMYFUNCTION("""COMPUTED_VALUE"""),5.0)</f>
        <v>5</v>
      </c>
      <c r="K591" s="673">
        <f>IFERROR(__xludf.DUMMYFUNCTION("""COMPUTED_VALUE"""),45996.0)</f>
        <v>45996</v>
      </c>
      <c r="L591" s="670">
        <f>IFERROR(__xludf.DUMMYFUNCTION("""COMPUTED_VALUE"""),46002.0)</f>
        <v>46002</v>
      </c>
      <c r="M591" s="670">
        <f>IFERROR(__xludf.DUMMYFUNCTION("""COMPUTED_VALUE"""),46002.0)</f>
        <v>46002</v>
      </c>
      <c r="N591" s="674">
        <f>IFERROR(__xludf.DUMMYFUNCTION("""COMPUTED_VALUE"""),2810.0)</f>
        <v>2810</v>
      </c>
      <c r="O591" s="593">
        <f>IFERROR(__xludf.DUMMYFUNCTION("""COMPUTED_VALUE"""),2550.0)</f>
        <v>2550</v>
      </c>
      <c r="P591" s="594">
        <f>IFERROR(__xludf.DUMMYFUNCTION("""COMPUTED_VALUE"""),1600.0)</f>
        <v>1600</v>
      </c>
      <c r="Q591" s="183"/>
      <c r="R591" s="544" t="str">
        <f>IFERROR(__xludf.DUMMYFUNCTION("""COMPUTED_VALUE"""),"O列要確認")</f>
        <v>O列要確認</v>
      </c>
      <c r="S591" s="544"/>
      <c r="T591" s="544"/>
      <c r="U591" s="544"/>
      <c r="V591" s="544"/>
      <c r="W591" s="544"/>
      <c r="X591" s="544"/>
      <c r="Y591" s="544"/>
      <c r="Z591" s="544"/>
      <c r="AA591" s="544"/>
      <c r="AB591" s="544"/>
      <c r="AC591" s="544"/>
      <c r="AD591" s="544"/>
      <c r="AE591" s="183"/>
      <c r="AF591" s="183"/>
      <c r="AG591" s="183"/>
      <c r="AH591" s="183"/>
      <c r="AI591" s="183"/>
      <c r="AJ591" s="183"/>
      <c r="AK591" s="183"/>
      <c r="AL591" s="183"/>
      <c r="AM591" s="183"/>
    </row>
    <row r="592">
      <c r="A592" s="273" t="str">
        <f>IFERROR(__xludf.DUMMYFUNCTION("""COMPUTED_VALUE"""),"サイズ")</f>
        <v>サイズ</v>
      </c>
      <c r="B592" s="273" t="str">
        <f>IFERROR(__xludf.DUMMYFUNCTION("""COMPUTED_VALUE"""),"チノパン")</f>
        <v>チノパン</v>
      </c>
      <c r="C592" s="273" t="str">
        <f>IFERROR(__xludf.DUMMYFUNCTION("""COMPUTED_VALUE"""),"すそ口巾")</f>
        <v>すそ口巾</v>
      </c>
      <c r="D592" s="668" t="str">
        <f>IFERROR(__xludf.DUMMYFUNCTION("""COMPUTED_VALUE"""),"シングル")</f>
        <v>シングル</v>
      </c>
      <c r="E592" s="668"/>
      <c r="F592" s="342" t="str">
        <f>IFERROR(__xludf.DUMMYFUNCTION("""COMPUTED_VALUE"""),"すそ口巾 / シングル")</f>
        <v>すそ口巾 / シングル</v>
      </c>
      <c r="G592" s="668" t="str">
        <f>IFERROR(__xludf.DUMMYFUNCTION("""COMPUTED_VALUE"""),"すそ口巾 / シングル")</f>
        <v>すそ口巾 / シングル</v>
      </c>
      <c r="H592" s="672" t="str">
        <f>IFERROR(__xludf.DUMMYFUNCTION("""COMPUTED_VALUE"""),"-3")</f>
        <v>-3</v>
      </c>
      <c r="I592" s="669"/>
      <c r="J592" s="669">
        <f>IFERROR(__xludf.DUMMYFUNCTION("""COMPUTED_VALUE"""),5.0)</f>
        <v>5</v>
      </c>
      <c r="K592" s="673">
        <f>IFERROR(__xludf.DUMMYFUNCTION("""COMPUTED_VALUE"""),45996.0)</f>
        <v>45996</v>
      </c>
      <c r="L592" s="670">
        <f>IFERROR(__xludf.DUMMYFUNCTION("""COMPUTED_VALUE"""),46002.0)</f>
        <v>46002</v>
      </c>
      <c r="M592" s="670">
        <f>IFERROR(__xludf.DUMMYFUNCTION("""COMPUTED_VALUE"""),46002.0)</f>
        <v>46002</v>
      </c>
      <c r="N592" s="674">
        <f>IFERROR(__xludf.DUMMYFUNCTION("""COMPUTED_VALUE"""),2810.0)</f>
        <v>2810</v>
      </c>
      <c r="O592" s="593">
        <f>IFERROR(__xludf.DUMMYFUNCTION("""COMPUTED_VALUE"""),2550.0)</f>
        <v>2550</v>
      </c>
      <c r="P592" s="594">
        <f>IFERROR(__xludf.DUMMYFUNCTION("""COMPUTED_VALUE"""),1600.0)</f>
        <v>1600</v>
      </c>
      <c r="Q592" s="183"/>
      <c r="R592" s="544" t="str">
        <f>IFERROR(__xludf.DUMMYFUNCTION("""COMPUTED_VALUE"""),"O列要確認")</f>
        <v>O列要確認</v>
      </c>
      <c r="S592" s="544"/>
      <c r="T592" s="544"/>
      <c r="U592" s="544"/>
      <c r="V592" s="544"/>
      <c r="W592" s="544"/>
      <c r="X592" s="544"/>
      <c r="Y592" s="544"/>
      <c r="Z592" s="544"/>
      <c r="AA592" s="544"/>
      <c r="AB592" s="544"/>
      <c r="AC592" s="544"/>
      <c r="AD592" s="544"/>
      <c r="AE592" s="183"/>
      <c r="AF592" s="183"/>
      <c r="AG592" s="183"/>
      <c r="AH592" s="183"/>
      <c r="AI592" s="183"/>
      <c r="AJ592" s="183"/>
      <c r="AK592" s="183"/>
      <c r="AL592" s="183"/>
      <c r="AM592" s="183"/>
    </row>
    <row r="593">
      <c r="A593" s="273" t="str">
        <f>IFERROR(__xludf.DUMMYFUNCTION("""COMPUTED_VALUE"""),"サイズ")</f>
        <v>サイズ</v>
      </c>
      <c r="B593" s="273" t="str">
        <f>IFERROR(__xludf.DUMMYFUNCTION("""COMPUTED_VALUE"""),"チノパン")</f>
        <v>チノパン</v>
      </c>
      <c r="C593" s="273" t="str">
        <f>IFERROR(__xludf.DUMMYFUNCTION("""COMPUTED_VALUE"""),"すそ口巾")</f>
        <v>すそ口巾</v>
      </c>
      <c r="D593" s="668" t="str">
        <f>IFERROR(__xludf.DUMMYFUNCTION("""COMPUTED_VALUE"""),"シングル")</f>
        <v>シングル</v>
      </c>
      <c r="E593" s="668"/>
      <c r="F593" s="342" t="str">
        <f>IFERROR(__xludf.DUMMYFUNCTION("""COMPUTED_VALUE"""),"すそ口巾 / シングル")</f>
        <v>すそ口巾 / シングル</v>
      </c>
      <c r="G593" s="668" t="str">
        <f>IFERROR(__xludf.DUMMYFUNCTION("""COMPUTED_VALUE"""),"すそ口巾 / シングル")</f>
        <v>すそ口巾 / シングル</v>
      </c>
      <c r="H593" s="672" t="str">
        <f>IFERROR(__xludf.DUMMYFUNCTION("""COMPUTED_VALUE"""),"-2.5")</f>
        <v>-2.5</v>
      </c>
      <c r="I593" s="669"/>
      <c r="J593" s="669">
        <f>IFERROR(__xludf.DUMMYFUNCTION("""COMPUTED_VALUE"""),5.0)</f>
        <v>5</v>
      </c>
      <c r="K593" s="673">
        <f>IFERROR(__xludf.DUMMYFUNCTION("""COMPUTED_VALUE"""),45996.0)</f>
        <v>45996</v>
      </c>
      <c r="L593" s="670">
        <f>IFERROR(__xludf.DUMMYFUNCTION("""COMPUTED_VALUE"""),46002.0)</f>
        <v>46002</v>
      </c>
      <c r="M593" s="670">
        <f>IFERROR(__xludf.DUMMYFUNCTION("""COMPUTED_VALUE"""),46002.0)</f>
        <v>46002</v>
      </c>
      <c r="N593" s="674">
        <f>IFERROR(__xludf.DUMMYFUNCTION("""COMPUTED_VALUE"""),2810.0)</f>
        <v>2810</v>
      </c>
      <c r="O593" s="593">
        <f>IFERROR(__xludf.DUMMYFUNCTION("""COMPUTED_VALUE"""),2550.0)</f>
        <v>2550</v>
      </c>
      <c r="P593" s="594">
        <f>IFERROR(__xludf.DUMMYFUNCTION("""COMPUTED_VALUE"""),1600.0)</f>
        <v>1600</v>
      </c>
      <c r="Q593" s="183"/>
      <c r="R593" s="544" t="str">
        <f>IFERROR(__xludf.DUMMYFUNCTION("""COMPUTED_VALUE"""),"O列要確認")</f>
        <v>O列要確認</v>
      </c>
      <c r="S593" s="544"/>
      <c r="T593" s="544"/>
      <c r="U593" s="544"/>
      <c r="V593" s="544"/>
      <c r="W593" s="544"/>
      <c r="X593" s="544"/>
      <c r="Y593" s="544"/>
      <c r="Z593" s="544"/>
      <c r="AA593" s="544"/>
      <c r="AB593" s="544"/>
      <c r="AC593" s="544"/>
      <c r="AD593" s="544"/>
      <c r="AE593" s="183"/>
      <c r="AF593" s="183"/>
      <c r="AG593" s="183"/>
      <c r="AH593" s="183"/>
      <c r="AI593" s="183"/>
      <c r="AJ593" s="183"/>
      <c r="AK593" s="183"/>
      <c r="AL593" s="183"/>
      <c r="AM593" s="183"/>
    </row>
    <row r="594">
      <c r="A594" s="273" t="str">
        <f>IFERROR(__xludf.DUMMYFUNCTION("""COMPUTED_VALUE"""),"サイズ")</f>
        <v>サイズ</v>
      </c>
      <c r="B594" s="273" t="str">
        <f>IFERROR(__xludf.DUMMYFUNCTION("""COMPUTED_VALUE"""),"チノパン")</f>
        <v>チノパン</v>
      </c>
      <c r="C594" s="273" t="str">
        <f>IFERROR(__xludf.DUMMYFUNCTION("""COMPUTED_VALUE"""),"すそ口巾")</f>
        <v>すそ口巾</v>
      </c>
      <c r="D594" s="668" t="str">
        <f>IFERROR(__xludf.DUMMYFUNCTION("""COMPUTED_VALUE"""),"シングル")</f>
        <v>シングル</v>
      </c>
      <c r="E594" s="668"/>
      <c r="F594" s="342" t="str">
        <f>IFERROR(__xludf.DUMMYFUNCTION("""COMPUTED_VALUE"""),"すそ口巾 / シングル")</f>
        <v>すそ口巾 / シングル</v>
      </c>
      <c r="G594" s="668" t="str">
        <f>IFERROR(__xludf.DUMMYFUNCTION("""COMPUTED_VALUE"""),"すそ口巾 / シングル")</f>
        <v>すそ口巾 / シングル</v>
      </c>
      <c r="H594" s="672" t="str">
        <f>IFERROR(__xludf.DUMMYFUNCTION("""COMPUTED_VALUE"""),"-2")</f>
        <v>-2</v>
      </c>
      <c r="I594" s="669"/>
      <c r="J594" s="669">
        <f>IFERROR(__xludf.DUMMYFUNCTION("""COMPUTED_VALUE"""),5.0)</f>
        <v>5</v>
      </c>
      <c r="K594" s="673">
        <f>IFERROR(__xludf.DUMMYFUNCTION("""COMPUTED_VALUE"""),45996.0)</f>
        <v>45996</v>
      </c>
      <c r="L594" s="670">
        <f>IFERROR(__xludf.DUMMYFUNCTION("""COMPUTED_VALUE"""),46002.0)</f>
        <v>46002</v>
      </c>
      <c r="M594" s="670">
        <f>IFERROR(__xludf.DUMMYFUNCTION("""COMPUTED_VALUE"""),46002.0)</f>
        <v>46002</v>
      </c>
      <c r="N594" s="674">
        <f>IFERROR(__xludf.DUMMYFUNCTION("""COMPUTED_VALUE"""),2810.0)</f>
        <v>2810</v>
      </c>
      <c r="O594" s="593">
        <f>IFERROR(__xludf.DUMMYFUNCTION("""COMPUTED_VALUE"""),2550.0)</f>
        <v>2550</v>
      </c>
      <c r="P594" s="594">
        <f>IFERROR(__xludf.DUMMYFUNCTION("""COMPUTED_VALUE"""),1600.0)</f>
        <v>1600</v>
      </c>
      <c r="Q594" s="183"/>
      <c r="R594" s="544" t="str">
        <f>IFERROR(__xludf.DUMMYFUNCTION("""COMPUTED_VALUE"""),"O列要確認")</f>
        <v>O列要確認</v>
      </c>
      <c r="S594" s="544"/>
      <c r="T594" s="544"/>
      <c r="U594" s="544"/>
      <c r="V594" s="544"/>
      <c r="W594" s="544"/>
      <c r="X594" s="544"/>
      <c r="Y594" s="544"/>
      <c r="Z594" s="544"/>
      <c r="AA594" s="544"/>
      <c r="AB594" s="544"/>
      <c r="AC594" s="544"/>
      <c r="AD594" s="544"/>
      <c r="AE594" s="183"/>
      <c r="AF594" s="183"/>
      <c r="AG594" s="183"/>
      <c r="AH594" s="183"/>
      <c r="AI594" s="183"/>
      <c r="AJ594" s="183"/>
      <c r="AK594" s="183"/>
      <c r="AL594" s="183"/>
      <c r="AM594" s="183"/>
    </row>
    <row r="595">
      <c r="A595" s="273" t="str">
        <f>IFERROR(__xludf.DUMMYFUNCTION("""COMPUTED_VALUE"""),"サイズ")</f>
        <v>サイズ</v>
      </c>
      <c r="B595" s="273" t="str">
        <f>IFERROR(__xludf.DUMMYFUNCTION("""COMPUTED_VALUE"""),"チノパン")</f>
        <v>チノパン</v>
      </c>
      <c r="C595" s="273" t="str">
        <f>IFERROR(__xludf.DUMMYFUNCTION("""COMPUTED_VALUE"""),"すそ口巾")</f>
        <v>すそ口巾</v>
      </c>
      <c r="D595" s="668" t="str">
        <f>IFERROR(__xludf.DUMMYFUNCTION("""COMPUTED_VALUE"""),"シングル")</f>
        <v>シングル</v>
      </c>
      <c r="E595" s="668"/>
      <c r="F595" s="342" t="str">
        <f>IFERROR(__xludf.DUMMYFUNCTION("""COMPUTED_VALUE"""),"すそ口巾 / シングル")</f>
        <v>すそ口巾 / シングル</v>
      </c>
      <c r="G595" s="668" t="str">
        <f>IFERROR(__xludf.DUMMYFUNCTION("""COMPUTED_VALUE"""),"すそ口巾 / シングル")</f>
        <v>すそ口巾 / シングル</v>
      </c>
      <c r="H595" s="672" t="str">
        <f>IFERROR(__xludf.DUMMYFUNCTION("""COMPUTED_VALUE"""),"-1.5")</f>
        <v>-1.5</v>
      </c>
      <c r="I595" s="669"/>
      <c r="J595" s="669">
        <f>IFERROR(__xludf.DUMMYFUNCTION("""COMPUTED_VALUE"""),5.0)</f>
        <v>5</v>
      </c>
      <c r="K595" s="673">
        <f>IFERROR(__xludf.DUMMYFUNCTION("""COMPUTED_VALUE"""),45996.0)</f>
        <v>45996</v>
      </c>
      <c r="L595" s="670">
        <f>IFERROR(__xludf.DUMMYFUNCTION("""COMPUTED_VALUE"""),46002.0)</f>
        <v>46002</v>
      </c>
      <c r="M595" s="670">
        <f>IFERROR(__xludf.DUMMYFUNCTION("""COMPUTED_VALUE"""),46002.0)</f>
        <v>46002</v>
      </c>
      <c r="N595" s="674">
        <f>IFERROR(__xludf.DUMMYFUNCTION("""COMPUTED_VALUE"""),2810.0)</f>
        <v>2810</v>
      </c>
      <c r="O595" s="593">
        <f>IFERROR(__xludf.DUMMYFUNCTION("""COMPUTED_VALUE"""),2550.0)</f>
        <v>2550</v>
      </c>
      <c r="P595" s="594">
        <f>IFERROR(__xludf.DUMMYFUNCTION("""COMPUTED_VALUE"""),1600.0)</f>
        <v>1600</v>
      </c>
      <c r="Q595" s="183"/>
      <c r="R595" s="544" t="str">
        <f>IFERROR(__xludf.DUMMYFUNCTION("""COMPUTED_VALUE"""),"O列要確認")</f>
        <v>O列要確認</v>
      </c>
      <c r="S595" s="544"/>
      <c r="T595" s="544"/>
      <c r="U595" s="544"/>
      <c r="V595" s="544"/>
      <c r="W595" s="544"/>
      <c r="X595" s="544"/>
      <c r="Y595" s="544"/>
      <c r="Z595" s="544"/>
      <c r="AA595" s="544"/>
      <c r="AB595" s="544"/>
      <c r="AC595" s="544"/>
      <c r="AD595" s="544"/>
      <c r="AE595" s="183"/>
      <c r="AF595" s="183"/>
      <c r="AG595" s="183"/>
      <c r="AH595" s="183"/>
      <c r="AI595" s="183"/>
      <c r="AJ595" s="183"/>
      <c r="AK595" s="183"/>
      <c r="AL595" s="183"/>
      <c r="AM595" s="183"/>
    </row>
    <row r="596">
      <c r="A596" s="273" t="str">
        <f>IFERROR(__xludf.DUMMYFUNCTION("""COMPUTED_VALUE"""),"サイズ")</f>
        <v>サイズ</v>
      </c>
      <c r="B596" s="273" t="str">
        <f>IFERROR(__xludf.DUMMYFUNCTION("""COMPUTED_VALUE"""),"チノパン")</f>
        <v>チノパン</v>
      </c>
      <c r="C596" s="273" t="str">
        <f>IFERROR(__xludf.DUMMYFUNCTION("""COMPUTED_VALUE"""),"すそ口巾")</f>
        <v>すそ口巾</v>
      </c>
      <c r="D596" s="668" t="str">
        <f>IFERROR(__xludf.DUMMYFUNCTION("""COMPUTED_VALUE"""),"シングル")</f>
        <v>シングル</v>
      </c>
      <c r="E596" s="668"/>
      <c r="F596" s="342" t="str">
        <f>IFERROR(__xludf.DUMMYFUNCTION("""COMPUTED_VALUE"""),"すそ口巾 / シングル")</f>
        <v>すそ口巾 / シングル</v>
      </c>
      <c r="G596" s="668" t="str">
        <f>IFERROR(__xludf.DUMMYFUNCTION("""COMPUTED_VALUE"""),"すそ口巾 / シングル")</f>
        <v>すそ口巾 / シングル</v>
      </c>
      <c r="H596" s="672" t="str">
        <f>IFERROR(__xludf.DUMMYFUNCTION("""COMPUTED_VALUE"""),"-1")</f>
        <v>-1</v>
      </c>
      <c r="I596" s="669"/>
      <c r="J596" s="669">
        <f>IFERROR(__xludf.DUMMYFUNCTION("""COMPUTED_VALUE"""),5.0)</f>
        <v>5</v>
      </c>
      <c r="K596" s="673">
        <f>IFERROR(__xludf.DUMMYFUNCTION("""COMPUTED_VALUE"""),45996.0)</f>
        <v>45996</v>
      </c>
      <c r="L596" s="670">
        <f>IFERROR(__xludf.DUMMYFUNCTION("""COMPUTED_VALUE"""),46002.0)</f>
        <v>46002</v>
      </c>
      <c r="M596" s="670">
        <f>IFERROR(__xludf.DUMMYFUNCTION("""COMPUTED_VALUE"""),46002.0)</f>
        <v>46002</v>
      </c>
      <c r="N596" s="674">
        <f>IFERROR(__xludf.DUMMYFUNCTION("""COMPUTED_VALUE"""),2810.0)</f>
        <v>2810</v>
      </c>
      <c r="O596" s="593">
        <f>IFERROR(__xludf.DUMMYFUNCTION("""COMPUTED_VALUE"""),2550.0)</f>
        <v>2550</v>
      </c>
      <c r="P596" s="594">
        <f>IFERROR(__xludf.DUMMYFUNCTION("""COMPUTED_VALUE"""),1600.0)</f>
        <v>1600</v>
      </c>
      <c r="Q596" s="183"/>
      <c r="R596" s="544" t="str">
        <f>IFERROR(__xludf.DUMMYFUNCTION("""COMPUTED_VALUE"""),"O列要確認")</f>
        <v>O列要確認</v>
      </c>
      <c r="S596" s="544"/>
      <c r="T596" s="544"/>
      <c r="U596" s="544"/>
      <c r="V596" s="544"/>
      <c r="W596" s="544"/>
      <c r="X596" s="544"/>
      <c r="Y596" s="544"/>
      <c r="Z596" s="544"/>
      <c r="AA596" s="544"/>
      <c r="AB596" s="544"/>
      <c r="AC596" s="544"/>
      <c r="AD596" s="544"/>
      <c r="AE596" s="183"/>
      <c r="AF596" s="183"/>
      <c r="AG596" s="183"/>
      <c r="AH596" s="183"/>
      <c r="AI596" s="183"/>
      <c r="AJ596" s="183"/>
      <c r="AK596" s="183"/>
      <c r="AL596" s="183"/>
      <c r="AM596" s="183"/>
    </row>
    <row r="597">
      <c r="A597" s="273" t="str">
        <f>IFERROR(__xludf.DUMMYFUNCTION("""COMPUTED_VALUE"""),"サイズ")</f>
        <v>サイズ</v>
      </c>
      <c r="B597" s="273" t="str">
        <f>IFERROR(__xludf.DUMMYFUNCTION("""COMPUTED_VALUE"""),"チノパン")</f>
        <v>チノパン</v>
      </c>
      <c r="C597" s="273" t="str">
        <f>IFERROR(__xludf.DUMMYFUNCTION("""COMPUTED_VALUE"""),"すそ口巾")</f>
        <v>すそ口巾</v>
      </c>
      <c r="D597" s="668" t="str">
        <f>IFERROR(__xludf.DUMMYFUNCTION("""COMPUTED_VALUE"""),"シングル")</f>
        <v>シングル</v>
      </c>
      <c r="E597" s="668"/>
      <c r="F597" s="342" t="str">
        <f>IFERROR(__xludf.DUMMYFUNCTION("""COMPUTED_VALUE"""),"すそ口巾 / シングル")</f>
        <v>すそ口巾 / シングル</v>
      </c>
      <c r="G597" s="668" t="str">
        <f>IFERROR(__xludf.DUMMYFUNCTION("""COMPUTED_VALUE"""),"すそ口巾 / シングル")</f>
        <v>すそ口巾 / シングル</v>
      </c>
      <c r="H597" s="672" t="str">
        <f>IFERROR(__xludf.DUMMYFUNCTION("""COMPUTED_VALUE"""),"-0.5")</f>
        <v>-0.5</v>
      </c>
      <c r="I597" s="669"/>
      <c r="J597" s="669">
        <f>IFERROR(__xludf.DUMMYFUNCTION("""COMPUTED_VALUE"""),5.0)</f>
        <v>5</v>
      </c>
      <c r="K597" s="673">
        <f>IFERROR(__xludf.DUMMYFUNCTION("""COMPUTED_VALUE"""),45996.0)</f>
        <v>45996</v>
      </c>
      <c r="L597" s="670">
        <f>IFERROR(__xludf.DUMMYFUNCTION("""COMPUTED_VALUE"""),46002.0)</f>
        <v>46002</v>
      </c>
      <c r="M597" s="670">
        <f>IFERROR(__xludf.DUMMYFUNCTION("""COMPUTED_VALUE"""),46002.0)</f>
        <v>46002</v>
      </c>
      <c r="N597" s="674">
        <f>IFERROR(__xludf.DUMMYFUNCTION("""COMPUTED_VALUE"""),2810.0)</f>
        <v>2810</v>
      </c>
      <c r="O597" s="593">
        <f>IFERROR(__xludf.DUMMYFUNCTION("""COMPUTED_VALUE"""),2550.0)</f>
        <v>2550</v>
      </c>
      <c r="P597" s="594">
        <f>IFERROR(__xludf.DUMMYFUNCTION("""COMPUTED_VALUE"""),1600.0)</f>
        <v>1600</v>
      </c>
      <c r="Q597" s="183"/>
      <c r="R597" s="544" t="str">
        <f>IFERROR(__xludf.DUMMYFUNCTION("""COMPUTED_VALUE"""),"O列要確認")</f>
        <v>O列要確認</v>
      </c>
      <c r="S597" s="544"/>
      <c r="T597" s="544"/>
      <c r="U597" s="544"/>
      <c r="V597" s="544"/>
      <c r="W597" s="544"/>
      <c r="X597" s="544"/>
      <c r="Y597" s="544"/>
      <c r="Z597" s="544"/>
      <c r="AA597" s="544"/>
      <c r="AB597" s="544"/>
      <c r="AC597" s="544"/>
      <c r="AD597" s="544"/>
      <c r="AE597" s="183"/>
      <c r="AF597" s="183"/>
      <c r="AG597" s="183"/>
      <c r="AH597" s="183"/>
      <c r="AI597" s="183"/>
      <c r="AJ597" s="183"/>
      <c r="AK597" s="183"/>
      <c r="AL597" s="183"/>
      <c r="AM597" s="183"/>
    </row>
    <row r="598">
      <c r="A598" s="273" t="str">
        <f>IFERROR(__xludf.DUMMYFUNCTION("""COMPUTED_VALUE"""),"サイズ")</f>
        <v>サイズ</v>
      </c>
      <c r="B598" s="273" t="str">
        <f>IFERROR(__xludf.DUMMYFUNCTION("""COMPUTED_VALUE"""),"チノパン")</f>
        <v>チノパン</v>
      </c>
      <c r="C598" s="273" t="str">
        <f>IFERROR(__xludf.DUMMYFUNCTION("""COMPUTED_VALUE"""),"すそ口巾")</f>
        <v>すそ口巾</v>
      </c>
      <c r="D598" s="668" t="str">
        <f>IFERROR(__xludf.DUMMYFUNCTION("""COMPUTED_VALUE"""),"ダブル")</f>
        <v>ダブル</v>
      </c>
      <c r="E598" s="668"/>
      <c r="F598" s="342" t="str">
        <f>IFERROR(__xludf.DUMMYFUNCTION("""COMPUTED_VALUE"""),"すそ口巾 / ダブル")</f>
        <v>すそ口巾 / ダブル</v>
      </c>
      <c r="G598" s="668" t="str">
        <f>IFERROR(__xludf.DUMMYFUNCTION("""COMPUTED_VALUE"""),"すそ口巾 / ダブル")</f>
        <v>すそ口巾 / ダブル</v>
      </c>
      <c r="H598" s="672" t="str">
        <f>IFERROR(__xludf.DUMMYFUNCTION("""COMPUTED_VALUE"""),"-2.5")</f>
        <v>-2.5</v>
      </c>
      <c r="I598" s="669"/>
      <c r="J598" s="669">
        <f>IFERROR(__xludf.DUMMYFUNCTION("""COMPUTED_VALUE"""),5.0)</f>
        <v>5</v>
      </c>
      <c r="K598" s="673">
        <f>IFERROR(__xludf.DUMMYFUNCTION("""COMPUTED_VALUE"""),45996.0)</f>
        <v>45996</v>
      </c>
      <c r="L598" s="670">
        <f>IFERROR(__xludf.DUMMYFUNCTION("""COMPUTED_VALUE"""),46002.0)</f>
        <v>46002</v>
      </c>
      <c r="M598" s="670">
        <f>IFERROR(__xludf.DUMMYFUNCTION("""COMPUTED_VALUE"""),46002.0)</f>
        <v>46002</v>
      </c>
      <c r="N598" s="674">
        <f>IFERROR(__xludf.DUMMYFUNCTION("""COMPUTED_VALUE"""),2810.0)</f>
        <v>2810</v>
      </c>
      <c r="O598" s="593">
        <f>IFERROR(__xludf.DUMMYFUNCTION("""COMPUTED_VALUE"""),2550.0)</f>
        <v>2550</v>
      </c>
      <c r="P598" s="594">
        <f>IFERROR(__xludf.DUMMYFUNCTION("""COMPUTED_VALUE"""),1700.0)</f>
        <v>1700</v>
      </c>
      <c r="Q598" s="183"/>
      <c r="R598" s="544" t="str">
        <f>IFERROR(__xludf.DUMMYFUNCTION("""COMPUTED_VALUE"""),"O列要確認")</f>
        <v>O列要確認</v>
      </c>
      <c r="S598" s="544"/>
      <c r="T598" s="544"/>
      <c r="U598" s="544"/>
      <c r="V598" s="544"/>
      <c r="W598" s="544"/>
      <c r="X598" s="544"/>
      <c r="Y598" s="544"/>
      <c r="Z598" s="544"/>
      <c r="AA598" s="544"/>
      <c r="AB598" s="544"/>
      <c r="AC598" s="544"/>
      <c r="AD598" s="544"/>
      <c r="AE598" s="183"/>
      <c r="AF598" s="183"/>
      <c r="AG598" s="183"/>
      <c r="AH598" s="183"/>
      <c r="AI598" s="183"/>
      <c r="AJ598" s="183"/>
      <c r="AK598" s="183"/>
      <c r="AL598" s="183"/>
      <c r="AM598" s="183"/>
    </row>
    <row r="599">
      <c r="A599" s="273" t="str">
        <f>IFERROR(__xludf.DUMMYFUNCTION("""COMPUTED_VALUE"""),"サイズ")</f>
        <v>サイズ</v>
      </c>
      <c r="B599" s="273" t="str">
        <f>IFERROR(__xludf.DUMMYFUNCTION("""COMPUTED_VALUE"""),"チノパン")</f>
        <v>チノパン</v>
      </c>
      <c r="C599" s="273" t="str">
        <f>IFERROR(__xludf.DUMMYFUNCTION("""COMPUTED_VALUE"""),"すそ口巾")</f>
        <v>すそ口巾</v>
      </c>
      <c r="D599" s="668" t="str">
        <f>IFERROR(__xludf.DUMMYFUNCTION("""COMPUTED_VALUE"""),"ダブル")</f>
        <v>ダブル</v>
      </c>
      <c r="E599" s="668"/>
      <c r="F599" s="342" t="str">
        <f>IFERROR(__xludf.DUMMYFUNCTION("""COMPUTED_VALUE"""),"すそ口巾 / ダブル")</f>
        <v>すそ口巾 / ダブル</v>
      </c>
      <c r="G599" s="668" t="str">
        <f>IFERROR(__xludf.DUMMYFUNCTION("""COMPUTED_VALUE"""),"すそ口巾 / ダブル")</f>
        <v>すそ口巾 / ダブル</v>
      </c>
      <c r="H599" s="672" t="str">
        <f>IFERROR(__xludf.DUMMYFUNCTION("""COMPUTED_VALUE"""),"-3")</f>
        <v>-3</v>
      </c>
      <c r="I599" s="669"/>
      <c r="J599" s="669">
        <f>IFERROR(__xludf.DUMMYFUNCTION("""COMPUTED_VALUE"""),5.0)</f>
        <v>5</v>
      </c>
      <c r="K599" s="673">
        <f>IFERROR(__xludf.DUMMYFUNCTION("""COMPUTED_VALUE"""),45996.0)</f>
        <v>45996</v>
      </c>
      <c r="L599" s="670">
        <f>IFERROR(__xludf.DUMMYFUNCTION("""COMPUTED_VALUE"""),46002.0)</f>
        <v>46002</v>
      </c>
      <c r="M599" s="670">
        <f>IFERROR(__xludf.DUMMYFUNCTION("""COMPUTED_VALUE"""),46002.0)</f>
        <v>46002</v>
      </c>
      <c r="N599" s="674">
        <f>IFERROR(__xludf.DUMMYFUNCTION("""COMPUTED_VALUE"""),2810.0)</f>
        <v>2810</v>
      </c>
      <c r="O599" s="593">
        <f>IFERROR(__xludf.DUMMYFUNCTION("""COMPUTED_VALUE"""),2550.0)</f>
        <v>2550</v>
      </c>
      <c r="P599" s="594">
        <f>IFERROR(__xludf.DUMMYFUNCTION("""COMPUTED_VALUE"""),1700.0)</f>
        <v>1700</v>
      </c>
      <c r="Q599" s="183"/>
      <c r="R599" s="544" t="str">
        <f>IFERROR(__xludf.DUMMYFUNCTION("""COMPUTED_VALUE"""),"O列要確認")</f>
        <v>O列要確認</v>
      </c>
      <c r="S599" s="544"/>
      <c r="T599" s="544"/>
      <c r="U599" s="544"/>
      <c r="V599" s="544"/>
      <c r="W599" s="544"/>
      <c r="X599" s="544"/>
      <c r="Y599" s="544"/>
      <c r="Z599" s="544"/>
      <c r="AA599" s="544"/>
      <c r="AB599" s="544"/>
      <c r="AC599" s="544"/>
      <c r="AD599" s="544"/>
      <c r="AE599" s="183"/>
      <c r="AF599" s="183"/>
      <c r="AG599" s="183"/>
      <c r="AH599" s="183"/>
      <c r="AI599" s="183"/>
      <c r="AJ599" s="183"/>
      <c r="AK599" s="183"/>
      <c r="AL599" s="183"/>
      <c r="AM599" s="183"/>
    </row>
    <row r="600">
      <c r="A600" s="273" t="str">
        <f>IFERROR(__xludf.DUMMYFUNCTION("""COMPUTED_VALUE"""),"サイズ")</f>
        <v>サイズ</v>
      </c>
      <c r="B600" s="273" t="str">
        <f>IFERROR(__xludf.DUMMYFUNCTION("""COMPUTED_VALUE"""),"チノパン")</f>
        <v>チノパン</v>
      </c>
      <c r="C600" s="273" t="str">
        <f>IFERROR(__xludf.DUMMYFUNCTION("""COMPUTED_VALUE"""),"すそ口巾")</f>
        <v>すそ口巾</v>
      </c>
      <c r="D600" s="668" t="str">
        <f>IFERROR(__xludf.DUMMYFUNCTION("""COMPUTED_VALUE"""),"ダブル")</f>
        <v>ダブル</v>
      </c>
      <c r="E600" s="668"/>
      <c r="F600" s="342" t="str">
        <f>IFERROR(__xludf.DUMMYFUNCTION("""COMPUTED_VALUE"""),"すそ口巾 / ダブル")</f>
        <v>すそ口巾 / ダブル</v>
      </c>
      <c r="G600" s="668" t="str">
        <f>IFERROR(__xludf.DUMMYFUNCTION("""COMPUTED_VALUE"""),"すそ口巾 / ダブル")</f>
        <v>すそ口巾 / ダブル</v>
      </c>
      <c r="H600" s="672" t="str">
        <f>IFERROR(__xludf.DUMMYFUNCTION("""COMPUTED_VALUE"""),"-3.5")</f>
        <v>-3.5</v>
      </c>
      <c r="I600" s="669"/>
      <c r="J600" s="669">
        <f>IFERROR(__xludf.DUMMYFUNCTION("""COMPUTED_VALUE"""),5.0)</f>
        <v>5</v>
      </c>
      <c r="K600" s="673">
        <f>IFERROR(__xludf.DUMMYFUNCTION("""COMPUTED_VALUE"""),45996.0)</f>
        <v>45996</v>
      </c>
      <c r="L600" s="670">
        <f>IFERROR(__xludf.DUMMYFUNCTION("""COMPUTED_VALUE"""),46002.0)</f>
        <v>46002</v>
      </c>
      <c r="M600" s="670">
        <f>IFERROR(__xludf.DUMMYFUNCTION("""COMPUTED_VALUE"""),46002.0)</f>
        <v>46002</v>
      </c>
      <c r="N600" s="674">
        <f>IFERROR(__xludf.DUMMYFUNCTION("""COMPUTED_VALUE"""),2810.0)</f>
        <v>2810</v>
      </c>
      <c r="O600" s="593">
        <f>IFERROR(__xludf.DUMMYFUNCTION("""COMPUTED_VALUE"""),2550.0)</f>
        <v>2550</v>
      </c>
      <c r="P600" s="594">
        <f>IFERROR(__xludf.DUMMYFUNCTION("""COMPUTED_VALUE"""),1700.0)</f>
        <v>1700</v>
      </c>
      <c r="Q600" s="183"/>
      <c r="R600" s="544" t="str">
        <f>IFERROR(__xludf.DUMMYFUNCTION("""COMPUTED_VALUE"""),"O列要確認")</f>
        <v>O列要確認</v>
      </c>
      <c r="S600" s="544"/>
      <c r="T600" s="544"/>
      <c r="U600" s="544"/>
      <c r="V600" s="544"/>
      <c r="W600" s="544"/>
      <c r="X600" s="544"/>
      <c r="Y600" s="544"/>
      <c r="Z600" s="544"/>
      <c r="AA600" s="544"/>
      <c r="AB600" s="544"/>
      <c r="AC600" s="544"/>
      <c r="AD600" s="544"/>
      <c r="AE600" s="183"/>
      <c r="AF600" s="183"/>
      <c r="AG600" s="183"/>
      <c r="AH600" s="183"/>
      <c r="AI600" s="183"/>
      <c r="AJ600" s="183"/>
      <c r="AK600" s="183"/>
      <c r="AL600" s="183"/>
      <c r="AM600" s="183"/>
    </row>
    <row r="601">
      <c r="A601" s="273" t="str">
        <f>IFERROR(__xludf.DUMMYFUNCTION("""COMPUTED_VALUE"""),"サイズ")</f>
        <v>サイズ</v>
      </c>
      <c r="B601" s="273" t="str">
        <f>IFERROR(__xludf.DUMMYFUNCTION("""COMPUTED_VALUE"""),"チノパン")</f>
        <v>チノパン</v>
      </c>
      <c r="C601" s="273" t="str">
        <f>IFERROR(__xludf.DUMMYFUNCTION("""COMPUTED_VALUE"""),"すそ口巾")</f>
        <v>すそ口巾</v>
      </c>
      <c r="D601" s="668" t="str">
        <f>IFERROR(__xludf.DUMMYFUNCTION("""COMPUTED_VALUE"""),"ダブル")</f>
        <v>ダブル</v>
      </c>
      <c r="E601" s="668"/>
      <c r="F601" s="342" t="str">
        <f>IFERROR(__xludf.DUMMYFUNCTION("""COMPUTED_VALUE"""),"すそ口巾 / ダブル")</f>
        <v>すそ口巾 / ダブル</v>
      </c>
      <c r="G601" s="668" t="str">
        <f>IFERROR(__xludf.DUMMYFUNCTION("""COMPUTED_VALUE"""),"すそ口巾 / ダブル")</f>
        <v>すそ口巾 / ダブル</v>
      </c>
      <c r="H601" s="672" t="str">
        <f>IFERROR(__xludf.DUMMYFUNCTION("""COMPUTED_VALUE"""),"-4")</f>
        <v>-4</v>
      </c>
      <c r="I601" s="669"/>
      <c r="J601" s="669">
        <f>IFERROR(__xludf.DUMMYFUNCTION("""COMPUTED_VALUE"""),5.0)</f>
        <v>5</v>
      </c>
      <c r="K601" s="673">
        <f>IFERROR(__xludf.DUMMYFUNCTION("""COMPUTED_VALUE"""),45996.0)</f>
        <v>45996</v>
      </c>
      <c r="L601" s="670">
        <f>IFERROR(__xludf.DUMMYFUNCTION("""COMPUTED_VALUE"""),46002.0)</f>
        <v>46002</v>
      </c>
      <c r="M601" s="670">
        <f>IFERROR(__xludf.DUMMYFUNCTION("""COMPUTED_VALUE"""),46002.0)</f>
        <v>46002</v>
      </c>
      <c r="N601" s="674">
        <f>IFERROR(__xludf.DUMMYFUNCTION("""COMPUTED_VALUE"""),2810.0)</f>
        <v>2810</v>
      </c>
      <c r="O601" s="593">
        <f>IFERROR(__xludf.DUMMYFUNCTION("""COMPUTED_VALUE"""),2550.0)</f>
        <v>2550</v>
      </c>
      <c r="P601" s="594">
        <f>IFERROR(__xludf.DUMMYFUNCTION("""COMPUTED_VALUE"""),1700.0)</f>
        <v>1700</v>
      </c>
      <c r="Q601" s="183"/>
      <c r="R601" s="544" t="str">
        <f>IFERROR(__xludf.DUMMYFUNCTION("""COMPUTED_VALUE"""),"O列要確認")</f>
        <v>O列要確認</v>
      </c>
      <c r="S601" s="544"/>
      <c r="T601" s="544"/>
      <c r="U601" s="544"/>
      <c r="V601" s="544"/>
      <c r="W601" s="544"/>
      <c r="X601" s="544"/>
      <c r="Y601" s="544"/>
      <c r="Z601" s="544"/>
      <c r="AA601" s="544"/>
      <c r="AB601" s="544"/>
      <c r="AC601" s="544"/>
      <c r="AD601" s="544"/>
      <c r="AE601" s="183"/>
      <c r="AF601" s="183"/>
      <c r="AG601" s="183"/>
      <c r="AH601" s="183"/>
      <c r="AI601" s="183"/>
      <c r="AJ601" s="183"/>
      <c r="AK601" s="183"/>
      <c r="AL601" s="183"/>
      <c r="AM601" s="183"/>
    </row>
    <row r="602">
      <c r="A602" s="273" t="str">
        <f>IFERROR(__xludf.DUMMYFUNCTION("""COMPUTED_VALUE"""),"サイズ")</f>
        <v>サイズ</v>
      </c>
      <c r="B602" s="273" t="str">
        <f>IFERROR(__xludf.DUMMYFUNCTION("""COMPUTED_VALUE"""),"チノパン")</f>
        <v>チノパン</v>
      </c>
      <c r="C602" s="273" t="str">
        <f>IFERROR(__xludf.DUMMYFUNCTION("""COMPUTED_VALUE"""),"すそ口巾")</f>
        <v>すそ口巾</v>
      </c>
      <c r="D602" s="668" t="str">
        <f>IFERROR(__xludf.DUMMYFUNCTION("""COMPUTED_VALUE"""),"ダブル")</f>
        <v>ダブル</v>
      </c>
      <c r="E602" s="668"/>
      <c r="F602" s="342" t="str">
        <f>IFERROR(__xludf.DUMMYFUNCTION("""COMPUTED_VALUE"""),"すそ口巾 / ダブル")</f>
        <v>すそ口巾 / ダブル</v>
      </c>
      <c r="G602" s="668" t="str">
        <f>IFERROR(__xludf.DUMMYFUNCTION("""COMPUTED_VALUE"""),"すそ口巾 / ダブル")</f>
        <v>すそ口巾 / ダブル</v>
      </c>
      <c r="H602" s="672" t="str">
        <f>IFERROR(__xludf.DUMMYFUNCTION("""COMPUTED_VALUE"""),"-2")</f>
        <v>-2</v>
      </c>
      <c r="I602" s="669"/>
      <c r="J602" s="669">
        <f>IFERROR(__xludf.DUMMYFUNCTION("""COMPUTED_VALUE"""),5.0)</f>
        <v>5</v>
      </c>
      <c r="K602" s="673">
        <f>IFERROR(__xludf.DUMMYFUNCTION("""COMPUTED_VALUE"""),45996.0)</f>
        <v>45996</v>
      </c>
      <c r="L602" s="670">
        <f>IFERROR(__xludf.DUMMYFUNCTION("""COMPUTED_VALUE"""),46002.0)</f>
        <v>46002</v>
      </c>
      <c r="M602" s="670">
        <f>IFERROR(__xludf.DUMMYFUNCTION("""COMPUTED_VALUE"""),46002.0)</f>
        <v>46002</v>
      </c>
      <c r="N602" s="674">
        <f>IFERROR(__xludf.DUMMYFUNCTION("""COMPUTED_VALUE"""),2810.0)</f>
        <v>2810</v>
      </c>
      <c r="O602" s="593">
        <f>IFERROR(__xludf.DUMMYFUNCTION("""COMPUTED_VALUE"""),2550.0)</f>
        <v>2550</v>
      </c>
      <c r="P602" s="594">
        <f>IFERROR(__xludf.DUMMYFUNCTION("""COMPUTED_VALUE"""),1700.0)</f>
        <v>1700</v>
      </c>
      <c r="Q602" s="183"/>
      <c r="R602" s="544" t="str">
        <f>IFERROR(__xludf.DUMMYFUNCTION("""COMPUTED_VALUE"""),"O列要確認")</f>
        <v>O列要確認</v>
      </c>
      <c r="S602" s="544"/>
      <c r="T602" s="544"/>
      <c r="U602" s="544"/>
      <c r="V602" s="544"/>
      <c r="W602" s="544"/>
      <c r="X602" s="544"/>
      <c r="Y602" s="544"/>
      <c r="Z602" s="544"/>
      <c r="AA602" s="544"/>
      <c r="AB602" s="544"/>
      <c r="AC602" s="544"/>
      <c r="AD602" s="544"/>
      <c r="AE602" s="183"/>
      <c r="AF602" s="183"/>
      <c r="AG602" s="183"/>
      <c r="AH602" s="183"/>
      <c r="AI602" s="183"/>
      <c r="AJ602" s="183"/>
      <c r="AK602" s="183"/>
      <c r="AL602" s="183"/>
      <c r="AM602" s="183"/>
    </row>
    <row r="603">
      <c r="A603" s="273" t="str">
        <f>IFERROR(__xludf.DUMMYFUNCTION("""COMPUTED_VALUE"""),"サイズ")</f>
        <v>サイズ</v>
      </c>
      <c r="B603" s="273" t="str">
        <f>IFERROR(__xludf.DUMMYFUNCTION("""COMPUTED_VALUE"""),"チノパン")</f>
        <v>チノパン</v>
      </c>
      <c r="C603" s="273" t="str">
        <f>IFERROR(__xludf.DUMMYFUNCTION("""COMPUTED_VALUE"""),"すそ口巾")</f>
        <v>すそ口巾</v>
      </c>
      <c r="D603" s="668" t="str">
        <f>IFERROR(__xludf.DUMMYFUNCTION("""COMPUTED_VALUE"""),"ダブル")</f>
        <v>ダブル</v>
      </c>
      <c r="E603" s="668"/>
      <c r="F603" s="342" t="str">
        <f>IFERROR(__xludf.DUMMYFUNCTION("""COMPUTED_VALUE"""),"すそ口巾 / ダブル")</f>
        <v>すそ口巾 / ダブル</v>
      </c>
      <c r="G603" s="668" t="str">
        <f>IFERROR(__xludf.DUMMYFUNCTION("""COMPUTED_VALUE"""),"すそ口巾 / ダブル")</f>
        <v>すそ口巾 / ダブル</v>
      </c>
      <c r="H603" s="672" t="str">
        <f>IFERROR(__xludf.DUMMYFUNCTION("""COMPUTED_VALUE"""),"-1.5")</f>
        <v>-1.5</v>
      </c>
      <c r="I603" s="669"/>
      <c r="J603" s="669">
        <f>IFERROR(__xludf.DUMMYFUNCTION("""COMPUTED_VALUE"""),5.0)</f>
        <v>5</v>
      </c>
      <c r="K603" s="673">
        <f>IFERROR(__xludf.DUMMYFUNCTION("""COMPUTED_VALUE"""),45996.0)</f>
        <v>45996</v>
      </c>
      <c r="L603" s="670">
        <f>IFERROR(__xludf.DUMMYFUNCTION("""COMPUTED_VALUE"""),46002.0)</f>
        <v>46002</v>
      </c>
      <c r="M603" s="670">
        <f>IFERROR(__xludf.DUMMYFUNCTION("""COMPUTED_VALUE"""),46002.0)</f>
        <v>46002</v>
      </c>
      <c r="N603" s="674">
        <f>IFERROR(__xludf.DUMMYFUNCTION("""COMPUTED_VALUE"""),2810.0)</f>
        <v>2810</v>
      </c>
      <c r="O603" s="593">
        <f>IFERROR(__xludf.DUMMYFUNCTION("""COMPUTED_VALUE"""),2550.0)</f>
        <v>2550</v>
      </c>
      <c r="P603" s="594">
        <f>IFERROR(__xludf.DUMMYFUNCTION("""COMPUTED_VALUE"""),1700.0)</f>
        <v>1700</v>
      </c>
      <c r="Q603" s="183"/>
      <c r="R603" s="544" t="str">
        <f>IFERROR(__xludf.DUMMYFUNCTION("""COMPUTED_VALUE"""),"O列要確認")</f>
        <v>O列要確認</v>
      </c>
      <c r="S603" s="544"/>
      <c r="T603" s="544"/>
      <c r="U603" s="544"/>
      <c r="V603" s="544"/>
      <c r="W603" s="544"/>
      <c r="X603" s="544"/>
      <c r="Y603" s="544"/>
      <c r="Z603" s="544"/>
      <c r="AA603" s="544"/>
      <c r="AB603" s="544"/>
      <c r="AC603" s="544"/>
      <c r="AD603" s="544"/>
      <c r="AE603" s="183"/>
      <c r="AF603" s="183"/>
      <c r="AG603" s="183"/>
      <c r="AH603" s="183"/>
      <c r="AI603" s="183"/>
      <c r="AJ603" s="183"/>
      <c r="AK603" s="183"/>
      <c r="AL603" s="183"/>
      <c r="AM603" s="183"/>
    </row>
    <row r="604">
      <c r="A604" s="273" t="str">
        <f>IFERROR(__xludf.DUMMYFUNCTION("""COMPUTED_VALUE"""),"サイズ")</f>
        <v>サイズ</v>
      </c>
      <c r="B604" s="273" t="str">
        <f>IFERROR(__xludf.DUMMYFUNCTION("""COMPUTED_VALUE"""),"チノパン")</f>
        <v>チノパン</v>
      </c>
      <c r="C604" s="273" t="str">
        <f>IFERROR(__xludf.DUMMYFUNCTION("""COMPUTED_VALUE"""),"すそ口巾")</f>
        <v>すそ口巾</v>
      </c>
      <c r="D604" s="668" t="str">
        <f>IFERROR(__xludf.DUMMYFUNCTION("""COMPUTED_VALUE"""),"ダブル")</f>
        <v>ダブル</v>
      </c>
      <c r="E604" s="668"/>
      <c r="F604" s="342" t="str">
        <f>IFERROR(__xludf.DUMMYFUNCTION("""COMPUTED_VALUE"""),"すそ口巾 / ダブル")</f>
        <v>すそ口巾 / ダブル</v>
      </c>
      <c r="G604" s="668" t="str">
        <f>IFERROR(__xludf.DUMMYFUNCTION("""COMPUTED_VALUE"""),"すそ口巾 / ダブル")</f>
        <v>すそ口巾 / ダブル</v>
      </c>
      <c r="H604" s="672" t="str">
        <f>IFERROR(__xludf.DUMMYFUNCTION("""COMPUTED_VALUE"""),"-1")</f>
        <v>-1</v>
      </c>
      <c r="I604" s="669"/>
      <c r="J604" s="669">
        <f>IFERROR(__xludf.DUMMYFUNCTION("""COMPUTED_VALUE"""),5.0)</f>
        <v>5</v>
      </c>
      <c r="K604" s="673">
        <f>IFERROR(__xludf.DUMMYFUNCTION("""COMPUTED_VALUE"""),45996.0)</f>
        <v>45996</v>
      </c>
      <c r="L604" s="670">
        <f>IFERROR(__xludf.DUMMYFUNCTION("""COMPUTED_VALUE"""),46002.0)</f>
        <v>46002</v>
      </c>
      <c r="M604" s="670">
        <f>IFERROR(__xludf.DUMMYFUNCTION("""COMPUTED_VALUE"""),46002.0)</f>
        <v>46002</v>
      </c>
      <c r="N604" s="674">
        <f>IFERROR(__xludf.DUMMYFUNCTION("""COMPUTED_VALUE"""),2810.0)</f>
        <v>2810</v>
      </c>
      <c r="O604" s="593">
        <f>IFERROR(__xludf.DUMMYFUNCTION("""COMPUTED_VALUE"""),2550.0)</f>
        <v>2550</v>
      </c>
      <c r="P604" s="594">
        <f>IFERROR(__xludf.DUMMYFUNCTION("""COMPUTED_VALUE"""),1700.0)</f>
        <v>1700</v>
      </c>
      <c r="Q604" s="183"/>
      <c r="R604" s="544" t="str">
        <f>IFERROR(__xludf.DUMMYFUNCTION("""COMPUTED_VALUE"""),"O列要確認")</f>
        <v>O列要確認</v>
      </c>
      <c r="S604" s="544"/>
      <c r="T604" s="544"/>
      <c r="U604" s="544"/>
      <c r="V604" s="544"/>
      <c r="W604" s="544"/>
      <c r="X604" s="544"/>
      <c r="Y604" s="544"/>
      <c r="Z604" s="544"/>
      <c r="AA604" s="544"/>
      <c r="AB604" s="544"/>
      <c r="AC604" s="544"/>
      <c r="AD604" s="544"/>
      <c r="AE604" s="183"/>
      <c r="AF604" s="183"/>
      <c r="AG604" s="183"/>
      <c r="AH604" s="183"/>
      <c r="AI604" s="183"/>
      <c r="AJ604" s="183"/>
      <c r="AK604" s="183"/>
      <c r="AL604" s="183"/>
      <c r="AM604" s="183"/>
    </row>
    <row r="605">
      <c r="A605" s="273" t="str">
        <f>IFERROR(__xludf.DUMMYFUNCTION("""COMPUTED_VALUE"""),"サイズ")</f>
        <v>サイズ</v>
      </c>
      <c r="B605" s="273" t="str">
        <f>IFERROR(__xludf.DUMMYFUNCTION("""COMPUTED_VALUE"""),"チノパン")</f>
        <v>チノパン</v>
      </c>
      <c r="C605" s="273" t="str">
        <f>IFERROR(__xludf.DUMMYFUNCTION("""COMPUTED_VALUE"""),"すそ口巾")</f>
        <v>すそ口巾</v>
      </c>
      <c r="D605" s="668" t="str">
        <f>IFERROR(__xludf.DUMMYFUNCTION("""COMPUTED_VALUE"""),"ダブル")</f>
        <v>ダブル</v>
      </c>
      <c r="E605" s="668"/>
      <c r="F605" s="342" t="str">
        <f>IFERROR(__xludf.DUMMYFUNCTION("""COMPUTED_VALUE"""),"すそ口巾 / ダブル")</f>
        <v>すそ口巾 / ダブル</v>
      </c>
      <c r="G605" s="668" t="str">
        <f>IFERROR(__xludf.DUMMYFUNCTION("""COMPUTED_VALUE"""),"すそ口巾 / ダブル")</f>
        <v>すそ口巾 / ダブル</v>
      </c>
      <c r="H605" s="672" t="str">
        <f>IFERROR(__xludf.DUMMYFUNCTION("""COMPUTED_VALUE"""),"-0.5")</f>
        <v>-0.5</v>
      </c>
      <c r="I605" s="669"/>
      <c r="J605" s="669">
        <f>IFERROR(__xludf.DUMMYFUNCTION("""COMPUTED_VALUE"""),5.0)</f>
        <v>5</v>
      </c>
      <c r="K605" s="673">
        <f>IFERROR(__xludf.DUMMYFUNCTION("""COMPUTED_VALUE"""),45996.0)</f>
        <v>45996</v>
      </c>
      <c r="L605" s="670">
        <f>IFERROR(__xludf.DUMMYFUNCTION("""COMPUTED_VALUE"""),46002.0)</f>
        <v>46002</v>
      </c>
      <c r="M605" s="670">
        <f>IFERROR(__xludf.DUMMYFUNCTION("""COMPUTED_VALUE"""),46002.0)</f>
        <v>46002</v>
      </c>
      <c r="N605" s="674">
        <f>IFERROR(__xludf.DUMMYFUNCTION("""COMPUTED_VALUE"""),2810.0)</f>
        <v>2810</v>
      </c>
      <c r="O605" s="593">
        <f>IFERROR(__xludf.DUMMYFUNCTION("""COMPUTED_VALUE"""),2550.0)</f>
        <v>2550</v>
      </c>
      <c r="P605" s="594">
        <f>IFERROR(__xludf.DUMMYFUNCTION("""COMPUTED_VALUE"""),1700.0)</f>
        <v>1700</v>
      </c>
      <c r="Q605" s="183"/>
      <c r="R605" s="544" t="str">
        <f>IFERROR(__xludf.DUMMYFUNCTION("""COMPUTED_VALUE"""),"O列要確認")</f>
        <v>O列要確認</v>
      </c>
      <c r="S605" s="544"/>
      <c r="T605" s="544"/>
      <c r="U605" s="544"/>
      <c r="V605" s="544"/>
      <c r="W605" s="544"/>
      <c r="X605" s="544"/>
      <c r="Y605" s="544"/>
      <c r="Z605" s="544"/>
      <c r="AA605" s="544"/>
      <c r="AB605" s="544"/>
      <c r="AC605" s="544"/>
      <c r="AD605" s="544"/>
      <c r="AE605" s="183"/>
      <c r="AF605" s="183"/>
      <c r="AG605" s="183"/>
      <c r="AH605" s="183"/>
      <c r="AI605" s="183"/>
      <c r="AJ605" s="183"/>
      <c r="AK605" s="183"/>
      <c r="AL605" s="183"/>
      <c r="AM605" s="183"/>
    </row>
    <row r="606">
      <c r="A606" s="273" t="str">
        <f>IFERROR(__xludf.DUMMYFUNCTION("""COMPUTED_VALUE"""),"サイズ")</f>
        <v>サイズ</v>
      </c>
      <c r="B606" s="273" t="str">
        <f>IFERROR(__xludf.DUMMYFUNCTION("""COMPUTED_VALUE"""),"チノパン")</f>
        <v>チノパン</v>
      </c>
      <c r="C606" s="273" t="str">
        <f>IFERROR(__xludf.DUMMYFUNCTION("""COMPUTED_VALUE"""),"すそ口巾")</f>
        <v>すそ口巾</v>
      </c>
      <c r="D606" s="668" t="str">
        <f>IFERROR(__xludf.DUMMYFUNCTION("""COMPUTED_VALUE"""),"ステッチ")</f>
        <v>ステッチ</v>
      </c>
      <c r="E606" s="668"/>
      <c r="F606" s="342" t="str">
        <f>IFERROR(__xludf.DUMMYFUNCTION("""COMPUTED_VALUE"""),"すそ口巾 / ステッチ")</f>
        <v>すそ口巾 / ステッチ</v>
      </c>
      <c r="G606" s="668" t="str">
        <f>IFERROR(__xludf.DUMMYFUNCTION("""COMPUTED_VALUE"""),"すそ口巾 / ステッチ")</f>
        <v>すそ口巾 / ステッチ</v>
      </c>
      <c r="H606" s="672" t="str">
        <f>IFERROR(__xludf.DUMMYFUNCTION("""COMPUTED_VALUE"""),"-2.5")</f>
        <v>-2.5</v>
      </c>
      <c r="I606" s="669"/>
      <c r="J606" s="669">
        <f>IFERROR(__xludf.DUMMYFUNCTION("""COMPUTED_VALUE"""),5.0)</f>
        <v>5</v>
      </c>
      <c r="K606" s="673">
        <f>IFERROR(__xludf.DUMMYFUNCTION("""COMPUTED_VALUE"""),45996.0)</f>
        <v>45996</v>
      </c>
      <c r="L606" s="670">
        <f>IFERROR(__xludf.DUMMYFUNCTION("""COMPUTED_VALUE"""),46002.0)</f>
        <v>46002</v>
      </c>
      <c r="M606" s="670">
        <f>IFERROR(__xludf.DUMMYFUNCTION("""COMPUTED_VALUE"""),46002.0)</f>
        <v>46002</v>
      </c>
      <c r="N606" s="674">
        <f>IFERROR(__xludf.DUMMYFUNCTION("""COMPUTED_VALUE"""),2810.0)</f>
        <v>2810</v>
      </c>
      <c r="O606" s="593">
        <f>IFERROR(__xludf.DUMMYFUNCTION("""COMPUTED_VALUE"""),2550.0)</f>
        <v>2550</v>
      </c>
      <c r="P606" s="594">
        <f>IFERROR(__xludf.DUMMYFUNCTION("""COMPUTED_VALUE"""),1600.0)</f>
        <v>1600</v>
      </c>
      <c r="Q606" s="183"/>
      <c r="R606" s="544" t="str">
        <f>IFERROR(__xludf.DUMMYFUNCTION("""COMPUTED_VALUE"""),"O列要確認")</f>
        <v>O列要確認</v>
      </c>
      <c r="S606" s="544"/>
      <c r="T606" s="544"/>
      <c r="U606" s="544"/>
      <c r="V606" s="544"/>
      <c r="W606" s="544"/>
      <c r="X606" s="544"/>
      <c r="Y606" s="544"/>
      <c r="Z606" s="544"/>
      <c r="AA606" s="544"/>
      <c r="AB606" s="544"/>
      <c r="AC606" s="544"/>
      <c r="AD606" s="544"/>
      <c r="AE606" s="183"/>
      <c r="AF606" s="183"/>
      <c r="AG606" s="183"/>
      <c r="AH606" s="183"/>
      <c r="AI606" s="183"/>
      <c r="AJ606" s="183"/>
      <c r="AK606" s="183"/>
      <c r="AL606" s="183"/>
      <c r="AM606" s="183"/>
    </row>
    <row r="607">
      <c r="A607" s="273" t="str">
        <f>IFERROR(__xludf.DUMMYFUNCTION("""COMPUTED_VALUE"""),"サイズ")</f>
        <v>サイズ</v>
      </c>
      <c r="B607" s="273" t="str">
        <f>IFERROR(__xludf.DUMMYFUNCTION("""COMPUTED_VALUE"""),"チノパン")</f>
        <v>チノパン</v>
      </c>
      <c r="C607" s="273" t="str">
        <f>IFERROR(__xludf.DUMMYFUNCTION("""COMPUTED_VALUE"""),"すそ口巾")</f>
        <v>すそ口巾</v>
      </c>
      <c r="D607" s="668" t="str">
        <f>IFERROR(__xludf.DUMMYFUNCTION("""COMPUTED_VALUE"""),"ステッチ")</f>
        <v>ステッチ</v>
      </c>
      <c r="E607" s="668"/>
      <c r="F607" s="342" t="str">
        <f>IFERROR(__xludf.DUMMYFUNCTION("""COMPUTED_VALUE"""),"すそ口巾 / ステッチ")</f>
        <v>すそ口巾 / ステッチ</v>
      </c>
      <c r="G607" s="668" t="str">
        <f>IFERROR(__xludf.DUMMYFUNCTION("""COMPUTED_VALUE"""),"すそ口巾 / ステッチ")</f>
        <v>すそ口巾 / ステッチ</v>
      </c>
      <c r="H607" s="672" t="str">
        <f>IFERROR(__xludf.DUMMYFUNCTION("""COMPUTED_VALUE"""),"-3")</f>
        <v>-3</v>
      </c>
      <c r="I607" s="669"/>
      <c r="J607" s="669">
        <f>IFERROR(__xludf.DUMMYFUNCTION("""COMPUTED_VALUE"""),5.0)</f>
        <v>5</v>
      </c>
      <c r="K607" s="673">
        <f>IFERROR(__xludf.DUMMYFUNCTION("""COMPUTED_VALUE"""),45996.0)</f>
        <v>45996</v>
      </c>
      <c r="L607" s="670">
        <f>IFERROR(__xludf.DUMMYFUNCTION("""COMPUTED_VALUE"""),46002.0)</f>
        <v>46002</v>
      </c>
      <c r="M607" s="670">
        <f>IFERROR(__xludf.DUMMYFUNCTION("""COMPUTED_VALUE"""),46002.0)</f>
        <v>46002</v>
      </c>
      <c r="N607" s="674">
        <f>IFERROR(__xludf.DUMMYFUNCTION("""COMPUTED_VALUE"""),2810.0)</f>
        <v>2810</v>
      </c>
      <c r="O607" s="593">
        <f>IFERROR(__xludf.DUMMYFUNCTION("""COMPUTED_VALUE"""),2550.0)</f>
        <v>2550</v>
      </c>
      <c r="P607" s="594">
        <f>IFERROR(__xludf.DUMMYFUNCTION("""COMPUTED_VALUE"""),1600.0)</f>
        <v>1600</v>
      </c>
      <c r="Q607" s="183"/>
      <c r="R607" s="544" t="str">
        <f>IFERROR(__xludf.DUMMYFUNCTION("""COMPUTED_VALUE"""),"O列要確認")</f>
        <v>O列要確認</v>
      </c>
      <c r="S607" s="544"/>
      <c r="T607" s="544"/>
      <c r="U607" s="544"/>
      <c r="V607" s="544"/>
      <c r="W607" s="544"/>
      <c r="X607" s="544"/>
      <c r="Y607" s="544"/>
      <c r="Z607" s="544"/>
      <c r="AA607" s="544"/>
      <c r="AB607" s="544"/>
      <c r="AC607" s="544"/>
      <c r="AD607" s="544"/>
      <c r="AE607" s="183"/>
      <c r="AF607" s="183"/>
      <c r="AG607" s="183"/>
      <c r="AH607" s="183"/>
      <c r="AI607" s="183"/>
      <c r="AJ607" s="183"/>
      <c r="AK607" s="183"/>
      <c r="AL607" s="183"/>
      <c r="AM607" s="183"/>
    </row>
    <row r="608">
      <c r="A608" s="273" t="str">
        <f>IFERROR(__xludf.DUMMYFUNCTION("""COMPUTED_VALUE"""),"サイズ")</f>
        <v>サイズ</v>
      </c>
      <c r="B608" s="273" t="str">
        <f>IFERROR(__xludf.DUMMYFUNCTION("""COMPUTED_VALUE"""),"チノパン")</f>
        <v>チノパン</v>
      </c>
      <c r="C608" s="273" t="str">
        <f>IFERROR(__xludf.DUMMYFUNCTION("""COMPUTED_VALUE"""),"すそ口巾")</f>
        <v>すそ口巾</v>
      </c>
      <c r="D608" s="668" t="str">
        <f>IFERROR(__xludf.DUMMYFUNCTION("""COMPUTED_VALUE"""),"ステッチ")</f>
        <v>ステッチ</v>
      </c>
      <c r="E608" s="668"/>
      <c r="F608" s="342" t="str">
        <f>IFERROR(__xludf.DUMMYFUNCTION("""COMPUTED_VALUE"""),"すそ口巾 / ステッチ")</f>
        <v>すそ口巾 / ステッチ</v>
      </c>
      <c r="G608" s="668" t="str">
        <f>IFERROR(__xludf.DUMMYFUNCTION("""COMPUTED_VALUE"""),"すそ口巾 / ステッチ")</f>
        <v>すそ口巾 / ステッチ</v>
      </c>
      <c r="H608" s="672" t="str">
        <f>IFERROR(__xludf.DUMMYFUNCTION("""COMPUTED_VALUE"""),"-3.5")</f>
        <v>-3.5</v>
      </c>
      <c r="I608" s="669"/>
      <c r="J608" s="669">
        <f>IFERROR(__xludf.DUMMYFUNCTION("""COMPUTED_VALUE"""),5.0)</f>
        <v>5</v>
      </c>
      <c r="K608" s="673">
        <f>IFERROR(__xludf.DUMMYFUNCTION("""COMPUTED_VALUE"""),45996.0)</f>
        <v>45996</v>
      </c>
      <c r="L608" s="670">
        <f>IFERROR(__xludf.DUMMYFUNCTION("""COMPUTED_VALUE"""),46002.0)</f>
        <v>46002</v>
      </c>
      <c r="M608" s="670">
        <f>IFERROR(__xludf.DUMMYFUNCTION("""COMPUTED_VALUE"""),46002.0)</f>
        <v>46002</v>
      </c>
      <c r="N608" s="674">
        <f>IFERROR(__xludf.DUMMYFUNCTION("""COMPUTED_VALUE"""),2810.0)</f>
        <v>2810</v>
      </c>
      <c r="O608" s="593">
        <f>IFERROR(__xludf.DUMMYFUNCTION("""COMPUTED_VALUE"""),2550.0)</f>
        <v>2550</v>
      </c>
      <c r="P608" s="594">
        <f>IFERROR(__xludf.DUMMYFUNCTION("""COMPUTED_VALUE"""),1600.0)</f>
        <v>1600</v>
      </c>
      <c r="Q608" s="183"/>
      <c r="R608" s="544" t="str">
        <f>IFERROR(__xludf.DUMMYFUNCTION("""COMPUTED_VALUE"""),"O列要確認")</f>
        <v>O列要確認</v>
      </c>
      <c r="S608" s="544"/>
      <c r="T608" s="544"/>
      <c r="U608" s="544"/>
      <c r="V608" s="544"/>
      <c r="W608" s="544"/>
      <c r="X608" s="544"/>
      <c r="Y608" s="544"/>
      <c r="Z608" s="544"/>
      <c r="AA608" s="544"/>
      <c r="AB608" s="544"/>
      <c r="AC608" s="544"/>
      <c r="AD608" s="544"/>
      <c r="AE608" s="183"/>
      <c r="AF608" s="183"/>
      <c r="AG608" s="183"/>
      <c r="AH608" s="183"/>
      <c r="AI608" s="183"/>
      <c r="AJ608" s="183"/>
      <c r="AK608" s="183"/>
      <c r="AL608" s="183"/>
      <c r="AM608" s="183"/>
    </row>
    <row r="609">
      <c r="A609" s="273" t="str">
        <f>IFERROR(__xludf.DUMMYFUNCTION("""COMPUTED_VALUE"""),"サイズ")</f>
        <v>サイズ</v>
      </c>
      <c r="B609" s="273" t="str">
        <f>IFERROR(__xludf.DUMMYFUNCTION("""COMPUTED_VALUE"""),"チノパン")</f>
        <v>チノパン</v>
      </c>
      <c r="C609" s="273" t="str">
        <f>IFERROR(__xludf.DUMMYFUNCTION("""COMPUTED_VALUE"""),"すそ口巾")</f>
        <v>すそ口巾</v>
      </c>
      <c r="D609" s="668" t="str">
        <f>IFERROR(__xludf.DUMMYFUNCTION("""COMPUTED_VALUE"""),"ステッチ")</f>
        <v>ステッチ</v>
      </c>
      <c r="E609" s="668"/>
      <c r="F609" s="342" t="str">
        <f>IFERROR(__xludf.DUMMYFUNCTION("""COMPUTED_VALUE"""),"すそ口巾 / ステッチ")</f>
        <v>すそ口巾 / ステッチ</v>
      </c>
      <c r="G609" s="668" t="str">
        <f>IFERROR(__xludf.DUMMYFUNCTION("""COMPUTED_VALUE"""),"すそ口巾 / ステッチ")</f>
        <v>すそ口巾 / ステッチ</v>
      </c>
      <c r="H609" s="672" t="str">
        <f>IFERROR(__xludf.DUMMYFUNCTION("""COMPUTED_VALUE"""),"-4")</f>
        <v>-4</v>
      </c>
      <c r="I609" s="669"/>
      <c r="J609" s="669">
        <f>IFERROR(__xludf.DUMMYFUNCTION("""COMPUTED_VALUE"""),5.0)</f>
        <v>5</v>
      </c>
      <c r="K609" s="673">
        <f>IFERROR(__xludf.DUMMYFUNCTION("""COMPUTED_VALUE"""),45996.0)</f>
        <v>45996</v>
      </c>
      <c r="L609" s="670">
        <f>IFERROR(__xludf.DUMMYFUNCTION("""COMPUTED_VALUE"""),46002.0)</f>
        <v>46002</v>
      </c>
      <c r="M609" s="670">
        <f>IFERROR(__xludf.DUMMYFUNCTION("""COMPUTED_VALUE"""),46002.0)</f>
        <v>46002</v>
      </c>
      <c r="N609" s="674">
        <f>IFERROR(__xludf.DUMMYFUNCTION("""COMPUTED_VALUE"""),2810.0)</f>
        <v>2810</v>
      </c>
      <c r="O609" s="593">
        <f>IFERROR(__xludf.DUMMYFUNCTION("""COMPUTED_VALUE"""),2550.0)</f>
        <v>2550</v>
      </c>
      <c r="P609" s="594">
        <f>IFERROR(__xludf.DUMMYFUNCTION("""COMPUTED_VALUE"""),1600.0)</f>
        <v>1600</v>
      </c>
      <c r="Q609" s="183"/>
      <c r="R609" s="544" t="str">
        <f>IFERROR(__xludf.DUMMYFUNCTION("""COMPUTED_VALUE"""),"O列要確認")</f>
        <v>O列要確認</v>
      </c>
      <c r="S609" s="544"/>
      <c r="T609" s="544"/>
      <c r="U609" s="544"/>
      <c r="V609" s="544"/>
      <c r="W609" s="544"/>
      <c r="X609" s="544"/>
      <c r="Y609" s="544"/>
      <c r="Z609" s="544"/>
      <c r="AA609" s="544"/>
      <c r="AB609" s="544"/>
      <c r="AC609" s="544"/>
      <c r="AD609" s="544"/>
      <c r="AE609" s="183"/>
      <c r="AF609" s="183"/>
      <c r="AG609" s="183"/>
      <c r="AH609" s="183"/>
      <c r="AI609" s="183"/>
      <c r="AJ609" s="183"/>
      <c r="AK609" s="183"/>
      <c r="AL609" s="183"/>
      <c r="AM609" s="183"/>
    </row>
    <row r="610">
      <c r="A610" s="273" t="str">
        <f>IFERROR(__xludf.DUMMYFUNCTION("""COMPUTED_VALUE"""),"サイズ")</f>
        <v>サイズ</v>
      </c>
      <c r="B610" s="273" t="str">
        <f>IFERROR(__xludf.DUMMYFUNCTION("""COMPUTED_VALUE"""),"チノパン")</f>
        <v>チノパン</v>
      </c>
      <c r="C610" s="273" t="str">
        <f>IFERROR(__xludf.DUMMYFUNCTION("""COMPUTED_VALUE"""),"すそ口巾")</f>
        <v>すそ口巾</v>
      </c>
      <c r="D610" s="668" t="str">
        <f>IFERROR(__xludf.DUMMYFUNCTION("""COMPUTED_VALUE"""),"ステッチ")</f>
        <v>ステッチ</v>
      </c>
      <c r="E610" s="668"/>
      <c r="F610" s="342" t="str">
        <f>IFERROR(__xludf.DUMMYFUNCTION("""COMPUTED_VALUE"""),"すそ口巾 / ステッチ")</f>
        <v>すそ口巾 / ステッチ</v>
      </c>
      <c r="G610" s="668" t="str">
        <f>IFERROR(__xludf.DUMMYFUNCTION("""COMPUTED_VALUE"""),"すそ口巾 / ステッチ")</f>
        <v>すそ口巾 / ステッチ</v>
      </c>
      <c r="H610" s="672" t="str">
        <f>IFERROR(__xludf.DUMMYFUNCTION("""COMPUTED_VALUE"""),"-2")</f>
        <v>-2</v>
      </c>
      <c r="I610" s="669"/>
      <c r="J610" s="669">
        <f>IFERROR(__xludf.DUMMYFUNCTION("""COMPUTED_VALUE"""),5.0)</f>
        <v>5</v>
      </c>
      <c r="K610" s="673">
        <f>IFERROR(__xludf.DUMMYFUNCTION("""COMPUTED_VALUE"""),45996.0)</f>
        <v>45996</v>
      </c>
      <c r="L610" s="670">
        <f>IFERROR(__xludf.DUMMYFUNCTION("""COMPUTED_VALUE"""),46002.0)</f>
        <v>46002</v>
      </c>
      <c r="M610" s="670">
        <f>IFERROR(__xludf.DUMMYFUNCTION("""COMPUTED_VALUE"""),46002.0)</f>
        <v>46002</v>
      </c>
      <c r="N610" s="674">
        <f>IFERROR(__xludf.DUMMYFUNCTION("""COMPUTED_VALUE"""),2810.0)</f>
        <v>2810</v>
      </c>
      <c r="O610" s="593">
        <f>IFERROR(__xludf.DUMMYFUNCTION("""COMPUTED_VALUE"""),2550.0)</f>
        <v>2550</v>
      </c>
      <c r="P610" s="594">
        <f>IFERROR(__xludf.DUMMYFUNCTION("""COMPUTED_VALUE"""),1600.0)</f>
        <v>1600</v>
      </c>
      <c r="Q610" s="183"/>
      <c r="R610" s="544" t="str">
        <f>IFERROR(__xludf.DUMMYFUNCTION("""COMPUTED_VALUE"""),"O列要確認")</f>
        <v>O列要確認</v>
      </c>
      <c r="S610" s="544"/>
      <c r="T610" s="544"/>
      <c r="U610" s="544"/>
      <c r="V610" s="544"/>
      <c r="W610" s="544"/>
      <c r="X610" s="544"/>
      <c r="Y610" s="544"/>
      <c r="Z610" s="544"/>
      <c r="AA610" s="544"/>
      <c r="AB610" s="544"/>
      <c r="AC610" s="544"/>
      <c r="AD610" s="544"/>
      <c r="AE610" s="183"/>
      <c r="AF610" s="183"/>
      <c r="AG610" s="183"/>
      <c r="AH610" s="183"/>
      <c r="AI610" s="183"/>
      <c r="AJ610" s="183"/>
      <c r="AK610" s="183"/>
      <c r="AL610" s="183"/>
      <c r="AM610" s="183"/>
    </row>
    <row r="611">
      <c r="A611" s="273" t="str">
        <f>IFERROR(__xludf.DUMMYFUNCTION("""COMPUTED_VALUE"""),"サイズ")</f>
        <v>サイズ</v>
      </c>
      <c r="B611" s="273" t="str">
        <f>IFERROR(__xludf.DUMMYFUNCTION("""COMPUTED_VALUE"""),"チノパン")</f>
        <v>チノパン</v>
      </c>
      <c r="C611" s="273" t="str">
        <f>IFERROR(__xludf.DUMMYFUNCTION("""COMPUTED_VALUE"""),"すそ口巾")</f>
        <v>すそ口巾</v>
      </c>
      <c r="D611" s="668" t="str">
        <f>IFERROR(__xludf.DUMMYFUNCTION("""COMPUTED_VALUE"""),"ステッチ")</f>
        <v>ステッチ</v>
      </c>
      <c r="E611" s="668"/>
      <c r="F611" s="342" t="str">
        <f>IFERROR(__xludf.DUMMYFUNCTION("""COMPUTED_VALUE"""),"すそ口巾 / ステッチ")</f>
        <v>すそ口巾 / ステッチ</v>
      </c>
      <c r="G611" s="668" t="str">
        <f>IFERROR(__xludf.DUMMYFUNCTION("""COMPUTED_VALUE"""),"すそ口巾 / ステッチ")</f>
        <v>すそ口巾 / ステッチ</v>
      </c>
      <c r="H611" s="672" t="str">
        <f>IFERROR(__xludf.DUMMYFUNCTION("""COMPUTED_VALUE"""),"-1.5")</f>
        <v>-1.5</v>
      </c>
      <c r="I611" s="669"/>
      <c r="J611" s="669">
        <f>IFERROR(__xludf.DUMMYFUNCTION("""COMPUTED_VALUE"""),5.0)</f>
        <v>5</v>
      </c>
      <c r="K611" s="673">
        <f>IFERROR(__xludf.DUMMYFUNCTION("""COMPUTED_VALUE"""),45996.0)</f>
        <v>45996</v>
      </c>
      <c r="L611" s="670">
        <f>IFERROR(__xludf.DUMMYFUNCTION("""COMPUTED_VALUE"""),46002.0)</f>
        <v>46002</v>
      </c>
      <c r="M611" s="670">
        <f>IFERROR(__xludf.DUMMYFUNCTION("""COMPUTED_VALUE"""),46002.0)</f>
        <v>46002</v>
      </c>
      <c r="N611" s="674">
        <f>IFERROR(__xludf.DUMMYFUNCTION("""COMPUTED_VALUE"""),2810.0)</f>
        <v>2810</v>
      </c>
      <c r="O611" s="593">
        <f>IFERROR(__xludf.DUMMYFUNCTION("""COMPUTED_VALUE"""),2550.0)</f>
        <v>2550</v>
      </c>
      <c r="P611" s="594">
        <f>IFERROR(__xludf.DUMMYFUNCTION("""COMPUTED_VALUE"""),1600.0)</f>
        <v>1600</v>
      </c>
      <c r="Q611" s="183"/>
      <c r="R611" s="544" t="str">
        <f>IFERROR(__xludf.DUMMYFUNCTION("""COMPUTED_VALUE"""),"O列要確認")</f>
        <v>O列要確認</v>
      </c>
      <c r="S611" s="544"/>
      <c r="T611" s="544"/>
      <c r="U611" s="544"/>
      <c r="V611" s="544"/>
      <c r="W611" s="544"/>
      <c r="X611" s="544"/>
      <c r="Y611" s="544"/>
      <c r="Z611" s="544"/>
      <c r="AA611" s="544"/>
      <c r="AB611" s="544"/>
      <c r="AC611" s="544"/>
      <c r="AD611" s="544"/>
      <c r="AE611" s="183"/>
      <c r="AF611" s="183"/>
      <c r="AG611" s="183"/>
      <c r="AH611" s="183"/>
      <c r="AI611" s="183"/>
      <c r="AJ611" s="183"/>
      <c r="AK611" s="183"/>
      <c r="AL611" s="183"/>
      <c r="AM611" s="183"/>
    </row>
    <row r="612">
      <c r="A612" s="273" t="str">
        <f>IFERROR(__xludf.DUMMYFUNCTION("""COMPUTED_VALUE"""),"サイズ")</f>
        <v>サイズ</v>
      </c>
      <c r="B612" s="273" t="str">
        <f>IFERROR(__xludf.DUMMYFUNCTION("""COMPUTED_VALUE"""),"チノパン")</f>
        <v>チノパン</v>
      </c>
      <c r="C612" s="273" t="str">
        <f>IFERROR(__xludf.DUMMYFUNCTION("""COMPUTED_VALUE"""),"すそ口巾")</f>
        <v>すそ口巾</v>
      </c>
      <c r="D612" s="668" t="str">
        <f>IFERROR(__xludf.DUMMYFUNCTION("""COMPUTED_VALUE"""),"ステッチ")</f>
        <v>ステッチ</v>
      </c>
      <c r="E612" s="668"/>
      <c r="F612" s="342" t="str">
        <f>IFERROR(__xludf.DUMMYFUNCTION("""COMPUTED_VALUE"""),"すそ口巾 / ステッチ")</f>
        <v>すそ口巾 / ステッチ</v>
      </c>
      <c r="G612" s="668" t="str">
        <f>IFERROR(__xludf.DUMMYFUNCTION("""COMPUTED_VALUE"""),"すそ口巾 / ステッチ")</f>
        <v>すそ口巾 / ステッチ</v>
      </c>
      <c r="H612" s="672" t="str">
        <f>IFERROR(__xludf.DUMMYFUNCTION("""COMPUTED_VALUE"""),"-1")</f>
        <v>-1</v>
      </c>
      <c r="I612" s="669"/>
      <c r="J612" s="669">
        <f>IFERROR(__xludf.DUMMYFUNCTION("""COMPUTED_VALUE"""),5.0)</f>
        <v>5</v>
      </c>
      <c r="K612" s="673">
        <f>IFERROR(__xludf.DUMMYFUNCTION("""COMPUTED_VALUE"""),45996.0)</f>
        <v>45996</v>
      </c>
      <c r="L612" s="670">
        <f>IFERROR(__xludf.DUMMYFUNCTION("""COMPUTED_VALUE"""),46002.0)</f>
        <v>46002</v>
      </c>
      <c r="M612" s="670">
        <f>IFERROR(__xludf.DUMMYFUNCTION("""COMPUTED_VALUE"""),46002.0)</f>
        <v>46002</v>
      </c>
      <c r="N612" s="674">
        <f>IFERROR(__xludf.DUMMYFUNCTION("""COMPUTED_VALUE"""),2810.0)</f>
        <v>2810</v>
      </c>
      <c r="O612" s="593">
        <f>IFERROR(__xludf.DUMMYFUNCTION("""COMPUTED_VALUE"""),2550.0)</f>
        <v>2550</v>
      </c>
      <c r="P612" s="594">
        <f>IFERROR(__xludf.DUMMYFUNCTION("""COMPUTED_VALUE"""),1600.0)</f>
        <v>1600</v>
      </c>
      <c r="Q612" s="183"/>
      <c r="R612" s="544" t="str">
        <f>IFERROR(__xludf.DUMMYFUNCTION("""COMPUTED_VALUE"""),"O列要確認")</f>
        <v>O列要確認</v>
      </c>
      <c r="S612" s="544"/>
      <c r="T612" s="544"/>
      <c r="U612" s="544"/>
      <c r="V612" s="544"/>
      <c r="W612" s="544"/>
      <c r="X612" s="544"/>
      <c r="Y612" s="544"/>
      <c r="Z612" s="544"/>
      <c r="AA612" s="544"/>
      <c r="AB612" s="544"/>
      <c r="AC612" s="544"/>
      <c r="AD612" s="544"/>
      <c r="AE612" s="183"/>
      <c r="AF612" s="183"/>
      <c r="AG612" s="183"/>
      <c r="AH612" s="183"/>
      <c r="AI612" s="183"/>
      <c r="AJ612" s="183"/>
      <c r="AK612" s="183"/>
      <c r="AL612" s="183"/>
      <c r="AM612" s="183"/>
    </row>
    <row r="613">
      <c r="A613" s="273" t="str">
        <f>IFERROR(__xludf.DUMMYFUNCTION("""COMPUTED_VALUE"""),"サイズ")</f>
        <v>サイズ</v>
      </c>
      <c r="B613" s="273" t="str">
        <f>IFERROR(__xludf.DUMMYFUNCTION("""COMPUTED_VALUE"""),"チノパン")</f>
        <v>チノパン</v>
      </c>
      <c r="C613" s="273" t="str">
        <f>IFERROR(__xludf.DUMMYFUNCTION("""COMPUTED_VALUE"""),"すそ口巾")</f>
        <v>すそ口巾</v>
      </c>
      <c r="D613" s="668" t="str">
        <f>IFERROR(__xludf.DUMMYFUNCTION("""COMPUTED_VALUE"""),"ステッチ")</f>
        <v>ステッチ</v>
      </c>
      <c r="E613" s="668"/>
      <c r="F613" s="342" t="str">
        <f>IFERROR(__xludf.DUMMYFUNCTION("""COMPUTED_VALUE"""),"すそ口巾 / ステッチ")</f>
        <v>すそ口巾 / ステッチ</v>
      </c>
      <c r="G613" s="668" t="str">
        <f>IFERROR(__xludf.DUMMYFUNCTION("""COMPUTED_VALUE"""),"すそ口巾 / ステッチ")</f>
        <v>すそ口巾 / ステッチ</v>
      </c>
      <c r="H613" s="672" t="str">
        <f>IFERROR(__xludf.DUMMYFUNCTION("""COMPUTED_VALUE"""),"-0.5")</f>
        <v>-0.5</v>
      </c>
      <c r="I613" s="669"/>
      <c r="J613" s="669">
        <f>IFERROR(__xludf.DUMMYFUNCTION("""COMPUTED_VALUE"""),5.0)</f>
        <v>5</v>
      </c>
      <c r="K613" s="673">
        <f>IFERROR(__xludf.DUMMYFUNCTION("""COMPUTED_VALUE"""),45996.0)</f>
        <v>45996</v>
      </c>
      <c r="L613" s="670">
        <f>IFERROR(__xludf.DUMMYFUNCTION("""COMPUTED_VALUE"""),46002.0)</f>
        <v>46002</v>
      </c>
      <c r="M613" s="670">
        <f>IFERROR(__xludf.DUMMYFUNCTION("""COMPUTED_VALUE"""),46002.0)</f>
        <v>46002</v>
      </c>
      <c r="N613" s="674">
        <f>IFERROR(__xludf.DUMMYFUNCTION("""COMPUTED_VALUE"""),2810.0)</f>
        <v>2810</v>
      </c>
      <c r="O613" s="593">
        <f>IFERROR(__xludf.DUMMYFUNCTION("""COMPUTED_VALUE"""),2550.0)</f>
        <v>2550</v>
      </c>
      <c r="P613" s="594">
        <f>IFERROR(__xludf.DUMMYFUNCTION("""COMPUTED_VALUE"""),1600.0)</f>
        <v>1600</v>
      </c>
      <c r="Q613" s="183"/>
      <c r="R613" s="544" t="str">
        <f>IFERROR(__xludf.DUMMYFUNCTION("""COMPUTED_VALUE"""),"O列要確認")</f>
        <v>O列要確認</v>
      </c>
      <c r="S613" s="544"/>
      <c r="T613" s="544"/>
      <c r="U613" s="544"/>
      <c r="V613" s="544"/>
      <c r="W613" s="544"/>
      <c r="X613" s="544"/>
      <c r="Y613" s="544"/>
      <c r="Z613" s="544"/>
      <c r="AA613" s="544"/>
      <c r="AB613" s="544"/>
      <c r="AC613" s="544"/>
      <c r="AD613" s="544"/>
      <c r="AE613" s="183"/>
      <c r="AF613" s="183"/>
      <c r="AG613" s="183"/>
      <c r="AH613" s="183"/>
      <c r="AI613" s="183"/>
      <c r="AJ613" s="183"/>
      <c r="AK613" s="183"/>
      <c r="AL613" s="183"/>
      <c r="AM613" s="183"/>
    </row>
    <row r="614">
      <c r="A614" s="273" t="str">
        <f>IFERROR(__xludf.DUMMYFUNCTION("""COMPUTED_VALUE"""),"サイズ")</f>
        <v>サイズ</v>
      </c>
      <c r="B614" s="273" t="str">
        <f>IFERROR(__xludf.DUMMYFUNCTION("""COMPUTED_VALUE"""),"チノパン")</f>
        <v>チノパン</v>
      </c>
      <c r="C614" s="273" t="str">
        <f>IFERROR(__xludf.DUMMYFUNCTION("""COMPUTED_VALUE"""),"O脚")</f>
        <v>O脚</v>
      </c>
      <c r="D614" s="668"/>
      <c r="E614" s="668"/>
      <c r="F614" s="342" t="str">
        <f>IFERROR(__xludf.DUMMYFUNCTION("""COMPUTED_VALUE"""),"O脚")</f>
        <v>O脚</v>
      </c>
      <c r="G614" s="668" t="str">
        <f>IFERROR(__xludf.DUMMYFUNCTION("""COMPUTED_VALUE"""),"O脚")</f>
        <v>O脚</v>
      </c>
      <c r="H614" s="669"/>
      <c r="I614" s="669"/>
      <c r="J614" s="669" t="str">
        <f>IFERROR(__xludf.DUMMYFUNCTION("""COMPUTED_VALUE"""),"再製作")</f>
        <v>再製作</v>
      </c>
      <c r="K614" s="673" t="str">
        <f>IFERROR(__xludf.DUMMYFUNCTION("""COMPUTED_VALUE"""),"再製作")</f>
        <v>再製作</v>
      </c>
      <c r="L614" s="670" t="str">
        <f>IFERROR(__xludf.DUMMYFUNCTION("""COMPUTED_VALUE"""),"再製作")</f>
        <v>再製作</v>
      </c>
      <c r="M614" s="670" t="str">
        <f>IFERROR(__xludf.DUMMYFUNCTION("""COMPUTED_VALUE"""),"再製作")</f>
        <v>再製作</v>
      </c>
      <c r="N614" s="673" t="str">
        <f>IFERROR(__xludf.DUMMYFUNCTION("""COMPUTED_VALUE"""),"再製作")</f>
        <v>再製作</v>
      </c>
      <c r="O614" s="677" t="str">
        <f>IFERROR(__xludf.DUMMYFUNCTION("""COMPUTED_VALUE"""),"再製作")</f>
        <v>再製作</v>
      </c>
      <c r="P614" s="183"/>
      <c r="Q614" s="183"/>
      <c r="R614" s="544"/>
      <c r="S614" s="544"/>
      <c r="T614" s="544"/>
      <c r="U614" s="544"/>
      <c r="V614" s="544"/>
      <c r="W614" s="544"/>
      <c r="X614" s="544"/>
      <c r="Y614" s="544"/>
      <c r="Z614" s="544"/>
      <c r="AA614" s="544"/>
      <c r="AB614" s="544"/>
      <c r="AC614" s="544"/>
      <c r="AD614" s="544"/>
      <c r="AE614" s="183"/>
      <c r="AF614" s="183"/>
      <c r="AG614" s="183"/>
      <c r="AH614" s="183"/>
      <c r="AI614" s="183"/>
      <c r="AJ614" s="183"/>
      <c r="AK614" s="183"/>
      <c r="AL614" s="183"/>
      <c r="AM614" s="183"/>
    </row>
    <row r="615">
      <c r="A615" s="273" t="str">
        <f>IFERROR(__xludf.DUMMYFUNCTION("""COMPUTED_VALUE"""),"サイズ")</f>
        <v>サイズ</v>
      </c>
      <c r="B615" s="273" t="str">
        <f>IFERROR(__xludf.DUMMYFUNCTION("""COMPUTED_VALUE"""),"チノパン")</f>
        <v>チノパン</v>
      </c>
      <c r="C615" s="273" t="str">
        <f>IFERROR(__xludf.DUMMYFUNCTION("""COMPUTED_VALUE"""),"出尻")</f>
        <v>出尻</v>
      </c>
      <c r="D615" s="668"/>
      <c r="E615" s="668"/>
      <c r="F615" s="342" t="str">
        <f>IFERROR(__xludf.DUMMYFUNCTION("""COMPUTED_VALUE"""),"出尻")</f>
        <v>出尻</v>
      </c>
      <c r="G615" s="668" t="str">
        <f>IFERROR(__xludf.DUMMYFUNCTION("""COMPUTED_VALUE"""),"出尻")</f>
        <v>出尻</v>
      </c>
      <c r="H615" s="669"/>
      <c r="I615" s="669"/>
      <c r="J615" s="669" t="str">
        <f>IFERROR(__xludf.DUMMYFUNCTION("""COMPUTED_VALUE"""),"再製作")</f>
        <v>再製作</v>
      </c>
      <c r="K615" s="673" t="str">
        <f>IFERROR(__xludf.DUMMYFUNCTION("""COMPUTED_VALUE"""),"再製作")</f>
        <v>再製作</v>
      </c>
      <c r="L615" s="670" t="str">
        <f>IFERROR(__xludf.DUMMYFUNCTION("""COMPUTED_VALUE"""),"再製作")</f>
        <v>再製作</v>
      </c>
      <c r="M615" s="670" t="str">
        <f>IFERROR(__xludf.DUMMYFUNCTION("""COMPUTED_VALUE"""),"再製作")</f>
        <v>再製作</v>
      </c>
      <c r="N615" s="673" t="str">
        <f>IFERROR(__xludf.DUMMYFUNCTION("""COMPUTED_VALUE"""),"再製作")</f>
        <v>再製作</v>
      </c>
      <c r="O615" s="677" t="str">
        <f>IFERROR(__xludf.DUMMYFUNCTION("""COMPUTED_VALUE"""),"再製作")</f>
        <v>再製作</v>
      </c>
      <c r="P615" s="183"/>
      <c r="Q615" s="183"/>
      <c r="R615" s="544"/>
      <c r="S615" s="544"/>
      <c r="T615" s="544"/>
      <c r="U615" s="544"/>
      <c r="V615" s="544"/>
      <c r="W615" s="544"/>
      <c r="X615" s="544"/>
      <c r="Y615" s="544"/>
      <c r="Z615" s="544"/>
      <c r="AA615" s="544"/>
      <c r="AB615" s="544"/>
      <c r="AC615" s="544"/>
      <c r="AD615" s="544"/>
      <c r="AE615" s="183"/>
      <c r="AF615" s="183"/>
      <c r="AG615" s="183"/>
      <c r="AH615" s="183"/>
      <c r="AI615" s="183"/>
      <c r="AJ615" s="183"/>
      <c r="AK615" s="183"/>
      <c r="AL615" s="183"/>
      <c r="AM615" s="183"/>
    </row>
    <row r="616">
      <c r="A616" s="273" t="str">
        <f>IFERROR(__xludf.DUMMYFUNCTION("""COMPUTED_VALUE"""),"サイズ")</f>
        <v>サイズ</v>
      </c>
      <c r="B616" s="273" t="str">
        <f>IFERROR(__xludf.DUMMYFUNCTION("""COMPUTED_VALUE"""),"チノパン")</f>
        <v>チノパン</v>
      </c>
      <c r="C616" s="273" t="str">
        <f>IFERROR(__xludf.DUMMYFUNCTION("""COMPUTED_VALUE"""),"平尻")</f>
        <v>平尻</v>
      </c>
      <c r="D616" s="668"/>
      <c r="E616" s="668"/>
      <c r="F616" s="342" t="str">
        <f>IFERROR(__xludf.DUMMYFUNCTION("""COMPUTED_VALUE"""),"平尻")</f>
        <v>平尻</v>
      </c>
      <c r="G616" s="668" t="str">
        <f>IFERROR(__xludf.DUMMYFUNCTION("""COMPUTED_VALUE"""),"平尻")</f>
        <v>平尻</v>
      </c>
      <c r="H616" s="669"/>
      <c r="I616" s="669"/>
      <c r="J616" s="669" t="str">
        <f>IFERROR(__xludf.DUMMYFUNCTION("""COMPUTED_VALUE"""),"再製作")</f>
        <v>再製作</v>
      </c>
      <c r="K616" s="673" t="str">
        <f>IFERROR(__xludf.DUMMYFUNCTION("""COMPUTED_VALUE"""),"再製作")</f>
        <v>再製作</v>
      </c>
      <c r="L616" s="670" t="str">
        <f>IFERROR(__xludf.DUMMYFUNCTION("""COMPUTED_VALUE"""),"再製作")</f>
        <v>再製作</v>
      </c>
      <c r="M616" s="670" t="str">
        <f>IFERROR(__xludf.DUMMYFUNCTION("""COMPUTED_VALUE"""),"再製作")</f>
        <v>再製作</v>
      </c>
      <c r="N616" s="673" t="str">
        <f>IFERROR(__xludf.DUMMYFUNCTION("""COMPUTED_VALUE"""),"再製作")</f>
        <v>再製作</v>
      </c>
      <c r="O616" s="677" t="str">
        <f>IFERROR(__xludf.DUMMYFUNCTION("""COMPUTED_VALUE"""),"再製作")</f>
        <v>再製作</v>
      </c>
      <c r="P616" s="183"/>
      <c r="Q616" s="183"/>
      <c r="R616" s="544"/>
      <c r="S616" s="544"/>
      <c r="T616" s="544"/>
      <c r="U616" s="544"/>
      <c r="V616" s="544"/>
      <c r="W616" s="544"/>
      <c r="X616" s="544"/>
      <c r="Y616" s="544"/>
      <c r="Z616" s="544"/>
      <c r="AA616" s="544"/>
      <c r="AB616" s="544"/>
      <c r="AC616" s="544"/>
      <c r="AD616" s="544"/>
      <c r="AE616" s="183"/>
      <c r="AF616" s="183"/>
      <c r="AG616" s="183"/>
      <c r="AH616" s="183"/>
      <c r="AI616" s="183"/>
      <c r="AJ616" s="183"/>
      <c r="AK616" s="183"/>
      <c r="AL616" s="183"/>
      <c r="AM616" s="183"/>
    </row>
    <row r="617">
      <c r="A617" s="273" t="str">
        <f>IFERROR(__xludf.DUMMYFUNCTION("""COMPUTED_VALUE"""),"サイズ")</f>
        <v>サイズ</v>
      </c>
      <c r="B617" s="273" t="str">
        <f>IFERROR(__xludf.DUMMYFUNCTION("""COMPUTED_VALUE"""),"チノパン")</f>
        <v>チノパン</v>
      </c>
      <c r="C617" s="273" t="str">
        <f>IFERROR(__xludf.DUMMYFUNCTION("""COMPUTED_VALUE"""),"前股上")</f>
        <v>前股上</v>
      </c>
      <c r="D617" s="668"/>
      <c r="E617" s="668"/>
      <c r="F617" s="342" t="str">
        <f>IFERROR(__xludf.DUMMYFUNCTION("""COMPUTED_VALUE"""),"前股上")</f>
        <v>前股上</v>
      </c>
      <c r="G617" s="668" t="str">
        <f>IFERROR(__xludf.DUMMYFUNCTION("""COMPUTED_VALUE"""),"前股上")</f>
        <v>前股上</v>
      </c>
      <c r="H617" s="669"/>
      <c r="I617" s="669"/>
      <c r="J617" s="669" t="str">
        <f>IFERROR(__xludf.DUMMYFUNCTION("""COMPUTED_VALUE"""),"再製作")</f>
        <v>再製作</v>
      </c>
      <c r="K617" s="673" t="str">
        <f>IFERROR(__xludf.DUMMYFUNCTION("""COMPUTED_VALUE"""),"再製作")</f>
        <v>再製作</v>
      </c>
      <c r="L617" s="670" t="str">
        <f>IFERROR(__xludf.DUMMYFUNCTION("""COMPUTED_VALUE"""),"再製作")</f>
        <v>再製作</v>
      </c>
      <c r="M617" s="670" t="str">
        <f>IFERROR(__xludf.DUMMYFUNCTION("""COMPUTED_VALUE"""),"再製作")</f>
        <v>再製作</v>
      </c>
      <c r="N617" s="673" t="str">
        <f>IFERROR(__xludf.DUMMYFUNCTION("""COMPUTED_VALUE"""),"再製作")</f>
        <v>再製作</v>
      </c>
      <c r="O617" s="677" t="str">
        <f>IFERROR(__xludf.DUMMYFUNCTION("""COMPUTED_VALUE"""),"再製作")</f>
        <v>再製作</v>
      </c>
      <c r="P617" s="183"/>
      <c r="Q617" s="183"/>
      <c r="R617" s="544"/>
      <c r="S617" s="544"/>
      <c r="T617" s="544"/>
      <c r="U617" s="544"/>
      <c r="V617" s="544"/>
      <c r="W617" s="544"/>
      <c r="X617" s="544"/>
      <c r="Y617" s="544"/>
      <c r="Z617" s="544"/>
      <c r="AA617" s="544"/>
      <c r="AB617" s="544"/>
      <c r="AC617" s="544"/>
      <c r="AD617" s="544"/>
      <c r="AE617" s="183"/>
      <c r="AF617" s="183"/>
      <c r="AG617" s="183"/>
      <c r="AH617" s="183"/>
      <c r="AI617" s="183"/>
      <c r="AJ617" s="183"/>
      <c r="AK617" s="183"/>
      <c r="AL617" s="183"/>
      <c r="AM617" s="183"/>
    </row>
    <row r="618">
      <c r="A618" s="273" t="str">
        <f>IFERROR(__xludf.DUMMYFUNCTION("""COMPUTED_VALUE"""),"サイズ")</f>
        <v>サイズ</v>
      </c>
      <c r="B618" s="273" t="str">
        <f>IFERROR(__xludf.DUMMYFUNCTION("""COMPUTED_VALUE"""),"トレンチコート")</f>
        <v>トレンチコート</v>
      </c>
      <c r="C618" s="675" t="str">
        <f>IFERROR(__xludf.DUMMYFUNCTION("""COMPUTED_VALUE"""),"仕上げプレス")</f>
        <v>仕上げプレス</v>
      </c>
      <c r="D618" s="668"/>
      <c r="E618" s="668"/>
      <c r="F618" s="607" t="str">
        <f>IFERROR(__xludf.DUMMYFUNCTION("""COMPUTED_VALUE"""),"仕上げプレス")</f>
        <v>仕上げプレス</v>
      </c>
      <c r="G618" s="676" t="str">
        <f>IFERROR(__xludf.DUMMYFUNCTION("""COMPUTED_VALUE"""),"仕上げプレス")</f>
        <v>仕上げプレス</v>
      </c>
      <c r="H618" s="669"/>
      <c r="I618" s="669" t="str">
        <f>IFERROR(__xludf.DUMMYFUNCTION("""COMPUTED_VALUE"""),"店舗/CS")</f>
        <v>店舗/CS</v>
      </c>
      <c r="J618" s="669"/>
      <c r="K618" s="669"/>
      <c r="L618" s="670"/>
      <c r="M618" s="670"/>
      <c r="N618" s="674">
        <f>IFERROR(__xludf.DUMMYFUNCTION("""COMPUTED_VALUE"""),770.0)</f>
        <v>770</v>
      </c>
      <c r="O618" s="593">
        <f>IFERROR(__xludf.DUMMYFUNCTION("""COMPUTED_VALUE"""),700.0)</f>
        <v>700</v>
      </c>
      <c r="P618" s="594">
        <f>IFERROR(__xludf.DUMMYFUNCTION("""COMPUTED_VALUE"""),350.0)</f>
        <v>350</v>
      </c>
      <c r="Q618" s="183"/>
      <c r="R618" s="544"/>
      <c r="S618" s="544"/>
      <c r="T618" s="544"/>
      <c r="U618" s="544"/>
      <c r="V618" s="544"/>
      <c r="W618" s="544"/>
      <c r="X618" s="544"/>
      <c r="Y618" s="544"/>
      <c r="Z618" s="544"/>
      <c r="AA618" s="544"/>
      <c r="AB618" s="544"/>
      <c r="AC618" s="544"/>
      <c r="AD618" s="544"/>
      <c r="AE618" s="183"/>
      <c r="AF618" s="183"/>
      <c r="AG618" s="183"/>
      <c r="AH618" s="183"/>
      <c r="AI618" s="183"/>
      <c r="AJ618" s="183"/>
      <c r="AK618" s="183"/>
      <c r="AL618" s="183"/>
      <c r="AM618" s="183"/>
    </row>
    <row r="619">
      <c r="A619" s="273" t="str">
        <f>IFERROR(__xludf.DUMMYFUNCTION("""COMPUTED_VALUE"""),"縫製")</f>
        <v>縫製</v>
      </c>
      <c r="B619" s="273" t="str">
        <f>IFERROR(__xludf.DUMMYFUNCTION("""COMPUTED_VALUE"""),"トレンチコート")</f>
        <v>トレンチコート</v>
      </c>
      <c r="C619" s="273" t="str">
        <f>IFERROR(__xludf.DUMMYFUNCTION("""COMPUTED_VALUE"""),"仕上げプレス")</f>
        <v>仕上げプレス</v>
      </c>
      <c r="D619" s="668"/>
      <c r="E619" s="668"/>
      <c r="F619" s="342" t="str">
        <f>IFERROR(__xludf.DUMMYFUNCTION("""COMPUTED_VALUE"""),"仕上げプレス")</f>
        <v>仕上げプレス</v>
      </c>
      <c r="G619" s="668" t="str">
        <f>IFERROR(__xludf.DUMMYFUNCTION("""COMPUTED_VALUE"""),"仕上げプレス")</f>
        <v>仕上げプレス</v>
      </c>
      <c r="H619" s="669"/>
      <c r="I619" s="669" t="str">
        <f>IFERROR(__xludf.DUMMYFUNCTION("""COMPUTED_VALUE"""),"店舗/CS")</f>
        <v>店舗/CS</v>
      </c>
      <c r="J619" s="669"/>
      <c r="K619" s="669"/>
      <c r="L619" s="670"/>
      <c r="M619" s="670"/>
      <c r="N619" s="674">
        <f>IFERROR(__xludf.DUMMYFUNCTION("""COMPUTED_VALUE"""),770.0)</f>
        <v>770</v>
      </c>
      <c r="O619" s="593">
        <f>IFERROR(__xludf.DUMMYFUNCTION("""COMPUTED_VALUE"""),700.0)</f>
        <v>700</v>
      </c>
      <c r="P619" s="594">
        <f>IFERROR(__xludf.DUMMYFUNCTION("""COMPUTED_VALUE"""),350.0)</f>
        <v>350</v>
      </c>
      <c r="Q619" s="183"/>
      <c r="R619" s="544"/>
      <c r="S619" s="544"/>
      <c r="T619" s="544"/>
      <c r="U619" s="544"/>
      <c r="V619" s="544"/>
      <c r="W619" s="544"/>
      <c r="X619" s="544"/>
      <c r="Y619" s="544"/>
      <c r="Z619" s="544"/>
      <c r="AA619" s="544"/>
      <c r="AB619" s="544"/>
      <c r="AC619" s="544"/>
      <c r="AD619" s="544"/>
      <c r="AE619" s="183"/>
      <c r="AF619" s="183"/>
      <c r="AG619" s="183"/>
      <c r="AH619" s="183"/>
      <c r="AI619" s="183"/>
      <c r="AJ619" s="183"/>
      <c r="AK619" s="183"/>
      <c r="AL619" s="183"/>
      <c r="AM619" s="183"/>
    </row>
    <row r="620">
      <c r="A620" s="273" t="str">
        <f>IFERROR(__xludf.DUMMYFUNCTION("""COMPUTED_VALUE"""),"サイズ")</f>
        <v>サイズ</v>
      </c>
      <c r="B620" s="273" t="str">
        <f>IFERROR(__xludf.DUMMYFUNCTION("""COMPUTED_VALUE"""),"トレンチコート")</f>
        <v>トレンチコート</v>
      </c>
      <c r="C620" s="273" t="str">
        <f>IFERROR(__xludf.DUMMYFUNCTION("""COMPUTED_VALUE"""),"肩巾")</f>
        <v>肩巾</v>
      </c>
      <c r="D620" s="668"/>
      <c r="E620" s="668"/>
      <c r="F620" s="342" t="str">
        <f>IFERROR(__xludf.DUMMYFUNCTION("""COMPUTED_VALUE"""),"肩巾")</f>
        <v>肩巾</v>
      </c>
      <c r="G620" s="668" t="str">
        <f>IFERROR(__xludf.DUMMYFUNCTION("""COMPUTED_VALUE"""),"肩巾")</f>
        <v>肩巾</v>
      </c>
      <c r="H620" s="669"/>
      <c r="I620" s="669"/>
      <c r="J620" s="669" t="str">
        <f>IFERROR(__xludf.DUMMYFUNCTION("""COMPUTED_VALUE"""),"再製作")</f>
        <v>再製作</v>
      </c>
      <c r="K620" s="669" t="str">
        <f>IFERROR(__xludf.DUMMYFUNCTION("""COMPUTED_VALUE"""),"再製作")</f>
        <v>再製作</v>
      </c>
      <c r="L620" s="670" t="str">
        <f>IFERROR(__xludf.DUMMYFUNCTION("""COMPUTED_VALUE"""),"再製作")</f>
        <v>再製作</v>
      </c>
      <c r="M620" s="670" t="str">
        <f>IFERROR(__xludf.DUMMYFUNCTION("""COMPUTED_VALUE"""),"再製作")</f>
        <v>再製作</v>
      </c>
      <c r="N620" s="669" t="str">
        <f>IFERROR(__xludf.DUMMYFUNCTION("""COMPUTED_VALUE"""),"再製作")</f>
        <v>再製作</v>
      </c>
      <c r="O620" s="183" t="str">
        <f>IFERROR(__xludf.DUMMYFUNCTION("""COMPUTED_VALUE"""),"再製作")</f>
        <v>再製作</v>
      </c>
      <c r="P620" s="183"/>
      <c r="Q620" s="183"/>
      <c r="R620" s="544"/>
      <c r="S620" s="544"/>
      <c r="T620" s="544"/>
      <c r="U620" s="544"/>
      <c r="V620" s="544"/>
      <c r="W620" s="544"/>
      <c r="X620" s="544"/>
      <c r="Y620" s="544"/>
      <c r="Z620" s="544"/>
      <c r="AA620" s="544"/>
      <c r="AB620" s="544"/>
      <c r="AC620" s="544"/>
      <c r="AD620" s="544"/>
      <c r="AE620" s="183"/>
      <c r="AF620" s="183"/>
      <c r="AG620" s="183"/>
      <c r="AH620" s="183"/>
      <c r="AI620" s="183"/>
      <c r="AJ620" s="183"/>
      <c r="AK620" s="183"/>
      <c r="AL620" s="183"/>
      <c r="AM620" s="183"/>
    </row>
    <row r="621">
      <c r="A621" s="273" t="str">
        <f>IFERROR(__xludf.DUMMYFUNCTION("""COMPUTED_VALUE"""),"サイズ")</f>
        <v>サイズ</v>
      </c>
      <c r="B621" s="273" t="str">
        <f>IFERROR(__xludf.DUMMYFUNCTION("""COMPUTED_VALUE"""),"トレンチコート")</f>
        <v>トレンチコート</v>
      </c>
      <c r="C621" s="273" t="str">
        <f>IFERROR(__xludf.DUMMYFUNCTION("""COMPUTED_VALUE"""),"バスト")</f>
        <v>バスト</v>
      </c>
      <c r="D621" s="668"/>
      <c r="E621" s="668"/>
      <c r="F621" s="342" t="str">
        <f>IFERROR(__xludf.DUMMYFUNCTION("""COMPUTED_VALUE"""),"バスト")</f>
        <v>バスト</v>
      </c>
      <c r="G621" s="668" t="str">
        <f>IFERROR(__xludf.DUMMYFUNCTION("""COMPUTED_VALUE"""),"バスト")</f>
        <v>バスト</v>
      </c>
      <c r="H621" s="669"/>
      <c r="I621" s="669"/>
      <c r="J621" s="669" t="str">
        <f>IFERROR(__xludf.DUMMYFUNCTION("""COMPUTED_VALUE"""),"再製作")</f>
        <v>再製作</v>
      </c>
      <c r="K621" s="669" t="str">
        <f>IFERROR(__xludf.DUMMYFUNCTION("""COMPUTED_VALUE"""),"再製作")</f>
        <v>再製作</v>
      </c>
      <c r="L621" s="670" t="str">
        <f>IFERROR(__xludf.DUMMYFUNCTION("""COMPUTED_VALUE"""),"再製作")</f>
        <v>再製作</v>
      </c>
      <c r="M621" s="670" t="str">
        <f>IFERROR(__xludf.DUMMYFUNCTION("""COMPUTED_VALUE"""),"再製作")</f>
        <v>再製作</v>
      </c>
      <c r="N621" s="669" t="str">
        <f>IFERROR(__xludf.DUMMYFUNCTION("""COMPUTED_VALUE"""),"再製作")</f>
        <v>再製作</v>
      </c>
      <c r="O621" s="183" t="str">
        <f>IFERROR(__xludf.DUMMYFUNCTION("""COMPUTED_VALUE"""),"再製作")</f>
        <v>再製作</v>
      </c>
      <c r="P621" s="594">
        <f>IFERROR(__xludf.DUMMYFUNCTION("""COMPUTED_VALUE"""),4500.0)</f>
        <v>4500</v>
      </c>
      <c r="Q621" s="183"/>
      <c r="R621" s="544"/>
      <c r="S621" s="544"/>
      <c r="T621" s="544"/>
      <c r="U621" s="544"/>
      <c r="V621" s="544"/>
      <c r="W621" s="544"/>
      <c r="X621" s="544"/>
      <c r="Y621" s="544"/>
      <c r="Z621" s="544"/>
      <c r="AA621" s="544"/>
      <c r="AB621" s="544"/>
      <c r="AC621" s="544"/>
      <c r="AD621" s="544"/>
      <c r="AE621" s="183"/>
      <c r="AF621" s="183"/>
      <c r="AG621" s="183"/>
      <c r="AH621" s="183"/>
      <c r="AI621" s="183"/>
      <c r="AJ621" s="183"/>
      <c r="AK621" s="183"/>
      <c r="AL621" s="183"/>
      <c r="AM621" s="183"/>
    </row>
    <row r="622">
      <c r="A622" s="273" t="str">
        <f>IFERROR(__xludf.DUMMYFUNCTION("""COMPUTED_VALUE"""),"サイズ")</f>
        <v>サイズ</v>
      </c>
      <c r="B622" s="273" t="str">
        <f>IFERROR(__xludf.DUMMYFUNCTION("""COMPUTED_VALUE"""),"トレンチコート")</f>
        <v>トレンチコート</v>
      </c>
      <c r="C622" s="273" t="str">
        <f>IFERROR(__xludf.DUMMYFUNCTION("""COMPUTED_VALUE"""),"ウエスト")</f>
        <v>ウエスト</v>
      </c>
      <c r="D622" s="668"/>
      <c r="E622" s="668"/>
      <c r="F622" s="342" t="str">
        <f>IFERROR(__xludf.DUMMYFUNCTION("""COMPUTED_VALUE"""),"ウエスト")</f>
        <v>ウエスト</v>
      </c>
      <c r="G622" s="668" t="str">
        <f>IFERROR(__xludf.DUMMYFUNCTION("""COMPUTED_VALUE"""),"ウエスト")</f>
        <v>ウエスト</v>
      </c>
      <c r="H622" s="672" t="str">
        <f>IFERROR(__xludf.DUMMYFUNCTION("""COMPUTED_VALUE"""),"-6")</f>
        <v>-6</v>
      </c>
      <c r="I622" s="669"/>
      <c r="J622" s="669">
        <f>IFERROR(__xludf.DUMMYFUNCTION("""COMPUTED_VALUE"""),7.0)</f>
        <v>7</v>
      </c>
      <c r="K622" s="673">
        <f>IFERROR(__xludf.DUMMYFUNCTION("""COMPUTED_VALUE"""),46000.0)</f>
        <v>46000</v>
      </c>
      <c r="L622" s="670">
        <f>IFERROR(__xludf.DUMMYFUNCTION("""COMPUTED_VALUE"""),46003.0)</f>
        <v>46003</v>
      </c>
      <c r="M622" s="670">
        <f>IFERROR(__xludf.DUMMYFUNCTION("""COMPUTED_VALUE"""),46008.0)</f>
        <v>46008</v>
      </c>
      <c r="N622" s="674">
        <f>IFERROR(__xludf.DUMMYFUNCTION("""COMPUTED_VALUE"""),13200.0)</f>
        <v>13200</v>
      </c>
      <c r="O622" s="593">
        <f>IFERROR(__xludf.DUMMYFUNCTION("""COMPUTED_VALUE"""),12000.0)</f>
        <v>12000</v>
      </c>
      <c r="P622" s="594">
        <f>IFERROR(__xludf.DUMMYFUNCTION("""COMPUTED_VALUE"""),8000.0)</f>
        <v>8000</v>
      </c>
      <c r="Q622" s="183"/>
      <c r="R622" s="544"/>
      <c r="S622" s="544"/>
      <c r="T622" s="544"/>
      <c r="U622" s="544"/>
      <c r="V622" s="544"/>
      <c r="W622" s="544"/>
      <c r="X622" s="544"/>
      <c r="Y622" s="544"/>
      <c r="Z622" s="544"/>
      <c r="AA622" s="544"/>
      <c r="AB622" s="544"/>
      <c r="AC622" s="544"/>
      <c r="AD622" s="544"/>
      <c r="AE622" s="183"/>
      <c r="AF622" s="183"/>
      <c r="AG622" s="183"/>
      <c r="AH622" s="183"/>
      <c r="AI622" s="183"/>
      <c r="AJ622" s="183"/>
      <c r="AK622" s="183"/>
      <c r="AL622" s="183"/>
      <c r="AM622" s="183"/>
    </row>
    <row r="623">
      <c r="A623" s="273" t="str">
        <f>IFERROR(__xludf.DUMMYFUNCTION("""COMPUTED_VALUE"""),"サイズ")</f>
        <v>サイズ</v>
      </c>
      <c r="B623" s="273" t="str">
        <f>IFERROR(__xludf.DUMMYFUNCTION("""COMPUTED_VALUE"""),"トレンチコート")</f>
        <v>トレンチコート</v>
      </c>
      <c r="C623" s="273" t="str">
        <f>IFERROR(__xludf.DUMMYFUNCTION("""COMPUTED_VALUE"""),"ウエスト")</f>
        <v>ウエスト</v>
      </c>
      <c r="D623" s="668"/>
      <c r="E623" s="668"/>
      <c r="F623" s="342" t="str">
        <f>IFERROR(__xludf.DUMMYFUNCTION("""COMPUTED_VALUE"""),"ウエスト")</f>
        <v>ウエスト</v>
      </c>
      <c r="G623" s="668" t="str">
        <f>IFERROR(__xludf.DUMMYFUNCTION("""COMPUTED_VALUE"""),"ウエスト")</f>
        <v>ウエスト</v>
      </c>
      <c r="H623" s="672" t="str">
        <f>IFERROR(__xludf.DUMMYFUNCTION("""COMPUTED_VALUE"""),"-5")</f>
        <v>-5</v>
      </c>
      <c r="I623" s="669"/>
      <c r="J623" s="669">
        <f>IFERROR(__xludf.DUMMYFUNCTION("""COMPUTED_VALUE"""),7.0)</f>
        <v>7</v>
      </c>
      <c r="K623" s="673">
        <f>IFERROR(__xludf.DUMMYFUNCTION("""COMPUTED_VALUE"""),46000.0)</f>
        <v>46000</v>
      </c>
      <c r="L623" s="670">
        <f>IFERROR(__xludf.DUMMYFUNCTION("""COMPUTED_VALUE"""),46003.0)</f>
        <v>46003</v>
      </c>
      <c r="M623" s="670">
        <f>IFERROR(__xludf.DUMMYFUNCTION("""COMPUTED_VALUE"""),46008.0)</f>
        <v>46008</v>
      </c>
      <c r="N623" s="674">
        <f>IFERROR(__xludf.DUMMYFUNCTION("""COMPUTED_VALUE"""),13200.0)</f>
        <v>13200</v>
      </c>
      <c r="O623" s="593">
        <f>IFERROR(__xludf.DUMMYFUNCTION("""COMPUTED_VALUE"""),12000.0)</f>
        <v>12000</v>
      </c>
      <c r="P623" s="594">
        <f>IFERROR(__xludf.DUMMYFUNCTION("""COMPUTED_VALUE"""),8000.0)</f>
        <v>8000</v>
      </c>
      <c r="Q623" s="183"/>
      <c r="R623" s="544"/>
      <c r="S623" s="544"/>
      <c r="T623" s="544"/>
      <c r="U623" s="544"/>
      <c r="V623" s="544"/>
      <c r="W623" s="544"/>
      <c r="X623" s="544"/>
      <c r="Y623" s="544"/>
      <c r="Z623" s="544"/>
      <c r="AA623" s="544"/>
      <c r="AB623" s="544"/>
      <c r="AC623" s="544"/>
      <c r="AD623" s="544"/>
      <c r="AE623" s="183"/>
      <c r="AF623" s="183"/>
      <c r="AG623" s="183"/>
      <c r="AH623" s="183"/>
      <c r="AI623" s="183"/>
      <c r="AJ623" s="183"/>
      <c r="AK623" s="183"/>
      <c r="AL623" s="183"/>
      <c r="AM623" s="183"/>
    </row>
    <row r="624">
      <c r="A624" s="273" t="str">
        <f>IFERROR(__xludf.DUMMYFUNCTION("""COMPUTED_VALUE"""),"サイズ")</f>
        <v>サイズ</v>
      </c>
      <c r="B624" s="273" t="str">
        <f>IFERROR(__xludf.DUMMYFUNCTION("""COMPUTED_VALUE"""),"トレンチコート")</f>
        <v>トレンチコート</v>
      </c>
      <c r="C624" s="273" t="str">
        <f>IFERROR(__xludf.DUMMYFUNCTION("""COMPUTED_VALUE"""),"ウエスト")</f>
        <v>ウエスト</v>
      </c>
      <c r="D624" s="668"/>
      <c r="E624" s="668"/>
      <c r="F624" s="342" t="str">
        <f>IFERROR(__xludf.DUMMYFUNCTION("""COMPUTED_VALUE"""),"ウエスト")</f>
        <v>ウエスト</v>
      </c>
      <c r="G624" s="668" t="str">
        <f>IFERROR(__xludf.DUMMYFUNCTION("""COMPUTED_VALUE"""),"ウエスト")</f>
        <v>ウエスト</v>
      </c>
      <c r="H624" s="672" t="str">
        <f>IFERROR(__xludf.DUMMYFUNCTION("""COMPUTED_VALUE"""),"-4")</f>
        <v>-4</v>
      </c>
      <c r="I624" s="669"/>
      <c r="J624" s="669">
        <f>IFERROR(__xludf.DUMMYFUNCTION("""COMPUTED_VALUE"""),7.0)</f>
        <v>7</v>
      </c>
      <c r="K624" s="673">
        <f>IFERROR(__xludf.DUMMYFUNCTION("""COMPUTED_VALUE"""),46000.0)</f>
        <v>46000</v>
      </c>
      <c r="L624" s="670">
        <f>IFERROR(__xludf.DUMMYFUNCTION("""COMPUTED_VALUE"""),46003.0)</f>
        <v>46003</v>
      </c>
      <c r="M624" s="670">
        <f>IFERROR(__xludf.DUMMYFUNCTION("""COMPUTED_VALUE"""),46008.0)</f>
        <v>46008</v>
      </c>
      <c r="N624" s="674">
        <f>IFERROR(__xludf.DUMMYFUNCTION("""COMPUTED_VALUE"""),13200.0)</f>
        <v>13200</v>
      </c>
      <c r="O624" s="593">
        <f>IFERROR(__xludf.DUMMYFUNCTION("""COMPUTED_VALUE"""),12000.0)</f>
        <v>12000</v>
      </c>
      <c r="P624" s="594">
        <f>IFERROR(__xludf.DUMMYFUNCTION("""COMPUTED_VALUE"""),8000.0)</f>
        <v>8000</v>
      </c>
      <c r="Q624" s="183"/>
      <c r="R624" s="544"/>
      <c r="S624" s="544"/>
      <c r="T624" s="544"/>
      <c r="U624" s="544"/>
      <c r="V624" s="544"/>
      <c r="W624" s="544"/>
      <c r="X624" s="544"/>
      <c r="Y624" s="544"/>
      <c r="Z624" s="544"/>
      <c r="AA624" s="544"/>
      <c r="AB624" s="544"/>
      <c r="AC624" s="544"/>
      <c r="AD624" s="544"/>
      <c r="AE624" s="183"/>
      <c r="AF624" s="183"/>
      <c r="AG624" s="183"/>
      <c r="AH624" s="183"/>
      <c r="AI624" s="183"/>
      <c r="AJ624" s="183"/>
      <c r="AK624" s="183"/>
      <c r="AL624" s="183"/>
      <c r="AM624" s="183"/>
    </row>
    <row r="625">
      <c r="A625" s="273" t="str">
        <f>IFERROR(__xludf.DUMMYFUNCTION("""COMPUTED_VALUE"""),"サイズ")</f>
        <v>サイズ</v>
      </c>
      <c r="B625" s="273" t="str">
        <f>IFERROR(__xludf.DUMMYFUNCTION("""COMPUTED_VALUE"""),"トレンチコート")</f>
        <v>トレンチコート</v>
      </c>
      <c r="C625" s="273" t="str">
        <f>IFERROR(__xludf.DUMMYFUNCTION("""COMPUTED_VALUE"""),"ウエスト")</f>
        <v>ウエスト</v>
      </c>
      <c r="D625" s="668"/>
      <c r="E625" s="668"/>
      <c r="F625" s="342" t="str">
        <f>IFERROR(__xludf.DUMMYFUNCTION("""COMPUTED_VALUE"""),"ウエスト")</f>
        <v>ウエスト</v>
      </c>
      <c r="G625" s="668" t="str">
        <f>IFERROR(__xludf.DUMMYFUNCTION("""COMPUTED_VALUE"""),"ウエスト")</f>
        <v>ウエスト</v>
      </c>
      <c r="H625" s="672" t="str">
        <f>IFERROR(__xludf.DUMMYFUNCTION("""COMPUTED_VALUE"""),"-3")</f>
        <v>-3</v>
      </c>
      <c r="I625" s="669"/>
      <c r="J625" s="669">
        <f>IFERROR(__xludf.DUMMYFUNCTION("""COMPUTED_VALUE"""),7.0)</f>
        <v>7</v>
      </c>
      <c r="K625" s="673">
        <f>IFERROR(__xludf.DUMMYFUNCTION("""COMPUTED_VALUE"""),46000.0)</f>
        <v>46000</v>
      </c>
      <c r="L625" s="670">
        <f>IFERROR(__xludf.DUMMYFUNCTION("""COMPUTED_VALUE"""),46003.0)</f>
        <v>46003</v>
      </c>
      <c r="M625" s="670">
        <f>IFERROR(__xludf.DUMMYFUNCTION("""COMPUTED_VALUE"""),46008.0)</f>
        <v>46008</v>
      </c>
      <c r="N625" s="674">
        <f>IFERROR(__xludf.DUMMYFUNCTION("""COMPUTED_VALUE"""),13200.0)</f>
        <v>13200</v>
      </c>
      <c r="O625" s="593">
        <f>IFERROR(__xludf.DUMMYFUNCTION("""COMPUTED_VALUE"""),12000.0)</f>
        <v>12000</v>
      </c>
      <c r="P625" s="594">
        <f>IFERROR(__xludf.DUMMYFUNCTION("""COMPUTED_VALUE"""),8000.0)</f>
        <v>8000</v>
      </c>
      <c r="Q625" s="183"/>
      <c r="R625" s="544"/>
      <c r="S625" s="544"/>
      <c r="T625" s="544"/>
      <c r="U625" s="544"/>
      <c r="V625" s="544"/>
      <c r="W625" s="544"/>
      <c r="X625" s="544"/>
      <c r="Y625" s="544"/>
      <c r="Z625" s="544"/>
      <c r="AA625" s="544"/>
      <c r="AB625" s="544"/>
      <c r="AC625" s="544"/>
      <c r="AD625" s="544"/>
      <c r="AE625" s="183"/>
      <c r="AF625" s="183"/>
      <c r="AG625" s="183"/>
      <c r="AH625" s="183"/>
      <c r="AI625" s="183"/>
      <c r="AJ625" s="183"/>
      <c r="AK625" s="183"/>
      <c r="AL625" s="183"/>
      <c r="AM625" s="183"/>
    </row>
    <row r="626">
      <c r="A626" s="273" t="str">
        <f>IFERROR(__xludf.DUMMYFUNCTION("""COMPUTED_VALUE"""),"サイズ")</f>
        <v>サイズ</v>
      </c>
      <c r="B626" s="273" t="str">
        <f>IFERROR(__xludf.DUMMYFUNCTION("""COMPUTED_VALUE"""),"トレンチコート")</f>
        <v>トレンチコート</v>
      </c>
      <c r="C626" s="273" t="str">
        <f>IFERROR(__xludf.DUMMYFUNCTION("""COMPUTED_VALUE"""),"ウエスト")</f>
        <v>ウエスト</v>
      </c>
      <c r="D626" s="668"/>
      <c r="E626" s="668"/>
      <c r="F626" s="342" t="str">
        <f>IFERROR(__xludf.DUMMYFUNCTION("""COMPUTED_VALUE"""),"ウエスト")</f>
        <v>ウエスト</v>
      </c>
      <c r="G626" s="668" t="str">
        <f>IFERROR(__xludf.DUMMYFUNCTION("""COMPUTED_VALUE"""),"ウエスト")</f>
        <v>ウエスト</v>
      </c>
      <c r="H626" s="672" t="str">
        <f>IFERROR(__xludf.DUMMYFUNCTION("""COMPUTED_VALUE"""),"-2")</f>
        <v>-2</v>
      </c>
      <c r="I626" s="669"/>
      <c r="J626" s="669">
        <f>IFERROR(__xludf.DUMMYFUNCTION("""COMPUTED_VALUE"""),7.0)</f>
        <v>7</v>
      </c>
      <c r="K626" s="673">
        <f>IFERROR(__xludf.DUMMYFUNCTION("""COMPUTED_VALUE"""),46000.0)</f>
        <v>46000</v>
      </c>
      <c r="L626" s="670">
        <f>IFERROR(__xludf.DUMMYFUNCTION("""COMPUTED_VALUE"""),46003.0)</f>
        <v>46003</v>
      </c>
      <c r="M626" s="670">
        <f>IFERROR(__xludf.DUMMYFUNCTION("""COMPUTED_VALUE"""),46008.0)</f>
        <v>46008</v>
      </c>
      <c r="N626" s="674">
        <f>IFERROR(__xludf.DUMMYFUNCTION("""COMPUTED_VALUE"""),13200.0)</f>
        <v>13200</v>
      </c>
      <c r="O626" s="593">
        <f>IFERROR(__xludf.DUMMYFUNCTION("""COMPUTED_VALUE"""),12000.0)</f>
        <v>12000</v>
      </c>
      <c r="P626" s="594">
        <f>IFERROR(__xludf.DUMMYFUNCTION("""COMPUTED_VALUE"""),8000.0)</f>
        <v>8000</v>
      </c>
      <c r="Q626" s="183"/>
      <c r="R626" s="544"/>
      <c r="S626" s="544"/>
      <c r="T626" s="544"/>
      <c r="U626" s="544"/>
      <c r="V626" s="544"/>
      <c r="W626" s="544"/>
      <c r="X626" s="544"/>
      <c r="Y626" s="544"/>
      <c r="Z626" s="544"/>
      <c r="AA626" s="544"/>
      <c r="AB626" s="544"/>
      <c r="AC626" s="544"/>
      <c r="AD626" s="544"/>
      <c r="AE626" s="183"/>
      <c r="AF626" s="183"/>
      <c r="AG626" s="183"/>
      <c r="AH626" s="183"/>
      <c r="AI626" s="183"/>
      <c r="AJ626" s="183"/>
      <c r="AK626" s="183"/>
      <c r="AL626" s="183"/>
      <c r="AM626" s="183"/>
    </row>
    <row r="627">
      <c r="A627" s="273" t="str">
        <f>IFERROR(__xludf.DUMMYFUNCTION("""COMPUTED_VALUE"""),"サイズ")</f>
        <v>サイズ</v>
      </c>
      <c r="B627" s="273" t="str">
        <f>IFERROR(__xludf.DUMMYFUNCTION("""COMPUTED_VALUE"""),"トレンチコート")</f>
        <v>トレンチコート</v>
      </c>
      <c r="C627" s="273" t="str">
        <f>IFERROR(__xludf.DUMMYFUNCTION("""COMPUTED_VALUE"""),"ウエスト")</f>
        <v>ウエスト</v>
      </c>
      <c r="D627" s="668"/>
      <c r="E627" s="668"/>
      <c r="F627" s="342" t="str">
        <f>IFERROR(__xludf.DUMMYFUNCTION("""COMPUTED_VALUE"""),"ウエスト")</f>
        <v>ウエスト</v>
      </c>
      <c r="G627" s="668" t="str">
        <f>IFERROR(__xludf.DUMMYFUNCTION("""COMPUTED_VALUE"""),"ウエスト")</f>
        <v>ウエスト</v>
      </c>
      <c r="H627" s="672" t="str">
        <f>IFERROR(__xludf.DUMMYFUNCTION("""COMPUTED_VALUE"""),"-1")</f>
        <v>-1</v>
      </c>
      <c r="I627" s="669"/>
      <c r="J627" s="669">
        <f>IFERROR(__xludf.DUMMYFUNCTION("""COMPUTED_VALUE"""),7.0)</f>
        <v>7</v>
      </c>
      <c r="K627" s="673">
        <f>IFERROR(__xludf.DUMMYFUNCTION("""COMPUTED_VALUE"""),46000.0)</f>
        <v>46000</v>
      </c>
      <c r="L627" s="670">
        <f>IFERROR(__xludf.DUMMYFUNCTION("""COMPUTED_VALUE"""),46003.0)</f>
        <v>46003</v>
      </c>
      <c r="M627" s="670">
        <f>IFERROR(__xludf.DUMMYFUNCTION("""COMPUTED_VALUE"""),46008.0)</f>
        <v>46008</v>
      </c>
      <c r="N627" s="674">
        <f>IFERROR(__xludf.DUMMYFUNCTION("""COMPUTED_VALUE"""),13200.0)</f>
        <v>13200</v>
      </c>
      <c r="O627" s="593">
        <f>IFERROR(__xludf.DUMMYFUNCTION("""COMPUTED_VALUE"""),12000.0)</f>
        <v>12000</v>
      </c>
      <c r="P627" s="594">
        <f>IFERROR(__xludf.DUMMYFUNCTION("""COMPUTED_VALUE"""),8000.0)</f>
        <v>8000</v>
      </c>
      <c r="Q627" s="183"/>
      <c r="R627" s="544"/>
      <c r="S627" s="544"/>
      <c r="T627" s="544"/>
      <c r="U627" s="544"/>
      <c r="V627" s="544"/>
      <c r="W627" s="544"/>
      <c r="X627" s="544"/>
      <c r="Y627" s="544"/>
      <c r="Z627" s="544"/>
      <c r="AA627" s="544"/>
      <c r="AB627" s="544"/>
      <c r="AC627" s="544"/>
      <c r="AD627" s="544"/>
      <c r="AE627" s="183"/>
      <c r="AF627" s="183"/>
      <c r="AG627" s="183"/>
      <c r="AH627" s="183"/>
      <c r="AI627" s="183"/>
      <c r="AJ627" s="183"/>
      <c r="AK627" s="183"/>
      <c r="AL627" s="183"/>
      <c r="AM627" s="183"/>
    </row>
    <row r="628">
      <c r="A628" s="273" t="str">
        <f>IFERROR(__xludf.DUMMYFUNCTION("""COMPUTED_VALUE"""),"サイズ")</f>
        <v>サイズ</v>
      </c>
      <c r="B628" s="273" t="str">
        <f>IFERROR(__xludf.DUMMYFUNCTION("""COMPUTED_VALUE"""),"トレンチコート")</f>
        <v>トレンチコート</v>
      </c>
      <c r="C628" s="273" t="str">
        <f>IFERROR(__xludf.DUMMYFUNCTION("""COMPUTED_VALUE"""),"袖丈")</f>
        <v>袖丈</v>
      </c>
      <c r="D628" s="668"/>
      <c r="E628" s="668"/>
      <c r="F628" s="342" t="str">
        <f>IFERROR(__xludf.DUMMYFUNCTION("""COMPUTED_VALUE"""),"袖丈")</f>
        <v>袖丈</v>
      </c>
      <c r="G628" s="668" t="str">
        <f>IFERROR(__xludf.DUMMYFUNCTION("""COMPUTED_VALUE"""),"袖丈")</f>
        <v>袖丈</v>
      </c>
      <c r="H628" s="672" t="str">
        <f>IFERROR(__xludf.DUMMYFUNCTION("""COMPUTED_VALUE"""),"-2")</f>
        <v>-2</v>
      </c>
      <c r="I628" s="669"/>
      <c r="J628" s="669">
        <f>IFERROR(__xludf.DUMMYFUNCTION("""COMPUTED_VALUE"""),7.0)</f>
        <v>7</v>
      </c>
      <c r="K628" s="673">
        <f>IFERROR(__xludf.DUMMYFUNCTION("""COMPUTED_VALUE"""),46000.0)</f>
        <v>46000</v>
      </c>
      <c r="L628" s="670">
        <f>IFERROR(__xludf.DUMMYFUNCTION("""COMPUTED_VALUE"""),46003.0)</f>
        <v>46003</v>
      </c>
      <c r="M628" s="670">
        <f>IFERROR(__xludf.DUMMYFUNCTION("""COMPUTED_VALUE"""),46008.0)</f>
        <v>46008</v>
      </c>
      <c r="N628" s="674">
        <f>IFERROR(__xludf.DUMMYFUNCTION("""COMPUTED_VALUE"""),3300.0)</f>
        <v>3300</v>
      </c>
      <c r="O628" s="593">
        <f>IFERROR(__xludf.DUMMYFUNCTION("""COMPUTED_VALUE"""),3000.0)</f>
        <v>3000</v>
      </c>
      <c r="P628" s="594">
        <f>IFERROR(__xludf.DUMMYFUNCTION("""COMPUTED_VALUE"""),2000.0)</f>
        <v>2000</v>
      </c>
      <c r="Q628" s="183"/>
      <c r="R628" s="544"/>
      <c r="S628" s="544"/>
      <c r="T628" s="544"/>
      <c r="U628" s="544"/>
      <c r="V628" s="544"/>
      <c r="W628" s="544"/>
      <c r="X628" s="544"/>
      <c r="Y628" s="544"/>
      <c r="Z628" s="544"/>
      <c r="AA628" s="544"/>
      <c r="AB628" s="544"/>
      <c r="AC628" s="544"/>
      <c r="AD628" s="544"/>
      <c r="AE628" s="183"/>
      <c r="AF628" s="183"/>
      <c r="AG628" s="183"/>
      <c r="AH628" s="183"/>
      <c r="AI628" s="183"/>
      <c r="AJ628" s="183"/>
      <c r="AK628" s="183"/>
      <c r="AL628" s="183"/>
      <c r="AM628" s="183"/>
    </row>
    <row r="629">
      <c r="A629" s="273" t="str">
        <f>IFERROR(__xludf.DUMMYFUNCTION("""COMPUTED_VALUE"""),"サイズ")</f>
        <v>サイズ</v>
      </c>
      <c r="B629" s="273" t="str">
        <f>IFERROR(__xludf.DUMMYFUNCTION("""COMPUTED_VALUE"""),"トレンチコート")</f>
        <v>トレンチコート</v>
      </c>
      <c r="C629" s="273" t="str">
        <f>IFERROR(__xludf.DUMMYFUNCTION("""COMPUTED_VALUE"""),"袖丈")</f>
        <v>袖丈</v>
      </c>
      <c r="D629" s="668"/>
      <c r="E629" s="668"/>
      <c r="F629" s="342" t="str">
        <f>IFERROR(__xludf.DUMMYFUNCTION("""COMPUTED_VALUE"""),"袖丈")</f>
        <v>袖丈</v>
      </c>
      <c r="G629" s="668" t="str">
        <f>IFERROR(__xludf.DUMMYFUNCTION("""COMPUTED_VALUE"""),"袖丈")</f>
        <v>袖丈</v>
      </c>
      <c r="H629" s="672" t="str">
        <f>IFERROR(__xludf.DUMMYFUNCTION("""COMPUTED_VALUE"""),"-1.5")</f>
        <v>-1.5</v>
      </c>
      <c r="I629" s="669"/>
      <c r="J629" s="669">
        <f>IFERROR(__xludf.DUMMYFUNCTION("""COMPUTED_VALUE"""),7.0)</f>
        <v>7</v>
      </c>
      <c r="K629" s="673">
        <f>IFERROR(__xludf.DUMMYFUNCTION("""COMPUTED_VALUE"""),46000.0)</f>
        <v>46000</v>
      </c>
      <c r="L629" s="670">
        <f>IFERROR(__xludf.DUMMYFUNCTION("""COMPUTED_VALUE"""),46003.0)</f>
        <v>46003</v>
      </c>
      <c r="M629" s="670">
        <f>IFERROR(__xludf.DUMMYFUNCTION("""COMPUTED_VALUE"""),46008.0)</f>
        <v>46008</v>
      </c>
      <c r="N629" s="674">
        <f>IFERROR(__xludf.DUMMYFUNCTION("""COMPUTED_VALUE"""),3300.0)</f>
        <v>3300</v>
      </c>
      <c r="O629" s="593">
        <f>IFERROR(__xludf.DUMMYFUNCTION("""COMPUTED_VALUE"""),3000.0)</f>
        <v>3000</v>
      </c>
      <c r="P629" s="594">
        <f>IFERROR(__xludf.DUMMYFUNCTION("""COMPUTED_VALUE"""),2000.0)</f>
        <v>2000</v>
      </c>
      <c r="Q629" s="183"/>
      <c r="R629" s="544"/>
      <c r="S629" s="544"/>
      <c r="T629" s="544"/>
      <c r="U629" s="544"/>
      <c r="V629" s="544"/>
      <c r="W629" s="544"/>
      <c r="X629" s="544"/>
      <c r="Y629" s="544"/>
      <c r="Z629" s="544"/>
      <c r="AA629" s="544"/>
      <c r="AB629" s="544"/>
      <c r="AC629" s="544"/>
      <c r="AD629" s="544"/>
      <c r="AE629" s="183"/>
      <c r="AF629" s="183"/>
      <c r="AG629" s="183"/>
      <c r="AH629" s="183"/>
      <c r="AI629" s="183"/>
      <c r="AJ629" s="183"/>
      <c r="AK629" s="183"/>
      <c r="AL629" s="183"/>
      <c r="AM629" s="183"/>
    </row>
    <row r="630">
      <c r="A630" s="273" t="str">
        <f>IFERROR(__xludf.DUMMYFUNCTION("""COMPUTED_VALUE"""),"サイズ")</f>
        <v>サイズ</v>
      </c>
      <c r="B630" s="273" t="str">
        <f>IFERROR(__xludf.DUMMYFUNCTION("""COMPUTED_VALUE"""),"トレンチコート")</f>
        <v>トレンチコート</v>
      </c>
      <c r="C630" s="273" t="str">
        <f>IFERROR(__xludf.DUMMYFUNCTION("""COMPUTED_VALUE"""),"袖丈")</f>
        <v>袖丈</v>
      </c>
      <c r="D630" s="668"/>
      <c r="E630" s="668"/>
      <c r="F630" s="342" t="str">
        <f>IFERROR(__xludf.DUMMYFUNCTION("""COMPUTED_VALUE"""),"袖丈")</f>
        <v>袖丈</v>
      </c>
      <c r="G630" s="668" t="str">
        <f>IFERROR(__xludf.DUMMYFUNCTION("""COMPUTED_VALUE"""),"袖丈")</f>
        <v>袖丈</v>
      </c>
      <c r="H630" s="672" t="str">
        <f>IFERROR(__xludf.DUMMYFUNCTION("""COMPUTED_VALUE"""),"-1")</f>
        <v>-1</v>
      </c>
      <c r="I630" s="669"/>
      <c r="J630" s="669">
        <f>IFERROR(__xludf.DUMMYFUNCTION("""COMPUTED_VALUE"""),7.0)</f>
        <v>7</v>
      </c>
      <c r="K630" s="673">
        <f>IFERROR(__xludf.DUMMYFUNCTION("""COMPUTED_VALUE"""),46000.0)</f>
        <v>46000</v>
      </c>
      <c r="L630" s="670">
        <f>IFERROR(__xludf.DUMMYFUNCTION("""COMPUTED_VALUE"""),46003.0)</f>
        <v>46003</v>
      </c>
      <c r="M630" s="670">
        <f>IFERROR(__xludf.DUMMYFUNCTION("""COMPUTED_VALUE"""),46008.0)</f>
        <v>46008</v>
      </c>
      <c r="N630" s="674">
        <f>IFERROR(__xludf.DUMMYFUNCTION("""COMPUTED_VALUE"""),3300.0)</f>
        <v>3300</v>
      </c>
      <c r="O630" s="593">
        <f>IFERROR(__xludf.DUMMYFUNCTION("""COMPUTED_VALUE"""),3000.0)</f>
        <v>3000</v>
      </c>
      <c r="P630" s="594">
        <f>IFERROR(__xludf.DUMMYFUNCTION("""COMPUTED_VALUE"""),2000.0)</f>
        <v>2000</v>
      </c>
      <c r="Q630" s="183"/>
      <c r="R630" s="544"/>
      <c r="S630" s="544"/>
      <c r="T630" s="544"/>
      <c r="U630" s="544"/>
      <c r="V630" s="544"/>
      <c r="W630" s="544"/>
      <c r="X630" s="544"/>
      <c r="Y630" s="544"/>
      <c r="Z630" s="544"/>
      <c r="AA630" s="544"/>
      <c r="AB630" s="544"/>
      <c r="AC630" s="544"/>
      <c r="AD630" s="544"/>
      <c r="AE630" s="183"/>
      <c r="AF630" s="183"/>
      <c r="AG630" s="183"/>
      <c r="AH630" s="183"/>
      <c r="AI630" s="183"/>
      <c r="AJ630" s="183"/>
      <c r="AK630" s="183"/>
      <c r="AL630" s="183"/>
      <c r="AM630" s="183"/>
    </row>
    <row r="631">
      <c r="A631" s="273" t="str">
        <f>IFERROR(__xludf.DUMMYFUNCTION("""COMPUTED_VALUE"""),"サイズ")</f>
        <v>サイズ</v>
      </c>
      <c r="B631" s="273" t="str">
        <f>IFERROR(__xludf.DUMMYFUNCTION("""COMPUTED_VALUE"""),"トレンチコート")</f>
        <v>トレンチコート</v>
      </c>
      <c r="C631" s="273" t="str">
        <f>IFERROR(__xludf.DUMMYFUNCTION("""COMPUTED_VALUE"""),"袖丈")</f>
        <v>袖丈</v>
      </c>
      <c r="D631" s="668"/>
      <c r="E631" s="668"/>
      <c r="F631" s="342" t="str">
        <f>IFERROR(__xludf.DUMMYFUNCTION("""COMPUTED_VALUE"""),"袖丈")</f>
        <v>袖丈</v>
      </c>
      <c r="G631" s="668" t="str">
        <f>IFERROR(__xludf.DUMMYFUNCTION("""COMPUTED_VALUE"""),"袖丈")</f>
        <v>袖丈</v>
      </c>
      <c r="H631" s="672" t="str">
        <f>IFERROR(__xludf.DUMMYFUNCTION("""COMPUTED_VALUE"""),"-0.5")</f>
        <v>-0.5</v>
      </c>
      <c r="I631" s="669"/>
      <c r="J631" s="669">
        <f>IFERROR(__xludf.DUMMYFUNCTION("""COMPUTED_VALUE"""),7.0)</f>
        <v>7</v>
      </c>
      <c r="K631" s="673">
        <f>IFERROR(__xludf.DUMMYFUNCTION("""COMPUTED_VALUE"""),46000.0)</f>
        <v>46000</v>
      </c>
      <c r="L631" s="670">
        <f>IFERROR(__xludf.DUMMYFUNCTION("""COMPUTED_VALUE"""),46003.0)</f>
        <v>46003</v>
      </c>
      <c r="M631" s="670">
        <f>IFERROR(__xludf.DUMMYFUNCTION("""COMPUTED_VALUE"""),46008.0)</f>
        <v>46008</v>
      </c>
      <c r="N631" s="674">
        <f>IFERROR(__xludf.DUMMYFUNCTION("""COMPUTED_VALUE"""),3300.0)</f>
        <v>3300</v>
      </c>
      <c r="O631" s="593">
        <f>IFERROR(__xludf.DUMMYFUNCTION("""COMPUTED_VALUE"""),3000.0)</f>
        <v>3000</v>
      </c>
      <c r="P631" s="594">
        <f>IFERROR(__xludf.DUMMYFUNCTION("""COMPUTED_VALUE"""),2000.0)</f>
        <v>2000</v>
      </c>
      <c r="Q631" s="183"/>
      <c r="R631" s="544"/>
      <c r="S631" s="544"/>
      <c r="T631" s="544"/>
      <c r="U631" s="544"/>
      <c r="V631" s="544"/>
      <c r="W631" s="544"/>
      <c r="X631" s="544"/>
      <c r="Y631" s="544"/>
      <c r="Z631" s="544"/>
      <c r="AA631" s="544"/>
      <c r="AB631" s="544"/>
      <c r="AC631" s="544"/>
      <c r="AD631" s="544"/>
      <c r="AE631" s="183"/>
      <c r="AF631" s="183"/>
      <c r="AG631" s="183"/>
      <c r="AH631" s="183"/>
      <c r="AI631" s="183"/>
      <c r="AJ631" s="183"/>
      <c r="AK631" s="183"/>
      <c r="AL631" s="183"/>
      <c r="AM631" s="183"/>
    </row>
    <row r="632">
      <c r="A632" s="273" t="str">
        <f>IFERROR(__xludf.DUMMYFUNCTION("""COMPUTED_VALUE"""),"サイズ")</f>
        <v>サイズ</v>
      </c>
      <c r="B632" s="273" t="str">
        <f>IFERROR(__xludf.DUMMYFUNCTION("""COMPUTED_VALUE"""),"トレンチコート")</f>
        <v>トレンチコート</v>
      </c>
      <c r="C632" s="273" t="str">
        <f>IFERROR(__xludf.DUMMYFUNCTION("""COMPUTED_VALUE"""),"着丈")</f>
        <v>着丈</v>
      </c>
      <c r="D632" s="668"/>
      <c r="E632" s="668"/>
      <c r="F632" s="342" t="str">
        <f>IFERROR(__xludf.DUMMYFUNCTION("""COMPUTED_VALUE"""),"着丈")</f>
        <v>着丈</v>
      </c>
      <c r="G632" s="668" t="str">
        <f>IFERROR(__xludf.DUMMYFUNCTION("""COMPUTED_VALUE"""),"着丈")</f>
        <v>着丈</v>
      </c>
      <c r="H632" s="672" t="str">
        <f>IFERROR(__xludf.DUMMYFUNCTION("""COMPUTED_VALUE"""),"-5")</f>
        <v>-5</v>
      </c>
      <c r="I632" s="669"/>
      <c r="J632" s="669">
        <f>IFERROR(__xludf.DUMMYFUNCTION("""COMPUTED_VALUE"""),7.0)</f>
        <v>7</v>
      </c>
      <c r="K632" s="673">
        <f>IFERROR(__xludf.DUMMYFUNCTION("""COMPUTED_VALUE"""),46000.0)</f>
        <v>46000</v>
      </c>
      <c r="L632" s="670">
        <f>IFERROR(__xludf.DUMMYFUNCTION("""COMPUTED_VALUE"""),46003.0)</f>
        <v>46003</v>
      </c>
      <c r="M632" s="670">
        <f>IFERROR(__xludf.DUMMYFUNCTION("""COMPUTED_VALUE"""),46008.0)</f>
        <v>46008</v>
      </c>
      <c r="N632" s="674">
        <f>IFERROR(__xludf.DUMMYFUNCTION("""COMPUTED_VALUE"""),9900.0)</f>
        <v>9900</v>
      </c>
      <c r="O632" s="593">
        <f>IFERROR(__xludf.DUMMYFUNCTION("""COMPUTED_VALUE"""),9000.0)</f>
        <v>9000</v>
      </c>
      <c r="P632" s="594">
        <f>IFERROR(__xludf.DUMMYFUNCTION("""COMPUTED_VALUE"""),6000.0)</f>
        <v>6000</v>
      </c>
      <c r="Q632" s="183"/>
      <c r="R632" s="544"/>
      <c r="S632" s="544"/>
      <c r="T632" s="544"/>
      <c r="U632" s="544"/>
      <c r="V632" s="544"/>
      <c r="W632" s="544"/>
      <c r="X632" s="544"/>
      <c r="Y632" s="544"/>
      <c r="Z632" s="544"/>
      <c r="AA632" s="544"/>
      <c r="AB632" s="544"/>
      <c r="AC632" s="544"/>
      <c r="AD632" s="544"/>
      <c r="AE632" s="183"/>
      <c r="AF632" s="183"/>
      <c r="AG632" s="183"/>
      <c r="AH632" s="183"/>
      <c r="AI632" s="183"/>
      <c r="AJ632" s="183"/>
      <c r="AK632" s="183"/>
      <c r="AL632" s="183"/>
      <c r="AM632" s="183"/>
    </row>
    <row r="633">
      <c r="A633" s="273" t="str">
        <f>IFERROR(__xludf.DUMMYFUNCTION("""COMPUTED_VALUE"""),"サイズ")</f>
        <v>サイズ</v>
      </c>
      <c r="B633" s="273" t="str">
        <f>IFERROR(__xludf.DUMMYFUNCTION("""COMPUTED_VALUE"""),"トレンチコート")</f>
        <v>トレンチコート</v>
      </c>
      <c r="C633" s="273" t="str">
        <f>IFERROR(__xludf.DUMMYFUNCTION("""COMPUTED_VALUE"""),"着丈")</f>
        <v>着丈</v>
      </c>
      <c r="D633" s="668"/>
      <c r="E633" s="668"/>
      <c r="F633" s="342" t="str">
        <f>IFERROR(__xludf.DUMMYFUNCTION("""COMPUTED_VALUE"""),"着丈")</f>
        <v>着丈</v>
      </c>
      <c r="G633" s="668" t="str">
        <f>IFERROR(__xludf.DUMMYFUNCTION("""COMPUTED_VALUE"""),"着丈")</f>
        <v>着丈</v>
      </c>
      <c r="H633" s="672" t="str">
        <f>IFERROR(__xludf.DUMMYFUNCTION("""COMPUTED_VALUE"""),"-4")</f>
        <v>-4</v>
      </c>
      <c r="I633" s="669"/>
      <c r="J633" s="669">
        <f>IFERROR(__xludf.DUMMYFUNCTION("""COMPUTED_VALUE"""),7.0)</f>
        <v>7</v>
      </c>
      <c r="K633" s="673">
        <f>IFERROR(__xludf.DUMMYFUNCTION("""COMPUTED_VALUE"""),46000.0)</f>
        <v>46000</v>
      </c>
      <c r="L633" s="670">
        <f>IFERROR(__xludf.DUMMYFUNCTION("""COMPUTED_VALUE"""),46003.0)</f>
        <v>46003</v>
      </c>
      <c r="M633" s="670">
        <f>IFERROR(__xludf.DUMMYFUNCTION("""COMPUTED_VALUE"""),46008.0)</f>
        <v>46008</v>
      </c>
      <c r="N633" s="674">
        <f>IFERROR(__xludf.DUMMYFUNCTION("""COMPUTED_VALUE"""),9900.0)</f>
        <v>9900</v>
      </c>
      <c r="O633" s="593">
        <f>IFERROR(__xludf.DUMMYFUNCTION("""COMPUTED_VALUE"""),9000.0)</f>
        <v>9000</v>
      </c>
      <c r="P633" s="594">
        <f>IFERROR(__xludf.DUMMYFUNCTION("""COMPUTED_VALUE"""),6000.0)</f>
        <v>6000</v>
      </c>
      <c r="Q633" s="183"/>
      <c r="R633" s="544"/>
      <c r="S633" s="544"/>
      <c r="T633" s="544"/>
      <c r="U633" s="544"/>
      <c r="V633" s="544"/>
      <c r="W633" s="544"/>
      <c r="X633" s="544"/>
      <c r="Y633" s="544"/>
      <c r="Z633" s="544"/>
      <c r="AA633" s="544"/>
      <c r="AB633" s="544"/>
      <c r="AC633" s="544"/>
      <c r="AD633" s="544"/>
      <c r="AE633" s="183"/>
      <c r="AF633" s="183"/>
      <c r="AG633" s="183"/>
      <c r="AH633" s="183"/>
      <c r="AI633" s="183"/>
      <c r="AJ633" s="183"/>
      <c r="AK633" s="183"/>
      <c r="AL633" s="183"/>
      <c r="AM633" s="183"/>
    </row>
    <row r="634">
      <c r="A634" s="273" t="str">
        <f>IFERROR(__xludf.DUMMYFUNCTION("""COMPUTED_VALUE"""),"サイズ")</f>
        <v>サイズ</v>
      </c>
      <c r="B634" s="273" t="str">
        <f>IFERROR(__xludf.DUMMYFUNCTION("""COMPUTED_VALUE"""),"トレンチコート")</f>
        <v>トレンチコート</v>
      </c>
      <c r="C634" s="273" t="str">
        <f>IFERROR(__xludf.DUMMYFUNCTION("""COMPUTED_VALUE"""),"着丈")</f>
        <v>着丈</v>
      </c>
      <c r="D634" s="668"/>
      <c r="E634" s="668"/>
      <c r="F634" s="342" t="str">
        <f>IFERROR(__xludf.DUMMYFUNCTION("""COMPUTED_VALUE"""),"着丈")</f>
        <v>着丈</v>
      </c>
      <c r="G634" s="668" t="str">
        <f>IFERROR(__xludf.DUMMYFUNCTION("""COMPUTED_VALUE"""),"着丈")</f>
        <v>着丈</v>
      </c>
      <c r="H634" s="672" t="str">
        <f>IFERROR(__xludf.DUMMYFUNCTION("""COMPUTED_VALUE"""),"-3")</f>
        <v>-3</v>
      </c>
      <c r="I634" s="669"/>
      <c r="J634" s="669">
        <f>IFERROR(__xludf.DUMMYFUNCTION("""COMPUTED_VALUE"""),7.0)</f>
        <v>7</v>
      </c>
      <c r="K634" s="673">
        <f>IFERROR(__xludf.DUMMYFUNCTION("""COMPUTED_VALUE"""),46000.0)</f>
        <v>46000</v>
      </c>
      <c r="L634" s="670">
        <f>IFERROR(__xludf.DUMMYFUNCTION("""COMPUTED_VALUE"""),46003.0)</f>
        <v>46003</v>
      </c>
      <c r="M634" s="670">
        <f>IFERROR(__xludf.DUMMYFUNCTION("""COMPUTED_VALUE"""),46008.0)</f>
        <v>46008</v>
      </c>
      <c r="N634" s="674">
        <f>IFERROR(__xludf.DUMMYFUNCTION("""COMPUTED_VALUE"""),9900.0)</f>
        <v>9900</v>
      </c>
      <c r="O634" s="593">
        <f>IFERROR(__xludf.DUMMYFUNCTION("""COMPUTED_VALUE"""),9000.0)</f>
        <v>9000</v>
      </c>
      <c r="P634" s="594">
        <f>IFERROR(__xludf.DUMMYFUNCTION("""COMPUTED_VALUE"""),6000.0)</f>
        <v>6000</v>
      </c>
      <c r="Q634" s="183"/>
      <c r="R634" s="544"/>
      <c r="S634" s="544"/>
      <c r="T634" s="544"/>
      <c r="U634" s="544"/>
      <c r="V634" s="544"/>
      <c r="W634" s="544"/>
      <c r="X634" s="544"/>
      <c r="Y634" s="544"/>
      <c r="Z634" s="544"/>
      <c r="AA634" s="544"/>
      <c r="AB634" s="544"/>
      <c r="AC634" s="544"/>
      <c r="AD634" s="544"/>
      <c r="AE634" s="183"/>
      <c r="AF634" s="183"/>
      <c r="AG634" s="183"/>
      <c r="AH634" s="183"/>
      <c r="AI634" s="183"/>
      <c r="AJ634" s="183"/>
      <c r="AK634" s="183"/>
      <c r="AL634" s="183"/>
      <c r="AM634" s="183"/>
    </row>
    <row r="635">
      <c r="A635" s="273" t="str">
        <f>IFERROR(__xludf.DUMMYFUNCTION("""COMPUTED_VALUE"""),"サイズ")</f>
        <v>サイズ</v>
      </c>
      <c r="B635" s="273" t="str">
        <f>IFERROR(__xludf.DUMMYFUNCTION("""COMPUTED_VALUE"""),"トレンチコート")</f>
        <v>トレンチコート</v>
      </c>
      <c r="C635" s="273" t="str">
        <f>IFERROR(__xludf.DUMMYFUNCTION("""COMPUTED_VALUE"""),"着丈")</f>
        <v>着丈</v>
      </c>
      <c r="D635" s="668"/>
      <c r="E635" s="668"/>
      <c r="F635" s="342" t="str">
        <f>IFERROR(__xludf.DUMMYFUNCTION("""COMPUTED_VALUE"""),"着丈")</f>
        <v>着丈</v>
      </c>
      <c r="G635" s="668" t="str">
        <f>IFERROR(__xludf.DUMMYFUNCTION("""COMPUTED_VALUE"""),"着丈")</f>
        <v>着丈</v>
      </c>
      <c r="H635" s="672" t="str">
        <f>IFERROR(__xludf.DUMMYFUNCTION("""COMPUTED_VALUE"""),"-2")</f>
        <v>-2</v>
      </c>
      <c r="I635" s="669"/>
      <c r="J635" s="669">
        <f>IFERROR(__xludf.DUMMYFUNCTION("""COMPUTED_VALUE"""),7.0)</f>
        <v>7</v>
      </c>
      <c r="K635" s="673">
        <f>IFERROR(__xludf.DUMMYFUNCTION("""COMPUTED_VALUE"""),46000.0)</f>
        <v>46000</v>
      </c>
      <c r="L635" s="670">
        <f>IFERROR(__xludf.DUMMYFUNCTION("""COMPUTED_VALUE"""),46003.0)</f>
        <v>46003</v>
      </c>
      <c r="M635" s="670">
        <f>IFERROR(__xludf.DUMMYFUNCTION("""COMPUTED_VALUE"""),46008.0)</f>
        <v>46008</v>
      </c>
      <c r="N635" s="674">
        <f>IFERROR(__xludf.DUMMYFUNCTION("""COMPUTED_VALUE"""),9900.0)</f>
        <v>9900</v>
      </c>
      <c r="O635" s="593">
        <f>IFERROR(__xludf.DUMMYFUNCTION("""COMPUTED_VALUE"""),9000.0)</f>
        <v>9000</v>
      </c>
      <c r="P635" s="594">
        <f>IFERROR(__xludf.DUMMYFUNCTION("""COMPUTED_VALUE"""),6000.0)</f>
        <v>6000</v>
      </c>
      <c r="Q635" s="183"/>
      <c r="R635" s="544"/>
      <c r="S635" s="544"/>
      <c r="T635" s="544"/>
      <c r="U635" s="544"/>
      <c r="V635" s="544"/>
      <c r="W635" s="544"/>
      <c r="X635" s="544"/>
      <c r="Y635" s="544"/>
      <c r="Z635" s="544"/>
      <c r="AA635" s="544"/>
      <c r="AB635" s="544"/>
      <c r="AC635" s="544"/>
      <c r="AD635" s="544"/>
      <c r="AE635" s="183"/>
      <c r="AF635" s="183"/>
      <c r="AG635" s="183"/>
      <c r="AH635" s="183"/>
      <c r="AI635" s="183"/>
      <c r="AJ635" s="183"/>
      <c r="AK635" s="183"/>
      <c r="AL635" s="183"/>
      <c r="AM635" s="183"/>
    </row>
    <row r="636">
      <c r="A636" s="273" t="str">
        <f>IFERROR(__xludf.DUMMYFUNCTION("""COMPUTED_VALUE"""),"サイズ")</f>
        <v>サイズ</v>
      </c>
      <c r="B636" s="273" t="str">
        <f>IFERROR(__xludf.DUMMYFUNCTION("""COMPUTED_VALUE"""),"トレンチコート")</f>
        <v>トレンチコート</v>
      </c>
      <c r="C636" s="273" t="str">
        <f>IFERROR(__xludf.DUMMYFUNCTION("""COMPUTED_VALUE"""),"着丈")</f>
        <v>着丈</v>
      </c>
      <c r="D636" s="668"/>
      <c r="E636" s="668"/>
      <c r="F636" s="342" t="str">
        <f>IFERROR(__xludf.DUMMYFUNCTION("""COMPUTED_VALUE"""),"着丈")</f>
        <v>着丈</v>
      </c>
      <c r="G636" s="668" t="str">
        <f>IFERROR(__xludf.DUMMYFUNCTION("""COMPUTED_VALUE"""),"着丈")</f>
        <v>着丈</v>
      </c>
      <c r="H636" s="672" t="str">
        <f>IFERROR(__xludf.DUMMYFUNCTION("""COMPUTED_VALUE"""),"-1")</f>
        <v>-1</v>
      </c>
      <c r="I636" s="669"/>
      <c r="J636" s="669">
        <f>IFERROR(__xludf.DUMMYFUNCTION("""COMPUTED_VALUE"""),7.0)</f>
        <v>7</v>
      </c>
      <c r="K636" s="673">
        <f>IFERROR(__xludf.DUMMYFUNCTION("""COMPUTED_VALUE"""),46000.0)</f>
        <v>46000</v>
      </c>
      <c r="L636" s="670">
        <f>IFERROR(__xludf.DUMMYFUNCTION("""COMPUTED_VALUE"""),46003.0)</f>
        <v>46003</v>
      </c>
      <c r="M636" s="670">
        <f>IFERROR(__xludf.DUMMYFUNCTION("""COMPUTED_VALUE"""),46008.0)</f>
        <v>46008</v>
      </c>
      <c r="N636" s="674">
        <f>IFERROR(__xludf.DUMMYFUNCTION("""COMPUTED_VALUE"""),9900.0)</f>
        <v>9900</v>
      </c>
      <c r="O636" s="593">
        <f>IFERROR(__xludf.DUMMYFUNCTION("""COMPUTED_VALUE"""),9000.0)</f>
        <v>9000</v>
      </c>
      <c r="P636" s="594">
        <f>IFERROR(__xludf.DUMMYFUNCTION("""COMPUTED_VALUE"""),6000.0)</f>
        <v>6000</v>
      </c>
      <c r="Q636" s="183"/>
      <c r="R636" s="544"/>
      <c r="S636" s="544"/>
      <c r="T636" s="544"/>
      <c r="U636" s="544"/>
      <c r="V636" s="544"/>
      <c r="W636" s="544"/>
      <c r="X636" s="544"/>
      <c r="Y636" s="544"/>
      <c r="Z636" s="544"/>
      <c r="AA636" s="544"/>
      <c r="AB636" s="544"/>
      <c r="AC636" s="544"/>
      <c r="AD636" s="544"/>
      <c r="AE636" s="183"/>
      <c r="AF636" s="183"/>
      <c r="AG636" s="183"/>
      <c r="AH636" s="183"/>
      <c r="AI636" s="183"/>
      <c r="AJ636" s="183"/>
      <c r="AK636" s="183"/>
      <c r="AL636" s="183"/>
      <c r="AM636" s="183"/>
    </row>
    <row r="637">
      <c r="A637" s="273" t="str">
        <f>IFERROR(__xludf.DUMMYFUNCTION("""COMPUTED_VALUE"""),"サイズ")</f>
        <v>サイズ</v>
      </c>
      <c r="B637" s="273" t="str">
        <f>IFERROR(__xludf.DUMMYFUNCTION("""COMPUTED_VALUE"""),"トレンチコート")</f>
        <v>トレンチコート</v>
      </c>
      <c r="C637" s="273" t="str">
        <f>IFERROR(__xludf.DUMMYFUNCTION("""COMPUTED_VALUE"""),"裾まわり")</f>
        <v>裾まわり</v>
      </c>
      <c r="D637" s="668"/>
      <c r="E637" s="668" t="str">
        <f>IFERROR(__xludf.DUMMYFUNCTION("""COMPUTED_VALUE"""),"パターン限界値から ±8cmの範囲内で調整すること")</f>
        <v>パターン限界値から ±8cmの範囲内で調整すること</v>
      </c>
      <c r="F637" s="342" t="str">
        <f>IFERROR(__xludf.DUMMYFUNCTION("""COMPUTED_VALUE"""),"裾まわり")</f>
        <v>裾まわり</v>
      </c>
      <c r="G637" s="668" t="str">
        <f>IFERROR(__xludf.DUMMYFUNCTION("""COMPUTED_VALUE"""),"裾まわり（パターン限界値から ±8cmの範囲内で調整すること）")</f>
        <v>裾まわり（パターン限界値から ±8cmの範囲内で調整すること）</v>
      </c>
      <c r="H637" s="672" t="str">
        <f>IFERROR(__xludf.DUMMYFUNCTION("""COMPUTED_VALUE"""),"-10")</f>
        <v>-10</v>
      </c>
      <c r="I637" s="669"/>
      <c r="J637" s="669">
        <f>IFERROR(__xludf.DUMMYFUNCTION("""COMPUTED_VALUE"""),10.0)</f>
        <v>10</v>
      </c>
      <c r="K637" s="673">
        <f>IFERROR(__xludf.DUMMYFUNCTION("""COMPUTED_VALUE"""),46003.0)</f>
        <v>46003</v>
      </c>
      <c r="L637" s="670">
        <f>IFERROR(__xludf.DUMMYFUNCTION("""COMPUTED_VALUE"""),46003.0)</f>
        <v>46003</v>
      </c>
      <c r="M637" s="670">
        <f>IFERROR(__xludf.DUMMYFUNCTION("""COMPUTED_VALUE"""),46008.0)</f>
        <v>46008</v>
      </c>
      <c r="N637" s="674">
        <f>IFERROR(__xludf.DUMMYFUNCTION("""COMPUTED_VALUE"""),13200.0)</f>
        <v>13200</v>
      </c>
      <c r="O637" s="593">
        <f>IFERROR(__xludf.DUMMYFUNCTION("""COMPUTED_VALUE"""),12000.0)</f>
        <v>12000</v>
      </c>
      <c r="P637" s="594">
        <f>IFERROR(__xludf.DUMMYFUNCTION("""COMPUTED_VALUE"""),8000.0)</f>
        <v>8000</v>
      </c>
      <c r="Q637" s="183"/>
      <c r="R637" s="544"/>
      <c r="S637" s="544"/>
      <c r="T637" s="544"/>
      <c r="U637" s="544"/>
      <c r="V637" s="544"/>
      <c r="W637" s="544"/>
      <c r="X637" s="544"/>
      <c r="Y637" s="544"/>
      <c r="Z637" s="544"/>
      <c r="AA637" s="544"/>
      <c r="AB637" s="544"/>
      <c r="AC637" s="544"/>
      <c r="AD637" s="544"/>
      <c r="AE637" s="183"/>
      <c r="AF637" s="183"/>
      <c r="AG637" s="183"/>
      <c r="AH637" s="183"/>
      <c r="AI637" s="183"/>
      <c r="AJ637" s="183"/>
      <c r="AK637" s="183"/>
      <c r="AL637" s="183"/>
      <c r="AM637" s="183"/>
    </row>
    <row r="638">
      <c r="A638" s="273" t="str">
        <f>IFERROR(__xludf.DUMMYFUNCTION("""COMPUTED_VALUE"""),"サイズ")</f>
        <v>サイズ</v>
      </c>
      <c r="B638" s="273" t="str">
        <f>IFERROR(__xludf.DUMMYFUNCTION("""COMPUTED_VALUE"""),"トレンチコート")</f>
        <v>トレンチコート</v>
      </c>
      <c r="C638" s="273" t="str">
        <f>IFERROR(__xludf.DUMMYFUNCTION("""COMPUTED_VALUE"""),"裾まわり")</f>
        <v>裾まわり</v>
      </c>
      <c r="D638" s="668"/>
      <c r="E638" s="668" t="str">
        <f>IFERROR(__xludf.DUMMYFUNCTION("""COMPUTED_VALUE"""),"パターン限界値から ±8cmの範囲内で調整すること")</f>
        <v>パターン限界値から ±8cmの範囲内で調整すること</v>
      </c>
      <c r="F638" s="342" t="str">
        <f>IFERROR(__xludf.DUMMYFUNCTION("""COMPUTED_VALUE"""),"裾まわり")</f>
        <v>裾まわり</v>
      </c>
      <c r="G638" s="668" t="str">
        <f>IFERROR(__xludf.DUMMYFUNCTION("""COMPUTED_VALUE"""),"裾まわり（パターン限界値から ±8cmの範囲内で調整すること）")</f>
        <v>裾まわり（パターン限界値から ±8cmの範囲内で調整すること）</v>
      </c>
      <c r="H638" s="672" t="str">
        <f>IFERROR(__xludf.DUMMYFUNCTION("""COMPUTED_VALUE"""),"-9")</f>
        <v>-9</v>
      </c>
      <c r="I638" s="669"/>
      <c r="J638" s="669">
        <f>IFERROR(__xludf.DUMMYFUNCTION("""COMPUTED_VALUE"""),10.0)</f>
        <v>10</v>
      </c>
      <c r="K638" s="673">
        <f>IFERROR(__xludf.DUMMYFUNCTION("""COMPUTED_VALUE"""),46003.0)</f>
        <v>46003</v>
      </c>
      <c r="L638" s="670">
        <f>IFERROR(__xludf.DUMMYFUNCTION("""COMPUTED_VALUE"""),46003.0)</f>
        <v>46003</v>
      </c>
      <c r="M638" s="670">
        <f>IFERROR(__xludf.DUMMYFUNCTION("""COMPUTED_VALUE"""),46008.0)</f>
        <v>46008</v>
      </c>
      <c r="N638" s="674">
        <f>IFERROR(__xludf.DUMMYFUNCTION("""COMPUTED_VALUE"""),13200.0)</f>
        <v>13200</v>
      </c>
      <c r="O638" s="593">
        <f>IFERROR(__xludf.DUMMYFUNCTION("""COMPUTED_VALUE"""),12000.0)</f>
        <v>12000</v>
      </c>
      <c r="P638" s="594">
        <f>IFERROR(__xludf.DUMMYFUNCTION("""COMPUTED_VALUE"""),8000.0)</f>
        <v>8000</v>
      </c>
      <c r="Q638" s="183"/>
      <c r="R638" s="544"/>
      <c r="S638" s="544"/>
      <c r="T638" s="544"/>
      <c r="U638" s="544"/>
      <c r="V638" s="544"/>
      <c r="W638" s="544"/>
      <c r="X638" s="544"/>
      <c r="Y638" s="544"/>
      <c r="Z638" s="544"/>
      <c r="AA638" s="544"/>
      <c r="AB638" s="544"/>
      <c r="AC638" s="544"/>
      <c r="AD638" s="544"/>
      <c r="AE638" s="183"/>
      <c r="AF638" s="183"/>
      <c r="AG638" s="183"/>
      <c r="AH638" s="183"/>
      <c r="AI638" s="183"/>
      <c r="AJ638" s="183"/>
      <c r="AK638" s="183"/>
      <c r="AL638" s="183"/>
      <c r="AM638" s="183"/>
    </row>
    <row r="639">
      <c r="A639" s="273" t="str">
        <f>IFERROR(__xludf.DUMMYFUNCTION("""COMPUTED_VALUE"""),"サイズ")</f>
        <v>サイズ</v>
      </c>
      <c r="B639" s="273" t="str">
        <f>IFERROR(__xludf.DUMMYFUNCTION("""COMPUTED_VALUE"""),"トレンチコート")</f>
        <v>トレンチコート</v>
      </c>
      <c r="C639" s="273" t="str">
        <f>IFERROR(__xludf.DUMMYFUNCTION("""COMPUTED_VALUE"""),"裾まわり")</f>
        <v>裾まわり</v>
      </c>
      <c r="D639" s="668"/>
      <c r="E639" s="668" t="str">
        <f>IFERROR(__xludf.DUMMYFUNCTION("""COMPUTED_VALUE"""),"パターン限界値から ±8cmの範囲内で調整すること")</f>
        <v>パターン限界値から ±8cmの範囲内で調整すること</v>
      </c>
      <c r="F639" s="342" t="str">
        <f>IFERROR(__xludf.DUMMYFUNCTION("""COMPUTED_VALUE"""),"裾まわり")</f>
        <v>裾まわり</v>
      </c>
      <c r="G639" s="668" t="str">
        <f>IFERROR(__xludf.DUMMYFUNCTION("""COMPUTED_VALUE"""),"裾まわり（パターン限界値から ±8cmの範囲内で調整すること）")</f>
        <v>裾まわり（パターン限界値から ±8cmの範囲内で調整すること）</v>
      </c>
      <c r="H639" s="672" t="str">
        <f>IFERROR(__xludf.DUMMYFUNCTION("""COMPUTED_VALUE"""),"-8")</f>
        <v>-8</v>
      </c>
      <c r="I639" s="669"/>
      <c r="J639" s="669">
        <f>IFERROR(__xludf.DUMMYFUNCTION("""COMPUTED_VALUE"""),10.0)</f>
        <v>10</v>
      </c>
      <c r="K639" s="673">
        <f>IFERROR(__xludf.DUMMYFUNCTION("""COMPUTED_VALUE"""),46003.0)</f>
        <v>46003</v>
      </c>
      <c r="L639" s="670">
        <f>IFERROR(__xludf.DUMMYFUNCTION("""COMPUTED_VALUE"""),46003.0)</f>
        <v>46003</v>
      </c>
      <c r="M639" s="670">
        <f>IFERROR(__xludf.DUMMYFUNCTION("""COMPUTED_VALUE"""),46008.0)</f>
        <v>46008</v>
      </c>
      <c r="N639" s="674">
        <f>IFERROR(__xludf.DUMMYFUNCTION("""COMPUTED_VALUE"""),13200.0)</f>
        <v>13200</v>
      </c>
      <c r="O639" s="593">
        <f>IFERROR(__xludf.DUMMYFUNCTION("""COMPUTED_VALUE"""),12000.0)</f>
        <v>12000</v>
      </c>
      <c r="P639" s="594">
        <f>IFERROR(__xludf.DUMMYFUNCTION("""COMPUTED_VALUE"""),8000.0)</f>
        <v>8000</v>
      </c>
      <c r="Q639" s="183"/>
      <c r="R639" s="544"/>
      <c r="S639" s="544"/>
      <c r="T639" s="544"/>
      <c r="U639" s="544"/>
      <c r="V639" s="544"/>
      <c r="W639" s="544"/>
      <c r="X639" s="544"/>
      <c r="Y639" s="544"/>
      <c r="Z639" s="544"/>
      <c r="AA639" s="544"/>
      <c r="AB639" s="544"/>
      <c r="AC639" s="544"/>
      <c r="AD639" s="544"/>
      <c r="AE639" s="183"/>
      <c r="AF639" s="183"/>
      <c r="AG639" s="183"/>
      <c r="AH639" s="183"/>
      <c r="AI639" s="183"/>
      <c r="AJ639" s="183"/>
      <c r="AK639" s="183"/>
      <c r="AL639" s="183"/>
      <c r="AM639" s="183"/>
    </row>
    <row r="640">
      <c r="A640" s="273" t="str">
        <f>IFERROR(__xludf.DUMMYFUNCTION("""COMPUTED_VALUE"""),"サイズ")</f>
        <v>サイズ</v>
      </c>
      <c r="B640" s="273" t="str">
        <f>IFERROR(__xludf.DUMMYFUNCTION("""COMPUTED_VALUE"""),"トレンチコート")</f>
        <v>トレンチコート</v>
      </c>
      <c r="C640" s="273" t="str">
        <f>IFERROR(__xludf.DUMMYFUNCTION("""COMPUTED_VALUE"""),"裾まわり")</f>
        <v>裾まわり</v>
      </c>
      <c r="D640" s="668"/>
      <c r="E640" s="668" t="str">
        <f>IFERROR(__xludf.DUMMYFUNCTION("""COMPUTED_VALUE"""),"パターン限界値から ±8cmの範囲内で調整すること")</f>
        <v>パターン限界値から ±8cmの範囲内で調整すること</v>
      </c>
      <c r="F640" s="342" t="str">
        <f>IFERROR(__xludf.DUMMYFUNCTION("""COMPUTED_VALUE"""),"裾まわり")</f>
        <v>裾まわり</v>
      </c>
      <c r="G640" s="668" t="str">
        <f>IFERROR(__xludf.DUMMYFUNCTION("""COMPUTED_VALUE"""),"裾まわり（パターン限界値から ±8cmの範囲内で調整すること）")</f>
        <v>裾まわり（パターン限界値から ±8cmの範囲内で調整すること）</v>
      </c>
      <c r="H640" s="672" t="str">
        <f>IFERROR(__xludf.DUMMYFUNCTION("""COMPUTED_VALUE"""),"-7")</f>
        <v>-7</v>
      </c>
      <c r="I640" s="669"/>
      <c r="J640" s="669">
        <f>IFERROR(__xludf.DUMMYFUNCTION("""COMPUTED_VALUE"""),10.0)</f>
        <v>10</v>
      </c>
      <c r="K640" s="673">
        <f>IFERROR(__xludf.DUMMYFUNCTION("""COMPUTED_VALUE"""),46003.0)</f>
        <v>46003</v>
      </c>
      <c r="L640" s="670">
        <f>IFERROR(__xludf.DUMMYFUNCTION("""COMPUTED_VALUE"""),46003.0)</f>
        <v>46003</v>
      </c>
      <c r="M640" s="670">
        <f>IFERROR(__xludf.DUMMYFUNCTION("""COMPUTED_VALUE"""),46008.0)</f>
        <v>46008</v>
      </c>
      <c r="N640" s="674">
        <f>IFERROR(__xludf.DUMMYFUNCTION("""COMPUTED_VALUE"""),13200.0)</f>
        <v>13200</v>
      </c>
      <c r="O640" s="593">
        <f>IFERROR(__xludf.DUMMYFUNCTION("""COMPUTED_VALUE"""),12000.0)</f>
        <v>12000</v>
      </c>
      <c r="P640" s="594">
        <f>IFERROR(__xludf.DUMMYFUNCTION("""COMPUTED_VALUE"""),8000.0)</f>
        <v>8000</v>
      </c>
      <c r="Q640" s="183"/>
      <c r="R640" s="544"/>
      <c r="S640" s="544"/>
      <c r="T640" s="544"/>
      <c r="U640" s="544"/>
      <c r="V640" s="544"/>
      <c r="W640" s="544"/>
      <c r="X640" s="544"/>
      <c r="Y640" s="544"/>
      <c r="Z640" s="544"/>
      <c r="AA640" s="544"/>
      <c r="AB640" s="544"/>
      <c r="AC640" s="544"/>
      <c r="AD640" s="544"/>
      <c r="AE640" s="183"/>
      <c r="AF640" s="183"/>
      <c r="AG640" s="183"/>
      <c r="AH640" s="183"/>
      <c r="AI640" s="183"/>
      <c r="AJ640" s="183"/>
      <c r="AK640" s="183"/>
      <c r="AL640" s="183"/>
      <c r="AM640" s="183"/>
    </row>
    <row r="641">
      <c r="A641" s="273" t="str">
        <f>IFERROR(__xludf.DUMMYFUNCTION("""COMPUTED_VALUE"""),"サイズ")</f>
        <v>サイズ</v>
      </c>
      <c r="B641" s="273" t="str">
        <f>IFERROR(__xludf.DUMMYFUNCTION("""COMPUTED_VALUE"""),"トレンチコート")</f>
        <v>トレンチコート</v>
      </c>
      <c r="C641" s="273" t="str">
        <f>IFERROR(__xludf.DUMMYFUNCTION("""COMPUTED_VALUE"""),"裾まわり")</f>
        <v>裾まわり</v>
      </c>
      <c r="D641" s="668"/>
      <c r="E641" s="668" t="str">
        <f>IFERROR(__xludf.DUMMYFUNCTION("""COMPUTED_VALUE"""),"パターン限界値から ±8cmの範囲内で調整すること")</f>
        <v>パターン限界値から ±8cmの範囲内で調整すること</v>
      </c>
      <c r="F641" s="342" t="str">
        <f>IFERROR(__xludf.DUMMYFUNCTION("""COMPUTED_VALUE"""),"裾まわり")</f>
        <v>裾まわり</v>
      </c>
      <c r="G641" s="668" t="str">
        <f>IFERROR(__xludf.DUMMYFUNCTION("""COMPUTED_VALUE"""),"裾まわり（パターン限界値から ±8cmの範囲内で調整すること）")</f>
        <v>裾まわり（パターン限界値から ±8cmの範囲内で調整すること）</v>
      </c>
      <c r="H641" s="672" t="str">
        <f>IFERROR(__xludf.DUMMYFUNCTION("""COMPUTED_VALUE"""),"-6")</f>
        <v>-6</v>
      </c>
      <c r="I641" s="669"/>
      <c r="J641" s="669">
        <f>IFERROR(__xludf.DUMMYFUNCTION("""COMPUTED_VALUE"""),10.0)</f>
        <v>10</v>
      </c>
      <c r="K641" s="673">
        <f>IFERROR(__xludf.DUMMYFUNCTION("""COMPUTED_VALUE"""),46003.0)</f>
        <v>46003</v>
      </c>
      <c r="L641" s="670">
        <f>IFERROR(__xludf.DUMMYFUNCTION("""COMPUTED_VALUE"""),46003.0)</f>
        <v>46003</v>
      </c>
      <c r="M641" s="670">
        <f>IFERROR(__xludf.DUMMYFUNCTION("""COMPUTED_VALUE"""),46008.0)</f>
        <v>46008</v>
      </c>
      <c r="N641" s="674">
        <f>IFERROR(__xludf.DUMMYFUNCTION("""COMPUTED_VALUE"""),13200.0)</f>
        <v>13200</v>
      </c>
      <c r="O641" s="593">
        <f>IFERROR(__xludf.DUMMYFUNCTION("""COMPUTED_VALUE"""),12000.0)</f>
        <v>12000</v>
      </c>
      <c r="P641" s="594">
        <f>IFERROR(__xludf.DUMMYFUNCTION("""COMPUTED_VALUE"""),8000.0)</f>
        <v>8000</v>
      </c>
      <c r="Q641" s="183"/>
      <c r="R641" s="544"/>
      <c r="S641" s="544"/>
      <c r="T641" s="544"/>
      <c r="U641" s="544"/>
      <c r="V641" s="544"/>
      <c r="W641" s="544"/>
      <c r="X641" s="544"/>
      <c r="Y641" s="544"/>
      <c r="Z641" s="544"/>
      <c r="AA641" s="544"/>
      <c r="AB641" s="544"/>
      <c r="AC641" s="544"/>
      <c r="AD641" s="544"/>
      <c r="AE641" s="183"/>
      <c r="AF641" s="183"/>
      <c r="AG641" s="183"/>
      <c r="AH641" s="183"/>
      <c r="AI641" s="183"/>
      <c r="AJ641" s="183"/>
      <c r="AK641" s="183"/>
      <c r="AL641" s="183"/>
      <c r="AM641" s="183"/>
    </row>
    <row r="642">
      <c r="A642" s="273" t="str">
        <f>IFERROR(__xludf.DUMMYFUNCTION("""COMPUTED_VALUE"""),"サイズ")</f>
        <v>サイズ</v>
      </c>
      <c r="B642" s="273" t="str">
        <f>IFERROR(__xludf.DUMMYFUNCTION("""COMPUTED_VALUE"""),"トレンチコート")</f>
        <v>トレンチコート</v>
      </c>
      <c r="C642" s="273" t="str">
        <f>IFERROR(__xludf.DUMMYFUNCTION("""COMPUTED_VALUE"""),"裾まわり")</f>
        <v>裾まわり</v>
      </c>
      <c r="D642" s="668"/>
      <c r="E642" s="668" t="str">
        <f>IFERROR(__xludf.DUMMYFUNCTION("""COMPUTED_VALUE"""),"パターン限界値から ±8cmの範囲内で調整すること")</f>
        <v>パターン限界値から ±8cmの範囲内で調整すること</v>
      </c>
      <c r="F642" s="342" t="str">
        <f>IFERROR(__xludf.DUMMYFUNCTION("""COMPUTED_VALUE"""),"裾まわり")</f>
        <v>裾まわり</v>
      </c>
      <c r="G642" s="668" t="str">
        <f>IFERROR(__xludf.DUMMYFUNCTION("""COMPUTED_VALUE"""),"裾まわり（パターン限界値から ±8cmの範囲内で調整すること）")</f>
        <v>裾まわり（パターン限界値から ±8cmの範囲内で調整すること）</v>
      </c>
      <c r="H642" s="672" t="str">
        <f>IFERROR(__xludf.DUMMYFUNCTION("""COMPUTED_VALUE"""),"-5")</f>
        <v>-5</v>
      </c>
      <c r="I642" s="669"/>
      <c r="J642" s="669">
        <f>IFERROR(__xludf.DUMMYFUNCTION("""COMPUTED_VALUE"""),10.0)</f>
        <v>10</v>
      </c>
      <c r="K642" s="673">
        <f>IFERROR(__xludf.DUMMYFUNCTION("""COMPUTED_VALUE"""),46003.0)</f>
        <v>46003</v>
      </c>
      <c r="L642" s="670">
        <f>IFERROR(__xludf.DUMMYFUNCTION("""COMPUTED_VALUE"""),46003.0)</f>
        <v>46003</v>
      </c>
      <c r="M642" s="670">
        <f>IFERROR(__xludf.DUMMYFUNCTION("""COMPUTED_VALUE"""),46008.0)</f>
        <v>46008</v>
      </c>
      <c r="N642" s="674">
        <f>IFERROR(__xludf.DUMMYFUNCTION("""COMPUTED_VALUE"""),13200.0)</f>
        <v>13200</v>
      </c>
      <c r="O642" s="593">
        <f>IFERROR(__xludf.DUMMYFUNCTION("""COMPUTED_VALUE"""),12000.0)</f>
        <v>12000</v>
      </c>
      <c r="P642" s="594">
        <f>IFERROR(__xludf.DUMMYFUNCTION("""COMPUTED_VALUE"""),8000.0)</f>
        <v>8000</v>
      </c>
      <c r="Q642" s="183"/>
      <c r="R642" s="544"/>
      <c r="S642" s="544"/>
      <c r="T642" s="544"/>
      <c r="U642" s="544"/>
      <c r="V642" s="544"/>
      <c r="W642" s="544"/>
      <c r="X642" s="544"/>
      <c r="Y642" s="544"/>
      <c r="Z642" s="544"/>
      <c r="AA642" s="544"/>
      <c r="AB642" s="544"/>
      <c r="AC642" s="544"/>
      <c r="AD642" s="544"/>
      <c r="AE642" s="183"/>
      <c r="AF642" s="183"/>
      <c r="AG642" s="183"/>
      <c r="AH642" s="183"/>
      <c r="AI642" s="183"/>
      <c r="AJ642" s="183"/>
      <c r="AK642" s="183"/>
      <c r="AL642" s="183"/>
      <c r="AM642" s="183"/>
    </row>
    <row r="643">
      <c r="A643" s="273" t="str">
        <f>IFERROR(__xludf.DUMMYFUNCTION("""COMPUTED_VALUE"""),"サイズ")</f>
        <v>サイズ</v>
      </c>
      <c r="B643" s="273" t="str">
        <f>IFERROR(__xludf.DUMMYFUNCTION("""COMPUTED_VALUE"""),"トレンチコート")</f>
        <v>トレンチコート</v>
      </c>
      <c r="C643" s="273" t="str">
        <f>IFERROR(__xludf.DUMMYFUNCTION("""COMPUTED_VALUE"""),"裾まわり")</f>
        <v>裾まわり</v>
      </c>
      <c r="D643" s="668"/>
      <c r="E643" s="668" t="str">
        <f>IFERROR(__xludf.DUMMYFUNCTION("""COMPUTED_VALUE"""),"パターン限界値から ±8cmの範囲内で調整すること")</f>
        <v>パターン限界値から ±8cmの範囲内で調整すること</v>
      </c>
      <c r="F643" s="342" t="str">
        <f>IFERROR(__xludf.DUMMYFUNCTION("""COMPUTED_VALUE"""),"裾まわり")</f>
        <v>裾まわり</v>
      </c>
      <c r="G643" s="668" t="str">
        <f>IFERROR(__xludf.DUMMYFUNCTION("""COMPUTED_VALUE"""),"裾まわり（パターン限界値から ±8cmの範囲内で調整すること）")</f>
        <v>裾まわり（パターン限界値から ±8cmの範囲内で調整すること）</v>
      </c>
      <c r="H643" s="672" t="str">
        <f>IFERROR(__xludf.DUMMYFUNCTION("""COMPUTED_VALUE"""),"-4")</f>
        <v>-4</v>
      </c>
      <c r="I643" s="669"/>
      <c r="J643" s="669">
        <f>IFERROR(__xludf.DUMMYFUNCTION("""COMPUTED_VALUE"""),10.0)</f>
        <v>10</v>
      </c>
      <c r="K643" s="673">
        <f>IFERROR(__xludf.DUMMYFUNCTION("""COMPUTED_VALUE"""),46003.0)</f>
        <v>46003</v>
      </c>
      <c r="L643" s="670">
        <f>IFERROR(__xludf.DUMMYFUNCTION("""COMPUTED_VALUE"""),46003.0)</f>
        <v>46003</v>
      </c>
      <c r="M643" s="670">
        <f>IFERROR(__xludf.DUMMYFUNCTION("""COMPUTED_VALUE"""),46008.0)</f>
        <v>46008</v>
      </c>
      <c r="N643" s="674">
        <f>IFERROR(__xludf.DUMMYFUNCTION("""COMPUTED_VALUE"""),13200.0)</f>
        <v>13200</v>
      </c>
      <c r="O643" s="593">
        <f>IFERROR(__xludf.DUMMYFUNCTION("""COMPUTED_VALUE"""),12000.0)</f>
        <v>12000</v>
      </c>
      <c r="P643" s="594">
        <f>IFERROR(__xludf.DUMMYFUNCTION("""COMPUTED_VALUE"""),8000.0)</f>
        <v>8000</v>
      </c>
      <c r="Q643" s="183"/>
      <c r="R643" s="544"/>
      <c r="S643" s="544"/>
      <c r="T643" s="544"/>
      <c r="U643" s="544"/>
      <c r="V643" s="544"/>
      <c r="W643" s="544"/>
      <c r="X643" s="544"/>
      <c r="Y643" s="544"/>
      <c r="Z643" s="544"/>
      <c r="AA643" s="544"/>
      <c r="AB643" s="544"/>
      <c r="AC643" s="544"/>
      <c r="AD643" s="544"/>
      <c r="AE643" s="183"/>
      <c r="AF643" s="183"/>
      <c r="AG643" s="183"/>
      <c r="AH643" s="183"/>
      <c r="AI643" s="183"/>
      <c r="AJ643" s="183"/>
      <c r="AK643" s="183"/>
      <c r="AL643" s="183"/>
      <c r="AM643" s="183"/>
    </row>
    <row r="644">
      <c r="A644" s="273" t="str">
        <f>IFERROR(__xludf.DUMMYFUNCTION("""COMPUTED_VALUE"""),"サイズ")</f>
        <v>サイズ</v>
      </c>
      <c r="B644" s="273" t="str">
        <f>IFERROR(__xludf.DUMMYFUNCTION("""COMPUTED_VALUE"""),"トレンチコート")</f>
        <v>トレンチコート</v>
      </c>
      <c r="C644" s="273" t="str">
        <f>IFERROR(__xludf.DUMMYFUNCTION("""COMPUTED_VALUE"""),"裾まわり")</f>
        <v>裾まわり</v>
      </c>
      <c r="D644" s="668"/>
      <c r="E644" s="668" t="str">
        <f>IFERROR(__xludf.DUMMYFUNCTION("""COMPUTED_VALUE"""),"パターン限界値から ±8cmの範囲内で調整すること")</f>
        <v>パターン限界値から ±8cmの範囲内で調整すること</v>
      </c>
      <c r="F644" s="342" t="str">
        <f>IFERROR(__xludf.DUMMYFUNCTION("""COMPUTED_VALUE"""),"裾まわり")</f>
        <v>裾まわり</v>
      </c>
      <c r="G644" s="668" t="str">
        <f>IFERROR(__xludf.DUMMYFUNCTION("""COMPUTED_VALUE"""),"裾まわり（パターン限界値から ±8cmの範囲内で調整すること）")</f>
        <v>裾まわり（パターン限界値から ±8cmの範囲内で調整すること）</v>
      </c>
      <c r="H644" s="672" t="str">
        <f>IFERROR(__xludf.DUMMYFUNCTION("""COMPUTED_VALUE"""),"-3")</f>
        <v>-3</v>
      </c>
      <c r="I644" s="669"/>
      <c r="J644" s="669">
        <f>IFERROR(__xludf.DUMMYFUNCTION("""COMPUTED_VALUE"""),10.0)</f>
        <v>10</v>
      </c>
      <c r="K644" s="673">
        <f>IFERROR(__xludf.DUMMYFUNCTION("""COMPUTED_VALUE"""),46003.0)</f>
        <v>46003</v>
      </c>
      <c r="L644" s="670">
        <f>IFERROR(__xludf.DUMMYFUNCTION("""COMPUTED_VALUE"""),46003.0)</f>
        <v>46003</v>
      </c>
      <c r="M644" s="670">
        <f>IFERROR(__xludf.DUMMYFUNCTION("""COMPUTED_VALUE"""),46008.0)</f>
        <v>46008</v>
      </c>
      <c r="N644" s="674">
        <f>IFERROR(__xludf.DUMMYFUNCTION("""COMPUTED_VALUE"""),13200.0)</f>
        <v>13200</v>
      </c>
      <c r="O644" s="593">
        <f>IFERROR(__xludf.DUMMYFUNCTION("""COMPUTED_VALUE"""),12000.0)</f>
        <v>12000</v>
      </c>
      <c r="P644" s="594">
        <f>IFERROR(__xludf.DUMMYFUNCTION("""COMPUTED_VALUE"""),8000.0)</f>
        <v>8000</v>
      </c>
      <c r="Q644" s="183"/>
      <c r="R644" s="544"/>
      <c r="S644" s="544"/>
      <c r="T644" s="544"/>
      <c r="U644" s="544"/>
      <c r="V644" s="544"/>
      <c r="W644" s="544"/>
      <c r="X644" s="544"/>
      <c r="Y644" s="544"/>
      <c r="Z644" s="544"/>
      <c r="AA644" s="544"/>
      <c r="AB644" s="544"/>
      <c r="AC644" s="544"/>
      <c r="AD644" s="544"/>
      <c r="AE644" s="183"/>
      <c r="AF644" s="183"/>
      <c r="AG644" s="183"/>
      <c r="AH644" s="183"/>
      <c r="AI644" s="183"/>
      <c r="AJ644" s="183"/>
      <c r="AK644" s="183"/>
      <c r="AL644" s="183"/>
      <c r="AM644" s="183"/>
    </row>
    <row r="645">
      <c r="A645" s="273" t="str">
        <f>IFERROR(__xludf.DUMMYFUNCTION("""COMPUTED_VALUE"""),"サイズ")</f>
        <v>サイズ</v>
      </c>
      <c r="B645" s="273" t="str">
        <f>IFERROR(__xludf.DUMMYFUNCTION("""COMPUTED_VALUE"""),"トレンチコート")</f>
        <v>トレンチコート</v>
      </c>
      <c r="C645" s="273" t="str">
        <f>IFERROR(__xludf.DUMMYFUNCTION("""COMPUTED_VALUE"""),"裾まわり")</f>
        <v>裾まわり</v>
      </c>
      <c r="D645" s="668"/>
      <c r="E645" s="668" t="str">
        <f>IFERROR(__xludf.DUMMYFUNCTION("""COMPUTED_VALUE"""),"パターン限界値から ±8cmの範囲内で調整すること")</f>
        <v>パターン限界値から ±8cmの範囲内で調整すること</v>
      </c>
      <c r="F645" s="342" t="str">
        <f>IFERROR(__xludf.DUMMYFUNCTION("""COMPUTED_VALUE"""),"裾まわり")</f>
        <v>裾まわり</v>
      </c>
      <c r="G645" s="668" t="str">
        <f>IFERROR(__xludf.DUMMYFUNCTION("""COMPUTED_VALUE"""),"裾まわり（パターン限界値から ±8cmの範囲内で調整すること）")</f>
        <v>裾まわり（パターン限界値から ±8cmの範囲内で調整すること）</v>
      </c>
      <c r="H645" s="672" t="str">
        <f>IFERROR(__xludf.DUMMYFUNCTION("""COMPUTED_VALUE"""),"-2")</f>
        <v>-2</v>
      </c>
      <c r="I645" s="669"/>
      <c r="J645" s="669">
        <f>IFERROR(__xludf.DUMMYFUNCTION("""COMPUTED_VALUE"""),10.0)</f>
        <v>10</v>
      </c>
      <c r="K645" s="673">
        <f>IFERROR(__xludf.DUMMYFUNCTION("""COMPUTED_VALUE"""),46003.0)</f>
        <v>46003</v>
      </c>
      <c r="L645" s="670">
        <f>IFERROR(__xludf.DUMMYFUNCTION("""COMPUTED_VALUE"""),46003.0)</f>
        <v>46003</v>
      </c>
      <c r="M645" s="670">
        <f>IFERROR(__xludf.DUMMYFUNCTION("""COMPUTED_VALUE"""),46008.0)</f>
        <v>46008</v>
      </c>
      <c r="N645" s="674">
        <f>IFERROR(__xludf.DUMMYFUNCTION("""COMPUTED_VALUE"""),13200.0)</f>
        <v>13200</v>
      </c>
      <c r="O645" s="593">
        <f>IFERROR(__xludf.DUMMYFUNCTION("""COMPUTED_VALUE"""),12000.0)</f>
        <v>12000</v>
      </c>
      <c r="P645" s="594">
        <f>IFERROR(__xludf.DUMMYFUNCTION("""COMPUTED_VALUE"""),8000.0)</f>
        <v>8000</v>
      </c>
      <c r="Q645" s="183"/>
      <c r="R645" s="544"/>
      <c r="S645" s="544"/>
      <c r="T645" s="544"/>
      <c r="U645" s="544"/>
      <c r="V645" s="544"/>
      <c r="W645" s="544"/>
      <c r="X645" s="544"/>
      <c r="Y645" s="544"/>
      <c r="Z645" s="544"/>
      <c r="AA645" s="544"/>
      <c r="AB645" s="544"/>
      <c r="AC645" s="544"/>
      <c r="AD645" s="544"/>
      <c r="AE645" s="183"/>
      <c r="AF645" s="183"/>
      <c r="AG645" s="183"/>
      <c r="AH645" s="183"/>
      <c r="AI645" s="183"/>
      <c r="AJ645" s="183"/>
      <c r="AK645" s="183"/>
      <c r="AL645" s="183"/>
      <c r="AM645" s="183"/>
    </row>
    <row r="646">
      <c r="A646" s="273" t="str">
        <f>IFERROR(__xludf.DUMMYFUNCTION("""COMPUTED_VALUE"""),"サイズ")</f>
        <v>サイズ</v>
      </c>
      <c r="B646" s="273" t="str">
        <f>IFERROR(__xludf.DUMMYFUNCTION("""COMPUTED_VALUE"""),"トレンチコート")</f>
        <v>トレンチコート</v>
      </c>
      <c r="C646" s="273" t="str">
        <f>IFERROR(__xludf.DUMMYFUNCTION("""COMPUTED_VALUE"""),"裾まわり")</f>
        <v>裾まわり</v>
      </c>
      <c r="D646" s="668"/>
      <c r="E646" s="668" t="str">
        <f>IFERROR(__xludf.DUMMYFUNCTION("""COMPUTED_VALUE"""),"パターン限界値から ±8cmの範囲内で調整すること")</f>
        <v>パターン限界値から ±8cmの範囲内で調整すること</v>
      </c>
      <c r="F646" s="342" t="str">
        <f>IFERROR(__xludf.DUMMYFUNCTION("""COMPUTED_VALUE"""),"裾まわり")</f>
        <v>裾まわり</v>
      </c>
      <c r="G646" s="668" t="str">
        <f>IFERROR(__xludf.DUMMYFUNCTION("""COMPUTED_VALUE"""),"裾まわり（パターン限界値から ±8cmの範囲内で調整すること）")</f>
        <v>裾まわり（パターン限界値から ±8cmの範囲内で調整すること）</v>
      </c>
      <c r="H646" s="672" t="str">
        <f>IFERROR(__xludf.DUMMYFUNCTION("""COMPUTED_VALUE"""),"-1")</f>
        <v>-1</v>
      </c>
      <c r="I646" s="669"/>
      <c r="J646" s="669">
        <f>IFERROR(__xludf.DUMMYFUNCTION("""COMPUTED_VALUE"""),10.0)</f>
        <v>10</v>
      </c>
      <c r="K646" s="673">
        <f>IFERROR(__xludf.DUMMYFUNCTION("""COMPUTED_VALUE"""),46003.0)</f>
        <v>46003</v>
      </c>
      <c r="L646" s="670">
        <f>IFERROR(__xludf.DUMMYFUNCTION("""COMPUTED_VALUE"""),46003.0)</f>
        <v>46003</v>
      </c>
      <c r="M646" s="670">
        <f>IFERROR(__xludf.DUMMYFUNCTION("""COMPUTED_VALUE"""),46008.0)</f>
        <v>46008</v>
      </c>
      <c r="N646" s="674">
        <f>IFERROR(__xludf.DUMMYFUNCTION("""COMPUTED_VALUE"""),13200.0)</f>
        <v>13200</v>
      </c>
      <c r="O646" s="593">
        <f>IFERROR(__xludf.DUMMYFUNCTION("""COMPUTED_VALUE"""),12000.0)</f>
        <v>12000</v>
      </c>
      <c r="P646" s="594">
        <f>IFERROR(__xludf.DUMMYFUNCTION("""COMPUTED_VALUE"""),8000.0)</f>
        <v>8000</v>
      </c>
      <c r="Q646" s="183"/>
      <c r="R646" s="544"/>
      <c r="S646" s="544"/>
      <c r="T646" s="544"/>
      <c r="U646" s="544"/>
      <c r="V646" s="544"/>
      <c r="W646" s="544"/>
      <c r="X646" s="544"/>
      <c r="Y646" s="544"/>
      <c r="Z646" s="544"/>
      <c r="AA646" s="544"/>
      <c r="AB646" s="544"/>
      <c r="AC646" s="544"/>
      <c r="AD646" s="544"/>
      <c r="AE646" s="183"/>
      <c r="AF646" s="183"/>
      <c r="AG646" s="183"/>
      <c r="AH646" s="183"/>
      <c r="AI646" s="183"/>
      <c r="AJ646" s="183"/>
      <c r="AK646" s="183"/>
      <c r="AL646" s="183"/>
      <c r="AM646" s="183"/>
    </row>
    <row r="647">
      <c r="A647" s="273" t="str">
        <f>IFERROR(__xludf.DUMMYFUNCTION("""COMPUTED_VALUE"""),"サイズ")</f>
        <v>サイズ</v>
      </c>
      <c r="B647" s="273" t="str">
        <f>IFERROR(__xludf.DUMMYFUNCTION("""COMPUTED_VALUE"""),"フーデッドコート")</f>
        <v>フーデッドコート</v>
      </c>
      <c r="C647" s="675" t="str">
        <f>IFERROR(__xludf.DUMMYFUNCTION("""COMPUTED_VALUE"""),"仕上げプレス")</f>
        <v>仕上げプレス</v>
      </c>
      <c r="D647" s="668"/>
      <c r="E647" s="668"/>
      <c r="F647" s="607" t="str">
        <f>IFERROR(__xludf.DUMMYFUNCTION("""COMPUTED_VALUE"""),"仕上げプレス")</f>
        <v>仕上げプレス</v>
      </c>
      <c r="G647" s="676" t="str">
        <f>IFERROR(__xludf.DUMMYFUNCTION("""COMPUTED_VALUE"""),"仕上げプレス")</f>
        <v>仕上げプレス</v>
      </c>
      <c r="H647" s="669"/>
      <c r="I647" s="669" t="str">
        <f>IFERROR(__xludf.DUMMYFUNCTION("""COMPUTED_VALUE"""),"店舗/CS")</f>
        <v>店舗/CS</v>
      </c>
      <c r="J647" s="669"/>
      <c r="K647" s="669"/>
      <c r="L647" s="670"/>
      <c r="M647" s="670"/>
      <c r="N647" s="674">
        <f>IFERROR(__xludf.DUMMYFUNCTION("""COMPUTED_VALUE"""),770.0)</f>
        <v>770</v>
      </c>
      <c r="O647" s="593">
        <f>IFERROR(__xludf.DUMMYFUNCTION("""COMPUTED_VALUE"""),700.0)</f>
        <v>700</v>
      </c>
      <c r="P647" s="594">
        <f>IFERROR(__xludf.DUMMYFUNCTION("""COMPUTED_VALUE"""),350.0)</f>
        <v>350</v>
      </c>
      <c r="Q647" s="183"/>
      <c r="R647" s="544"/>
      <c r="S647" s="544"/>
      <c r="T647" s="544"/>
      <c r="U647" s="544"/>
      <c r="V647" s="544"/>
      <c r="W647" s="544"/>
      <c r="X647" s="544"/>
      <c r="Y647" s="544"/>
      <c r="Z647" s="544"/>
      <c r="AA647" s="544"/>
      <c r="AB647" s="544"/>
      <c r="AC647" s="544"/>
      <c r="AD647" s="544"/>
      <c r="AE647" s="183"/>
      <c r="AF647" s="183"/>
      <c r="AG647" s="183"/>
      <c r="AH647" s="183"/>
      <c r="AI647" s="183"/>
      <c r="AJ647" s="183"/>
      <c r="AK647" s="183"/>
      <c r="AL647" s="183"/>
      <c r="AM647" s="183"/>
    </row>
    <row r="648">
      <c r="A648" s="273" t="str">
        <f>IFERROR(__xludf.DUMMYFUNCTION("""COMPUTED_VALUE"""),"縫製")</f>
        <v>縫製</v>
      </c>
      <c r="B648" s="273" t="str">
        <f>IFERROR(__xludf.DUMMYFUNCTION("""COMPUTED_VALUE"""),"フーデッドコート")</f>
        <v>フーデッドコート</v>
      </c>
      <c r="C648" s="273" t="str">
        <f>IFERROR(__xludf.DUMMYFUNCTION("""COMPUTED_VALUE"""),"仕上げプレス")</f>
        <v>仕上げプレス</v>
      </c>
      <c r="D648" s="668"/>
      <c r="E648" s="668"/>
      <c r="F648" s="342" t="str">
        <f>IFERROR(__xludf.DUMMYFUNCTION("""COMPUTED_VALUE"""),"仕上げプレス")</f>
        <v>仕上げプレス</v>
      </c>
      <c r="G648" s="668" t="str">
        <f>IFERROR(__xludf.DUMMYFUNCTION("""COMPUTED_VALUE"""),"仕上げプレス")</f>
        <v>仕上げプレス</v>
      </c>
      <c r="H648" s="669"/>
      <c r="I648" s="669" t="str">
        <f>IFERROR(__xludf.DUMMYFUNCTION("""COMPUTED_VALUE"""),"店舗/CS")</f>
        <v>店舗/CS</v>
      </c>
      <c r="J648" s="669"/>
      <c r="K648" s="669"/>
      <c r="L648" s="670"/>
      <c r="M648" s="670"/>
      <c r="N648" s="674">
        <f>IFERROR(__xludf.DUMMYFUNCTION("""COMPUTED_VALUE"""),770.0)</f>
        <v>770</v>
      </c>
      <c r="O648" s="593">
        <f>IFERROR(__xludf.DUMMYFUNCTION("""COMPUTED_VALUE"""),700.0)</f>
        <v>700</v>
      </c>
      <c r="P648" s="594">
        <f>IFERROR(__xludf.DUMMYFUNCTION("""COMPUTED_VALUE"""),350.0)</f>
        <v>350</v>
      </c>
      <c r="Q648" s="183"/>
      <c r="R648" s="544"/>
      <c r="S648" s="544"/>
      <c r="T648" s="544"/>
      <c r="U648" s="544"/>
      <c r="V648" s="544"/>
      <c r="W648" s="544"/>
      <c r="X648" s="544"/>
      <c r="Y648" s="544"/>
      <c r="Z648" s="544"/>
      <c r="AA648" s="544"/>
      <c r="AB648" s="544"/>
      <c r="AC648" s="544"/>
      <c r="AD648" s="544"/>
      <c r="AE648" s="183"/>
      <c r="AF648" s="183"/>
      <c r="AG648" s="183"/>
      <c r="AH648" s="183"/>
      <c r="AI648" s="183"/>
      <c r="AJ648" s="183"/>
      <c r="AK648" s="183"/>
      <c r="AL648" s="183"/>
      <c r="AM648" s="183"/>
    </row>
    <row r="649">
      <c r="A649" s="273" t="str">
        <f>IFERROR(__xludf.DUMMYFUNCTION("""COMPUTED_VALUE"""),"サイズ")</f>
        <v>サイズ</v>
      </c>
      <c r="B649" s="273" t="str">
        <f>IFERROR(__xludf.DUMMYFUNCTION("""COMPUTED_VALUE"""),"フーデッドコート")</f>
        <v>フーデッドコート</v>
      </c>
      <c r="C649" s="273" t="str">
        <f>IFERROR(__xludf.DUMMYFUNCTION("""COMPUTED_VALUE"""),"肩巾")</f>
        <v>肩巾</v>
      </c>
      <c r="D649" s="668"/>
      <c r="E649" s="668"/>
      <c r="F649" s="342" t="str">
        <f>IFERROR(__xludf.DUMMYFUNCTION("""COMPUTED_VALUE"""),"肩巾")</f>
        <v>肩巾</v>
      </c>
      <c r="G649" s="668" t="str">
        <f>IFERROR(__xludf.DUMMYFUNCTION("""COMPUTED_VALUE"""),"肩巾")</f>
        <v>肩巾</v>
      </c>
      <c r="H649" s="669"/>
      <c r="I649" s="669"/>
      <c r="J649" s="669" t="str">
        <f>IFERROR(__xludf.DUMMYFUNCTION("""COMPUTED_VALUE"""),"再製作")</f>
        <v>再製作</v>
      </c>
      <c r="K649" s="669" t="str">
        <f>IFERROR(__xludf.DUMMYFUNCTION("""COMPUTED_VALUE"""),"再製作")</f>
        <v>再製作</v>
      </c>
      <c r="L649" s="670" t="str">
        <f>IFERROR(__xludf.DUMMYFUNCTION("""COMPUTED_VALUE"""),"再製作")</f>
        <v>再製作</v>
      </c>
      <c r="M649" s="670" t="str">
        <f>IFERROR(__xludf.DUMMYFUNCTION("""COMPUTED_VALUE"""),"再製作")</f>
        <v>再製作</v>
      </c>
      <c r="N649" s="669" t="str">
        <f>IFERROR(__xludf.DUMMYFUNCTION("""COMPUTED_VALUE"""),"再製作")</f>
        <v>再製作</v>
      </c>
      <c r="O649" s="183" t="str">
        <f>IFERROR(__xludf.DUMMYFUNCTION("""COMPUTED_VALUE"""),"再製作")</f>
        <v>再製作</v>
      </c>
      <c r="P649" s="183"/>
      <c r="Q649" s="183"/>
      <c r="R649" s="544"/>
      <c r="S649" s="544"/>
      <c r="T649" s="544"/>
      <c r="U649" s="544"/>
      <c r="V649" s="544"/>
      <c r="W649" s="544"/>
      <c r="X649" s="544"/>
      <c r="Y649" s="544"/>
      <c r="Z649" s="544"/>
      <c r="AA649" s="544"/>
      <c r="AB649" s="544"/>
      <c r="AC649" s="544"/>
      <c r="AD649" s="544"/>
      <c r="AE649" s="183"/>
      <c r="AF649" s="183"/>
      <c r="AG649" s="183"/>
      <c r="AH649" s="183"/>
      <c r="AI649" s="183"/>
      <c r="AJ649" s="183"/>
      <c r="AK649" s="183"/>
      <c r="AL649" s="183"/>
      <c r="AM649" s="183"/>
    </row>
    <row r="650">
      <c r="A650" s="273" t="str">
        <f>IFERROR(__xludf.DUMMYFUNCTION("""COMPUTED_VALUE"""),"サイズ")</f>
        <v>サイズ</v>
      </c>
      <c r="B650" s="273" t="str">
        <f>IFERROR(__xludf.DUMMYFUNCTION("""COMPUTED_VALUE"""),"フーデッドコート")</f>
        <v>フーデッドコート</v>
      </c>
      <c r="C650" s="273" t="str">
        <f>IFERROR(__xludf.DUMMYFUNCTION("""COMPUTED_VALUE"""),"バスト")</f>
        <v>バスト</v>
      </c>
      <c r="D650" s="668"/>
      <c r="E650" s="668"/>
      <c r="F650" s="342" t="str">
        <f>IFERROR(__xludf.DUMMYFUNCTION("""COMPUTED_VALUE"""),"バスト")</f>
        <v>バスト</v>
      </c>
      <c r="G650" s="668" t="str">
        <f>IFERROR(__xludf.DUMMYFUNCTION("""COMPUTED_VALUE"""),"バスト")</f>
        <v>バスト</v>
      </c>
      <c r="H650" s="669"/>
      <c r="I650" s="669"/>
      <c r="J650" s="669" t="str">
        <f>IFERROR(__xludf.DUMMYFUNCTION("""COMPUTED_VALUE"""),"再製作")</f>
        <v>再製作</v>
      </c>
      <c r="K650" s="669" t="str">
        <f>IFERROR(__xludf.DUMMYFUNCTION("""COMPUTED_VALUE"""),"再製作")</f>
        <v>再製作</v>
      </c>
      <c r="L650" s="670" t="str">
        <f>IFERROR(__xludf.DUMMYFUNCTION("""COMPUTED_VALUE"""),"再製作")</f>
        <v>再製作</v>
      </c>
      <c r="M650" s="670" t="str">
        <f>IFERROR(__xludf.DUMMYFUNCTION("""COMPUTED_VALUE"""),"再製作")</f>
        <v>再製作</v>
      </c>
      <c r="N650" s="669" t="str">
        <f>IFERROR(__xludf.DUMMYFUNCTION("""COMPUTED_VALUE"""),"再製作")</f>
        <v>再製作</v>
      </c>
      <c r="O650" s="183" t="str">
        <f>IFERROR(__xludf.DUMMYFUNCTION("""COMPUTED_VALUE"""),"再製作")</f>
        <v>再製作</v>
      </c>
      <c r="P650" s="594">
        <f>IFERROR(__xludf.DUMMYFUNCTION("""COMPUTED_VALUE"""),4500.0)</f>
        <v>4500</v>
      </c>
      <c r="Q650" s="183"/>
      <c r="R650" s="544"/>
      <c r="S650" s="544"/>
      <c r="T650" s="544"/>
      <c r="U650" s="544"/>
      <c r="V650" s="544"/>
      <c r="W650" s="544"/>
      <c r="X650" s="544"/>
      <c r="Y650" s="544"/>
      <c r="Z650" s="544"/>
      <c r="AA650" s="544"/>
      <c r="AB650" s="544"/>
      <c r="AC650" s="544"/>
      <c r="AD650" s="544"/>
      <c r="AE650" s="183"/>
      <c r="AF650" s="183"/>
      <c r="AG650" s="183"/>
      <c r="AH650" s="183"/>
      <c r="AI650" s="183"/>
      <c r="AJ650" s="183"/>
      <c r="AK650" s="183"/>
      <c r="AL650" s="183"/>
      <c r="AM650" s="183"/>
    </row>
    <row r="651">
      <c r="A651" s="273" t="str">
        <f>IFERROR(__xludf.DUMMYFUNCTION("""COMPUTED_VALUE"""),"サイズ")</f>
        <v>サイズ</v>
      </c>
      <c r="B651" s="273" t="str">
        <f>IFERROR(__xludf.DUMMYFUNCTION("""COMPUTED_VALUE"""),"フーデッドコート")</f>
        <v>フーデッドコート</v>
      </c>
      <c r="C651" s="273" t="str">
        <f>IFERROR(__xludf.DUMMYFUNCTION("""COMPUTED_VALUE"""),"ウエスト")</f>
        <v>ウエスト</v>
      </c>
      <c r="D651" s="668"/>
      <c r="E651" s="668"/>
      <c r="F651" s="342" t="str">
        <f>IFERROR(__xludf.DUMMYFUNCTION("""COMPUTED_VALUE"""),"ウエスト")</f>
        <v>ウエスト</v>
      </c>
      <c r="G651" s="668" t="str">
        <f>IFERROR(__xludf.DUMMYFUNCTION("""COMPUTED_VALUE"""),"ウエスト")</f>
        <v>ウエスト</v>
      </c>
      <c r="H651" s="672" t="str">
        <f>IFERROR(__xludf.DUMMYFUNCTION("""COMPUTED_VALUE"""),"-6")</f>
        <v>-6</v>
      </c>
      <c r="I651" s="669"/>
      <c r="J651" s="669">
        <f>IFERROR(__xludf.DUMMYFUNCTION("""COMPUTED_VALUE"""),7.0)</f>
        <v>7</v>
      </c>
      <c r="K651" s="673">
        <f>IFERROR(__xludf.DUMMYFUNCTION("""COMPUTED_VALUE"""),46000.0)</f>
        <v>46000</v>
      </c>
      <c r="L651" s="670">
        <f>IFERROR(__xludf.DUMMYFUNCTION("""COMPUTED_VALUE"""),46003.0)</f>
        <v>46003</v>
      </c>
      <c r="M651" s="670">
        <f>IFERROR(__xludf.DUMMYFUNCTION("""COMPUTED_VALUE"""),46008.0)</f>
        <v>46008</v>
      </c>
      <c r="N651" s="674">
        <f>IFERROR(__xludf.DUMMYFUNCTION("""COMPUTED_VALUE"""),13200.0)</f>
        <v>13200</v>
      </c>
      <c r="O651" s="593">
        <f>IFERROR(__xludf.DUMMYFUNCTION("""COMPUTED_VALUE"""),12000.0)</f>
        <v>12000</v>
      </c>
      <c r="P651" s="594">
        <f>IFERROR(__xludf.DUMMYFUNCTION("""COMPUTED_VALUE"""),8000.0)</f>
        <v>8000</v>
      </c>
      <c r="Q651" s="183"/>
      <c r="R651" s="544"/>
      <c r="S651" s="544"/>
      <c r="T651" s="544"/>
      <c r="U651" s="544"/>
      <c r="V651" s="544"/>
      <c r="W651" s="544"/>
      <c r="X651" s="544"/>
      <c r="Y651" s="544"/>
      <c r="Z651" s="544"/>
      <c r="AA651" s="544"/>
      <c r="AB651" s="544"/>
      <c r="AC651" s="544"/>
      <c r="AD651" s="544"/>
      <c r="AE651" s="183"/>
      <c r="AF651" s="183"/>
      <c r="AG651" s="183"/>
      <c r="AH651" s="183"/>
      <c r="AI651" s="183"/>
      <c r="AJ651" s="183"/>
      <c r="AK651" s="183"/>
      <c r="AL651" s="183"/>
      <c r="AM651" s="183"/>
    </row>
    <row r="652">
      <c r="A652" s="273" t="str">
        <f>IFERROR(__xludf.DUMMYFUNCTION("""COMPUTED_VALUE"""),"サイズ")</f>
        <v>サイズ</v>
      </c>
      <c r="B652" s="273" t="str">
        <f>IFERROR(__xludf.DUMMYFUNCTION("""COMPUTED_VALUE"""),"フーデッドコート")</f>
        <v>フーデッドコート</v>
      </c>
      <c r="C652" s="273" t="str">
        <f>IFERROR(__xludf.DUMMYFUNCTION("""COMPUTED_VALUE"""),"ウエスト")</f>
        <v>ウエスト</v>
      </c>
      <c r="D652" s="668"/>
      <c r="E652" s="668"/>
      <c r="F652" s="342" t="str">
        <f>IFERROR(__xludf.DUMMYFUNCTION("""COMPUTED_VALUE"""),"ウエスト")</f>
        <v>ウエスト</v>
      </c>
      <c r="G652" s="668" t="str">
        <f>IFERROR(__xludf.DUMMYFUNCTION("""COMPUTED_VALUE"""),"ウエスト")</f>
        <v>ウエスト</v>
      </c>
      <c r="H652" s="672" t="str">
        <f>IFERROR(__xludf.DUMMYFUNCTION("""COMPUTED_VALUE"""),"-5")</f>
        <v>-5</v>
      </c>
      <c r="I652" s="669"/>
      <c r="J652" s="669">
        <f>IFERROR(__xludf.DUMMYFUNCTION("""COMPUTED_VALUE"""),7.0)</f>
        <v>7</v>
      </c>
      <c r="K652" s="673">
        <f>IFERROR(__xludf.DUMMYFUNCTION("""COMPUTED_VALUE"""),46000.0)</f>
        <v>46000</v>
      </c>
      <c r="L652" s="670">
        <f>IFERROR(__xludf.DUMMYFUNCTION("""COMPUTED_VALUE"""),46003.0)</f>
        <v>46003</v>
      </c>
      <c r="M652" s="670">
        <f>IFERROR(__xludf.DUMMYFUNCTION("""COMPUTED_VALUE"""),46008.0)</f>
        <v>46008</v>
      </c>
      <c r="N652" s="674">
        <f>IFERROR(__xludf.DUMMYFUNCTION("""COMPUTED_VALUE"""),13200.0)</f>
        <v>13200</v>
      </c>
      <c r="O652" s="593">
        <f>IFERROR(__xludf.DUMMYFUNCTION("""COMPUTED_VALUE"""),12000.0)</f>
        <v>12000</v>
      </c>
      <c r="P652" s="594">
        <f>IFERROR(__xludf.DUMMYFUNCTION("""COMPUTED_VALUE"""),8000.0)</f>
        <v>8000</v>
      </c>
      <c r="Q652" s="183"/>
      <c r="R652" s="544"/>
      <c r="S652" s="544"/>
      <c r="T652" s="544"/>
      <c r="U652" s="544"/>
      <c r="V652" s="544"/>
      <c r="W652" s="544"/>
      <c r="X652" s="544"/>
      <c r="Y652" s="544"/>
      <c r="Z652" s="544"/>
      <c r="AA652" s="544"/>
      <c r="AB652" s="544"/>
      <c r="AC652" s="544"/>
      <c r="AD652" s="544"/>
      <c r="AE652" s="183"/>
      <c r="AF652" s="183"/>
      <c r="AG652" s="183"/>
      <c r="AH652" s="183"/>
      <c r="AI652" s="183"/>
      <c r="AJ652" s="183"/>
      <c r="AK652" s="183"/>
      <c r="AL652" s="183"/>
      <c r="AM652" s="183"/>
    </row>
    <row r="653">
      <c r="A653" s="273" t="str">
        <f>IFERROR(__xludf.DUMMYFUNCTION("""COMPUTED_VALUE"""),"サイズ")</f>
        <v>サイズ</v>
      </c>
      <c r="B653" s="273" t="str">
        <f>IFERROR(__xludf.DUMMYFUNCTION("""COMPUTED_VALUE"""),"フーデッドコート")</f>
        <v>フーデッドコート</v>
      </c>
      <c r="C653" s="273" t="str">
        <f>IFERROR(__xludf.DUMMYFUNCTION("""COMPUTED_VALUE"""),"ウエスト")</f>
        <v>ウエスト</v>
      </c>
      <c r="D653" s="668"/>
      <c r="E653" s="668"/>
      <c r="F653" s="342" t="str">
        <f>IFERROR(__xludf.DUMMYFUNCTION("""COMPUTED_VALUE"""),"ウエスト")</f>
        <v>ウエスト</v>
      </c>
      <c r="G653" s="668" t="str">
        <f>IFERROR(__xludf.DUMMYFUNCTION("""COMPUTED_VALUE"""),"ウエスト")</f>
        <v>ウエスト</v>
      </c>
      <c r="H653" s="672" t="str">
        <f>IFERROR(__xludf.DUMMYFUNCTION("""COMPUTED_VALUE"""),"-4")</f>
        <v>-4</v>
      </c>
      <c r="I653" s="669"/>
      <c r="J653" s="669">
        <f>IFERROR(__xludf.DUMMYFUNCTION("""COMPUTED_VALUE"""),7.0)</f>
        <v>7</v>
      </c>
      <c r="K653" s="673">
        <f>IFERROR(__xludf.DUMMYFUNCTION("""COMPUTED_VALUE"""),46000.0)</f>
        <v>46000</v>
      </c>
      <c r="L653" s="670">
        <f>IFERROR(__xludf.DUMMYFUNCTION("""COMPUTED_VALUE"""),46003.0)</f>
        <v>46003</v>
      </c>
      <c r="M653" s="670">
        <f>IFERROR(__xludf.DUMMYFUNCTION("""COMPUTED_VALUE"""),46008.0)</f>
        <v>46008</v>
      </c>
      <c r="N653" s="674">
        <f>IFERROR(__xludf.DUMMYFUNCTION("""COMPUTED_VALUE"""),13200.0)</f>
        <v>13200</v>
      </c>
      <c r="O653" s="593">
        <f>IFERROR(__xludf.DUMMYFUNCTION("""COMPUTED_VALUE"""),12000.0)</f>
        <v>12000</v>
      </c>
      <c r="P653" s="594">
        <f>IFERROR(__xludf.DUMMYFUNCTION("""COMPUTED_VALUE"""),8000.0)</f>
        <v>8000</v>
      </c>
      <c r="Q653" s="183"/>
      <c r="R653" s="544"/>
      <c r="S653" s="544"/>
      <c r="T653" s="544"/>
      <c r="U653" s="544"/>
      <c r="V653" s="544"/>
      <c r="W653" s="544"/>
      <c r="X653" s="544"/>
      <c r="Y653" s="544"/>
      <c r="Z653" s="544"/>
      <c r="AA653" s="544"/>
      <c r="AB653" s="544"/>
      <c r="AC653" s="544"/>
      <c r="AD653" s="544"/>
      <c r="AE653" s="183"/>
      <c r="AF653" s="183"/>
      <c r="AG653" s="183"/>
      <c r="AH653" s="183"/>
      <c r="AI653" s="183"/>
      <c r="AJ653" s="183"/>
      <c r="AK653" s="183"/>
      <c r="AL653" s="183"/>
      <c r="AM653" s="183"/>
    </row>
    <row r="654">
      <c r="A654" s="273" t="str">
        <f>IFERROR(__xludf.DUMMYFUNCTION("""COMPUTED_VALUE"""),"サイズ")</f>
        <v>サイズ</v>
      </c>
      <c r="B654" s="273" t="str">
        <f>IFERROR(__xludf.DUMMYFUNCTION("""COMPUTED_VALUE"""),"フーデッドコート")</f>
        <v>フーデッドコート</v>
      </c>
      <c r="C654" s="273" t="str">
        <f>IFERROR(__xludf.DUMMYFUNCTION("""COMPUTED_VALUE"""),"ウエスト")</f>
        <v>ウエスト</v>
      </c>
      <c r="D654" s="668"/>
      <c r="E654" s="668"/>
      <c r="F654" s="342" t="str">
        <f>IFERROR(__xludf.DUMMYFUNCTION("""COMPUTED_VALUE"""),"ウエスト")</f>
        <v>ウエスト</v>
      </c>
      <c r="G654" s="668" t="str">
        <f>IFERROR(__xludf.DUMMYFUNCTION("""COMPUTED_VALUE"""),"ウエスト")</f>
        <v>ウエスト</v>
      </c>
      <c r="H654" s="672" t="str">
        <f>IFERROR(__xludf.DUMMYFUNCTION("""COMPUTED_VALUE"""),"-3")</f>
        <v>-3</v>
      </c>
      <c r="I654" s="669"/>
      <c r="J654" s="669">
        <f>IFERROR(__xludf.DUMMYFUNCTION("""COMPUTED_VALUE"""),7.0)</f>
        <v>7</v>
      </c>
      <c r="K654" s="673">
        <f>IFERROR(__xludf.DUMMYFUNCTION("""COMPUTED_VALUE"""),46000.0)</f>
        <v>46000</v>
      </c>
      <c r="L654" s="670">
        <f>IFERROR(__xludf.DUMMYFUNCTION("""COMPUTED_VALUE"""),46003.0)</f>
        <v>46003</v>
      </c>
      <c r="M654" s="670">
        <f>IFERROR(__xludf.DUMMYFUNCTION("""COMPUTED_VALUE"""),46008.0)</f>
        <v>46008</v>
      </c>
      <c r="N654" s="674">
        <f>IFERROR(__xludf.DUMMYFUNCTION("""COMPUTED_VALUE"""),13200.0)</f>
        <v>13200</v>
      </c>
      <c r="O654" s="593">
        <f>IFERROR(__xludf.DUMMYFUNCTION("""COMPUTED_VALUE"""),12000.0)</f>
        <v>12000</v>
      </c>
      <c r="P654" s="594">
        <f>IFERROR(__xludf.DUMMYFUNCTION("""COMPUTED_VALUE"""),8000.0)</f>
        <v>8000</v>
      </c>
      <c r="Q654" s="183"/>
      <c r="R654" s="544"/>
      <c r="S654" s="544"/>
      <c r="T654" s="544"/>
      <c r="U654" s="544"/>
      <c r="V654" s="544"/>
      <c r="W654" s="544"/>
      <c r="X654" s="544"/>
      <c r="Y654" s="544"/>
      <c r="Z654" s="544"/>
      <c r="AA654" s="544"/>
      <c r="AB654" s="544"/>
      <c r="AC654" s="544"/>
      <c r="AD654" s="544"/>
      <c r="AE654" s="183"/>
      <c r="AF654" s="183"/>
      <c r="AG654" s="183"/>
      <c r="AH654" s="183"/>
      <c r="AI654" s="183"/>
      <c r="AJ654" s="183"/>
      <c r="AK654" s="183"/>
      <c r="AL654" s="183"/>
      <c r="AM654" s="183"/>
    </row>
    <row r="655">
      <c r="A655" s="273" t="str">
        <f>IFERROR(__xludf.DUMMYFUNCTION("""COMPUTED_VALUE"""),"サイズ")</f>
        <v>サイズ</v>
      </c>
      <c r="B655" s="273" t="str">
        <f>IFERROR(__xludf.DUMMYFUNCTION("""COMPUTED_VALUE"""),"フーデッドコート")</f>
        <v>フーデッドコート</v>
      </c>
      <c r="C655" s="273" t="str">
        <f>IFERROR(__xludf.DUMMYFUNCTION("""COMPUTED_VALUE"""),"ウエスト")</f>
        <v>ウエスト</v>
      </c>
      <c r="D655" s="668"/>
      <c r="E655" s="668"/>
      <c r="F655" s="342" t="str">
        <f>IFERROR(__xludf.DUMMYFUNCTION("""COMPUTED_VALUE"""),"ウエスト")</f>
        <v>ウエスト</v>
      </c>
      <c r="G655" s="668" t="str">
        <f>IFERROR(__xludf.DUMMYFUNCTION("""COMPUTED_VALUE"""),"ウエスト")</f>
        <v>ウエスト</v>
      </c>
      <c r="H655" s="672" t="str">
        <f>IFERROR(__xludf.DUMMYFUNCTION("""COMPUTED_VALUE"""),"-2")</f>
        <v>-2</v>
      </c>
      <c r="I655" s="669"/>
      <c r="J655" s="669">
        <f>IFERROR(__xludf.DUMMYFUNCTION("""COMPUTED_VALUE"""),7.0)</f>
        <v>7</v>
      </c>
      <c r="K655" s="673">
        <f>IFERROR(__xludf.DUMMYFUNCTION("""COMPUTED_VALUE"""),46000.0)</f>
        <v>46000</v>
      </c>
      <c r="L655" s="670">
        <f>IFERROR(__xludf.DUMMYFUNCTION("""COMPUTED_VALUE"""),46003.0)</f>
        <v>46003</v>
      </c>
      <c r="M655" s="670">
        <f>IFERROR(__xludf.DUMMYFUNCTION("""COMPUTED_VALUE"""),46008.0)</f>
        <v>46008</v>
      </c>
      <c r="N655" s="674">
        <f>IFERROR(__xludf.DUMMYFUNCTION("""COMPUTED_VALUE"""),13200.0)</f>
        <v>13200</v>
      </c>
      <c r="O655" s="593">
        <f>IFERROR(__xludf.DUMMYFUNCTION("""COMPUTED_VALUE"""),12000.0)</f>
        <v>12000</v>
      </c>
      <c r="P655" s="594">
        <f>IFERROR(__xludf.DUMMYFUNCTION("""COMPUTED_VALUE"""),8000.0)</f>
        <v>8000</v>
      </c>
      <c r="Q655" s="183"/>
      <c r="R655" s="544"/>
      <c r="S655" s="544"/>
      <c r="T655" s="544"/>
      <c r="U655" s="544"/>
      <c r="V655" s="544"/>
      <c r="W655" s="544"/>
      <c r="X655" s="544"/>
      <c r="Y655" s="544"/>
      <c r="Z655" s="544"/>
      <c r="AA655" s="544"/>
      <c r="AB655" s="544"/>
      <c r="AC655" s="544"/>
      <c r="AD655" s="544"/>
      <c r="AE655" s="183"/>
      <c r="AF655" s="183"/>
      <c r="AG655" s="183"/>
      <c r="AH655" s="183"/>
      <c r="AI655" s="183"/>
      <c r="AJ655" s="183"/>
      <c r="AK655" s="183"/>
      <c r="AL655" s="183"/>
      <c r="AM655" s="183"/>
    </row>
    <row r="656">
      <c r="A656" s="273" t="str">
        <f>IFERROR(__xludf.DUMMYFUNCTION("""COMPUTED_VALUE"""),"サイズ")</f>
        <v>サイズ</v>
      </c>
      <c r="B656" s="273" t="str">
        <f>IFERROR(__xludf.DUMMYFUNCTION("""COMPUTED_VALUE"""),"フーデッドコート")</f>
        <v>フーデッドコート</v>
      </c>
      <c r="C656" s="273" t="str">
        <f>IFERROR(__xludf.DUMMYFUNCTION("""COMPUTED_VALUE"""),"ウエスト")</f>
        <v>ウエスト</v>
      </c>
      <c r="D656" s="668"/>
      <c r="E656" s="668"/>
      <c r="F656" s="342" t="str">
        <f>IFERROR(__xludf.DUMMYFUNCTION("""COMPUTED_VALUE"""),"ウエスト")</f>
        <v>ウエスト</v>
      </c>
      <c r="G656" s="668" t="str">
        <f>IFERROR(__xludf.DUMMYFUNCTION("""COMPUTED_VALUE"""),"ウエスト")</f>
        <v>ウエスト</v>
      </c>
      <c r="H656" s="672" t="str">
        <f>IFERROR(__xludf.DUMMYFUNCTION("""COMPUTED_VALUE"""),"-1")</f>
        <v>-1</v>
      </c>
      <c r="I656" s="669"/>
      <c r="J656" s="669">
        <f>IFERROR(__xludf.DUMMYFUNCTION("""COMPUTED_VALUE"""),7.0)</f>
        <v>7</v>
      </c>
      <c r="K656" s="673">
        <f>IFERROR(__xludf.DUMMYFUNCTION("""COMPUTED_VALUE"""),46000.0)</f>
        <v>46000</v>
      </c>
      <c r="L656" s="670">
        <f>IFERROR(__xludf.DUMMYFUNCTION("""COMPUTED_VALUE"""),46003.0)</f>
        <v>46003</v>
      </c>
      <c r="M656" s="670">
        <f>IFERROR(__xludf.DUMMYFUNCTION("""COMPUTED_VALUE"""),46008.0)</f>
        <v>46008</v>
      </c>
      <c r="N656" s="674">
        <f>IFERROR(__xludf.DUMMYFUNCTION("""COMPUTED_VALUE"""),13200.0)</f>
        <v>13200</v>
      </c>
      <c r="O656" s="593">
        <f>IFERROR(__xludf.DUMMYFUNCTION("""COMPUTED_VALUE"""),12000.0)</f>
        <v>12000</v>
      </c>
      <c r="P656" s="594">
        <f>IFERROR(__xludf.DUMMYFUNCTION("""COMPUTED_VALUE"""),8000.0)</f>
        <v>8000</v>
      </c>
      <c r="Q656" s="183"/>
      <c r="R656" s="544"/>
      <c r="S656" s="544"/>
      <c r="T656" s="544"/>
      <c r="U656" s="544"/>
      <c r="V656" s="544"/>
      <c r="W656" s="544"/>
      <c r="X656" s="544"/>
      <c r="Y656" s="544"/>
      <c r="Z656" s="544"/>
      <c r="AA656" s="544"/>
      <c r="AB656" s="544"/>
      <c r="AC656" s="544"/>
      <c r="AD656" s="544"/>
      <c r="AE656" s="183"/>
      <c r="AF656" s="183"/>
      <c r="AG656" s="183"/>
      <c r="AH656" s="183"/>
      <c r="AI656" s="183"/>
      <c r="AJ656" s="183"/>
      <c r="AK656" s="183"/>
      <c r="AL656" s="183"/>
      <c r="AM656" s="183"/>
    </row>
    <row r="657">
      <c r="A657" s="273" t="str">
        <f>IFERROR(__xludf.DUMMYFUNCTION("""COMPUTED_VALUE"""),"サイズ")</f>
        <v>サイズ</v>
      </c>
      <c r="B657" s="273" t="str">
        <f>IFERROR(__xludf.DUMMYFUNCTION("""COMPUTED_VALUE"""),"フーデッドコート")</f>
        <v>フーデッドコート</v>
      </c>
      <c r="C657" s="273" t="str">
        <f>IFERROR(__xludf.DUMMYFUNCTION("""COMPUTED_VALUE"""),"袖丈")</f>
        <v>袖丈</v>
      </c>
      <c r="D657" s="668"/>
      <c r="E657" s="668"/>
      <c r="F657" s="342" t="str">
        <f>IFERROR(__xludf.DUMMYFUNCTION("""COMPUTED_VALUE"""),"袖丈")</f>
        <v>袖丈</v>
      </c>
      <c r="G657" s="668" t="str">
        <f>IFERROR(__xludf.DUMMYFUNCTION("""COMPUTED_VALUE"""),"袖丈")</f>
        <v>袖丈</v>
      </c>
      <c r="H657" s="672" t="str">
        <f>IFERROR(__xludf.DUMMYFUNCTION("""COMPUTED_VALUE"""),"-2")</f>
        <v>-2</v>
      </c>
      <c r="I657" s="669"/>
      <c r="J657" s="669">
        <f>IFERROR(__xludf.DUMMYFUNCTION("""COMPUTED_VALUE"""),7.0)</f>
        <v>7</v>
      </c>
      <c r="K657" s="673">
        <f>IFERROR(__xludf.DUMMYFUNCTION("""COMPUTED_VALUE"""),46000.0)</f>
        <v>46000</v>
      </c>
      <c r="L657" s="670">
        <f>IFERROR(__xludf.DUMMYFUNCTION("""COMPUTED_VALUE"""),46003.0)</f>
        <v>46003</v>
      </c>
      <c r="M657" s="670">
        <f>IFERROR(__xludf.DUMMYFUNCTION("""COMPUTED_VALUE"""),46008.0)</f>
        <v>46008</v>
      </c>
      <c r="N657" s="674">
        <f>IFERROR(__xludf.DUMMYFUNCTION("""COMPUTED_VALUE"""),3300.0)</f>
        <v>3300</v>
      </c>
      <c r="O657" s="593">
        <f>IFERROR(__xludf.DUMMYFUNCTION("""COMPUTED_VALUE"""),3000.0)</f>
        <v>3000</v>
      </c>
      <c r="P657" s="594">
        <f>IFERROR(__xludf.DUMMYFUNCTION("""COMPUTED_VALUE"""),2000.0)</f>
        <v>2000</v>
      </c>
      <c r="Q657" s="183"/>
      <c r="R657" s="544"/>
      <c r="S657" s="544"/>
      <c r="T657" s="544"/>
      <c r="U657" s="544"/>
      <c r="V657" s="544"/>
      <c r="W657" s="544"/>
      <c r="X657" s="544"/>
      <c r="Y657" s="544"/>
      <c r="Z657" s="544"/>
      <c r="AA657" s="544"/>
      <c r="AB657" s="544"/>
      <c r="AC657" s="544"/>
      <c r="AD657" s="544"/>
      <c r="AE657" s="183"/>
      <c r="AF657" s="183"/>
      <c r="AG657" s="183"/>
      <c r="AH657" s="183"/>
      <c r="AI657" s="183"/>
      <c r="AJ657" s="183"/>
      <c r="AK657" s="183"/>
      <c r="AL657" s="183"/>
      <c r="AM657" s="183"/>
    </row>
    <row r="658">
      <c r="A658" s="273" t="str">
        <f>IFERROR(__xludf.DUMMYFUNCTION("""COMPUTED_VALUE"""),"サイズ")</f>
        <v>サイズ</v>
      </c>
      <c r="B658" s="273" t="str">
        <f>IFERROR(__xludf.DUMMYFUNCTION("""COMPUTED_VALUE"""),"フーデッドコート")</f>
        <v>フーデッドコート</v>
      </c>
      <c r="C658" s="273" t="str">
        <f>IFERROR(__xludf.DUMMYFUNCTION("""COMPUTED_VALUE"""),"袖丈")</f>
        <v>袖丈</v>
      </c>
      <c r="D658" s="668"/>
      <c r="E658" s="668"/>
      <c r="F658" s="342" t="str">
        <f>IFERROR(__xludf.DUMMYFUNCTION("""COMPUTED_VALUE"""),"袖丈")</f>
        <v>袖丈</v>
      </c>
      <c r="G658" s="668" t="str">
        <f>IFERROR(__xludf.DUMMYFUNCTION("""COMPUTED_VALUE"""),"袖丈")</f>
        <v>袖丈</v>
      </c>
      <c r="H658" s="672" t="str">
        <f>IFERROR(__xludf.DUMMYFUNCTION("""COMPUTED_VALUE"""),"-1.5")</f>
        <v>-1.5</v>
      </c>
      <c r="I658" s="669"/>
      <c r="J658" s="669">
        <f>IFERROR(__xludf.DUMMYFUNCTION("""COMPUTED_VALUE"""),7.0)</f>
        <v>7</v>
      </c>
      <c r="K658" s="673">
        <f>IFERROR(__xludf.DUMMYFUNCTION("""COMPUTED_VALUE"""),46000.0)</f>
        <v>46000</v>
      </c>
      <c r="L658" s="670">
        <f>IFERROR(__xludf.DUMMYFUNCTION("""COMPUTED_VALUE"""),46003.0)</f>
        <v>46003</v>
      </c>
      <c r="M658" s="670">
        <f>IFERROR(__xludf.DUMMYFUNCTION("""COMPUTED_VALUE"""),46008.0)</f>
        <v>46008</v>
      </c>
      <c r="N658" s="674">
        <f>IFERROR(__xludf.DUMMYFUNCTION("""COMPUTED_VALUE"""),3300.0)</f>
        <v>3300</v>
      </c>
      <c r="O658" s="593">
        <f>IFERROR(__xludf.DUMMYFUNCTION("""COMPUTED_VALUE"""),3000.0)</f>
        <v>3000</v>
      </c>
      <c r="P658" s="594">
        <f>IFERROR(__xludf.DUMMYFUNCTION("""COMPUTED_VALUE"""),2000.0)</f>
        <v>2000</v>
      </c>
      <c r="Q658" s="183"/>
      <c r="R658" s="544"/>
      <c r="S658" s="544"/>
      <c r="T658" s="544"/>
      <c r="U658" s="544"/>
      <c r="V658" s="544"/>
      <c r="W658" s="544"/>
      <c r="X658" s="544"/>
      <c r="Y658" s="544"/>
      <c r="Z658" s="544"/>
      <c r="AA658" s="544"/>
      <c r="AB658" s="544"/>
      <c r="AC658" s="544"/>
      <c r="AD658" s="544"/>
      <c r="AE658" s="183"/>
      <c r="AF658" s="183"/>
      <c r="AG658" s="183"/>
      <c r="AH658" s="183"/>
      <c r="AI658" s="183"/>
      <c r="AJ658" s="183"/>
      <c r="AK658" s="183"/>
      <c r="AL658" s="183"/>
      <c r="AM658" s="183"/>
    </row>
    <row r="659">
      <c r="A659" s="273" t="str">
        <f>IFERROR(__xludf.DUMMYFUNCTION("""COMPUTED_VALUE"""),"サイズ")</f>
        <v>サイズ</v>
      </c>
      <c r="B659" s="273" t="str">
        <f>IFERROR(__xludf.DUMMYFUNCTION("""COMPUTED_VALUE"""),"フーデッドコート")</f>
        <v>フーデッドコート</v>
      </c>
      <c r="C659" s="273" t="str">
        <f>IFERROR(__xludf.DUMMYFUNCTION("""COMPUTED_VALUE"""),"袖丈")</f>
        <v>袖丈</v>
      </c>
      <c r="D659" s="668"/>
      <c r="E659" s="668"/>
      <c r="F659" s="342" t="str">
        <f>IFERROR(__xludf.DUMMYFUNCTION("""COMPUTED_VALUE"""),"袖丈")</f>
        <v>袖丈</v>
      </c>
      <c r="G659" s="668" t="str">
        <f>IFERROR(__xludf.DUMMYFUNCTION("""COMPUTED_VALUE"""),"袖丈")</f>
        <v>袖丈</v>
      </c>
      <c r="H659" s="672" t="str">
        <f>IFERROR(__xludf.DUMMYFUNCTION("""COMPUTED_VALUE"""),"-1")</f>
        <v>-1</v>
      </c>
      <c r="I659" s="669"/>
      <c r="J659" s="669">
        <f>IFERROR(__xludf.DUMMYFUNCTION("""COMPUTED_VALUE"""),7.0)</f>
        <v>7</v>
      </c>
      <c r="K659" s="673">
        <f>IFERROR(__xludf.DUMMYFUNCTION("""COMPUTED_VALUE"""),46000.0)</f>
        <v>46000</v>
      </c>
      <c r="L659" s="670">
        <f>IFERROR(__xludf.DUMMYFUNCTION("""COMPUTED_VALUE"""),46003.0)</f>
        <v>46003</v>
      </c>
      <c r="M659" s="670">
        <f>IFERROR(__xludf.DUMMYFUNCTION("""COMPUTED_VALUE"""),46008.0)</f>
        <v>46008</v>
      </c>
      <c r="N659" s="674">
        <f>IFERROR(__xludf.DUMMYFUNCTION("""COMPUTED_VALUE"""),3300.0)</f>
        <v>3300</v>
      </c>
      <c r="O659" s="593">
        <f>IFERROR(__xludf.DUMMYFUNCTION("""COMPUTED_VALUE"""),3000.0)</f>
        <v>3000</v>
      </c>
      <c r="P659" s="594">
        <f>IFERROR(__xludf.DUMMYFUNCTION("""COMPUTED_VALUE"""),2000.0)</f>
        <v>2000</v>
      </c>
      <c r="Q659" s="183"/>
      <c r="R659" s="544"/>
      <c r="S659" s="544"/>
      <c r="T659" s="544"/>
      <c r="U659" s="544"/>
      <c r="V659" s="544"/>
      <c r="W659" s="544"/>
      <c r="X659" s="544"/>
      <c r="Y659" s="544"/>
      <c r="Z659" s="544"/>
      <c r="AA659" s="544"/>
      <c r="AB659" s="544"/>
      <c r="AC659" s="544"/>
      <c r="AD659" s="544"/>
      <c r="AE659" s="183"/>
      <c r="AF659" s="183"/>
      <c r="AG659" s="183"/>
      <c r="AH659" s="183"/>
      <c r="AI659" s="183"/>
      <c r="AJ659" s="183"/>
      <c r="AK659" s="183"/>
      <c r="AL659" s="183"/>
      <c r="AM659" s="183"/>
    </row>
    <row r="660">
      <c r="A660" s="273" t="str">
        <f>IFERROR(__xludf.DUMMYFUNCTION("""COMPUTED_VALUE"""),"サイズ")</f>
        <v>サイズ</v>
      </c>
      <c r="B660" s="273" t="str">
        <f>IFERROR(__xludf.DUMMYFUNCTION("""COMPUTED_VALUE"""),"フーデッドコート")</f>
        <v>フーデッドコート</v>
      </c>
      <c r="C660" s="273" t="str">
        <f>IFERROR(__xludf.DUMMYFUNCTION("""COMPUTED_VALUE"""),"袖丈")</f>
        <v>袖丈</v>
      </c>
      <c r="D660" s="668"/>
      <c r="E660" s="668"/>
      <c r="F660" s="342" t="str">
        <f>IFERROR(__xludf.DUMMYFUNCTION("""COMPUTED_VALUE"""),"袖丈")</f>
        <v>袖丈</v>
      </c>
      <c r="G660" s="668" t="str">
        <f>IFERROR(__xludf.DUMMYFUNCTION("""COMPUTED_VALUE"""),"袖丈")</f>
        <v>袖丈</v>
      </c>
      <c r="H660" s="672" t="str">
        <f>IFERROR(__xludf.DUMMYFUNCTION("""COMPUTED_VALUE"""),"-0.5")</f>
        <v>-0.5</v>
      </c>
      <c r="I660" s="669"/>
      <c r="J660" s="669">
        <f>IFERROR(__xludf.DUMMYFUNCTION("""COMPUTED_VALUE"""),7.0)</f>
        <v>7</v>
      </c>
      <c r="K660" s="673">
        <f>IFERROR(__xludf.DUMMYFUNCTION("""COMPUTED_VALUE"""),46000.0)</f>
        <v>46000</v>
      </c>
      <c r="L660" s="670">
        <f>IFERROR(__xludf.DUMMYFUNCTION("""COMPUTED_VALUE"""),46003.0)</f>
        <v>46003</v>
      </c>
      <c r="M660" s="670">
        <f>IFERROR(__xludf.DUMMYFUNCTION("""COMPUTED_VALUE"""),46008.0)</f>
        <v>46008</v>
      </c>
      <c r="N660" s="674">
        <f>IFERROR(__xludf.DUMMYFUNCTION("""COMPUTED_VALUE"""),3300.0)</f>
        <v>3300</v>
      </c>
      <c r="O660" s="593">
        <f>IFERROR(__xludf.DUMMYFUNCTION("""COMPUTED_VALUE"""),3000.0)</f>
        <v>3000</v>
      </c>
      <c r="P660" s="594">
        <f>IFERROR(__xludf.DUMMYFUNCTION("""COMPUTED_VALUE"""),2000.0)</f>
        <v>2000</v>
      </c>
      <c r="Q660" s="183"/>
      <c r="R660" s="544"/>
      <c r="S660" s="544"/>
      <c r="T660" s="544"/>
      <c r="U660" s="544"/>
      <c r="V660" s="544"/>
      <c r="W660" s="544"/>
      <c r="X660" s="544"/>
      <c r="Y660" s="544"/>
      <c r="Z660" s="544"/>
      <c r="AA660" s="544"/>
      <c r="AB660" s="544"/>
      <c r="AC660" s="544"/>
      <c r="AD660" s="544"/>
      <c r="AE660" s="183"/>
      <c r="AF660" s="183"/>
      <c r="AG660" s="183"/>
      <c r="AH660" s="183"/>
      <c r="AI660" s="183"/>
      <c r="AJ660" s="183"/>
      <c r="AK660" s="183"/>
      <c r="AL660" s="183"/>
      <c r="AM660" s="183"/>
    </row>
    <row r="661">
      <c r="A661" s="273" t="str">
        <f>IFERROR(__xludf.DUMMYFUNCTION("""COMPUTED_VALUE"""),"サイズ")</f>
        <v>サイズ</v>
      </c>
      <c r="B661" s="273" t="str">
        <f>IFERROR(__xludf.DUMMYFUNCTION("""COMPUTED_VALUE"""),"フーデッドコート")</f>
        <v>フーデッドコート</v>
      </c>
      <c r="C661" s="273" t="str">
        <f>IFERROR(__xludf.DUMMYFUNCTION("""COMPUTED_VALUE"""),"着丈")</f>
        <v>着丈</v>
      </c>
      <c r="D661" s="668"/>
      <c r="E661" s="668"/>
      <c r="F661" s="342" t="str">
        <f>IFERROR(__xludf.DUMMYFUNCTION("""COMPUTED_VALUE"""),"着丈")</f>
        <v>着丈</v>
      </c>
      <c r="G661" s="668" t="str">
        <f>IFERROR(__xludf.DUMMYFUNCTION("""COMPUTED_VALUE"""),"着丈")</f>
        <v>着丈</v>
      </c>
      <c r="H661" s="672" t="str">
        <f>IFERROR(__xludf.DUMMYFUNCTION("""COMPUTED_VALUE"""),"-5")</f>
        <v>-5</v>
      </c>
      <c r="I661" s="669"/>
      <c r="J661" s="669">
        <f>IFERROR(__xludf.DUMMYFUNCTION("""COMPUTED_VALUE"""),7.0)</f>
        <v>7</v>
      </c>
      <c r="K661" s="673">
        <f>IFERROR(__xludf.DUMMYFUNCTION("""COMPUTED_VALUE"""),46000.0)</f>
        <v>46000</v>
      </c>
      <c r="L661" s="670">
        <f>IFERROR(__xludf.DUMMYFUNCTION("""COMPUTED_VALUE"""),46003.0)</f>
        <v>46003</v>
      </c>
      <c r="M661" s="670">
        <f>IFERROR(__xludf.DUMMYFUNCTION("""COMPUTED_VALUE"""),46008.0)</f>
        <v>46008</v>
      </c>
      <c r="N661" s="674">
        <f>IFERROR(__xludf.DUMMYFUNCTION("""COMPUTED_VALUE"""),9900.0)</f>
        <v>9900</v>
      </c>
      <c r="O661" s="593">
        <f>IFERROR(__xludf.DUMMYFUNCTION("""COMPUTED_VALUE"""),9000.0)</f>
        <v>9000</v>
      </c>
      <c r="P661" s="594">
        <f>IFERROR(__xludf.DUMMYFUNCTION("""COMPUTED_VALUE"""),6000.0)</f>
        <v>6000</v>
      </c>
      <c r="Q661" s="183"/>
      <c r="R661" s="544"/>
      <c r="S661" s="544"/>
      <c r="T661" s="544"/>
      <c r="U661" s="544"/>
      <c r="V661" s="544"/>
      <c r="W661" s="544"/>
      <c r="X661" s="544"/>
      <c r="Y661" s="544"/>
      <c r="Z661" s="544"/>
      <c r="AA661" s="544"/>
      <c r="AB661" s="544"/>
      <c r="AC661" s="544"/>
      <c r="AD661" s="544"/>
      <c r="AE661" s="183"/>
      <c r="AF661" s="183"/>
      <c r="AG661" s="183"/>
      <c r="AH661" s="183"/>
      <c r="AI661" s="183"/>
      <c r="AJ661" s="183"/>
      <c r="AK661" s="183"/>
      <c r="AL661" s="183"/>
      <c r="AM661" s="183"/>
    </row>
    <row r="662">
      <c r="A662" s="273" t="str">
        <f>IFERROR(__xludf.DUMMYFUNCTION("""COMPUTED_VALUE"""),"サイズ")</f>
        <v>サイズ</v>
      </c>
      <c r="B662" s="273" t="str">
        <f>IFERROR(__xludf.DUMMYFUNCTION("""COMPUTED_VALUE"""),"フーデッドコート")</f>
        <v>フーデッドコート</v>
      </c>
      <c r="C662" s="273" t="str">
        <f>IFERROR(__xludf.DUMMYFUNCTION("""COMPUTED_VALUE"""),"着丈")</f>
        <v>着丈</v>
      </c>
      <c r="D662" s="668"/>
      <c r="E662" s="668"/>
      <c r="F662" s="342" t="str">
        <f>IFERROR(__xludf.DUMMYFUNCTION("""COMPUTED_VALUE"""),"着丈")</f>
        <v>着丈</v>
      </c>
      <c r="G662" s="668" t="str">
        <f>IFERROR(__xludf.DUMMYFUNCTION("""COMPUTED_VALUE"""),"着丈")</f>
        <v>着丈</v>
      </c>
      <c r="H662" s="672" t="str">
        <f>IFERROR(__xludf.DUMMYFUNCTION("""COMPUTED_VALUE"""),"-4")</f>
        <v>-4</v>
      </c>
      <c r="I662" s="669"/>
      <c r="J662" s="669">
        <f>IFERROR(__xludf.DUMMYFUNCTION("""COMPUTED_VALUE"""),7.0)</f>
        <v>7</v>
      </c>
      <c r="K662" s="673">
        <f>IFERROR(__xludf.DUMMYFUNCTION("""COMPUTED_VALUE"""),46000.0)</f>
        <v>46000</v>
      </c>
      <c r="L662" s="670">
        <f>IFERROR(__xludf.DUMMYFUNCTION("""COMPUTED_VALUE"""),46003.0)</f>
        <v>46003</v>
      </c>
      <c r="M662" s="670">
        <f>IFERROR(__xludf.DUMMYFUNCTION("""COMPUTED_VALUE"""),46008.0)</f>
        <v>46008</v>
      </c>
      <c r="N662" s="674">
        <f>IFERROR(__xludf.DUMMYFUNCTION("""COMPUTED_VALUE"""),9900.0)</f>
        <v>9900</v>
      </c>
      <c r="O662" s="593">
        <f>IFERROR(__xludf.DUMMYFUNCTION("""COMPUTED_VALUE"""),9000.0)</f>
        <v>9000</v>
      </c>
      <c r="P662" s="594">
        <f>IFERROR(__xludf.DUMMYFUNCTION("""COMPUTED_VALUE"""),6000.0)</f>
        <v>6000</v>
      </c>
      <c r="Q662" s="183"/>
      <c r="R662" s="544"/>
      <c r="S662" s="544"/>
      <c r="T662" s="544"/>
      <c r="U662" s="544"/>
      <c r="V662" s="544"/>
      <c r="W662" s="544"/>
      <c r="X662" s="544"/>
      <c r="Y662" s="544"/>
      <c r="Z662" s="544"/>
      <c r="AA662" s="544"/>
      <c r="AB662" s="544"/>
      <c r="AC662" s="544"/>
      <c r="AD662" s="544"/>
      <c r="AE662" s="183"/>
      <c r="AF662" s="183"/>
      <c r="AG662" s="183"/>
      <c r="AH662" s="183"/>
      <c r="AI662" s="183"/>
      <c r="AJ662" s="183"/>
      <c r="AK662" s="183"/>
      <c r="AL662" s="183"/>
      <c r="AM662" s="183"/>
    </row>
    <row r="663">
      <c r="A663" s="273" t="str">
        <f>IFERROR(__xludf.DUMMYFUNCTION("""COMPUTED_VALUE"""),"サイズ")</f>
        <v>サイズ</v>
      </c>
      <c r="B663" s="273" t="str">
        <f>IFERROR(__xludf.DUMMYFUNCTION("""COMPUTED_VALUE"""),"フーデッドコート")</f>
        <v>フーデッドコート</v>
      </c>
      <c r="C663" s="273" t="str">
        <f>IFERROR(__xludf.DUMMYFUNCTION("""COMPUTED_VALUE"""),"着丈")</f>
        <v>着丈</v>
      </c>
      <c r="D663" s="668"/>
      <c r="E663" s="668"/>
      <c r="F663" s="342" t="str">
        <f>IFERROR(__xludf.DUMMYFUNCTION("""COMPUTED_VALUE"""),"着丈")</f>
        <v>着丈</v>
      </c>
      <c r="G663" s="668" t="str">
        <f>IFERROR(__xludf.DUMMYFUNCTION("""COMPUTED_VALUE"""),"着丈")</f>
        <v>着丈</v>
      </c>
      <c r="H663" s="672" t="str">
        <f>IFERROR(__xludf.DUMMYFUNCTION("""COMPUTED_VALUE"""),"-3")</f>
        <v>-3</v>
      </c>
      <c r="I663" s="669"/>
      <c r="J663" s="669">
        <f>IFERROR(__xludf.DUMMYFUNCTION("""COMPUTED_VALUE"""),7.0)</f>
        <v>7</v>
      </c>
      <c r="K663" s="673">
        <f>IFERROR(__xludf.DUMMYFUNCTION("""COMPUTED_VALUE"""),46000.0)</f>
        <v>46000</v>
      </c>
      <c r="L663" s="670">
        <f>IFERROR(__xludf.DUMMYFUNCTION("""COMPUTED_VALUE"""),46003.0)</f>
        <v>46003</v>
      </c>
      <c r="M663" s="670">
        <f>IFERROR(__xludf.DUMMYFUNCTION("""COMPUTED_VALUE"""),46008.0)</f>
        <v>46008</v>
      </c>
      <c r="N663" s="674">
        <f>IFERROR(__xludf.DUMMYFUNCTION("""COMPUTED_VALUE"""),9900.0)</f>
        <v>9900</v>
      </c>
      <c r="O663" s="593">
        <f>IFERROR(__xludf.DUMMYFUNCTION("""COMPUTED_VALUE"""),9000.0)</f>
        <v>9000</v>
      </c>
      <c r="P663" s="594">
        <f>IFERROR(__xludf.DUMMYFUNCTION("""COMPUTED_VALUE"""),6000.0)</f>
        <v>6000</v>
      </c>
      <c r="Q663" s="183"/>
      <c r="R663" s="544"/>
      <c r="S663" s="544"/>
      <c r="T663" s="544"/>
      <c r="U663" s="544"/>
      <c r="V663" s="544"/>
      <c r="W663" s="544"/>
      <c r="X663" s="544"/>
      <c r="Y663" s="544"/>
      <c r="Z663" s="544"/>
      <c r="AA663" s="544"/>
      <c r="AB663" s="544"/>
      <c r="AC663" s="544"/>
      <c r="AD663" s="544"/>
      <c r="AE663" s="183"/>
      <c r="AF663" s="183"/>
      <c r="AG663" s="183"/>
      <c r="AH663" s="183"/>
      <c r="AI663" s="183"/>
      <c r="AJ663" s="183"/>
      <c r="AK663" s="183"/>
      <c r="AL663" s="183"/>
      <c r="AM663" s="183"/>
    </row>
    <row r="664">
      <c r="A664" s="273" t="str">
        <f>IFERROR(__xludf.DUMMYFUNCTION("""COMPUTED_VALUE"""),"サイズ")</f>
        <v>サイズ</v>
      </c>
      <c r="B664" s="273" t="str">
        <f>IFERROR(__xludf.DUMMYFUNCTION("""COMPUTED_VALUE"""),"フーデッドコート")</f>
        <v>フーデッドコート</v>
      </c>
      <c r="C664" s="273" t="str">
        <f>IFERROR(__xludf.DUMMYFUNCTION("""COMPUTED_VALUE"""),"着丈")</f>
        <v>着丈</v>
      </c>
      <c r="D664" s="668"/>
      <c r="E664" s="668"/>
      <c r="F664" s="342" t="str">
        <f>IFERROR(__xludf.DUMMYFUNCTION("""COMPUTED_VALUE"""),"着丈")</f>
        <v>着丈</v>
      </c>
      <c r="G664" s="668" t="str">
        <f>IFERROR(__xludf.DUMMYFUNCTION("""COMPUTED_VALUE"""),"着丈")</f>
        <v>着丈</v>
      </c>
      <c r="H664" s="672" t="str">
        <f>IFERROR(__xludf.DUMMYFUNCTION("""COMPUTED_VALUE"""),"-2")</f>
        <v>-2</v>
      </c>
      <c r="I664" s="669"/>
      <c r="J664" s="669">
        <f>IFERROR(__xludf.DUMMYFUNCTION("""COMPUTED_VALUE"""),7.0)</f>
        <v>7</v>
      </c>
      <c r="K664" s="673">
        <f>IFERROR(__xludf.DUMMYFUNCTION("""COMPUTED_VALUE"""),46000.0)</f>
        <v>46000</v>
      </c>
      <c r="L664" s="670">
        <f>IFERROR(__xludf.DUMMYFUNCTION("""COMPUTED_VALUE"""),46003.0)</f>
        <v>46003</v>
      </c>
      <c r="M664" s="670">
        <f>IFERROR(__xludf.DUMMYFUNCTION("""COMPUTED_VALUE"""),46008.0)</f>
        <v>46008</v>
      </c>
      <c r="N664" s="674">
        <f>IFERROR(__xludf.DUMMYFUNCTION("""COMPUTED_VALUE"""),9900.0)</f>
        <v>9900</v>
      </c>
      <c r="O664" s="593">
        <f>IFERROR(__xludf.DUMMYFUNCTION("""COMPUTED_VALUE"""),9000.0)</f>
        <v>9000</v>
      </c>
      <c r="P664" s="594">
        <f>IFERROR(__xludf.DUMMYFUNCTION("""COMPUTED_VALUE"""),6000.0)</f>
        <v>6000</v>
      </c>
      <c r="Q664" s="183"/>
      <c r="R664" s="544"/>
      <c r="S664" s="544"/>
      <c r="T664" s="544"/>
      <c r="U664" s="544"/>
      <c r="V664" s="544"/>
      <c r="W664" s="544"/>
      <c r="X664" s="544"/>
      <c r="Y664" s="544"/>
      <c r="Z664" s="544"/>
      <c r="AA664" s="544"/>
      <c r="AB664" s="544"/>
      <c r="AC664" s="544"/>
      <c r="AD664" s="544"/>
      <c r="AE664" s="183"/>
      <c r="AF664" s="183"/>
      <c r="AG664" s="183"/>
      <c r="AH664" s="183"/>
      <c r="AI664" s="183"/>
      <c r="AJ664" s="183"/>
      <c r="AK664" s="183"/>
      <c r="AL664" s="183"/>
      <c r="AM664" s="183"/>
    </row>
    <row r="665">
      <c r="A665" s="273" t="str">
        <f>IFERROR(__xludf.DUMMYFUNCTION("""COMPUTED_VALUE"""),"サイズ")</f>
        <v>サイズ</v>
      </c>
      <c r="B665" s="273" t="str">
        <f>IFERROR(__xludf.DUMMYFUNCTION("""COMPUTED_VALUE"""),"フーデッドコート")</f>
        <v>フーデッドコート</v>
      </c>
      <c r="C665" s="273" t="str">
        <f>IFERROR(__xludf.DUMMYFUNCTION("""COMPUTED_VALUE"""),"着丈")</f>
        <v>着丈</v>
      </c>
      <c r="D665" s="668"/>
      <c r="E665" s="668"/>
      <c r="F665" s="342" t="str">
        <f>IFERROR(__xludf.DUMMYFUNCTION("""COMPUTED_VALUE"""),"着丈")</f>
        <v>着丈</v>
      </c>
      <c r="G665" s="668" t="str">
        <f>IFERROR(__xludf.DUMMYFUNCTION("""COMPUTED_VALUE"""),"着丈")</f>
        <v>着丈</v>
      </c>
      <c r="H665" s="672" t="str">
        <f>IFERROR(__xludf.DUMMYFUNCTION("""COMPUTED_VALUE"""),"-1")</f>
        <v>-1</v>
      </c>
      <c r="I665" s="669"/>
      <c r="J665" s="669">
        <f>IFERROR(__xludf.DUMMYFUNCTION("""COMPUTED_VALUE"""),7.0)</f>
        <v>7</v>
      </c>
      <c r="K665" s="673">
        <f>IFERROR(__xludf.DUMMYFUNCTION("""COMPUTED_VALUE"""),46000.0)</f>
        <v>46000</v>
      </c>
      <c r="L665" s="670">
        <f>IFERROR(__xludf.DUMMYFUNCTION("""COMPUTED_VALUE"""),46003.0)</f>
        <v>46003</v>
      </c>
      <c r="M665" s="670">
        <f>IFERROR(__xludf.DUMMYFUNCTION("""COMPUTED_VALUE"""),46008.0)</f>
        <v>46008</v>
      </c>
      <c r="N665" s="674">
        <f>IFERROR(__xludf.DUMMYFUNCTION("""COMPUTED_VALUE"""),9900.0)</f>
        <v>9900</v>
      </c>
      <c r="O665" s="593">
        <f>IFERROR(__xludf.DUMMYFUNCTION("""COMPUTED_VALUE"""),9000.0)</f>
        <v>9000</v>
      </c>
      <c r="P665" s="594">
        <f>IFERROR(__xludf.DUMMYFUNCTION("""COMPUTED_VALUE"""),6000.0)</f>
        <v>6000</v>
      </c>
      <c r="Q665" s="183"/>
      <c r="R665" s="544"/>
      <c r="S665" s="544"/>
      <c r="T665" s="544"/>
      <c r="U665" s="544"/>
      <c r="V665" s="544"/>
      <c r="W665" s="544"/>
      <c r="X665" s="544"/>
      <c r="Y665" s="544"/>
      <c r="Z665" s="544"/>
      <c r="AA665" s="544"/>
      <c r="AB665" s="544"/>
      <c r="AC665" s="544"/>
      <c r="AD665" s="544"/>
      <c r="AE665" s="183"/>
      <c r="AF665" s="183"/>
      <c r="AG665" s="183"/>
      <c r="AH665" s="183"/>
      <c r="AI665" s="183"/>
      <c r="AJ665" s="183"/>
      <c r="AK665" s="183"/>
      <c r="AL665" s="183"/>
      <c r="AM665" s="183"/>
    </row>
    <row r="666">
      <c r="A666" s="273" t="str">
        <f>IFERROR(__xludf.DUMMYFUNCTION("""COMPUTED_VALUE"""),"サイズ")</f>
        <v>サイズ</v>
      </c>
      <c r="B666" s="273" t="str">
        <f>IFERROR(__xludf.DUMMYFUNCTION("""COMPUTED_VALUE"""),"フーデッドコート")</f>
        <v>フーデッドコート</v>
      </c>
      <c r="C666" s="273" t="str">
        <f>IFERROR(__xludf.DUMMYFUNCTION("""COMPUTED_VALUE"""),"裾まわり")</f>
        <v>裾まわり</v>
      </c>
      <c r="D666" s="668"/>
      <c r="E666" s="668" t="str">
        <f>IFERROR(__xludf.DUMMYFUNCTION("""COMPUTED_VALUE"""),"パターン限界値から ±8cmの範囲内で調整すること")</f>
        <v>パターン限界値から ±8cmの範囲内で調整すること</v>
      </c>
      <c r="F666" s="342" t="str">
        <f>IFERROR(__xludf.DUMMYFUNCTION("""COMPUTED_VALUE"""),"裾まわり")</f>
        <v>裾まわり</v>
      </c>
      <c r="G666" s="668" t="str">
        <f>IFERROR(__xludf.DUMMYFUNCTION("""COMPUTED_VALUE"""),"裾まわり（パターン限界値から ±8cmの範囲内で調整すること）")</f>
        <v>裾まわり（パターン限界値から ±8cmの範囲内で調整すること）</v>
      </c>
      <c r="H666" s="672" t="str">
        <f>IFERROR(__xludf.DUMMYFUNCTION("""COMPUTED_VALUE"""),"-9")</f>
        <v>-9</v>
      </c>
      <c r="I666" s="669"/>
      <c r="J666" s="669">
        <f>IFERROR(__xludf.DUMMYFUNCTION("""COMPUTED_VALUE"""),10.0)</f>
        <v>10</v>
      </c>
      <c r="K666" s="673">
        <f>IFERROR(__xludf.DUMMYFUNCTION("""COMPUTED_VALUE"""),46003.0)</f>
        <v>46003</v>
      </c>
      <c r="L666" s="670">
        <f>IFERROR(__xludf.DUMMYFUNCTION("""COMPUTED_VALUE"""),46003.0)</f>
        <v>46003</v>
      </c>
      <c r="M666" s="670">
        <f>IFERROR(__xludf.DUMMYFUNCTION("""COMPUTED_VALUE"""),46008.0)</f>
        <v>46008</v>
      </c>
      <c r="N666" s="674">
        <f>IFERROR(__xludf.DUMMYFUNCTION("""COMPUTED_VALUE"""),13200.0)</f>
        <v>13200</v>
      </c>
      <c r="O666" s="593">
        <f>IFERROR(__xludf.DUMMYFUNCTION("""COMPUTED_VALUE"""),12000.0)</f>
        <v>12000</v>
      </c>
      <c r="P666" s="594">
        <f>IFERROR(__xludf.DUMMYFUNCTION("""COMPUTED_VALUE"""),8000.0)</f>
        <v>8000</v>
      </c>
      <c r="Q666" s="183"/>
      <c r="R666" s="544"/>
      <c r="S666" s="544"/>
      <c r="T666" s="544"/>
      <c r="U666" s="544"/>
      <c r="V666" s="544"/>
      <c r="W666" s="544"/>
      <c r="X666" s="544"/>
      <c r="Y666" s="544"/>
      <c r="Z666" s="544"/>
      <c r="AA666" s="544"/>
      <c r="AB666" s="544"/>
      <c r="AC666" s="544"/>
      <c r="AD666" s="544"/>
      <c r="AE666" s="183"/>
      <c r="AF666" s="183"/>
      <c r="AG666" s="183"/>
      <c r="AH666" s="183"/>
      <c r="AI666" s="183"/>
      <c r="AJ666" s="183"/>
      <c r="AK666" s="183"/>
      <c r="AL666" s="183"/>
      <c r="AM666" s="183"/>
    </row>
    <row r="667">
      <c r="A667" s="273" t="str">
        <f>IFERROR(__xludf.DUMMYFUNCTION("""COMPUTED_VALUE"""),"サイズ")</f>
        <v>サイズ</v>
      </c>
      <c r="B667" s="273" t="str">
        <f>IFERROR(__xludf.DUMMYFUNCTION("""COMPUTED_VALUE"""),"フーデッドコート")</f>
        <v>フーデッドコート</v>
      </c>
      <c r="C667" s="273" t="str">
        <f>IFERROR(__xludf.DUMMYFUNCTION("""COMPUTED_VALUE"""),"裾まわり")</f>
        <v>裾まわり</v>
      </c>
      <c r="D667" s="668"/>
      <c r="E667" s="668" t="str">
        <f>IFERROR(__xludf.DUMMYFUNCTION("""COMPUTED_VALUE"""),"パターン限界値から ±8cmの範囲内で調整すること")</f>
        <v>パターン限界値から ±8cmの範囲内で調整すること</v>
      </c>
      <c r="F667" s="342" t="str">
        <f>IFERROR(__xludf.DUMMYFUNCTION("""COMPUTED_VALUE"""),"裾まわり")</f>
        <v>裾まわり</v>
      </c>
      <c r="G667" s="668" t="str">
        <f>IFERROR(__xludf.DUMMYFUNCTION("""COMPUTED_VALUE"""),"裾まわり（パターン限界値から ±8cmの範囲内で調整すること）")</f>
        <v>裾まわり（パターン限界値から ±8cmの範囲内で調整すること）</v>
      </c>
      <c r="H667" s="672" t="str">
        <f>IFERROR(__xludf.DUMMYFUNCTION("""COMPUTED_VALUE"""),"-8")</f>
        <v>-8</v>
      </c>
      <c r="I667" s="669"/>
      <c r="J667" s="669">
        <f>IFERROR(__xludf.DUMMYFUNCTION("""COMPUTED_VALUE"""),10.0)</f>
        <v>10</v>
      </c>
      <c r="K667" s="673">
        <f>IFERROR(__xludf.DUMMYFUNCTION("""COMPUTED_VALUE"""),46003.0)</f>
        <v>46003</v>
      </c>
      <c r="L667" s="670">
        <f>IFERROR(__xludf.DUMMYFUNCTION("""COMPUTED_VALUE"""),46003.0)</f>
        <v>46003</v>
      </c>
      <c r="M667" s="670">
        <f>IFERROR(__xludf.DUMMYFUNCTION("""COMPUTED_VALUE"""),46008.0)</f>
        <v>46008</v>
      </c>
      <c r="N667" s="674">
        <f>IFERROR(__xludf.DUMMYFUNCTION("""COMPUTED_VALUE"""),13200.0)</f>
        <v>13200</v>
      </c>
      <c r="O667" s="593">
        <f>IFERROR(__xludf.DUMMYFUNCTION("""COMPUTED_VALUE"""),12000.0)</f>
        <v>12000</v>
      </c>
      <c r="P667" s="594">
        <f>IFERROR(__xludf.DUMMYFUNCTION("""COMPUTED_VALUE"""),8000.0)</f>
        <v>8000</v>
      </c>
      <c r="Q667" s="183"/>
      <c r="R667" s="544"/>
      <c r="S667" s="544"/>
      <c r="T667" s="544"/>
      <c r="U667" s="544"/>
      <c r="V667" s="544"/>
      <c r="W667" s="544"/>
      <c r="X667" s="544"/>
      <c r="Y667" s="544"/>
      <c r="Z667" s="544"/>
      <c r="AA667" s="544"/>
      <c r="AB667" s="544"/>
      <c r="AC667" s="544"/>
      <c r="AD667" s="544"/>
      <c r="AE667" s="183"/>
      <c r="AF667" s="183"/>
      <c r="AG667" s="183"/>
      <c r="AH667" s="183"/>
      <c r="AI667" s="183"/>
      <c r="AJ667" s="183"/>
      <c r="AK667" s="183"/>
      <c r="AL667" s="183"/>
      <c r="AM667" s="183"/>
    </row>
    <row r="668">
      <c r="A668" s="273" t="str">
        <f>IFERROR(__xludf.DUMMYFUNCTION("""COMPUTED_VALUE"""),"サイズ")</f>
        <v>サイズ</v>
      </c>
      <c r="B668" s="273" t="str">
        <f>IFERROR(__xludf.DUMMYFUNCTION("""COMPUTED_VALUE"""),"フーデッドコート")</f>
        <v>フーデッドコート</v>
      </c>
      <c r="C668" s="273" t="str">
        <f>IFERROR(__xludf.DUMMYFUNCTION("""COMPUTED_VALUE"""),"裾まわり")</f>
        <v>裾まわり</v>
      </c>
      <c r="D668" s="668"/>
      <c r="E668" s="668" t="str">
        <f>IFERROR(__xludf.DUMMYFUNCTION("""COMPUTED_VALUE"""),"パターン限界値から ±8cmの範囲内で調整すること")</f>
        <v>パターン限界値から ±8cmの範囲内で調整すること</v>
      </c>
      <c r="F668" s="342" t="str">
        <f>IFERROR(__xludf.DUMMYFUNCTION("""COMPUTED_VALUE"""),"裾まわり")</f>
        <v>裾まわり</v>
      </c>
      <c r="G668" s="668" t="str">
        <f>IFERROR(__xludf.DUMMYFUNCTION("""COMPUTED_VALUE"""),"裾まわり（パターン限界値から ±8cmの範囲内で調整すること）")</f>
        <v>裾まわり（パターン限界値から ±8cmの範囲内で調整すること）</v>
      </c>
      <c r="H668" s="672" t="str">
        <f>IFERROR(__xludf.DUMMYFUNCTION("""COMPUTED_VALUE"""),"-7")</f>
        <v>-7</v>
      </c>
      <c r="I668" s="669"/>
      <c r="J668" s="669">
        <f>IFERROR(__xludf.DUMMYFUNCTION("""COMPUTED_VALUE"""),10.0)</f>
        <v>10</v>
      </c>
      <c r="K668" s="673">
        <f>IFERROR(__xludf.DUMMYFUNCTION("""COMPUTED_VALUE"""),46003.0)</f>
        <v>46003</v>
      </c>
      <c r="L668" s="670">
        <f>IFERROR(__xludf.DUMMYFUNCTION("""COMPUTED_VALUE"""),46003.0)</f>
        <v>46003</v>
      </c>
      <c r="M668" s="670">
        <f>IFERROR(__xludf.DUMMYFUNCTION("""COMPUTED_VALUE"""),46008.0)</f>
        <v>46008</v>
      </c>
      <c r="N668" s="674">
        <f>IFERROR(__xludf.DUMMYFUNCTION("""COMPUTED_VALUE"""),13200.0)</f>
        <v>13200</v>
      </c>
      <c r="O668" s="593">
        <f>IFERROR(__xludf.DUMMYFUNCTION("""COMPUTED_VALUE"""),12000.0)</f>
        <v>12000</v>
      </c>
      <c r="P668" s="594">
        <f>IFERROR(__xludf.DUMMYFUNCTION("""COMPUTED_VALUE"""),8000.0)</f>
        <v>8000</v>
      </c>
      <c r="Q668" s="183"/>
      <c r="R668" s="544"/>
      <c r="S668" s="544"/>
      <c r="T668" s="544"/>
      <c r="U668" s="544"/>
      <c r="V668" s="544"/>
      <c r="W668" s="544"/>
      <c r="X668" s="544"/>
      <c r="Y668" s="544"/>
      <c r="Z668" s="544"/>
      <c r="AA668" s="544"/>
      <c r="AB668" s="544"/>
      <c r="AC668" s="544"/>
      <c r="AD668" s="544"/>
      <c r="AE668" s="183"/>
      <c r="AF668" s="183"/>
      <c r="AG668" s="183"/>
      <c r="AH668" s="183"/>
      <c r="AI668" s="183"/>
      <c r="AJ668" s="183"/>
      <c r="AK668" s="183"/>
      <c r="AL668" s="183"/>
      <c r="AM668" s="183"/>
    </row>
    <row r="669">
      <c r="A669" s="273" t="str">
        <f>IFERROR(__xludf.DUMMYFUNCTION("""COMPUTED_VALUE"""),"サイズ")</f>
        <v>サイズ</v>
      </c>
      <c r="B669" s="273" t="str">
        <f>IFERROR(__xludf.DUMMYFUNCTION("""COMPUTED_VALUE"""),"フーデッドコート")</f>
        <v>フーデッドコート</v>
      </c>
      <c r="C669" s="273" t="str">
        <f>IFERROR(__xludf.DUMMYFUNCTION("""COMPUTED_VALUE"""),"裾まわり")</f>
        <v>裾まわり</v>
      </c>
      <c r="D669" s="668"/>
      <c r="E669" s="668" t="str">
        <f>IFERROR(__xludf.DUMMYFUNCTION("""COMPUTED_VALUE"""),"パターン限界値から ±8cmの範囲内で調整すること")</f>
        <v>パターン限界値から ±8cmの範囲内で調整すること</v>
      </c>
      <c r="F669" s="342" t="str">
        <f>IFERROR(__xludf.DUMMYFUNCTION("""COMPUTED_VALUE"""),"裾まわり")</f>
        <v>裾まわり</v>
      </c>
      <c r="G669" s="668" t="str">
        <f>IFERROR(__xludf.DUMMYFUNCTION("""COMPUTED_VALUE"""),"裾まわり（パターン限界値から ±8cmの範囲内で調整すること）")</f>
        <v>裾まわり（パターン限界値から ±8cmの範囲内で調整すること）</v>
      </c>
      <c r="H669" s="672" t="str">
        <f>IFERROR(__xludf.DUMMYFUNCTION("""COMPUTED_VALUE"""),"-6")</f>
        <v>-6</v>
      </c>
      <c r="I669" s="669"/>
      <c r="J669" s="669">
        <f>IFERROR(__xludf.DUMMYFUNCTION("""COMPUTED_VALUE"""),10.0)</f>
        <v>10</v>
      </c>
      <c r="K669" s="673">
        <f>IFERROR(__xludf.DUMMYFUNCTION("""COMPUTED_VALUE"""),46003.0)</f>
        <v>46003</v>
      </c>
      <c r="L669" s="670">
        <f>IFERROR(__xludf.DUMMYFUNCTION("""COMPUTED_VALUE"""),46003.0)</f>
        <v>46003</v>
      </c>
      <c r="M669" s="670">
        <f>IFERROR(__xludf.DUMMYFUNCTION("""COMPUTED_VALUE"""),46008.0)</f>
        <v>46008</v>
      </c>
      <c r="N669" s="674">
        <f>IFERROR(__xludf.DUMMYFUNCTION("""COMPUTED_VALUE"""),13200.0)</f>
        <v>13200</v>
      </c>
      <c r="O669" s="593">
        <f>IFERROR(__xludf.DUMMYFUNCTION("""COMPUTED_VALUE"""),12000.0)</f>
        <v>12000</v>
      </c>
      <c r="P669" s="594">
        <f>IFERROR(__xludf.DUMMYFUNCTION("""COMPUTED_VALUE"""),8000.0)</f>
        <v>8000</v>
      </c>
      <c r="Q669" s="183"/>
      <c r="R669" s="544"/>
      <c r="S669" s="544"/>
      <c r="T669" s="544"/>
      <c r="U669" s="544"/>
      <c r="V669" s="544"/>
      <c r="W669" s="544"/>
      <c r="X669" s="544"/>
      <c r="Y669" s="544"/>
      <c r="Z669" s="544"/>
      <c r="AA669" s="544"/>
      <c r="AB669" s="544"/>
      <c r="AC669" s="544"/>
      <c r="AD669" s="544"/>
      <c r="AE669" s="183"/>
      <c r="AF669" s="183"/>
      <c r="AG669" s="183"/>
      <c r="AH669" s="183"/>
      <c r="AI669" s="183"/>
      <c r="AJ669" s="183"/>
      <c r="AK669" s="183"/>
      <c r="AL669" s="183"/>
      <c r="AM669" s="183"/>
    </row>
    <row r="670">
      <c r="A670" s="273" t="str">
        <f>IFERROR(__xludf.DUMMYFUNCTION("""COMPUTED_VALUE"""),"サイズ")</f>
        <v>サイズ</v>
      </c>
      <c r="B670" s="273" t="str">
        <f>IFERROR(__xludf.DUMMYFUNCTION("""COMPUTED_VALUE"""),"フーデッドコート")</f>
        <v>フーデッドコート</v>
      </c>
      <c r="C670" s="273" t="str">
        <f>IFERROR(__xludf.DUMMYFUNCTION("""COMPUTED_VALUE"""),"裾まわり")</f>
        <v>裾まわり</v>
      </c>
      <c r="D670" s="668"/>
      <c r="E670" s="668" t="str">
        <f>IFERROR(__xludf.DUMMYFUNCTION("""COMPUTED_VALUE"""),"パターン限界値から ±8cmの範囲内で調整すること")</f>
        <v>パターン限界値から ±8cmの範囲内で調整すること</v>
      </c>
      <c r="F670" s="342" t="str">
        <f>IFERROR(__xludf.DUMMYFUNCTION("""COMPUTED_VALUE"""),"裾まわり")</f>
        <v>裾まわり</v>
      </c>
      <c r="G670" s="668" t="str">
        <f>IFERROR(__xludf.DUMMYFUNCTION("""COMPUTED_VALUE"""),"裾まわり（パターン限界値から ±8cmの範囲内で調整すること）")</f>
        <v>裾まわり（パターン限界値から ±8cmの範囲内で調整すること）</v>
      </c>
      <c r="H670" s="672" t="str">
        <f>IFERROR(__xludf.DUMMYFUNCTION("""COMPUTED_VALUE"""),"-5")</f>
        <v>-5</v>
      </c>
      <c r="I670" s="669"/>
      <c r="J670" s="669">
        <f>IFERROR(__xludf.DUMMYFUNCTION("""COMPUTED_VALUE"""),10.0)</f>
        <v>10</v>
      </c>
      <c r="K670" s="673">
        <f>IFERROR(__xludf.DUMMYFUNCTION("""COMPUTED_VALUE"""),46003.0)</f>
        <v>46003</v>
      </c>
      <c r="L670" s="670">
        <f>IFERROR(__xludf.DUMMYFUNCTION("""COMPUTED_VALUE"""),46003.0)</f>
        <v>46003</v>
      </c>
      <c r="M670" s="670">
        <f>IFERROR(__xludf.DUMMYFUNCTION("""COMPUTED_VALUE"""),46008.0)</f>
        <v>46008</v>
      </c>
      <c r="N670" s="674">
        <f>IFERROR(__xludf.DUMMYFUNCTION("""COMPUTED_VALUE"""),13200.0)</f>
        <v>13200</v>
      </c>
      <c r="O670" s="593">
        <f>IFERROR(__xludf.DUMMYFUNCTION("""COMPUTED_VALUE"""),12000.0)</f>
        <v>12000</v>
      </c>
      <c r="P670" s="594">
        <f>IFERROR(__xludf.DUMMYFUNCTION("""COMPUTED_VALUE"""),8000.0)</f>
        <v>8000</v>
      </c>
      <c r="Q670" s="183"/>
      <c r="R670" s="544"/>
      <c r="S670" s="544"/>
      <c r="T670" s="544"/>
      <c r="U670" s="544"/>
      <c r="V670" s="544"/>
      <c r="W670" s="544"/>
      <c r="X670" s="544"/>
      <c r="Y670" s="544"/>
      <c r="Z670" s="544"/>
      <c r="AA670" s="544"/>
      <c r="AB670" s="544"/>
      <c r="AC670" s="544"/>
      <c r="AD670" s="544"/>
      <c r="AE670" s="183"/>
      <c r="AF670" s="183"/>
      <c r="AG670" s="183"/>
      <c r="AH670" s="183"/>
      <c r="AI670" s="183"/>
      <c r="AJ670" s="183"/>
      <c r="AK670" s="183"/>
      <c r="AL670" s="183"/>
      <c r="AM670" s="183"/>
    </row>
    <row r="671">
      <c r="A671" s="273" t="str">
        <f>IFERROR(__xludf.DUMMYFUNCTION("""COMPUTED_VALUE"""),"サイズ")</f>
        <v>サイズ</v>
      </c>
      <c r="B671" s="273" t="str">
        <f>IFERROR(__xludf.DUMMYFUNCTION("""COMPUTED_VALUE"""),"フーデッドコート")</f>
        <v>フーデッドコート</v>
      </c>
      <c r="C671" s="273" t="str">
        <f>IFERROR(__xludf.DUMMYFUNCTION("""COMPUTED_VALUE"""),"裾まわり")</f>
        <v>裾まわり</v>
      </c>
      <c r="D671" s="668"/>
      <c r="E671" s="668" t="str">
        <f>IFERROR(__xludf.DUMMYFUNCTION("""COMPUTED_VALUE"""),"パターン限界値から ±8cmの範囲内で調整すること")</f>
        <v>パターン限界値から ±8cmの範囲内で調整すること</v>
      </c>
      <c r="F671" s="342" t="str">
        <f>IFERROR(__xludf.DUMMYFUNCTION("""COMPUTED_VALUE"""),"裾まわり")</f>
        <v>裾まわり</v>
      </c>
      <c r="G671" s="668" t="str">
        <f>IFERROR(__xludf.DUMMYFUNCTION("""COMPUTED_VALUE"""),"裾まわり（パターン限界値から ±8cmの範囲内で調整すること）")</f>
        <v>裾まわり（パターン限界値から ±8cmの範囲内で調整すること）</v>
      </c>
      <c r="H671" s="672" t="str">
        <f>IFERROR(__xludf.DUMMYFUNCTION("""COMPUTED_VALUE"""),"-4")</f>
        <v>-4</v>
      </c>
      <c r="I671" s="669"/>
      <c r="J671" s="669">
        <f>IFERROR(__xludf.DUMMYFUNCTION("""COMPUTED_VALUE"""),10.0)</f>
        <v>10</v>
      </c>
      <c r="K671" s="673">
        <f>IFERROR(__xludf.DUMMYFUNCTION("""COMPUTED_VALUE"""),46003.0)</f>
        <v>46003</v>
      </c>
      <c r="L671" s="670">
        <f>IFERROR(__xludf.DUMMYFUNCTION("""COMPUTED_VALUE"""),46003.0)</f>
        <v>46003</v>
      </c>
      <c r="M671" s="670">
        <f>IFERROR(__xludf.DUMMYFUNCTION("""COMPUTED_VALUE"""),46008.0)</f>
        <v>46008</v>
      </c>
      <c r="N671" s="674">
        <f>IFERROR(__xludf.DUMMYFUNCTION("""COMPUTED_VALUE"""),13200.0)</f>
        <v>13200</v>
      </c>
      <c r="O671" s="593">
        <f>IFERROR(__xludf.DUMMYFUNCTION("""COMPUTED_VALUE"""),12000.0)</f>
        <v>12000</v>
      </c>
      <c r="P671" s="594">
        <f>IFERROR(__xludf.DUMMYFUNCTION("""COMPUTED_VALUE"""),8000.0)</f>
        <v>8000</v>
      </c>
      <c r="Q671" s="183"/>
      <c r="R671" s="544"/>
      <c r="S671" s="544"/>
      <c r="T671" s="544"/>
      <c r="U671" s="544"/>
      <c r="V671" s="544"/>
      <c r="W671" s="544"/>
      <c r="X671" s="544"/>
      <c r="Y671" s="544"/>
      <c r="Z671" s="544"/>
      <c r="AA671" s="544"/>
      <c r="AB671" s="544"/>
      <c r="AC671" s="544"/>
      <c r="AD671" s="544"/>
      <c r="AE671" s="183"/>
      <c r="AF671" s="183"/>
      <c r="AG671" s="183"/>
      <c r="AH671" s="183"/>
      <c r="AI671" s="183"/>
      <c r="AJ671" s="183"/>
      <c r="AK671" s="183"/>
      <c r="AL671" s="183"/>
      <c r="AM671" s="183"/>
    </row>
    <row r="672">
      <c r="A672" s="273" t="str">
        <f>IFERROR(__xludf.DUMMYFUNCTION("""COMPUTED_VALUE"""),"サイズ")</f>
        <v>サイズ</v>
      </c>
      <c r="B672" s="273" t="str">
        <f>IFERROR(__xludf.DUMMYFUNCTION("""COMPUTED_VALUE"""),"フーデッドコート")</f>
        <v>フーデッドコート</v>
      </c>
      <c r="C672" s="273" t="str">
        <f>IFERROR(__xludf.DUMMYFUNCTION("""COMPUTED_VALUE"""),"裾まわり")</f>
        <v>裾まわり</v>
      </c>
      <c r="D672" s="668"/>
      <c r="E672" s="668" t="str">
        <f>IFERROR(__xludf.DUMMYFUNCTION("""COMPUTED_VALUE"""),"パターン限界値から ±8cmの範囲内で調整すること")</f>
        <v>パターン限界値から ±8cmの範囲内で調整すること</v>
      </c>
      <c r="F672" s="342" t="str">
        <f>IFERROR(__xludf.DUMMYFUNCTION("""COMPUTED_VALUE"""),"裾まわり")</f>
        <v>裾まわり</v>
      </c>
      <c r="G672" s="668" t="str">
        <f>IFERROR(__xludf.DUMMYFUNCTION("""COMPUTED_VALUE"""),"裾まわり（パターン限界値から ±8cmの範囲内で調整すること）")</f>
        <v>裾まわり（パターン限界値から ±8cmの範囲内で調整すること）</v>
      </c>
      <c r="H672" s="672" t="str">
        <f>IFERROR(__xludf.DUMMYFUNCTION("""COMPUTED_VALUE"""),"-3")</f>
        <v>-3</v>
      </c>
      <c r="I672" s="669"/>
      <c r="J672" s="669">
        <f>IFERROR(__xludf.DUMMYFUNCTION("""COMPUTED_VALUE"""),10.0)</f>
        <v>10</v>
      </c>
      <c r="K672" s="673">
        <f>IFERROR(__xludf.DUMMYFUNCTION("""COMPUTED_VALUE"""),46003.0)</f>
        <v>46003</v>
      </c>
      <c r="L672" s="670">
        <f>IFERROR(__xludf.DUMMYFUNCTION("""COMPUTED_VALUE"""),46003.0)</f>
        <v>46003</v>
      </c>
      <c r="M672" s="670">
        <f>IFERROR(__xludf.DUMMYFUNCTION("""COMPUTED_VALUE"""),46008.0)</f>
        <v>46008</v>
      </c>
      <c r="N672" s="674">
        <f>IFERROR(__xludf.DUMMYFUNCTION("""COMPUTED_VALUE"""),13200.0)</f>
        <v>13200</v>
      </c>
      <c r="O672" s="593">
        <f>IFERROR(__xludf.DUMMYFUNCTION("""COMPUTED_VALUE"""),12000.0)</f>
        <v>12000</v>
      </c>
      <c r="P672" s="594">
        <f>IFERROR(__xludf.DUMMYFUNCTION("""COMPUTED_VALUE"""),8000.0)</f>
        <v>8000</v>
      </c>
      <c r="Q672" s="183"/>
      <c r="R672" s="544"/>
      <c r="S672" s="544"/>
      <c r="T672" s="544"/>
      <c r="U672" s="544"/>
      <c r="V672" s="544"/>
      <c r="W672" s="544"/>
      <c r="X672" s="544"/>
      <c r="Y672" s="544"/>
      <c r="Z672" s="544"/>
      <c r="AA672" s="544"/>
      <c r="AB672" s="544"/>
      <c r="AC672" s="544"/>
      <c r="AD672" s="544"/>
      <c r="AE672" s="183"/>
      <c r="AF672" s="183"/>
      <c r="AG672" s="183"/>
      <c r="AH672" s="183"/>
      <c r="AI672" s="183"/>
      <c r="AJ672" s="183"/>
      <c r="AK672" s="183"/>
      <c r="AL672" s="183"/>
      <c r="AM672" s="183"/>
    </row>
    <row r="673">
      <c r="A673" s="273" t="str">
        <f>IFERROR(__xludf.DUMMYFUNCTION("""COMPUTED_VALUE"""),"サイズ")</f>
        <v>サイズ</v>
      </c>
      <c r="B673" s="273" t="str">
        <f>IFERROR(__xludf.DUMMYFUNCTION("""COMPUTED_VALUE"""),"フーデッドコート")</f>
        <v>フーデッドコート</v>
      </c>
      <c r="C673" s="273" t="str">
        <f>IFERROR(__xludf.DUMMYFUNCTION("""COMPUTED_VALUE"""),"裾まわり")</f>
        <v>裾まわり</v>
      </c>
      <c r="D673" s="668"/>
      <c r="E673" s="668" t="str">
        <f>IFERROR(__xludf.DUMMYFUNCTION("""COMPUTED_VALUE"""),"パターン限界値から ±8cmの範囲内で調整すること")</f>
        <v>パターン限界値から ±8cmの範囲内で調整すること</v>
      </c>
      <c r="F673" s="342" t="str">
        <f>IFERROR(__xludf.DUMMYFUNCTION("""COMPUTED_VALUE"""),"裾まわり")</f>
        <v>裾まわり</v>
      </c>
      <c r="G673" s="668" t="str">
        <f>IFERROR(__xludf.DUMMYFUNCTION("""COMPUTED_VALUE"""),"裾まわり（パターン限界値から ±8cmの範囲内で調整すること）")</f>
        <v>裾まわり（パターン限界値から ±8cmの範囲内で調整すること）</v>
      </c>
      <c r="H673" s="672" t="str">
        <f>IFERROR(__xludf.DUMMYFUNCTION("""COMPUTED_VALUE"""),"-2")</f>
        <v>-2</v>
      </c>
      <c r="I673" s="669"/>
      <c r="J673" s="669">
        <f>IFERROR(__xludf.DUMMYFUNCTION("""COMPUTED_VALUE"""),10.0)</f>
        <v>10</v>
      </c>
      <c r="K673" s="673">
        <f>IFERROR(__xludf.DUMMYFUNCTION("""COMPUTED_VALUE"""),46003.0)</f>
        <v>46003</v>
      </c>
      <c r="L673" s="670">
        <f>IFERROR(__xludf.DUMMYFUNCTION("""COMPUTED_VALUE"""),46003.0)</f>
        <v>46003</v>
      </c>
      <c r="M673" s="670">
        <f>IFERROR(__xludf.DUMMYFUNCTION("""COMPUTED_VALUE"""),46008.0)</f>
        <v>46008</v>
      </c>
      <c r="N673" s="674">
        <f>IFERROR(__xludf.DUMMYFUNCTION("""COMPUTED_VALUE"""),13200.0)</f>
        <v>13200</v>
      </c>
      <c r="O673" s="593">
        <f>IFERROR(__xludf.DUMMYFUNCTION("""COMPUTED_VALUE"""),12000.0)</f>
        <v>12000</v>
      </c>
      <c r="P673" s="594">
        <f>IFERROR(__xludf.DUMMYFUNCTION("""COMPUTED_VALUE"""),8000.0)</f>
        <v>8000</v>
      </c>
      <c r="Q673" s="183"/>
      <c r="R673" s="544"/>
      <c r="S673" s="544"/>
      <c r="T673" s="544"/>
      <c r="U673" s="544"/>
      <c r="V673" s="544"/>
      <c r="W673" s="544"/>
      <c r="X673" s="544"/>
      <c r="Y673" s="544"/>
      <c r="Z673" s="544"/>
      <c r="AA673" s="544"/>
      <c r="AB673" s="544"/>
      <c r="AC673" s="544"/>
      <c r="AD673" s="544"/>
      <c r="AE673" s="183"/>
      <c r="AF673" s="183"/>
      <c r="AG673" s="183"/>
      <c r="AH673" s="183"/>
      <c r="AI673" s="183"/>
      <c r="AJ673" s="183"/>
      <c r="AK673" s="183"/>
      <c r="AL673" s="183"/>
      <c r="AM673" s="183"/>
    </row>
    <row r="674">
      <c r="A674" s="273" t="str">
        <f>IFERROR(__xludf.DUMMYFUNCTION("""COMPUTED_VALUE"""),"サイズ")</f>
        <v>サイズ</v>
      </c>
      <c r="B674" s="273" t="str">
        <f>IFERROR(__xludf.DUMMYFUNCTION("""COMPUTED_VALUE"""),"フーデッドコート")</f>
        <v>フーデッドコート</v>
      </c>
      <c r="C674" s="273" t="str">
        <f>IFERROR(__xludf.DUMMYFUNCTION("""COMPUTED_VALUE"""),"裾まわり")</f>
        <v>裾まわり</v>
      </c>
      <c r="D674" s="668"/>
      <c r="E674" s="668" t="str">
        <f>IFERROR(__xludf.DUMMYFUNCTION("""COMPUTED_VALUE"""),"パターン限界値から ±8cmの範囲内で調整すること")</f>
        <v>パターン限界値から ±8cmの範囲内で調整すること</v>
      </c>
      <c r="F674" s="342" t="str">
        <f>IFERROR(__xludf.DUMMYFUNCTION("""COMPUTED_VALUE"""),"裾まわり")</f>
        <v>裾まわり</v>
      </c>
      <c r="G674" s="668" t="str">
        <f>IFERROR(__xludf.DUMMYFUNCTION("""COMPUTED_VALUE"""),"裾まわり（パターン限界値から ±8cmの範囲内で調整すること）")</f>
        <v>裾まわり（パターン限界値から ±8cmの範囲内で調整すること）</v>
      </c>
      <c r="H674" s="672" t="str">
        <f>IFERROR(__xludf.DUMMYFUNCTION("""COMPUTED_VALUE"""),"-1")</f>
        <v>-1</v>
      </c>
      <c r="I674" s="669"/>
      <c r="J674" s="669">
        <f>IFERROR(__xludf.DUMMYFUNCTION("""COMPUTED_VALUE"""),10.0)</f>
        <v>10</v>
      </c>
      <c r="K674" s="673">
        <f>IFERROR(__xludf.DUMMYFUNCTION("""COMPUTED_VALUE"""),46003.0)</f>
        <v>46003</v>
      </c>
      <c r="L674" s="670">
        <f>IFERROR(__xludf.DUMMYFUNCTION("""COMPUTED_VALUE"""),46003.0)</f>
        <v>46003</v>
      </c>
      <c r="M674" s="670">
        <f>IFERROR(__xludf.DUMMYFUNCTION("""COMPUTED_VALUE"""),46008.0)</f>
        <v>46008</v>
      </c>
      <c r="N674" s="674">
        <f>IFERROR(__xludf.DUMMYFUNCTION("""COMPUTED_VALUE"""),13200.0)</f>
        <v>13200</v>
      </c>
      <c r="O674" s="593">
        <f>IFERROR(__xludf.DUMMYFUNCTION("""COMPUTED_VALUE"""),12000.0)</f>
        <v>12000</v>
      </c>
      <c r="P674" s="594">
        <f>IFERROR(__xludf.DUMMYFUNCTION("""COMPUTED_VALUE"""),8000.0)</f>
        <v>8000</v>
      </c>
      <c r="Q674" s="183"/>
      <c r="R674" s="544"/>
      <c r="S674" s="544"/>
      <c r="T674" s="544"/>
      <c r="U674" s="544"/>
      <c r="V674" s="544"/>
      <c r="W674" s="544"/>
      <c r="X674" s="544"/>
      <c r="Y674" s="544"/>
      <c r="Z674" s="544"/>
      <c r="AA674" s="544"/>
      <c r="AB674" s="544"/>
      <c r="AC674" s="544"/>
      <c r="AD674" s="544"/>
      <c r="AE674" s="183"/>
      <c r="AF674" s="183"/>
      <c r="AG674" s="183"/>
      <c r="AH674" s="183"/>
      <c r="AI674" s="183"/>
      <c r="AJ674" s="183"/>
      <c r="AK674" s="183"/>
      <c r="AL674" s="183"/>
      <c r="AM674" s="183"/>
    </row>
    <row r="675">
      <c r="A675" s="273" t="str">
        <f>IFERROR(__xludf.DUMMYFUNCTION("""COMPUTED_VALUE"""),"サイズ")</f>
        <v>サイズ</v>
      </c>
      <c r="B675" s="273" t="str">
        <f>IFERROR(__xludf.DUMMYFUNCTION("""COMPUTED_VALUE"""),"フーデッドコート")</f>
        <v>フーデッドコート</v>
      </c>
      <c r="C675" s="273" t="str">
        <f>IFERROR(__xludf.DUMMYFUNCTION("""COMPUTED_VALUE"""),"裾まわり")</f>
        <v>裾まわり</v>
      </c>
      <c r="D675" s="668"/>
      <c r="E675" s="668" t="str">
        <f>IFERROR(__xludf.DUMMYFUNCTION("""COMPUTED_VALUE"""),"パターン限界値から ±8cmの範囲内で調整すること")</f>
        <v>パターン限界値から ±8cmの範囲内で調整すること</v>
      </c>
      <c r="F675" s="342" t="str">
        <f>IFERROR(__xludf.DUMMYFUNCTION("""COMPUTED_VALUE"""),"裾まわり")</f>
        <v>裾まわり</v>
      </c>
      <c r="G675" s="668" t="str">
        <f>IFERROR(__xludf.DUMMYFUNCTION("""COMPUTED_VALUE"""),"裾まわり（パターン限界値から ±8cmの範囲内で調整すること）")</f>
        <v>裾まわり（パターン限界値から ±8cmの範囲内で調整すること）</v>
      </c>
      <c r="H675" s="672" t="str">
        <f>IFERROR(__xludf.DUMMYFUNCTION("""COMPUTED_VALUE"""),"-10")</f>
        <v>-10</v>
      </c>
      <c r="I675" s="669"/>
      <c r="J675" s="669">
        <f>IFERROR(__xludf.DUMMYFUNCTION("""COMPUTED_VALUE"""),10.0)</f>
        <v>10</v>
      </c>
      <c r="K675" s="673">
        <f>IFERROR(__xludf.DUMMYFUNCTION("""COMPUTED_VALUE"""),46003.0)</f>
        <v>46003</v>
      </c>
      <c r="L675" s="670">
        <f>IFERROR(__xludf.DUMMYFUNCTION("""COMPUTED_VALUE"""),46003.0)</f>
        <v>46003</v>
      </c>
      <c r="M675" s="670">
        <f>IFERROR(__xludf.DUMMYFUNCTION("""COMPUTED_VALUE"""),46008.0)</f>
        <v>46008</v>
      </c>
      <c r="N675" s="674">
        <f>IFERROR(__xludf.DUMMYFUNCTION("""COMPUTED_VALUE"""),13200.0)</f>
        <v>13200</v>
      </c>
      <c r="O675" s="593">
        <f>IFERROR(__xludf.DUMMYFUNCTION("""COMPUTED_VALUE"""),12000.0)</f>
        <v>12000</v>
      </c>
      <c r="P675" s="594">
        <f>IFERROR(__xludf.DUMMYFUNCTION("""COMPUTED_VALUE"""),8000.0)</f>
        <v>8000</v>
      </c>
      <c r="Q675" s="183"/>
      <c r="R675" s="544"/>
      <c r="S675" s="544"/>
      <c r="T675" s="544"/>
      <c r="U675" s="544"/>
      <c r="V675" s="544"/>
      <c r="W675" s="544"/>
      <c r="X675" s="544"/>
      <c r="Y675" s="544"/>
      <c r="Z675" s="544"/>
      <c r="AA675" s="544"/>
      <c r="AB675" s="544"/>
      <c r="AC675" s="544"/>
      <c r="AD675" s="544"/>
      <c r="AE675" s="183"/>
      <c r="AF675" s="183"/>
      <c r="AG675" s="183"/>
      <c r="AH675" s="183"/>
      <c r="AI675" s="183"/>
      <c r="AJ675" s="183"/>
      <c r="AK675" s="183"/>
      <c r="AL675" s="183"/>
      <c r="AM675" s="183"/>
    </row>
    <row r="676">
      <c r="A676" s="273" t="str">
        <f>IFERROR(__xludf.DUMMYFUNCTION("""COMPUTED_VALUE"""),"サイズ")</f>
        <v>サイズ</v>
      </c>
      <c r="B676" s="273" t="str">
        <f>IFERROR(__xludf.DUMMYFUNCTION("""COMPUTED_VALUE"""),"ベスト")</f>
        <v>ベスト</v>
      </c>
      <c r="C676" s="675" t="str">
        <f>IFERROR(__xludf.DUMMYFUNCTION("""COMPUTED_VALUE"""),"仕上げプレス")</f>
        <v>仕上げプレス</v>
      </c>
      <c r="D676" s="668"/>
      <c r="E676" s="668"/>
      <c r="F676" s="607" t="str">
        <f>IFERROR(__xludf.DUMMYFUNCTION("""COMPUTED_VALUE"""),"仕上げプレス")</f>
        <v>仕上げプレス</v>
      </c>
      <c r="G676" s="676" t="str">
        <f>IFERROR(__xludf.DUMMYFUNCTION("""COMPUTED_VALUE"""),"仕上げプレス")</f>
        <v>仕上げプレス</v>
      </c>
      <c r="H676" s="669"/>
      <c r="I676" s="669" t="str">
        <f>IFERROR(__xludf.DUMMYFUNCTION("""COMPUTED_VALUE"""),"店舗/CS")</f>
        <v>店舗/CS</v>
      </c>
      <c r="J676" s="669"/>
      <c r="K676" s="669"/>
      <c r="L676" s="670"/>
      <c r="M676" s="670"/>
      <c r="N676" s="674">
        <f>IFERROR(__xludf.DUMMYFUNCTION("""COMPUTED_VALUE"""),250.0)</f>
        <v>250</v>
      </c>
      <c r="O676" s="593">
        <f>IFERROR(__xludf.DUMMYFUNCTION("""COMPUTED_VALUE"""),227.0)</f>
        <v>227</v>
      </c>
      <c r="P676" s="594">
        <f>IFERROR(__xludf.DUMMYFUNCTION("""COMPUTED_VALUE"""),150.0)</f>
        <v>150</v>
      </c>
      <c r="Q676" s="183"/>
      <c r="R676" s="544"/>
      <c r="S676" s="544"/>
      <c r="T676" s="544"/>
      <c r="U676" s="544"/>
      <c r="V676" s="544"/>
      <c r="W676" s="544"/>
      <c r="X676" s="544"/>
      <c r="Y676" s="544"/>
      <c r="Z676" s="544"/>
      <c r="AA676" s="544"/>
      <c r="AB676" s="544"/>
      <c r="AC676" s="544"/>
      <c r="AD676" s="544"/>
      <c r="AE676" s="183"/>
      <c r="AF676" s="183"/>
      <c r="AG676" s="183"/>
      <c r="AH676" s="183"/>
      <c r="AI676" s="183"/>
      <c r="AJ676" s="183"/>
      <c r="AK676" s="183"/>
      <c r="AL676" s="183"/>
      <c r="AM676" s="183"/>
    </row>
    <row r="677">
      <c r="A677" s="273" t="str">
        <f>IFERROR(__xludf.DUMMYFUNCTION("""COMPUTED_VALUE"""),"縫製")</f>
        <v>縫製</v>
      </c>
      <c r="B677" s="273" t="str">
        <f>IFERROR(__xludf.DUMMYFUNCTION("""COMPUTED_VALUE"""),"ベスト")</f>
        <v>ベスト</v>
      </c>
      <c r="C677" s="273" t="str">
        <f>IFERROR(__xludf.DUMMYFUNCTION("""COMPUTED_VALUE"""),"仕上げプレス")</f>
        <v>仕上げプレス</v>
      </c>
      <c r="D677" s="668"/>
      <c r="E677" s="668"/>
      <c r="F677" s="342" t="str">
        <f>IFERROR(__xludf.DUMMYFUNCTION("""COMPUTED_VALUE"""),"仕上げプレス")</f>
        <v>仕上げプレス</v>
      </c>
      <c r="G677" s="668" t="str">
        <f>IFERROR(__xludf.DUMMYFUNCTION("""COMPUTED_VALUE"""),"仕上げプレス")</f>
        <v>仕上げプレス</v>
      </c>
      <c r="H677" s="669"/>
      <c r="I677" s="669" t="str">
        <f>IFERROR(__xludf.DUMMYFUNCTION("""COMPUTED_VALUE"""),"店舗/CS")</f>
        <v>店舗/CS</v>
      </c>
      <c r="J677" s="669"/>
      <c r="K677" s="669"/>
      <c r="L677" s="670"/>
      <c r="M677" s="670"/>
      <c r="N677" s="674">
        <f>IFERROR(__xludf.DUMMYFUNCTION("""COMPUTED_VALUE"""),550.0)</f>
        <v>550</v>
      </c>
      <c r="O677" s="593">
        <f>IFERROR(__xludf.DUMMYFUNCTION("""COMPUTED_VALUE"""),500.0)</f>
        <v>500</v>
      </c>
      <c r="P677" s="594">
        <f>IFERROR(__xludf.DUMMYFUNCTION("""COMPUTED_VALUE"""),150.0)</f>
        <v>150</v>
      </c>
      <c r="Q677" s="183"/>
      <c r="R677" s="544"/>
      <c r="S677" s="544"/>
      <c r="T677" s="544"/>
      <c r="U677" s="544"/>
      <c r="V677" s="544"/>
      <c r="W677" s="544"/>
      <c r="X677" s="544"/>
      <c r="Y677" s="544"/>
      <c r="Z677" s="544"/>
      <c r="AA677" s="544"/>
      <c r="AB677" s="544"/>
      <c r="AC677" s="544"/>
      <c r="AD677" s="544"/>
      <c r="AE677" s="183"/>
      <c r="AF677" s="183"/>
      <c r="AG677" s="183"/>
      <c r="AH677" s="183"/>
      <c r="AI677" s="183"/>
      <c r="AJ677" s="183"/>
      <c r="AK677" s="183"/>
      <c r="AL677" s="183"/>
      <c r="AM677" s="183"/>
    </row>
    <row r="678">
      <c r="A678" s="273" t="str">
        <f>IFERROR(__xludf.DUMMYFUNCTION("""COMPUTED_VALUE"""),"サイズ")</f>
        <v>サイズ</v>
      </c>
      <c r="B678" s="273" t="str">
        <f>IFERROR(__xludf.DUMMYFUNCTION("""COMPUTED_VALUE"""),"ベスト")</f>
        <v>ベスト</v>
      </c>
      <c r="C678" s="273" t="str">
        <f>IFERROR(__xludf.DUMMYFUNCTION("""COMPUTED_VALUE"""),"バスト")</f>
        <v>バスト</v>
      </c>
      <c r="D678" s="668"/>
      <c r="E678" s="668"/>
      <c r="F678" s="342" t="str">
        <f>IFERROR(__xludf.DUMMYFUNCTION("""COMPUTED_VALUE"""),"バスト")</f>
        <v>バスト</v>
      </c>
      <c r="G678" s="668" t="str">
        <f>IFERROR(__xludf.DUMMYFUNCTION("""COMPUTED_VALUE"""),"バスト")</f>
        <v>バスト</v>
      </c>
      <c r="H678" s="672" t="str">
        <f>IFERROR(__xludf.DUMMYFUNCTION("""COMPUTED_VALUE"""),"-4")</f>
        <v>-4</v>
      </c>
      <c r="I678" s="669"/>
      <c r="J678" s="669">
        <f>IFERROR(__xludf.DUMMYFUNCTION("""COMPUTED_VALUE"""),7.0)</f>
        <v>7</v>
      </c>
      <c r="K678" s="673">
        <f>IFERROR(__xludf.DUMMYFUNCTION("""COMPUTED_VALUE"""),46000.0)</f>
        <v>46000</v>
      </c>
      <c r="L678" s="670">
        <f>IFERROR(__xludf.DUMMYFUNCTION("""COMPUTED_VALUE"""),46003.0)</f>
        <v>46003</v>
      </c>
      <c r="M678" s="670">
        <f>IFERROR(__xludf.DUMMYFUNCTION("""COMPUTED_VALUE"""),46008.0)</f>
        <v>46008</v>
      </c>
      <c r="N678" s="674">
        <f>IFERROR(__xludf.DUMMYFUNCTION("""COMPUTED_VALUE"""),5780.0)</f>
        <v>5780</v>
      </c>
      <c r="O678" s="593">
        <f>IFERROR(__xludf.DUMMYFUNCTION("""COMPUTED_VALUE"""),5250.0)</f>
        <v>5250</v>
      </c>
      <c r="P678" s="594">
        <f>IFERROR(__xludf.DUMMYFUNCTION("""COMPUTED_VALUE"""),3500.0)</f>
        <v>3500</v>
      </c>
      <c r="Q678" s="183"/>
      <c r="R678" s="544"/>
      <c r="S678" s="544"/>
      <c r="T678" s="544"/>
      <c r="U678" s="544"/>
      <c r="V678" s="544"/>
      <c r="W678" s="544"/>
      <c r="X678" s="544"/>
      <c r="Y678" s="544"/>
      <c r="Z678" s="544"/>
      <c r="AA678" s="544"/>
      <c r="AB678" s="544"/>
      <c r="AC678" s="544"/>
      <c r="AD678" s="544"/>
      <c r="AE678" s="183"/>
      <c r="AF678" s="183"/>
      <c r="AG678" s="183"/>
      <c r="AH678" s="183"/>
      <c r="AI678" s="183"/>
      <c r="AJ678" s="183"/>
      <c r="AK678" s="183"/>
      <c r="AL678" s="183"/>
      <c r="AM678" s="183"/>
    </row>
    <row r="679">
      <c r="A679" s="273" t="str">
        <f>IFERROR(__xludf.DUMMYFUNCTION("""COMPUTED_VALUE"""),"サイズ")</f>
        <v>サイズ</v>
      </c>
      <c r="B679" s="273" t="str">
        <f>IFERROR(__xludf.DUMMYFUNCTION("""COMPUTED_VALUE"""),"ベスト")</f>
        <v>ベスト</v>
      </c>
      <c r="C679" s="273" t="str">
        <f>IFERROR(__xludf.DUMMYFUNCTION("""COMPUTED_VALUE"""),"バスト")</f>
        <v>バスト</v>
      </c>
      <c r="D679" s="668"/>
      <c r="E679" s="668"/>
      <c r="F679" s="342" t="str">
        <f>IFERROR(__xludf.DUMMYFUNCTION("""COMPUTED_VALUE"""),"バスト")</f>
        <v>バスト</v>
      </c>
      <c r="G679" s="668" t="str">
        <f>IFERROR(__xludf.DUMMYFUNCTION("""COMPUTED_VALUE"""),"バスト")</f>
        <v>バスト</v>
      </c>
      <c r="H679" s="672" t="str">
        <f>IFERROR(__xludf.DUMMYFUNCTION("""COMPUTED_VALUE"""),"-3")</f>
        <v>-3</v>
      </c>
      <c r="I679" s="669"/>
      <c r="J679" s="669">
        <f>IFERROR(__xludf.DUMMYFUNCTION("""COMPUTED_VALUE"""),7.0)</f>
        <v>7</v>
      </c>
      <c r="K679" s="673">
        <f>IFERROR(__xludf.DUMMYFUNCTION("""COMPUTED_VALUE"""),46000.0)</f>
        <v>46000</v>
      </c>
      <c r="L679" s="670">
        <f>IFERROR(__xludf.DUMMYFUNCTION("""COMPUTED_VALUE"""),46003.0)</f>
        <v>46003</v>
      </c>
      <c r="M679" s="670">
        <f>IFERROR(__xludf.DUMMYFUNCTION("""COMPUTED_VALUE"""),46008.0)</f>
        <v>46008</v>
      </c>
      <c r="N679" s="674">
        <f>IFERROR(__xludf.DUMMYFUNCTION("""COMPUTED_VALUE"""),5780.0)</f>
        <v>5780</v>
      </c>
      <c r="O679" s="593">
        <f>IFERROR(__xludf.DUMMYFUNCTION("""COMPUTED_VALUE"""),5250.0)</f>
        <v>5250</v>
      </c>
      <c r="P679" s="594">
        <f>IFERROR(__xludf.DUMMYFUNCTION("""COMPUTED_VALUE"""),3500.0)</f>
        <v>3500</v>
      </c>
      <c r="Q679" s="183"/>
      <c r="R679" s="544"/>
      <c r="S679" s="544"/>
      <c r="T679" s="544"/>
      <c r="U679" s="544"/>
      <c r="V679" s="544"/>
      <c r="W679" s="544"/>
      <c r="X679" s="544"/>
      <c r="Y679" s="544"/>
      <c r="Z679" s="544"/>
      <c r="AA679" s="544"/>
      <c r="AB679" s="544"/>
      <c r="AC679" s="544"/>
      <c r="AD679" s="544"/>
      <c r="AE679" s="183"/>
      <c r="AF679" s="183"/>
      <c r="AG679" s="183"/>
      <c r="AH679" s="183"/>
      <c r="AI679" s="183"/>
      <c r="AJ679" s="183"/>
      <c r="AK679" s="183"/>
      <c r="AL679" s="183"/>
      <c r="AM679" s="183"/>
    </row>
    <row r="680">
      <c r="A680" s="273" t="str">
        <f>IFERROR(__xludf.DUMMYFUNCTION("""COMPUTED_VALUE"""),"サイズ")</f>
        <v>サイズ</v>
      </c>
      <c r="B680" s="273" t="str">
        <f>IFERROR(__xludf.DUMMYFUNCTION("""COMPUTED_VALUE"""),"ベスト")</f>
        <v>ベスト</v>
      </c>
      <c r="C680" s="273" t="str">
        <f>IFERROR(__xludf.DUMMYFUNCTION("""COMPUTED_VALUE"""),"バスト")</f>
        <v>バスト</v>
      </c>
      <c r="D680" s="668"/>
      <c r="E680" s="668"/>
      <c r="F680" s="342" t="str">
        <f>IFERROR(__xludf.DUMMYFUNCTION("""COMPUTED_VALUE"""),"バスト")</f>
        <v>バスト</v>
      </c>
      <c r="G680" s="668" t="str">
        <f>IFERROR(__xludf.DUMMYFUNCTION("""COMPUTED_VALUE"""),"バスト")</f>
        <v>バスト</v>
      </c>
      <c r="H680" s="672" t="str">
        <f>IFERROR(__xludf.DUMMYFUNCTION("""COMPUTED_VALUE"""),"-2")</f>
        <v>-2</v>
      </c>
      <c r="I680" s="669"/>
      <c r="J680" s="669">
        <f>IFERROR(__xludf.DUMMYFUNCTION("""COMPUTED_VALUE"""),7.0)</f>
        <v>7</v>
      </c>
      <c r="K680" s="673">
        <f>IFERROR(__xludf.DUMMYFUNCTION("""COMPUTED_VALUE"""),46000.0)</f>
        <v>46000</v>
      </c>
      <c r="L680" s="670">
        <f>IFERROR(__xludf.DUMMYFUNCTION("""COMPUTED_VALUE"""),46003.0)</f>
        <v>46003</v>
      </c>
      <c r="M680" s="670">
        <f>IFERROR(__xludf.DUMMYFUNCTION("""COMPUTED_VALUE"""),46008.0)</f>
        <v>46008</v>
      </c>
      <c r="N680" s="674">
        <f>IFERROR(__xludf.DUMMYFUNCTION("""COMPUTED_VALUE"""),5780.0)</f>
        <v>5780</v>
      </c>
      <c r="O680" s="593">
        <f>IFERROR(__xludf.DUMMYFUNCTION("""COMPUTED_VALUE"""),5250.0)</f>
        <v>5250</v>
      </c>
      <c r="P680" s="594">
        <f>IFERROR(__xludf.DUMMYFUNCTION("""COMPUTED_VALUE"""),3500.0)</f>
        <v>3500</v>
      </c>
      <c r="Q680" s="183"/>
      <c r="R680" s="544"/>
      <c r="S680" s="544"/>
      <c r="T680" s="544"/>
      <c r="U680" s="544"/>
      <c r="V680" s="544"/>
      <c r="W680" s="544"/>
      <c r="X680" s="544"/>
      <c r="Y680" s="544"/>
      <c r="Z680" s="544"/>
      <c r="AA680" s="544"/>
      <c r="AB680" s="544"/>
      <c r="AC680" s="544"/>
      <c r="AD680" s="544"/>
      <c r="AE680" s="183"/>
      <c r="AF680" s="183"/>
      <c r="AG680" s="183"/>
      <c r="AH680" s="183"/>
      <c r="AI680" s="183"/>
      <c r="AJ680" s="183"/>
      <c r="AK680" s="183"/>
      <c r="AL680" s="183"/>
      <c r="AM680" s="183"/>
    </row>
    <row r="681">
      <c r="A681" s="273" t="str">
        <f>IFERROR(__xludf.DUMMYFUNCTION("""COMPUTED_VALUE"""),"サイズ")</f>
        <v>サイズ</v>
      </c>
      <c r="B681" s="273" t="str">
        <f>IFERROR(__xludf.DUMMYFUNCTION("""COMPUTED_VALUE"""),"ベスト")</f>
        <v>ベスト</v>
      </c>
      <c r="C681" s="273" t="str">
        <f>IFERROR(__xludf.DUMMYFUNCTION("""COMPUTED_VALUE"""),"バスト")</f>
        <v>バスト</v>
      </c>
      <c r="D681" s="668"/>
      <c r="E681" s="668"/>
      <c r="F681" s="342" t="str">
        <f>IFERROR(__xludf.DUMMYFUNCTION("""COMPUTED_VALUE"""),"バスト")</f>
        <v>バスト</v>
      </c>
      <c r="G681" s="668" t="str">
        <f>IFERROR(__xludf.DUMMYFUNCTION("""COMPUTED_VALUE"""),"バスト")</f>
        <v>バスト</v>
      </c>
      <c r="H681" s="672" t="str">
        <f>IFERROR(__xludf.DUMMYFUNCTION("""COMPUTED_VALUE"""),"-1")</f>
        <v>-1</v>
      </c>
      <c r="I681" s="669"/>
      <c r="J681" s="669">
        <f>IFERROR(__xludf.DUMMYFUNCTION("""COMPUTED_VALUE"""),7.0)</f>
        <v>7</v>
      </c>
      <c r="K681" s="673">
        <f>IFERROR(__xludf.DUMMYFUNCTION("""COMPUTED_VALUE"""),46000.0)</f>
        <v>46000</v>
      </c>
      <c r="L681" s="670">
        <f>IFERROR(__xludf.DUMMYFUNCTION("""COMPUTED_VALUE"""),46003.0)</f>
        <v>46003</v>
      </c>
      <c r="M681" s="670">
        <f>IFERROR(__xludf.DUMMYFUNCTION("""COMPUTED_VALUE"""),46008.0)</f>
        <v>46008</v>
      </c>
      <c r="N681" s="674">
        <f>IFERROR(__xludf.DUMMYFUNCTION("""COMPUTED_VALUE"""),5780.0)</f>
        <v>5780</v>
      </c>
      <c r="O681" s="593">
        <f>IFERROR(__xludf.DUMMYFUNCTION("""COMPUTED_VALUE"""),5250.0)</f>
        <v>5250</v>
      </c>
      <c r="P681" s="594">
        <f>IFERROR(__xludf.DUMMYFUNCTION("""COMPUTED_VALUE"""),3500.0)</f>
        <v>3500</v>
      </c>
      <c r="Q681" s="183"/>
      <c r="R681" s="544"/>
      <c r="S681" s="544"/>
      <c r="T681" s="544"/>
      <c r="U681" s="544"/>
      <c r="V681" s="544"/>
      <c r="W681" s="544"/>
      <c r="X681" s="544"/>
      <c r="Y681" s="544"/>
      <c r="Z681" s="544"/>
      <c r="AA681" s="544"/>
      <c r="AB681" s="544"/>
      <c r="AC681" s="544"/>
      <c r="AD681" s="544"/>
      <c r="AE681" s="183"/>
      <c r="AF681" s="183"/>
      <c r="AG681" s="183"/>
      <c r="AH681" s="183"/>
      <c r="AI681" s="183"/>
      <c r="AJ681" s="183"/>
      <c r="AK681" s="183"/>
      <c r="AL681" s="183"/>
      <c r="AM681" s="183"/>
    </row>
    <row r="682">
      <c r="A682" s="273" t="str">
        <f>IFERROR(__xludf.DUMMYFUNCTION("""COMPUTED_VALUE"""),"サイズ")</f>
        <v>サイズ</v>
      </c>
      <c r="B682" s="273" t="str">
        <f>IFERROR(__xludf.DUMMYFUNCTION("""COMPUTED_VALUE"""),"ベスト")</f>
        <v>ベスト</v>
      </c>
      <c r="C682" s="273" t="str">
        <f>IFERROR(__xludf.DUMMYFUNCTION("""COMPUTED_VALUE"""),"バスト")</f>
        <v>バスト</v>
      </c>
      <c r="D682" s="668"/>
      <c r="E682" s="668"/>
      <c r="F682" s="342" t="str">
        <f>IFERROR(__xludf.DUMMYFUNCTION("""COMPUTED_VALUE"""),"バスト")</f>
        <v>バスト</v>
      </c>
      <c r="G682" s="668" t="str">
        <f>IFERROR(__xludf.DUMMYFUNCTION("""COMPUTED_VALUE"""),"バスト")</f>
        <v>バスト</v>
      </c>
      <c r="H682" s="672" t="str">
        <f>IFERROR(__xludf.DUMMYFUNCTION("""COMPUTED_VALUE"""),"1")</f>
        <v>1</v>
      </c>
      <c r="I682" s="669"/>
      <c r="J682" s="669">
        <f>IFERROR(__xludf.DUMMYFUNCTION("""COMPUTED_VALUE"""),7.0)</f>
        <v>7</v>
      </c>
      <c r="K682" s="673">
        <f>IFERROR(__xludf.DUMMYFUNCTION("""COMPUTED_VALUE"""),46000.0)</f>
        <v>46000</v>
      </c>
      <c r="L682" s="670">
        <f>IFERROR(__xludf.DUMMYFUNCTION("""COMPUTED_VALUE"""),46003.0)</f>
        <v>46003</v>
      </c>
      <c r="M682" s="670">
        <f>IFERROR(__xludf.DUMMYFUNCTION("""COMPUTED_VALUE"""),46008.0)</f>
        <v>46008</v>
      </c>
      <c r="N682" s="674">
        <f>IFERROR(__xludf.DUMMYFUNCTION("""COMPUTED_VALUE"""),5780.0)</f>
        <v>5780</v>
      </c>
      <c r="O682" s="593">
        <f>IFERROR(__xludf.DUMMYFUNCTION("""COMPUTED_VALUE"""),5250.0)</f>
        <v>5250</v>
      </c>
      <c r="P682" s="594">
        <f>IFERROR(__xludf.DUMMYFUNCTION("""COMPUTED_VALUE"""),3500.0)</f>
        <v>3500</v>
      </c>
      <c r="Q682" s="183"/>
      <c r="R682" s="544"/>
      <c r="S682" s="544"/>
      <c r="T682" s="544"/>
      <c r="U682" s="544"/>
      <c r="V682" s="544"/>
      <c r="W682" s="544"/>
      <c r="X682" s="544"/>
      <c r="Y682" s="544"/>
      <c r="Z682" s="544"/>
      <c r="AA682" s="544"/>
      <c r="AB682" s="544"/>
      <c r="AC682" s="544"/>
      <c r="AD682" s="544"/>
      <c r="AE682" s="183"/>
      <c r="AF682" s="183"/>
      <c r="AG682" s="183"/>
      <c r="AH682" s="183"/>
      <c r="AI682" s="183"/>
      <c r="AJ682" s="183"/>
      <c r="AK682" s="183"/>
      <c r="AL682" s="183"/>
      <c r="AM682" s="183"/>
    </row>
    <row r="683">
      <c r="A683" s="273" t="str">
        <f>IFERROR(__xludf.DUMMYFUNCTION("""COMPUTED_VALUE"""),"サイズ")</f>
        <v>サイズ</v>
      </c>
      <c r="B683" s="273" t="str">
        <f>IFERROR(__xludf.DUMMYFUNCTION("""COMPUTED_VALUE"""),"ベスト")</f>
        <v>ベスト</v>
      </c>
      <c r="C683" s="273" t="str">
        <f>IFERROR(__xludf.DUMMYFUNCTION("""COMPUTED_VALUE"""),"ウエスト")</f>
        <v>ウエスト</v>
      </c>
      <c r="D683" s="668"/>
      <c r="E683" s="668"/>
      <c r="F683" s="342" t="str">
        <f>IFERROR(__xludf.DUMMYFUNCTION("""COMPUTED_VALUE"""),"ウエスト")</f>
        <v>ウエスト</v>
      </c>
      <c r="G683" s="668" t="str">
        <f>IFERROR(__xludf.DUMMYFUNCTION("""COMPUTED_VALUE"""),"ウエスト")</f>
        <v>ウエスト</v>
      </c>
      <c r="H683" s="672" t="str">
        <f>IFERROR(__xludf.DUMMYFUNCTION("""COMPUTED_VALUE"""),"-3")</f>
        <v>-3</v>
      </c>
      <c r="I683" s="669"/>
      <c r="J683" s="669">
        <f>IFERROR(__xludf.DUMMYFUNCTION("""COMPUTED_VALUE"""),7.0)</f>
        <v>7</v>
      </c>
      <c r="K683" s="673">
        <f>IFERROR(__xludf.DUMMYFUNCTION("""COMPUTED_VALUE"""),46000.0)</f>
        <v>46000</v>
      </c>
      <c r="L683" s="670">
        <f>IFERROR(__xludf.DUMMYFUNCTION("""COMPUTED_VALUE"""),46003.0)</f>
        <v>46003</v>
      </c>
      <c r="M683" s="670">
        <f>IFERROR(__xludf.DUMMYFUNCTION("""COMPUTED_VALUE"""),46008.0)</f>
        <v>46008</v>
      </c>
      <c r="N683" s="674">
        <f>IFERROR(__xludf.DUMMYFUNCTION("""COMPUTED_VALUE"""),4950.0)</f>
        <v>4950</v>
      </c>
      <c r="O683" s="593">
        <f>IFERROR(__xludf.DUMMYFUNCTION("""COMPUTED_VALUE"""),4500.0)</f>
        <v>4500</v>
      </c>
      <c r="P683" s="594">
        <f>IFERROR(__xludf.DUMMYFUNCTION("""COMPUTED_VALUE"""),3000.0)</f>
        <v>3000</v>
      </c>
      <c r="Q683" s="183"/>
      <c r="R683" s="544"/>
      <c r="S683" s="544"/>
      <c r="T683" s="544"/>
      <c r="U683" s="544"/>
      <c r="V683" s="544"/>
      <c r="W683" s="544"/>
      <c r="X683" s="544"/>
      <c r="Y683" s="544"/>
      <c r="Z683" s="544"/>
      <c r="AA683" s="544"/>
      <c r="AB683" s="544"/>
      <c r="AC683" s="544"/>
      <c r="AD683" s="544"/>
      <c r="AE683" s="183"/>
      <c r="AF683" s="183"/>
      <c r="AG683" s="183"/>
      <c r="AH683" s="183"/>
      <c r="AI683" s="183"/>
      <c r="AJ683" s="183"/>
      <c r="AK683" s="183"/>
      <c r="AL683" s="183"/>
      <c r="AM683" s="183"/>
    </row>
    <row r="684">
      <c r="A684" s="273" t="str">
        <f>IFERROR(__xludf.DUMMYFUNCTION("""COMPUTED_VALUE"""),"サイズ")</f>
        <v>サイズ</v>
      </c>
      <c r="B684" s="273" t="str">
        <f>IFERROR(__xludf.DUMMYFUNCTION("""COMPUTED_VALUE"""),"ベスト")</f>
        <v>ベスト</v>
      </c>
      <c r="C684" s="273" t="str">
        <f>IFERROR(__xludf.DUMMYFUNCTION("""COMPUTED_VALUE"""),"ウエスト")</f>
        <v>ウエスト</v>
      </c>
      <c r="D684" s="668"/>
      <c r="E684" s="668"/>
      <c r="F684" s="342" t="str">
        <f>IFERROR(__xludf.DUMMYFUNCTION("""COMPUTED_VALUE"""),"ウエスト")</f>
        <v>ウエスト</v>
      </c>
      <c r="G684" s="668" t="str">
        <f>IFERROR(__xludf.DUMMYFUNCTION("""COMPUTED_VALUE"""),"ウエスト")</f>
        <v>ウエスト</v>
      </c>
      <c r="H684" s="672" t="str">
        <f>IFERROR(__xludf.DUMMYFUNCTION("""COMPUTED_VALUE"""),"-2")</f>
        <v>-2</v>
      </c>
      <c r="I684" s="669"/>
      <c r="J684" s="669">
        <f>IFERROR(__xludf.DUMMYFUNCTION("""COMPUTED_VALUE"""),7.0)</f>
        <v>7</v>
      </c>
      <c r="K684" s="673">
        <f>IFERROR(__xludf.DUMMYFUNCTION("""COMPUTED_VALUE"""),46000.0)</f>
        <v>46000</v>
      </c>
      <c r="L684" s="670">
        <f>IFERROR(__xludf.DUMMYFUNCTION("""COMPUTED_VALUE"""),46003.0)</f>
        <v>46003</v>
      </c>
      <c r="M684" s="670">
        <f>IFERROR(__xludf.DUMMYFUNCTION("""COMPUTED_VALUE"""),46008.0)</f>
        <v>46008</v>
      </c>
      <c r="N684" s="674">
        <f>IFERROR(__xludf.DUMMYFUNCTION("""COMPUTED_VALUE"""),4950.0)</f>
        <v>4950</v>
      </c>
      <c r="O684" s="593">
        <f>IFERROR(__xludf.DUMMYFUNCTION("""COMPUTED_VALUE"""),4500.0)</f>
        <v>4500</v>
      </c>
      <c r="P684" s="594">
        <f>IFERROR(__xludf.DUMMYFUNCTION("""COMPUTED_VALUE"""),3000.0)</f>
        <v>3000</v>
      </c>
      <c r="Q684" s="183"/>
      <c r="R684" s="544"/>
      <c r="S684" s="544"/>
      <c r="T684" s="544"/>
      <c r="U684" s="544"/>
      <c r="V684" s="544"/>
      <c r="W684" s="544"/>
      <c r="X684" s="544"/>
      <c r="Y684" s="544"/>
      <c r="Z684" s="544"/>
      <c r="AA684" s="544"/>
      <c r="AB684" s="544"/>
      <c r="AC684" s="544"/>
      <c r="AD684" s="544"/>
      <c r="AE684" s="183"/>
      <c r="AF684" s="183"/>
      <c r="AG684" s="183"/>
      <c r="AH684" s="183"/>
      <c r="AI684" s="183"/>
      <c r="AJ684" s="183"/>
      <c r="AK684" s="183"/>
      <c r="AL684" s="183"/>
      <c r="AM684" s="183"/>
    </row>
    <row r="685">
      <c r="A685" s="273" t="str">
        <f>IFERROR(__xludf.DUMMYFUNCTION("""COMPUTED_VALUE"""),"サイズ")</f>
        <v>サイズ</v>
      </c>
      <c r="B685" s="273" t="str">
        <f>IFERROR(__xludf.DUMMYFUNCTION("""COMPUTED_VALUE"""),"ベスト")</f>
        <v>ベスト</v>
      </c>
      <c r="C685" s="273" t="str">
        <f>IFERROR(__xludf.DUMMYFUNCTION("""COMPUTED_VALUE"""),"ウエスト")</f>
        <v>ウエスト</v>
      </c>
      <c r="D685" s="668"/>
      <c r="E685" s="668"/>
      <c r="F685" s="342" t="str">
        <f>IFERROR(__xludf.DUMMYFUNCTION("""COMPUTED_VALUE"""),"ウエスト")</f>
        <v>ウエスト</v>
      </c>
      <c r="G685" s="668" t="str">
        <f>IFERROR(__xludf.DUMMYFUNCTION("""COMPUTED_VALUE"""),"ウエスト")</f>
        <v>ウエスト</v>
      </c>
      <c r="H685" s="672" t="str">
        <f>IFERROR(__xludf.DUMMYFUNCTION("""COMPUTED_VALUE"""),"-1")</f>
        <v>-1</v>
      </c>
      <c r="I685" s="669"/>
      <c r="J685" s="669">
        <f>IFERROR(__xludf.DUMMYFUNCTION("""COMPUTED_VALUE"""),7.0)</f>
        <v>7</v>
      </c>
      <c r="K685" s="673">
        <f>IFERROR(__xludf.DUMMYFUNCTION("""COMPUTED_VALUE"""),46000.0)</f>
        <v>46000</v>
      </c>
      <c r="L685" s="670">
        <f>IFERROR(__xludf.DUMMYFUNCTION("""COMPUTED_VALUE"""),46003.0)</f>
        <v>46003</v>
      </c>
      <c r="M685" s="670">
        <f>IFERROR(__xludf.DUMMYFUNCTION("""COMPUTED_VALUE"""),46008.0)</f>
        <v>46008</v>
      </c>
      <c r="N685" s="674">
        <f>IFERROR(__xludf.DUMMYFUNCTION("""COMPUTED_VALUE"""),4950.0)</f>
        <v>4950</v>
      </c>
      <c r="O685" s="593">
        <f>IFERROR(__xludf.DUMMYFUNCTION("""COMPUTED_VALUE"""),4500.0)</f>
        <v>4500</v>
      </c>
      <c r="P685" s="594">
        <f>IFERROR(__xludf.DUMMYFUNCTION("""COMPUTED_VALUE"""),3000.0)</f>
        <v>3000</v>
      </c>
      <c r="Q685" s="183"/>
      <c r="R685" s="544"/>
      <c r="S685" s="544"/>
      <c r="T685" s="544"/>
      <c r="U685" s="544"/>
      <c r="V685" s="544"/>
      <c r="W685" s="544"/>
      <c r="X685" s="544"/>
      <c r="Y685" s="544"/>
      <c r="Z685" s="544"/>
      <c r="AA685" s="544"/>
      <c r="AB685" s="544"/>
      <c r="AC685" s="544"/>
      <c r="AD685" s="544"/>
      <c r="AE685" s="183"/>
      <c r="AF685" s="183"/>
      <c r="AG685" s="183"/>
      <c r="AH685" s="183"/>
      <c r="AI685" s="183"/>
      <c r="AJ685" s="183"/>
      <c r="AK685" s="183"/>
      <c r="AL685" s="183"/>
      <c r="AM685" s="183"/>
    </row>
    <row r="686">
      <c r="A686" s="273" t="str">
        <f>IFERROR(__xludf.DUMMYFUNCTION("""COMPUTED_VALUE"""),"サイズ")</f>
        <v>サイズ</v>
      </c>
      <c r="B686" s="273" t="str">
        <f>IFERROR(__xludf.DUMMYFUNCTION("""COMPUTED_VALUE"""),"ベスト")</f>
        <v>ベスト</v>
      </c>
      <c r="C686" s="273" t="str">
        <f>IFERROR(__xludf.DUMMYFUNCTION("""COMPUTED_VALUE"""),"ウエスト")</f>
        <v>ウエスト</v>
      </c>
      <c r="D686" s="668"/>
      <c r="E686" s="668"/>
      <c r="F686" s="342" t="str">
        <f>IFERROR(__xludf.DUMMYFUNCTION("""COMPUTED_VALUE"""),"ウエスト")</f>
        <v>ウエスト</v>
      </c>
      <c r="G686" s="668" t="str">
        <f>IFERROR(__xludf.DUMMYFUNCTION("""COMPUTED_VALUE"""),"ウエスト")</f>
        <v>ウエスト</v>
      </c>
      <c r="H686" s="672" t="str">
        <f>IFERROR(__xludf.DUMMYFUNCTION("""COMPUTED_VALUE"""),"1")</f>
        <v>1</v>
      </c>
      <c r="I686" s="669"/>
      <c r="J686" s="669">
        <f>IFERROR(__xludf.DUMMYFUNCTION("""COMPUTED_VALUE"""),7.0)</f>
        <v>7</v>
      </c>
      <c r="K686" s="673">
        <f>IFERROR(__xludf.DUMMYFUNCTION("""COMPUTED_VALUE"""),46000.0)</f>
        <v>46000</v>
      </c>
      <c r="L686" s="670">
        <f>IFERROR(__xludf.DUMMYFUNCTION("""COMPUTED_VALUE"""),46003.0)</f>
        <v>46003</v>
      </c>
      <c r="M686" s="670">
        <f>IFERROR(__xludf.DUMMYFUNCTION("""COMPUTED_VALUE"""),46008.0)</f>
        <v>46008</v>
      </c>
      <c r="N686" s="674">
        <f>IFERROR(__xludf.DUMMYFUNCTION("""COMPUTED_VALUE"""),4950.0)</f>
        <v>4950</v>
      </c>
      <c r="O686" s="593">
        <f>IFERROR(__xludf.DUMMYFUNCTION("""COMPUTED_VALUE"""),4500.0)</f>
        <v>4500</v>
      </c>
      <c r="P686" s="594">
        <f>IFERROR(__xludf.DUMMYFUNCTION("""COMPUTED_VALUE"""),6000.0)</f>
        <v>6000</v>
      </c>
      <c r="Q686" s="183"/>
      <c r="R686" s="544"/>
      <c r="S686" s="544"/>
      <c r="T686" s="544"/>
      <c r="U686" s="544"/>
      <c r="V686" s="544"/>
      <c r="W686" s="544"/>
      <c r="X686" s="544"/>
      <c r="Y686" s="544"/>
      <c r="Z686" s="544"/>
      <c r="AA686" s="544"/>
      <c r="AB686" s="544"/>
      <c r="AC686" s="544"/>
      <c r="AD686" s="544"/>
      <c r="AE686" s="183"/>
      <c r="AF686" s="183"/>
      <c r="AG686" s="183"/>
      <c r="AH686" s="183"/>
      <c r="AI686" s="183"/>
      <c r="AJ686" s="183"/>
      <c r="AK686" s="183"/>
      <c r="AL686" s="183"/>
      <c r="AM686" s="183"/>
    </row>
    <row r="687">
      <c r="A687" s="273" t="str">
        <f>IFERROR(__xludf.DUMMYFUNCTION("""COMPUTED_VALUE"""),"サイズ")</f>
        <v>サイズ</v>
      </c>
      <c r="B687" s="273" t="str">
        <f>IFERROR(__xludf.DUMMYFUNCTION("""COMPUTED_VALUE"""),"ベスト")</f>
        <v>ベスト</v>
      </c>
      <c r="C687" s="273" t="str">
        <f>IFERROR(__xludf.DUMMYFUNCTION("""COMPUTED_VALUE"""),"ウエスト")</f>
        <v>ウエスト</v>
      </c>
      <c r="D687" s="668"/>
      <c r="E687" s="668"/>
      <c r="F687" s="342" t="str">
        <f>IFERROR(__xludf.DUMMYFUNCTION("""COMPUTED_VALUE"""),"ウエスト")</f>
        <v>ウエスト</v>
      </c>
      <c r="G687" s="668" t="str">
        <f>IFERROR(__xludf.DUMMYFUNCTION("""COMPUTED_VALUE"""),"ウエスト")</f>
        <v>ウエスト</v>
      </c>
      <c r="H687" s="672" t="str">
        <f>IFERROR(__xludf.DUMMYFUNCTION("""COMPUTED_VALUE"""),"-4")</f>
        <v>-4</v>
      </c>
      <c r="I687" s="669"/>
      <c r="J687" s="669">
        <f>IFERROR(__xludf.DUMMYFUNCTION("""COMPUTED_VALUE"""),7.0)</f>
        <v>7</v>
      </c>
      <c r="K687" s="673">
        <f>IFERROR(__xludf.DUMMYFUNCTION("""COMPUTED_VALUE"""),46000.0)</f>
        <v>46000</v>
      </c>
      <c r="L687" s="670">
        <f>IFERROR(__xludf.DUMMYFUNCTION("""COMPUTED_VALUE"""),46003.0)</f>
        <v>46003</v>
      </c>
      <c r="M687" s="670">
        <f>IFERROR(__xludf.DUMMYFUNCTION("""COMPUTED_VALUE"""),46008.0)</f>
        <v>46008</v>
      </c>
      <c r="N687" s="674">
        <f>IFERROR(__xludf.DUMMYFUNCTION("""COMPUTED_VALUE"""),4950.0)</f>
        <v>4950</v>
      </c>
      <c r="O687" s="593">
        <f>IFERROR(__xludf.DUMMYFUNCTION("""COMPUTED_VALUE"""),4500.0)</f>
        <v>4500</v>
      </c>
      <c r="P687" s="594">
        <f>IFERROR(__xludf.DUMMYFUNCTION("""COMPUTED_VALUE"""),3000.0)</f>
        <v>3000</v>
      </c>
      <c r="Q687" s="183"/>
      <c r="R687" s="544"/>
      <c r="S687" s="544"/>
      <c r="T687" s="544"/>
      <c r="U687" s="544"/>
      <c r="V687" s="544"/>
      <c r="W687" s="544"/>
      <c r="X687" s="544"/>
      <c r="Y687" s="544"/>
      <c r="Z687" s="544"/>
      <c r="AA687" s="544"/>
      <c r="AB687" s="544"/>
      <c r="AC687" s="544"/>
      <c r="AD687" s="544"/>
      <c r="AE687" s="183"/>
      <c r="AF687" s="183"/>
      <c r="AG687" s="183"/>
      <c r="AH687" s="183"/>
      <c r="AI687" s="183"/>
      <c r="AJ687" s="183"/>
      <c r="AK687" s="183"/>
      <c r="AL687" s="183"/>
      <c r="AM687" s="183"/>
    </row>
    <row r="688">
      <c r="A688" s="273" t="str">
        <f>IFERROR(__xludf.DUMMYFUNCTION("""COMPUTED_VALUE"""),"サイズ")</f>
        <v>サイズ</v>
      </c>
      <c r="B688" s="273" t="str">
        <f>IFERROR(__xludf.DUMMYFUNCTION("""COMPUTED_VALUE"""),"ベスト")</f>
        <v>ベスト</v>
      </c>
      <c r="C688" s="273" t="str">
        <f>IFERROR(__xludf.DUMMYFUNCTION("""COMPUTED_VALUE"""),"着丈")</f>
        <v>着丈</v>
      </c>
      <c r="D688" s="668"/>
      <c r="E688" s="671" t="str">
        <f>IFERROR(__xludf.DUMMYFUNCTION("""COMPUTED_VALUE"""),"出しのお直しは背中取り換えになります")</f>
        <v>出しのお直しは背中取り換えになります</v>
      </c>
      <c r="F688" s="342" t="str">
        <f>IFERROR(__xludf.DUMMYFUNCTION("""COMPUTED_VALUE"""),"着丈")</f>
        <v>着丈</v>
      </c>
      <c r="G688" s="668" t="str">
        <f>IFERROR(__xludf.DUMMYFUNCTION("""COMPUTED_VALUE"""),"着丈（出しのお直しは背中取り換えになります）")</f>
        <v>着丈（出しのお直しは背中取り換えになります）</v>
      </c>
      <c r="H688" s="672" t="str">
        <f>IFERROR(__xludf.DUMMYFUNCTION("""COMPUTED_VALUE"""),"-1")</f>
        <v>-1</v>
      </c>
      <c r="I688" s="669"/>
      <c r="J688" s="669">
        <f>IFERROR(__xludf.DUMMYFUNCTION("""COMPUTED_VALUE"""),7.0)</f>
        <v>7</v>
      </c>
      <c r="K688" s="673">
        <f>IFERROR(__xludf.DUMMYFUNCTION("""COMPUTED_VALUE"""),46000.0)</f>
        <v>46000</v>
      </c>
      <c r="L688" s="670">
        <f>IFERROR(__xludf.DUMMYFUNCTION("""COMPUTED_VALUE"""),46003.0)</f>
        <v>46003</v>
      </c>
      <c r="M688" s="670">
        <f>IFERROR(__xludf.DUMMYFUNCTION("""COMPUTED_VALUE"""),46008.0)</f>
        <v>46008</v>
      </c>
      <c r="N688" s="674">
        <f>IFERROR(__xludf.DUMMYFUNCTION("""COMPUTED_VALUE"""),4950.0)</f>
        <v>4950</v>
      </c>
      <c r="O688" s="593">
        <f>IFERROR(__xludf.DUMMYFUNCTION("""COMPUTED_VALUE"""),4500.0)</f>
        <v>4500</v>
      </c>
      <c r="P688" s="594">
        <f>IFERROR(__xludf.DUMMYFUNCTION("""COMPUTED_VALUE"""),3000.0)</f>
        <v>3000</v>
      </c>
      <c r="Q688" s="183"/>
      <c r="R688" s="544"/>
      <c r="S688" s="544"/>
      <c r="T688" s="544"/>
      <c r="U688" s="544"/>
      <c r="V688" s="544"/>
      <c r="W688" s="544"/>
      <c r="X688" s="544"/>
      <c r="Y688" s="544"/>
      <c r="Z688" s="544"/>
      <c r="AA688" s="544"/>
      <c r="AB688" s="544"/>
      <c r="AC688" s="544"/>
      <c r="AD688" s="544"/>
      <c r="AE688" s="183"/>
      <c r="AF688" s="183"/>
      <c r="AG688" s="183"/>
      <c r="AH688" s="183"/>
      <c r="AI688" s="183"/>
      <c r="AJ688" s="183"/>
      <c r="AK688" s="183"/>
      <c r="AL688" s="183"/>
      <c r="AM688" s="183"/>
    </row>
    <row r="689">
      <c r="A689" s="273" t="str">
        <f>IFERROR(__xludf.DUMMYFUNCTION("""COMPUTED_VALUE"""),"サイズ")</f>
        <v>サイズ</v>
      </c>
      <c r="B689" s="273" t="str">
        <f>IFERROR(__xludf.DUMMYFUNCTION("""COMPUTED_VALUE"""),"ベスト")</f>
        <v>ベスト</v>
      </c>
      <c r="C689" s="273" t="str">
        <f>IFERROR(__xludf.DUMMYFUNCTION("""COMPUTED_VALUE"""),"着丈")</f>
        <v>着丈</v>
      </c>
      <c r="D689" s="668"/>
      <c r="E689" s="671" t="str">
        <f>IFERROR(__xludf.DUMMYFUNCTION("""COMPUTED_VALUE"""),"出しのお直しは背中取り換えになります")</f>
        <v>出しのお直しは背中取り換えになります</v>
      </c>
      <c r="F689" s="342" t="str">
        <f>IFERROR(__xludf.DUMMYFUNCTION("""COMPUTED_VALUE"""),"着丈")</f>
        <v>着丈</v>
      </c>
      <c r="G689" s="668" t="str">
        <f>IFERROR(__xludf.DUMMYFUNCTION("""COMPUTED_VALUE"""),"着丈（出しのお直しは背中取り換えになります）")</f>
        <v>着丈（出しのお直しは背中取り換えになります）</v>
      </c>
      <c r="H689" s="672" t="str">
        <f>IFERROR(__xludf.DUMMYFUNCTION("""COMPUTED_VALUE"""),"-0.5")</f>
        <v>-0.5</v>
      </c>
      <c r="I689" s="669"/>
      <c r="J689" s="669">
        <f>IFERROR(__xludf.DUMMYFUNCTION("""COMPUTED_VALUE"""),7.0)</f>
        <v>7</v>
      </c>
      <c r="K689" s="673">
        <f>IFERROR(__xludf.DUMMYFUNCTION("""COMPUTED_VALUE"""),46000.0)</f>
        <v>46000</v>
      </c>
      <c r="L689" s="670">
        <f>IFERROR(__xludf.DUMMYFUNCTION("""COMPUTED_VALUE"""),46003.0)</f>
        <v>46003</v>
      </c>
      <c r="M689" s="670">
        <f>IFERROR(__xludf.DUMMYFUNCTION("""COMPUTED_VALUE"""),46008.0)</f>
        <v>46008</v>
      </c>
      <c r="N689" s="674">
        <f>IFERROR(__xludf.DUMMYFUNCTION("""COMPUTED_VALUE"""),4950.0)</f>
        <v>4950</v>
      </c>
      <c r="O689" s="593">
        <f>IFERROR(__xludf.DUMMYFUNCTION("""COMPUTED_VALUE"""),4500.0)</f>
        <v>4500</v>
      </c>
      <c r="P689" s="594">
        <f>IFERROR(__xludf.DUMMYFUNCTION("""COMPUTED_VALUE"""),3000.0)</f>
        <v>3000</v>
      </c>
      <c r="Q689" s="183"/>
      <c r="R689" s="544"/>
      <c r="S689" s="544"/>
      <c r="T689" s="544"/>
      <c r="U689" s="544"/>
      <c r="V689" s="544"/>
      <c r="W689" s="544"/>
      <c r="X689" s="544"/>
      <c r="Y689" s="544"/>
      <c r="Z689" s="544"/>
      <c r="AA689" s="544"/>
      <c r="AB689" s="544"/>
      <c r="AC689" s="544"/>
      <c r="AD689" s="544"/>
      <c r="AE689" s="183"/>
      <c r="AF689" s="183"/>
      <c r="AG689" s="183"/>
      <c r="AH689" s="183"/>
      <c r="AI689" s="183"/>
      <c r="AJ689" s="183"/>
      <c r="AK689" s="183"/>
      <c r="AL689" s="183"/>
      <c r="AM689" s="183"/>
    </row>
    <row r="690">
      <c r="A690" s="273" t="str">
        <f>IFERROR(__xludf.DUMMYFUNCTION("""COMPUTED_VALUE"""),"サイズ")</f>
        <v>サイズ</v>
      </c>
      <c r="B690" s="273" t="str">
        <f>IFERROR(__xludf.DUMMYFUNCTION("""COMPUTED_VALUE"""),"ベスト")</f>
        <v>ベスト</v>
      </c>
      <c r="C690" s="273" t="str">
        <f>IFERROR(__xludf.DUMMYFUNCTION("""COMPUTED_VALUE"""),"着丈")</f>
        <v>着丈</v>
      </c>
      <c r="D690" s="668"/>
      <c r="E690" s="671" t="str">
        <f>IFERROR(__xludf.DUMMYFUNCTION("""COMPUTED_VALUE"""),"出しのお直しは背中取り換えになります")</f>
        <v>出しのお直しは背中取り換えになります</v>
      </c>
      <c r="F690" s="342" t="str">
        <f>IFERROR(__xludf.DUMMYFUNCTION("""COMPUTED_VALUE"""),"着丈")</f>
        <v>着丈</v>
      </c>
      <c r="G690" s="668" t="str">
        <f>IFERROR(__xludf.DUMMYFUNCTION("""COMPUTED_VALUE"""),"着丈（出しのお直しは背中取り換えになります）")</f>
        <v>着丈（出しのお直しは背中取り換えになります）</v>
      </c>
      <c r="H690" s="672" t="str">
        <f>IFERROR(__xludf.DUMMYFUNCTION("""COMPUTED_VALUE"""),"0.5")</f>
        <v>0.5</v>
      </c>
      <c r="I690" s="669"/>
      <c r="J690" s="669">
        <f>IFERROR(__xludf.DUMMYFUNCTION("""COMPUTED_VALUE"""),7.0)</f>
        <v>7</v>
      </c>
      <c r="K690" s="673">
        <f>IFERROR(__xludf.DUMMYFUNCTION("""COMPUTED_VALUE"""),46000.0)</f>
        <v>46000</v>
      </c>
      <c r="L690" s="670">
        <f>IFERROR(__xludf.DUMMYFUNCTION("""COMPUTED_VALUE"""),46003.0)</f>
        <v>46003</v>
      </c>
      <c r="M690" s="670">
        <f>IFERROR(__xludf.DUMMYFUNCTION("""COMPUTED_VALUE"""),46008.0)</f>
        <v>46008</v>
      </c>
      <c r="N690" s="674">
        <f>IFERROR(__xludf.DUMMYFUNCTION("""COMPUTED_VALUE"""),9900.0)</f>
        <v>9900</v>
      </c>
      <c r="O690" s="593">
        <f>IFERROR(__xludf.DUMMYFUNCTION("""COMPUTED_VALUE"""),9000.0)</f>
        <v>9000</v>
      </c>
      <c r="P690" s="594">
        <f>IFERROR(__xludf.DUMMYFUNCTION("""COMPUTED_VALUE"""),6000.0)</f>
        <v>6000</v>
      </c>
      <c r="Q690" s="183"/>
      <c r="R690" s="544"/>
      <c r="S690" s="544"/>
      <c r="T690" s="544"/>
      <c r="U690" s="544"/>
      <c r="V690" s="544"/>
      <c r="W690" s="544"/>
      <c r="X690" s="544"/>
      <c r="Y690" s="544"/>
      <c r="Z690" s="544"/>
      <c r="AA690" s="544"/>
      <c r="AB690" s="544"/>
      <c r="AC690" s="544"/>
      <c r="AD690" s="544"/>
      <c r="AE690" s="183"/>
      <c r="AF690" s="183"/>
      <c r="AG690" s="183"/>
      <c r="AH690" s="183"/>
      <c r="AI690" s="183"/>
      <c r="AJ690" s="183"/>
      <c r="AK690" s="183"/>
      <c r="AL690" s="183"/>
      <c r="AM690" s="183"/>
    </row>
    <row r="691">
      <c r="A691" s="273" t="str">
        <f>IFERROR(__xludf.DUMMYFUNCTION("""COMPUTED_VALUE"""),"サイズ")</f>
        <v>サイズ</v>
      </c>
      <c r="B691" s="273" t="str">
        <f>IFERROR(__xludf.DUMMYFUNCTION("""COMPUTED_VALUE"""),"ベスト")</f>
        <v>ベスト</v>
      </c>
      <c r="C691" s="273" t="str">
        <f>IFERROR(__xludf.DUMMYFUNCTION("""COMPUTED_VALUE"""),"怒り肩")</f>
        <v>怒り肩</v>
      </c>
      <c r="D691" s="668"/>
      <c r="E691" s="668"/>
      <c r="F691" s="342" t="str">
        <f>IFERROR(__xludf.DUMMYFUNCTION("""COMPUTED_VALUE"""),"怒り肩")</f>
        <v>怒り肩</v>
      </c>
      <c r="G691" s="668" t="str">
        <f>IFERROR(__xludf.DUMMYFUNCTION("""COMPUTED_VALUE"""),"怒り肩")</f>
        <v>怒り肩</v>
      </c>
      <c r="H691" s="669"/>
      <c r="I691" s="669"/>
      <c r="J691" s="669" t="str">
        <f>IFERROR(__xludf.DUMMYFUNCTION("""COMPUTED_VALUE"""),"再製作")</f>
        <v>再製作</v>
      </c>
      <c r="K691" s="669" t="str">
        <f>IFERROR(__xludf.DUMMYFUNCTION("""COMPUTED_VALUE"""),"再製作")</f>
        <v>再製作</v>
      </c>
      <c r="L691" s="670" t="str">
        <f>IFERROR(__xludf.DUMMYFUNCTION("""COMPUTED_VALUE"""),"再製作")</f>
        <v>再製作</v>
      </c>
      <c r="M691" s="670" t="str">
        <f>IFERROR(__xludf.DUMMYFUNCTION("""COMPUTED_VALUE"""),"再製作")</f>
        <v>再製作</v>
      </c>
      <c r="N691" s="669" t="str">
        <f>IFERROR(__xludf.DUMMYFUNCTION("""COMPUTED_VALUE"""),"再製作")</f>
        <v>再製作</v>
      </c>
      <c r="O691" s="183" t="str">
        <f>IFERROR(__xludf.DUMMYFUNCTION("""COMPUTED_VALUE"""),"再製作")</f>
        <v>再製作</v>
      </c>
      <c r="P691" s="183"/>
      <c r="Q691" s="183"/>
      <c r="R691" s="544"/>
      <c r="S691" s="544"/>
      <c r="T691" s="544"/>
      <c r="U691" s="544"/>
      <c r="V691" s="544"/>
      <c r="W691" s="544"/>
      <c r="X691" s="544"/>
      <c r="Y691" s="544"/>
      <c r="Z691" s="544"/>
      <c r="AA691" s="544"/>
      <c r="AB691" s="544"/>
      <c r="AC691" s="544"/>
      <c r="AD691" s="544"/>
      <c r="AE691" s="183"/>
      <c r="AF691" s="183"/>
      <c r="AG691" s="183"/>
      <c r="AH691" s="183"/>
      <c r="AI691" s="183"/>
      <c r="AJ691" s="183"/>
      <c r="AK691" s="183"/>
      <c r="AL691" s="183"/>
      <c r="AM691" s="183"/>
    </row>
    <row r="692">
      <c r="A692" s="273" t="str">
        <f>IFERROR(__xludf.DUMMYFUNCTION("""COMPUTED_VALUE"""),"サイズ")</f>
        <v>サイズ</v>
      </c>
      <c r="B692" s="273" t="str">
        <f>IFERROR(__xludf.DUMMYFUNCTION("""COMPUTED_VALUE"""),"ベスト")</f>
        <v>ベスト</v>
      </c>
      <c r="C692" s="273" t="str">
        <f>IFERROR(__xludf.DUMMYFUNCTION("""COMPUTED_VALUE"""),"なで肩")</f>
        <v>なで肩</v>
      </c>
      <c r="D692" s="668"/>
      <c r="E692" s="668"/>
      <c r="F692" s="342" t="str">
        <f>IFERROR(__xludf.DUMMYFUNCTION("""COMPUTED_VALUE"""),"なで肩")</f>
        <v>なで肩</v>
      </c>
      <c r="G692" s="668" t="str">
        <f>IFERROR(__xludf.DUMMYFUNCTION("""COMPUTED_VALUE"""),"なで肩")</f>
        <v>なで肩</v>
      </c>
      <c r="H692" s="669"/>
      <c r="I692" s="669"/>
      <c r="J692" s="669" t="str">
        <f>IFERROR(__xludf.DUMMYFUNCTION("""COMPUTED_VALUE"""),"再製作")</f>
        <v>再製作</v>
      </c>
      <c r="K692" s="669" t="str">
        <f>IFERROR(__xludf.DUMMYFUNCTION("""COMPUTED_VALUE"""),"再製作")</f>
        <v>再製作</v>
      </c>
      <c r="L692" s="670" t="str">
        <f>IFERROR(__xludf.DUMMYFUNCTION("""COMPUTED_VALUE"""),"再製作")</f>
        <v>再製作</v>
      </c>
      <c r="M692" s="670" t="str">
        <f>IFERROR(__xludf.DUMMYFUNCTION("""COMPUTED_VALUE"""),"再製作")</f>
        <v>再製作</v>
      </c>
      <c r="N692" s="669" t="str">
        <f>IFERROR(__xludf.DUMMYFUNCTION("""COMPUTED_VALUE"""),"再製作")</f>
        <v>再製作</v>
      </c>
      <c r="O692" s="183" t="str">
        <f>IFERROR(__xludf.DUMMYFUNCTION("""COMPUTED_VALUE"""),"再製作")</f>
        <v>再製作</v>
      </c>
      <c r="P692" s="183"/>
      <c r="Q692" s="183"/>
      <c r="R692" s="544"/>
      <c r="S692" s="544"/>
      <c r="T692" s="544"/>
      <c r="U692" s="544"/>
      <c r="V692" s="544"/>
      <c r="W692" s="544"/>
      <c r="X692" s="544"/>
      <c r="Y692" s="544"/>
      <c r="Z692" s="544"/>
      <c r="AA692" s="544"/>
      <c r="AB692" s="544"/>
      <c r="AC692" s="544"/>
      <c r="AD692" s="544"/>
      <c r="AE692" s="183"/>
      <c r="AF692" s="183"/>
      <c r="AG692" s="183"/>
      <c r="AH692" s="183"/>
      <c r="AI692" s="183"/>
      <c r="AJ692" s="183"/>
      <c r="AK692" s="183"/>
      <c r="AL692" s="183"/>
      <c r="AM692" s="183"/>
    </row>
    <row r="693">
      <c r="A693" s="273" t="str">
        <f>IFERROR(__xludf.DUMMYFUNCTION("""COMPUTED_VALUE"""),"縫製")</f>
        <v>縫製</v>
      </c>
      <c r="B693" s="273" t="str">
        <f>IFERROR(__xludf.DUMMYFUNCTION("""COMPUTED_VALUE"""),"ベスト")</f>
        <v>ベスト</v>
      </c>
      <c r="C693" s="273" t="str">
        <f>IFERROR(__xludf.DUMMYFUNCTION("""COMPUTED_VALUE"""),"再プレスのみ")</f>
        <v>再プレスのみ</v>
      </c>
      <c r="D693" s="668"/>
      <c r="E693" s="668"/>
      <c r="F693" s="342" t="str">
        <f>IFERROR(__xludf.DUMMYFUNCTION("""COMPUTED_VALUE"""),"再プレスのみ")</f>
        <v>再プレスのみ</v>
      </c>
      <c r="G693" s="668" t="str">
        <f>IFERROR(__xludf.DUMMYFUNCTION("""COMPUTED_VALUE"""),"再プレスのみ")</f>
        <v>再プレスのみ</v>
      </c>
      <c r="H693" s="669"/>
      <c r="I693" s="669" t="str">
        <f>IFERROR(__xludf.DUMMYFUNCTION("""COMPUTED_VALUE"""),"店舗/CS")</f>
        <v>店舗/CS</v>
      </c>
      <c r="J693" s="669"/>
      <c r="K693" s="669" t="str">
        <f>IFERROR(__xludf.DUMMYFUNCTION("""COMPUTED_VALUE"""),"3営業日前後")</f>
        <v>3営業日前後</v>
      </c>
      <c r="L693" s="670"/>
      <c r="M693" s="670"/>
      <c r="N693" s="674">
        <f>IFERROR(__xludf.DUMMYFUNCTION("""COMPUTED_VALUE"""),550.0)</f>
        <v>550</v>
      </c>
      <c r="O693" s="593">
        <f>IFERROR(__xludf.DUMMYFUNCTION("""COMPUTED_VALUE"""),500.0)</f>
        <v>500</v>
      </c>
      <c r="P693" s="594">
        <f>IFERROR(__xludf.DUMMYFUNCTION("""COMPUTED_VALUE"""),150.0)</f>
        <v>150</v>
      </c>
      <c r="Q693" s="183"/>
      <c r="R693" s="544"/>
      <c r="S693" s="544"/>
      <c r="T693" s="544"/>
      <c r="U693" s="544"/>
      <c r="V693" s="544"/>
      <c r="W693" s="544"/>
      <c r="X693" s="544"/>
      <c r="Y693" s="544"/>
      <c r="Z693" s="544"/>
      <c r="AA693" s="544"/>
      <c r="AB693" s="544"/>
      <c r="AC693" s="544"/>
      <c r="AD693" s="544"/>
      <c r="AE693" s="183"/>
      <c r="AF693" s="183"/>
      <c r="AG693" s="183"/>
      <c r="AH693" s="183"/>
      <c r="AI693" s="183"/>
      <c r="AJ693" s="183"/>
      <c r="AK693" s="183"/>
      <c r="AL693" s="183"/>
      <c r="AM693" s="183"/>
    </row>
    <row r="694">
      <c r="A694" s="273" t="str">
        <f>IFERROR(__xludf.DUMMYFUNCTION("""COMPUTED_VALUE"""),"縫製")</f>
        <v>縫製</v>
      </c>
      <c r="B694" s="273" t="str">
        <f>IFERROR(__xludf.DUMMYFUNCTION("""COMPUTED_VALUE"""),"ベスト")</f>
        <v>ベスト</v>
      </c>
      <c r="C694" s="273" t="str">
        <f>IFERROR(__xludf.DUMMYFUNCTION("""COMPUTED_VALUE"""),"ボタン購入のみ")</f>
        <v>ボタン購入のみ</v>
      </c>
      <c r="D694" s="668"/>
      <c r="E694" s="668" t="str">
        <f>IFERROR(__xludf.DUMMYFUNCTION("""COMPUTED_VALUE"""),"配送料不要")</f>
        <v>配送料不要</v>
      </c>
      <c r="F694" s="342" t="str">
        <f>IFERROR(__xludf.DUMMYFUNCTION("""COMPUTED_VALUE"""),"ボタン購入のみ")</f>
        <v>ボタン購入のみ</v>
      </c>
      <c r="G694" s="668" t="str">
        <f>IFERROR(__xludf.DUMMYFUNCTION("""COMPUTED_VALUE"""),"ボタン購入のみ（配送料不要）")</f>
        <v>ボタン購入のみ（配送料不要）</v>
      </c>
      <c r="H694" s="669"/>
      <c r="I694" s="669" t="str">
        <f>IFERROR(__xludf.DUMMYFUNCTION("""COMPUTED_VALUE"""),"店舗/CS")</f>
        <v>店舗/CS</v>
      </c>
      <c r="J694" s="669"/>
      <c r="K694" s="669" t="str">
        <f>IFERROR(__xludf.DUMMYFUNCTION("""COMPUTED_VALUE"""),"7営業日前後")</f>
        <v>7営業日前後</v>
      </c>
      <c r="L694" s="670"/>
      <c r="M694" s="670"/>
      <c r="N694" s="674">
        <f>IFERROR(__xludf.DUMMYFUNCTION("""COMPUTED_VALUE"""),1000.0)</f>
        <v>1000</v>
      </c>
      <c r="O694" s="593">
        <f>IFERROR(__xludf.DUMMYFUNCTION("""COMPUTED_VALUE"""),909.0)</f>
        <v>909</v>
      </c>
      <c r="P694" s="183"/>
      <c r="Q694" s="183"/>
      <c r="R694" s="544"/>
      <c r="S694" s="544"/>
      <c r="T694" s="544"/>
      <c r="U694" s="544"/>
      <c r="V694" s="544"/>
      <c r="W694" s="544"/>
      <c r="X694" s="544"/>
      <c r="Y694" s="544"/>
      <c r="Z694" s="544"/>
      <c r="AA694" s="544"/>
      <c r="AB694" s="544"/>
      <c r="AC694" s="544"/>
      <c r="AD694" s="544"/>
      <c r="AE694" s="183"/>
      <c r="AF694" s="183"/>
      <c r="AG694" s="183"/>
      <c r="AH694" s="183"/>
      <c r="AI694" s="183"/>
      <c r="AJ694" s="183"/>
      <c r="AK694" s="183"/>
      <c r="AL694" s="183"/>
      <c r="AM694" s="183"/>
    </row>
    <row r="695">
      <c r="A695" s="273" t="str">
        <f>IFERROR(__xludf.DUMMYFUNCTION("""COMPUTED_VALUE"""),"縫製")</f>
        <v>縫製</v>
      </c>
      <c r="B695" s="273" t="str">
        <f>IFERROR(__xludf.DUMMYFUNCTION("""COMPUTED_VALUE"""),"ベスト")</f>
        <v>ベスト</v>
      </c>
      <c r="C695" s="273" t="str">
        <f>IFERROR(__xludf.DUMMYFUNCTION("""COMPUTED_VALUE"""),"ボタンお直し (購入＋つけ直し)")</f>
        <v>ボタンお直し (購入＋つけ直し)</v>
      </c>
      <c r="D695" s="668"/>
      <c r="E695" s="668"/>
      <c r="F695" s="342" t="str">
        <f>IFERROR(__xludf.DUMMYFUNCTION("""COMPUTED_VALUE"""),"ボタンお直し (購入＋つけ直し)")</f>
        <v>ボタンお直し (購入＋つけ直し)</v>
      </c>
      <c r="G695" s="668" t="str">
        <f>IFERROR(__xludf.DUMMYFUNCTION("""COMPUTED_VALUE"""),"ボタンお直し (購入＋つけ直し)")</f>
        <v>ボタンお直し (購入＋つけ直し)</v>
      </c>
      <c r="H695" s="669"/>
      <c r="I695" s="669" t="str">
        <f>IFERROR(__xludf.DUMMYFUNCTION("""COMPUTED_VALUE"""),"店舗/CS")</f>
        <v>店舗/CS</v>
      </c>
      <c r="J695" s="669"/>
      <c r="K695" s="669" t="str">
        <f>IFERROR(__xludf.DUMMYFUNCTION("""COMPUTED_VALUE"""),"約2週間")</f>
        <v>約2週間</v>
      </c>
      <c r="L695" s="670"/>
      <c r="M695" s="670"/>
      <c r="N695" s="674">
        <f>IFERROR(__xludf.DUMMYFUNCTION("""COMPUTED_VALUE"""),2480.0)</f>
        <v>2480</v>
      </c>
      <c r="O695" s="593">
        <f>IFERROR(__xludf.DUMMYFUNCTION("""COMPUTED_VALUE"""),2250.0)</f>
        <v>2250</v>
      </c>
      <c r="P695" s="594">
        <f>IFERROR(__xludf.DUMMYFUNCTION("""COMPUTED_VALUE"""),1500.0)</f>
        <v>1500</v>
      </c>
      <c r="Q695" s="183"/>
      <c r="R695" s="544"/>
      <c r="S695" s="544"/>
      <c r="T695" s="544"/>
      <c r="U695" s="544"/>
      <c r="V695" s="544"/>
      <c r="W695" s="544"/>
      <c r="X695" s="544"/>
      <c r="Y695" s="544"/>
      <c r="Z695" s="544"/>
      <c r="AA695" s="544"/>
      <c r="AB695" s="544"/>
      <c r="AC695" s="544"/>
      <c r="AD695" s="544"/>
      <c r="AE695" s="183"/>
      <c r="AF695" s="183"/>
      <c r="AG695" s="183"/>
      <c r="AH695" s="183"/>
      <c r="AI695" s="183"/>
      <c r="AJ695" s="183"/>
      <c r="AK695" s="183"/>
      <c r="AL695" s="183"/>
      <c r="AM695" s="183"/>
    </row>
    <row r="696">
      <c r="A696" s="273" t="str">
        <f>IFERROR(__xludf.DUMMYFUNCTION("""COMPUTED_VALUE"""),"縫製")</f>
        <v>縫製</v>
      </c>
      <c r="B696" s="273" t="str">
        <f>IFERROR(__xludf.DUMMYFUNCTION("""COMPUTED_VALUE"""),"ベスト")</f>
        <v>ベスト</v>
      </c>
      <c r="C696" s="273" t="str">
        <f>IFERROR(__xludf.DUMMYFUNCTION("""COMPUTED_VALUE"""),"緩くなったボタンの付け直し")</f>
        <v>緩くなったボタンの付け直し</v>
      </c>
      <c r="D696" s="668"/>
      <c r="E696" s="668"/>
      <c r="F696" s="342" t="str">
        <f>IFERROR(__xludf.DUMMYFUNCTION("""COMPUTED_VALUE"""),"緩くなったボタンの付け直し")</f>
        <v>緩くなったボタンの付け直し</v>
      </c>
      <c r="G696" s="668" t="str">
        <f>IFERROR(__xludf.DUMMYFUNCTION("""COMPUTED_VALUE"""),"緩くなったボタンの付け直し")</f>
        <v>緩くなったボタンの付け直し</v>
      </c>
      <c r="H696" s="669"/>
      <c r="I696" s="669" t="str">
        <f>IFERROR(__xludf.DUMMYFUNCTION("""COMPUTED_VALUE"""),"店舗/CS")</f>
        <v>店舗/CS</v>
      </c>
      <c r="J696" s="669"/>
      <c r="K696" s="669" t="str">
        <f>IFERROR(__xludf.DUMMYFUNCTION("""COMPUTED_VALUE"""),"約2週間")</f>
        <v>約2週間</v>
      </c>
      <c r="L696" s="670"/>
      <c r="M696" s="670"/>
      <c r="N696" s="674">
        <f>IFERROR(__xludf.DUMMYFUNCTION("""COMPUTED_VALUE"""),660.0)</f>
        <v>660</v>
      </c>
      <c r="O696" s="593">
        <f>IFERROR(__xludf.DUMMYFUNCTION("""COMPUTED_VALUE"""),600.0)</f>
        <v>600</v>
      </c>
      <c r="P696" s="594">
        <f>IFERROR(__xludf.DUMMYFUNCTION("""COMPUTED_VALUE"""),120.0)</f>
        <v>120</v>
      </c>
      <c r="Q696" s="183"/>
      <c r="R696" s="544"/>
      <c r="S696" s="544"/>
      <c r="T696" s="544"/>
      <c r="U696" s="544"/>
      <c r="V696" s="544"/>
      <c r="W696" s="544"/>
      <c r="X696" s="544"/>
      <c r="Y696" s="544"/>
      <c r="Z696" s="544"/>
      <c r="AA696" s="544"/>
      <c r="AB696" s="544"/>
      <c r="AC696" s="544"/>
      <c r="AD696" s="544"/>
      <c r="AE696" s="183"/>
      <c r="AF696" s="183"/>
      <c r="AG696" s="183"/>
      <c r="AH696" s="183"/>
      <c r="AI696" s="183"/>
      <c r="AJ696" s="183"/>
      <c r="AK696" s="183"/>
      <c r="AL696" s="183"/>
      <c r="AM696" s="183"/>
    </row>
    <row r="697">
      <c r="A697" s="273" t="str">
        <f>IFERROR(__xludf.DUMMYFUNCTION("""COMPUTED_VALUE"""),"サイズ")</f>
        <v>サイズ</v>
      </c>
      <c r="B697" s="273" t="str">
        <f>IFERROR(__xludf.DUMMYFUNCTION("""COMPUTED_VALUE"""),"ベスト")</f>
        <v>ベスト</v>
      </c>
      <c r="C697" s="273" t="str">
        <f>IFERROR(__xludf.DUMMYFUNCTION("""COMPUTED_VALUE"""),"反身")</f>
        <v>反身</v>
      </c>
      <c r="D697" s="668"/>
      <c r="E697" s="668"/>
      <c r="F697" s="342" t="str">
        <f>IFERROR(__xludf.DUMMYFUNCTION("""COMPUTED_VALUE"""),"反身")</f>
        <v>反身</v>
      </c>
      <c r="G697" s="668" t="str">
        <f>IFERROR(__xludf.DUMMYFUNCTION("""COMPUTED_VALUE"""),"反身")</f>
        <v>反身</v>
      </c>
      <c r="H697" s="669"/>
      <c r="I697" s="669"/>
      <c r="J697" s="669" t="str">
        <f>IFERROR(__xludf.DUMMYFUNCTION("""COMPUTED_VALUE"""),"再製作")</f>
        <v>再製作</v>
      </c>
      <c r="K697" s="669" t="str">
        <f>IFERROR(__xludf.DUMMYFUNCTION("""COMPUTED_VALUE"""),"再製作")</f>
        <v>再製作</v>
      </c>
      <c r="L697" s="670" t="str">
        <f>IFERROR(__xludf.DUMMYFUNCTION("""COMPUTED_VALUE"""),"再製作")</f>
        <v>再製作</v>
      </c>
      <c r="M697" s="670" t="str">
        <f>IFERROR(__xludf.DUMMYFUNCTION("""COMPUTED_VALUE"""),"再製作")</f>
        <v>再製作</v>
      </c>
      <c r="N697" s="669" t="str">
        <f>IFERROR(__xludf.DUMMYFUNCTION("""COMPUTED_VALUE"""),"再製作")</f>
        <v>再製作</v>
      </c>
      <c r="O697" s="183" t="str">
        <f>IFERROR(__xludf.DUMMYFUNCTION("""COMPUTED_VALUE"""),"再製作")</f>
        <v>再製作</v>
      </c>
      <c r="P697" s="183"/>
      <c r="Q697" s="183"/>
      <c r="R697" s="544"/>
      <c r="S697" s="544"/>
      <c r="T697" s="544"/>
      <c r="U697" s="544"/>
      <c r="V697" s="544"/>
      <c r="W697" s="544"/>
      <c r="X697" s="544"/>
      <c r="Y697" s="544"/>
      <c r="Z697" s="544"/>
      <c r="AA697" s="544"/>
      <c r="AB697" s="544"/>
      <c r="AC697" s="544"/>
      <c r="AD697" s="544"/>
      <c r="AE697" s="183"/>
      <c r="AF697" s="183"/>
      <c r="AG697" s="183"/>
      <c r="AH697" s="183"/>
      <c r="AI697" s="183"/>
      <c r="AJ697" s="183"/>
      <c r="AK697" s="183"/>
      <c r="AL697" s="183"/>
      <c r="AM697" s="183"/>
    </row>
    <row r="698">
      <c r="A698" s="273" t="str">
        <f>IFERROR(__xludf.DUMMYFUNCTION("""COMPUTED_VALUE"""),"サイズ")</f>
        <v>サイズ</v>
      </c>
      <c r="B698" s="273" t="str">
        <f>IFERROR(__xludf.DUMMYFUNCTION("""COMPUTED_VALUE"""),"ベスト")</f>
        <v>ベスト</v>
      </c>
      <c r="C698" s="273" t="str">
        <f>IFERROR(__xludf.DUMMYFUNCTION("""COMPUTED_VALUE"""),"屈身")</f>
        <v>屈身</v>
      </c>
      <c r="D698" s="668"/>
      <c r="E698" s="668"/>
      <c r="F698" s="342" t="str">
        <f>IFERROR(__xludf.DUMMYFUNCTION("""COMPUTED_VALUE"""),"屈身")</f>
        <v>屈身</v>
      </c>
      <c r="G698" s="668" t="str">
        <f>IFERROR(__xludf.DUMMYFUNCTION("""COMPUTED_VALUE"""),"屈身")</f>
        <v>屈身</v>
      </c>
      <c r="H698" s="669"/>
      <c r="I698" s="669"/>
      <c r="J698" s="669" t="str">
        <f>IFERROR(__xludf.DUMMYFUNCTION("""COMPUTED_VALUE"""),"再製作")</f>
        <v>再製作</v>
      </c>
      <c r="K698" s="669" t="str">
        <f>IFERROR(__xludf.DUMMYFUNCTION("""COMPUTED_VALUE"""),"再製作")</f>
        <v>再製作</v>
      </c>
      <c r="L698" s="670" t="str">
        <f>IFERROR(__xludf.DUMMYFUNCTION("""COMPUTED_VALUE"""),"再製作")</f>
        <v>再製作</v>
      </c>
      <c r="M698" s="670" t="str">
        <f>IFERROR(__xludf.DUMMYFUNCTION("""COMPUTED_VALUE"""),"再製作")</f>
        <v>再製作</v>
      </c>
      <c r="N698" s="669" t="str">
        <f>IFERROR(__xludf.DUMMYFUNCTION("""COMPUTED_VALUE"""),"再製作")</f>
        <v>再製作</v>
      </c>
      <c r="O698" s="183" t="str">
        <f>IFERROR(__xludf.DUMMYFUNCTION("""COMPUTED_VALUE"""),"再製作")</f>
        <v>再製作</v>
      </c>
      <c r="P698" s="183"/>
      <c r="Q698" s="183"/>
      <c r="R698" s="544"/>
      <c r="S698" s="544"/>
      <c r="T698" s="544"/>
      <c r="U698" s="544"/>
      <c r="V698" s="544"/>
      <c r="W698" s="544"/>
      <c r="X698" s="544"/>
      <c r="Y698" s="544"/>
      <c r="Z698" s="544"/>
      <c r="AA698" s="544"/>
      <c r="AB698" s="544"/>
      <c r="AC698" s="544"/>
      <c r="AD698" s="544"/>
      <c r="AE698" s="183"/>
      <c r="AF698" s="183"/>
      <c r="AG698" s="183"/>
      <c r="AH698" s="183"/>
      <c r="AI698" s="183"/>
      <c r="AJ698" s="183"/>
      <c r="AK698" s="183"/>
      <c r="AL698" s="183"/>
      <c r="AM698" s="183"/>
    </row>
    <row r="699">
      <c r="A699" s="273" t="str">
        <f>IFERROR(__xludf.DUMMYFUNCTION("""COMPUTED_VALUE"""),"縫製")</f>
        <v>縫製</v>
      </c>
      <c r="B699" s="273" t="str">
        <f>IFERROR(__xludf.DUMMYFUNCTION("""COMPUTED_VALUE"""),"ベスト")</f>
        <v>ベスト</v>
      </c>
      <c r="C699" s="273" t="str">
        <f>IFERROR(__xludf.DUMMYFUNCTION("""COMPUTED_VALUE"""),"地糸切れ (パンク) 縫いなおし")</f>
        <v>地糸切れ (パンク) 縫いなおし</v>
      </c>
      <c r="D699" s="668"/>
      <c r="E699" s="668"/>
      <c r="F699" s="342" t="str">
        <f>IFERROR(__xludf.DUMMYFUNCTION("""COMPUTED_VALUE"""),"地糸切れ (パンク) 縫いなおし")</f>
        <v>地糸切れ (パンク) 縫いなおし</v>
      </c>
      <c r="G699" s="668" t="str">
        <f>IFERROR(__xludf.DUMMYFUNCTION("""COMPUTED_VALUE"""),"地糸切れ (パンク) 縫いなおし")</f>
        <v>地糸切れ (パンク) 縫いなおし</v>
      </c>
      <c r="H699" s="669"/>
      <c r="I699" s="669" t="str">
        <f>IFERROR(__xludf.DUMMYFUNCTION("""COMPUTED_VALUE"""),"店舗/CS")</f>
        <v>店舗/CS</v>
      </c>
      <c r="J699" s="669"/>
      <c r="K699" s="669" t="str">
        <f>IFERROR(__xludf.DUMMYFUNCTION("""COMPUTED_VALUE"""),"約4週間")</f>
        <v>約4週間</v>
      </c>
      <c r="L699" s="670"/>
      <c r="M699" s="670"/>
      <c r="N699" s="674">
        <f>IFERROR(__xludf.DUMMYFUNCTION("""COMPUTED_VALUE"""),2480.0)</f>
        <v>2480</v>
      </c>
      <c r="O699" s="593">
        <f>IFERROR(__xludf.DUMMYFUNCTION("""COMPUTED_VALUE"""),2250.0)</f>
        <v>2250</v>
      </c>
      <c r="P699" s="594">
        <f>IFERROR(__xludf.DUMMYFUNCTION("""COMPUTED_VALUE"""),1500.0)</f>
        <v>1500</v>
      </c>
      <c r="Q699" s="183"/>
      <c r="R699" s="544"/>
      <c r="S699" s="544"/>
      <c r="T699" s="544"/>
      <c r="U699" s="544"/>
      <c r="V699" s="544"/>
      <c r="W699" s="544"/>
      <c r="X699" s="544"/>
      <c r="Y699" s="544"/>
      <c r="Z699" s="544"/>
      <c r="AA699" s="544"/>
      <c r="AB699" s="544"/>
      <c r="AC699" s="544"/>
      <c r="AD699" s="544"/>
      <c r="AE699" s="183"/>
      <c r="AF699" s="183"/>
      <c r="AG699" s="183"/>
      <c r="AH699" s="183"/>
      <c r="AI699" s="183"/>
      <c r="AJ699" s="183"/>
      <c r="AK699" s="183"/>
      <c r="AL699" s="183"/>
      <c r="AM699" s="183"/>
    </row>
    <row r="700">
      <c r="A700" s="273" t="str">
        <f>IFERROR(__xludf.DUMMYFUNCTION("""COMPUTED_VALUE"""),"縫製")</f>
        <v>縫製</v>
      </c>
      <c r="B700" s="273" t="str">
        <f>IFERROR(__xludf.DUMMYFUNCTION("""COMPUTED_VALUE"""),"ベスト")</f>
        <v>ベスト</v>
      </c>
      <c r="C700" s="273" t="str">
        <f>IFERROR(__xludf.DUMMYFUNCTION("""COMPUTED_VALUE"""),"ベルトループ交換")</f>
        <v>ベルトループ交換</v>
      </c>
      <c r="D700" s="668"/>
      <c r="E700" s="668"/>
      <c r="F700" s="342" t="str">
        <f>IFERROR(__xludf.DUMMYFUNCTION("""COMPUTED_VALUE"""),"ベルトループ交換")</f>
        <v>ベルトループ交換</v>
      </c>
      <c r="G700" s="668" t="str">
        <f>IFERROR(__xludf.DUMMYFUNCTION("""COMPUTED_VALUE"""),"ベルトループ交換")</f>
        <v>ベルトループ交換</v>
      </c>
      <c r="H700" s="669"/>
      <c r="I700" s="669" t="str">
        <f>IFERROR(__xludf.DUMMYFUNCTION("""COMPUTED_VALUE"""),"店舗/CS")</f>
        <v>店舗/CS</v>
      </c>
      <c r="J700" s="669"/>
      <c r="K700" s="673">
        <f>IFERROR(__xludf.DUMMYFUNCTION("""COMPUTED_VALUE"""),45991.0)</f>
        <v>45991</v>
      </c>
      <c r="L700" s="670"/>
      <c r="M700" s="670"/>
      <c r="N700" s="674">
        <f>IFERROR(__xludf.DUMMYFUNCTION("""COMPUTED_VALUE"""),2530.0)</f>
        <v>2530</v>
      </c>
      <c r="O700" s="593">
        <f>IFERROR(__xludf.DUMMYFUNCTION("""COMPUTED_VALUE"""),2300.0)</f>
        <v>2300</v>
      </c>
      <c r="P700" s="594">
        <f>IFERROR(__xludf.DUMMYFUNCTION("""COMPUTED_VALUE"""),1500.0)</f>
        <v>1500</v>
      </c>
      <c r="Q700" s="183"/>
      <c r="R700" s="544"/>
      <c r="S700" s="544"/>
      <c r="T700" s="544"/>
      <c r="U700" s="544"/>
      <c r="V700" s="544"/>
      <c r="W700" s="544"/>
      <c r="X700" s="544"/>
      <c r="Y700" s="544"/>
      <c r="Z700" s="544"/>
      <c r="AA700" s="544"/>
      <c r="AB700" s="544"/>
      <c r="AC700" s="544"/>
      <c r="AD700" s="544"/>
      <c r="AE700" s="183"/>
      <c r="AF700" s="183"/>
      <c r="AG700" s="183"/>
      <c r="AH700" s="183"/>
      <c r="AI700" s="183"/>
      <c r="AJ700" s="183"/>
      <c r="AK700" s="183"/>
      <c r="AL700" s="183"/>
      <c r="AM700" s="183"/>
    </row>
    <row r="701">
      <c r="A701" s="273" t="str">
        <f>IFERROR(__xludf.DUMMYFUNCTION("""COMPUTED_VALUE"""),"縫製")</f>
        <v>縫製</v>
      </c>
      <c r="B701" s="273" t="str">
        <f>IFERROR(__xludf.DUMMYFUNCTION("""COMPUTED_VALUE"""),"ベスト")</f>
        <v>ベスト</v>
      </c>
      <c r="C701" s="273" t="str">
        <f>IFERROR(__xludf.DUMMYFUNCTION("""COMPUTED_VALUE"""),"裏地ほつれ補修 ")</f>
        <v>裏地ほつれ補修 </v>
      </c>
      <c r="D701" s="668"/>
      <c r="E701" s="668" t="str">
        <f>IFERROR(__xludf.DUMMYFUNCTION("""COMPUTED_VALUE"""),"すそ裏地ほつれお直し")</f>
        <v>すそ裏地ほつれお直し</v>
      </c>
      <c r="F701" s="342" t="str">
        <f>IFERROR(__xludf.DUMMYFUNCTION("""COMPUTED_VALUE"""),"裏地ほつれ補修 ")</f>
        <v>裏地ほつれ補修 </v>
      </c>
      <c r="G701" s="668" t="str">
        <f>IFERROR(__xludf.DUMMYFUNCTION("""COMPUTED_VALUE"""),"裏地ほつれ補修 （すそ裏地ほつれお直し）")</f>
        <v>裏地ほつれ補修 （すそ裏地ほつれお直し）</v>
      </c>
      <c r="H701" s="669"/>
      <c r="I701" s="669" t="str">
        <f>IFERROR(__xludf.DUMMYFUNCTION("""COMPUTED_VALUE"""),"店舗/CS")</f>
        <v>店舗/CS</v>
      </c>
      <c r="J701" s="669"/>
      <c r="K701" s="673">
        <f>IFERROR(__xludf.DUMMYFUNCTION("""COMPUTED_VALUE"""),45991.0)</f>
        <v>45991</v>
      </c>
      <c r="L701" s="670"/>
      <c r="M701" s="670"/>
      <c r="N701" s="674">
        <f>IFERROR(__xludf.DUMMYFUNCTION("""COMPUTED_VALUE"""),2530.0)</f>
        <v>2530</v>
      </c>
      <c r="O701" s="593">
        <f>IFERROR(__xludf.DUMMYFUNCTION("""COMPUTED_VALUE"""),2300.0)</f>
        <v>2300</v>
      </c>
      <c r="P701" s="594">
        <f>IFERROR(__xludf.DUMMYFUNCTION("""COMPUTED_VALUE"""),1500.0)</f>
        <v>1500</v>
      </c>
      <c r="Q701" s="183"/>
      <c r="R701" s="544"/>
      <c r="S701" s="544"/>
      <c r="T701" s="544"/>
      <c r="U701" s="544"/>
      <c r="V701" s="544"/>
      <c r="W701" s="544"/>
      <c r="X701" s="544"/>
      <c r="Y701" s="544"/>
      <c r="Z701" s="544"/>
      <c r="AA701" s="544"/>
      <c r="AB701" s="544"/>
      <c r="AC701" s="544"/>
      <c r="AD701" s="544"/>
      <c r="AE701" s="183"/>
      <c r="AF701" s="183"/>
      <c r="AG701" s="183"/>
      <c r="AH701" s="183"/>
      <c r="AI701" s="183"/>
      <c r="AJ701" s="183"/>
      <c r="AK701" s="183"/>
      <c r="AL701" s="183"/>
      <c r="AM701" s="183"/>
    </row>
    <row r="702">
      <c r="A702" s="273" t="str">
        <f>IFERROR(__xludf.DUMMYFUNCTION("""COMPUTED_VALUE"""),"縫製")</f>
        <v>縫製</v>
      </c>
      <c r="B702" s="273" t="str">
        <f>IFERROR(__xludf.DUMMYFUNCTION("""COMPUTED_VALUE"""),"ベスト")</f>
        <v>ベスト</v>
      </c>
      <c r="C702" s="273" t="str">
        <f>IFERROR(__xludf.DUMMYFUNCTION("""COMPUTED_VALUE"""),"かけはぎ　縦横5㎝×5cm以内")</f>
        <v>かけはぎ　縦横5㎝×5cm以内</v>
      </c>
      <c r="D702" s="668"/>
      <c r="E702" s="668" t="str">
        <f>IFERROR(__xludf.DUMMYFUNCTION("""COMPUTED_VALUE"""),"※ 共布必要
股ずれ等の生地が摩耗している場合、繊維をつむぐことが出来ない為、対応不可。")</f>
        <v>※ 共布必要
股ずれ等の生地が摩耗している場合、繊維をつむぐことが出来ない為、対応不可。</v>
      </c>
      <c r="F702" s="342" t="str">
        <f>IFERROR(__xludf.DUMMYFUNCTION("""COMPUTED_VALUE"""),"かけはぎ　縦横5㎝×5cm以内")</f>
        <v>かけはぎ　縦横5㎝×5cm以内</v>
      </c>
      <c r="G702" s="668" t="str">
        <f>IFERROR(__xludf.DUMMYFUNCTION("""COMPUTED_VALUE"""),"かけはぎ　縦横5㎝×5cm以内（※ 共布必要
股ずれ等の生地が摩耗している場合、繊維をつむぐことが出来ない為、対応不可。）")</f>
        <v>かけはぎ　縦横5㎝×5cm以内（※ 共布必要
股ずれ等の生地が摩耗している場合、繊維をつむぐことが出来ない為、対応不可。）</v>
      </c>
      <c r="H702" s="669"/>
      <c r="I702" s="669" t="str">
        <f>IFERROR(__xludf.DUMMYFUNCTION("""COMPUTED_VALUE"""),"店舗/CS")</f>
        <v>店舗/CS</v>
      </c>
      <c r="J702" s="669"/>
      <c r="K702" s="669" t="str">
        <f>IFERROR(__xludf.DUMMYFUNCTION("""COMPUTED_VALUE"""),"約4週間")</f>
        <v>約4週間</v>
      </c>
      <c r="L702" s="670"/>
      <c r="M702" s="670"/>
      <c r="N702" s="674">
        <f>IFERROR(__xludf.DUMMYFUNCTION("""COMPUTED_VALUE"""),22440.0)</f>
        <v>22440</v>
      </c>
      <c r="O702" s="593">
        <f>IFERROR(__xludf.DUMMYFUNCTION("""COMPUTED_VALUE"""),20400.0)</f>
        <v>20400</v>
      </c>
      <c r="P702" s="594" t="str">
        <f>IFERROR(__xludf.DUMMYFUNCTION("""COMPUTED_VALUE"""),"未定")</f>
        <v>未定</v>
      </c>
      <c r="Q702" s="183"/>
      <c r="R702" s="544"/>
      <c r="S702" s="544"/>
      <c r="T702" s="544"/>
      <c r="U702" s="544"/>
      <c r="V702" s="544"/>
      <c r="W702" s="544"/>
      <c r="X702" s="544"/>
      <c r="Y702" s="544"/>
      <c r="Z702" s="544"/>
      <c r="AA702" s="544"/>
      <c r="AB702" s="544"/>
      <c r="AC702" s="544"/>
      <c r="AD702" s="544"/>
      <c r="AE702" s="183"/>
      <c r="AF702" s="183"/>
      <c r="AG702" s="183"/>
      <c r="AH702" s="183"/>
      <c r="AI702" s="183"/>
      <c r="AJ702" s="183"/>
      <c r="AK702" s="183"/>
      <c r="AL702" s="183"/>
      <c r="AM702" s="183"/>
    </row>
    <row r="703">
      <c r="A703" s="273" t="str">
        <f>IFERROR(__xludf.DUMMYFUNCTION("""COMPUTED_VALUE"""),"縫製")</f>
        <v>縫製</v>
      </c>
      <c r="B703" s="273" t="str">
        <f>IFERROR(__xludf.DUMMYFUNCTION("""COMPUTED_VALUE"""),"ベスト")</f>
        <v>ベスト</v>
      </c>
      <c r="C703" s="273" t="str">
        <f>IFERROR(__xludf.DUMMYFUNCTION("""COMPUTED_VALUE"""),"タタキ (小) 4cm四方以内")</f>
        <v>タタキ (小) 4cm四方以内</v>
      </c>
      <c r="D703" s="668"/>
      <c r="E703" s="668" t="str">
        <f>IFERROR(__xludf.DUMMYFUNCTION("""COMPUTED_VALUE"""),"補修布必要。似寄り生地で対応可")</f>
        <v>補修布必要。似寄り生地で対応可</v>
      </c>
      <c r="F703" s="342" t="str">
        <f>IFERROR(__xludf.DUMMYFUNCTION("""COMPUTED_VALUE"""),"タタキ (小) 4cm四方以内")</f>
        <v>タタキ (小) 4cm四方以内</v>
      </c>
      <c r="G703" s="668" t="str">
        <f>IFERROR(__xludf.DUMMYFUNCTION("""COMPUTED_VALUE"""),"タタキ (小) 4cm四方以内（補修布必要。似寄り生地で対応可）")</f>
        <v>タタキ (小) 4cm四方以内（補修布必要。似寄り生地で対応可）</v>
      </c>
      <c r="H703" s="669"/>
      <c r="I703" s="669" t="str">
        <f>IFERROR(__xludf.DUMMYFUNCTION("""COMPUTED_VALUE"""),"店舗/CS")</f>
        <v>店舗/CS</v>
      </c>
      <c r="J703" s="669">
        <f>IFERROR(__xludf.DUMMYFUNCTION("""COMPUTED_VALUE"""),7.0)</f>
        <v>7</v>
      </c>
      <c r="K703" s="673">
        <f>IFERROR(__xludf.DUMMYFUNCTION("""COMPUTED_VALUE"""),46000.0)</f>
        <v>46000</v>
      </c>
      <c r="L703" s="670"/>
      <c r="M703" s="670"/>
      <c r="N703" s="674">
        <f>IFERROR(__xludf.DUMMYFUNCTION("""COMPUTED_VALUE"""),1320.0)</f>
        <v>1320</v>
      </c>
      <c r="O703" s="593">
        <f>IFERROR(__xludf.DUMMYFUNCTION("""COMPUTED_VALUE"""),1200.0)</f>
        <v>1200</v>
      </c>
      <c r="P703" s="594">
        <f>IFERROR(__xludf.DUMMYFUNCTION("""COMPUTED_VALUE"""),800.0)</f>
        <v>800</v>
      </c>
      <c r="Q703" s="183"/>
      <c r="R703" s="544"/>
      <c r="S703" s="544"/>
      <c r="T703" s="544"/>
      <c r="U703" s="544"/>
      <c r="V703" s="544"/>
      <c r="W703" s="544"/>
      <c r="X703" s="544"/>
      <c r="Y703" s="544"/>
      <c r="Z703" s="544"/>
      <c r="AA703" s="544"/>
      <c r="AB703" s="544"/>
      <c r="AC703" s="544"/>
      <c r="AD703" s="544"/>
      <c r="AE703" s="183"/>
      <c r="AF703" s="183"/>
      <c r="AG703" s="183"/>
      <c r="AH703" s="183"/>
      <c r="AI703" s="183"/>
      <c r="AJ703" s="183"/>
      <c r="AK703" s="183"/>
      <c r="AL703" s="183"/>
      <c r="AM703" s="183"/>
    </row>
    <row r="704">
      <c r="A704" s="273" t="str">
        <f>IFERROR(__xludf.DUMMYFUNCTION("""COMPUTED_VALUE"""),"縫製")</f>
        <v>縫製</v>
      </c>
      <c r="B704" s="273" t="str">
        <f>IFERROR(__xludf.DUMMYFUNCTION("""COMPUTED_VALUE"""),"ベスト")</f>
        <v>ベスト</v>
      </c>
      <c r="C704" s="273" t="str">
        <f>IFERROR(__xludf.DUMMYFUNCTION("""COMPUTED_VALUE"""),"タタキ (大) 4㎝四方以上")</f>
        <v>タタキ (大) 4㎝四方以上</v>
      </c>
      <c r="D704" s="668"/>
      <c r="E704" s="668" t="str">
        <f>IFERROR(__xludf.DUMMYFUNCTION("""COMPUTED_VALUE"""),"※技術的には10cm四方以上も修繕できるが、5cm×5cm以上は見た目としても、耐久性としても品質担保ができない")</f>
        <v>※技術的には10cm四方以上も修繕できるが、5cm×5cm以上は見た目としても、耐久性としても品質担保ができない</v>
      </c>
      <c r="F704" s="342" t="str">
        <f>IFERROR(__xludf.DUMMYFUNCTION("""COMPUTED_VALUE"""),"タタキ (大) 4㎝四方以上")</f>
        <v>タタキ (大) 4㎝四方以上</v>
      </c>
      <c r="G704" s="668" t="str">
        <f>IFERROR(__xludf.DUMMYFUNCTION("""COMPUTED_VALUE"""),"タタキ (大) 4㎝四方以上（※技術的には10cm四方以上も修繕できるが、5cm×5cm以上は見た目としても、耐久性としても品質担保ができない）")</f>
        <v>タタキ (大) 4㎝四方以上（※技術的には10cm四方以上も修繕できるが、5cm×5cm以上は見た目としても、耐久性としても品質担保ができない）</v>
      </c>
      <c r="H704" s="669"/>
      <c r="I704" s="669" t="str">
        <f>IFERROR(__xludf.DUMMYFUNCTION("""COMPUTED_VALUE"""),"SCM⇄TB")</f>
        <v>SCM⇄TB</v>
      </c>
      <c r="J704" s="669">
        <f>IFERROR(__xludf.DUMMYFUNCTION("""COMPUTED_VALUE"""),7.0)</f>
        <v>7</v>
      </c>
      <c r="K704" s="673">
        <f>IFERROR(__xludf.DUMMYFUNCTION("""COMPUTED_VALUE"""),46000.0)</f>
        <v>46000</v>
      </c>
      <c r="L704" s="670"/>
      <c r="M704" s="670"/>
      <c r="N704" s="674">
        <f>IFERROR(__xludf.DUMMYFUNCTION("""COMPUTED_VALUE"""),2530.0)</f>
        <v>2530</v>
      </c>
      <c r="O704" s="593">
        <f>IFERROR(__xludf.DUMMYFUNCTION("""COMPUTED_VALUE"""),2300.0)</f>
        <v>2300</v>
      </c>
      <c r="P704" s="594">
        <f>IFERROR(__xludf.DUMMYFUNCTION("""COMPUTED_VALUE"""),1400.0)</f>
        <v>1400</v>
      </c>
      <c r="Q704" s="183"/>
      <c r="R704" s="544"/>
      <c r="S704" s="544"/>
      <c r="T704" s="544"/>
      <c r="U704" s="544"/>
      <c r="V704" s="544"/>
      <c r="W704" s="544"/>
      <c r="X704" s="544"/>
      <c r="Y704" s="544"/>
      <c r="Z704" s="544"/>
      <c r="AA704" s="544"/>
      <c r="AB704" s="544"/>
      <c r="AC704" s="544"/>
      <c r="AD704" s="544"/>
      <c r="AE704" s="183"/>
      <c r="AF704" s="183"/>
      <c r="AG704" s="183"/>
      <c r="AH704" s="183"/>
      <c r="AI704" s="183"/>
      <c r="AJ704" s="183"/>
      <c r="AK704" s="183"/>
      <c r="AL704" s="183"/>
      <c r="AM704" s="183"/>
    </row>
    <row r="705">
      <c r="A705" s="273" t="str">
        <f>IFERROR(__xludf.DUMMYFUNCTION("""COMPUTED_VALUE"""),"サイズ")</f>
        <v>サイズ</v>
      </c>
      <c r="B705" s="273" t="str">
        <f>IFERROR(__xludf.DUMMYFUNCTION("""COMPUTED_VALUE"""),"ポロシャツ")</f>
        <v>ポロシャツ</v>
      </c>
      <c r="C705" s="675" t="str">
        <f>IFERROR(__xludf.DUMMYFUNCTION("""COMPUTED_VALUE"""),"仕上げプレス")</f>
        <v>仕上げプレス</v>
      </c>
      <c r="D705" s="668"/>
      <c r="E705" s="668"/>
      <c r="F705" s="607" t="str">
        <f>IFERROR(__xludf.DUMMYFUNCTION("""COMPUTED_VALUE"""),"仕上げプレス")</f>
        <v>仕上げプレス</v>
      </c>
      <c r="G705" s="676" t="str">
        <f>IFERROR(__xludf.DUMMYFUNCTION("""COMPUTED_VALUE"""),"仕上げプレス")</f>
        <v>仕上げプレス</v>
      </c>
      <c r="H705" s="669"/>
      <c r="I705" s="669" t="str">
        <f>IFERROR(__xludf.DUMMYFUNCTION("""COMPUTED_VALUE"""),"店舗/CS")</f>
        <v>店舗/CS</v>
      </c>
      <c r="J705" s="669"/>
      <c r="K705" s="669"/>
      <c r="L705" s="670"/>
      <c r="M705" s="670"/>
      <c r="N705" s="674">
        <f>IFERROR(__xludf.DUMMYFUNCTION("""COMPUTED_VALUE"""),250.0)</f>
        <v>250</v>
      </c>
      <c r="O705" s="593">
        <f>IFERROR(__xludf.DUMMYFUNCTION("""COMPUTED_VALUE"""),227.0)</f>
        <v>227</v>
      </c>
      <c r="P705" s="594">
        <f>IFERROR(__xludf.DUMMYFUNCTION("""COMPUTED_VALUE"""),150.0)</f>
        <v>150</v>
      </c>
      <c r="Q705" s="183"/>
      <c r="R705" s="544"/>
      <c r="S705" s="544"/>
      <c r="T705" s="544"/>
      <c r="U705" s="544"/>
      <c r="V705" s="544"/>
      <c r="W705" s="544"/>
      <c r="X705" s="544"/>
      <c r="Y705" s="544"/>
      <c r="Z705" s="544"/>
      <c r="AA705" s="544"/>
      <c r="AB705" s="544"/>
      <c r="AC705" s="544"/>
      <c r="AD705" s="544"/>
      <c r="AE705" s="183"/>
      <c r="AF705" s="183"/>
      <c r="AG705" s="183"/>
      <c r="AH705" s="183"/>
      <c r="AI705" s="183"/>
      <c r="AJ705" s="183"/>
      <c r="AK705" s="183"/>
      <c r="AL705" s="183"/>
      <c r="AM705" s="183"/>
    </row>
    <row r="706">
      <c r="A706" s="273" t="str">
        <f>IFERROR(__xludf.DUMMYFUNCTION("""COMPUTED_VALUE"""),"縫製")</f>
        <v>縫製</v>
      </c>
      <c r="B706" s="273" t="str">
        <f>IFERROR(__xludf.DUMMYFUNCTION("""COMPUTED_VALUE"""),"ポロシャツ")</f>
        <v>ポロシャツ</v>
      </c>
      <c r="C706" s="273" t="str">
        <f>IFERROR(__xludf.DUMMYFUNCTION("""COMPUTED_VALUE"""),"仕上げプレス")</f>
        <v>仕上げプレス</v>
      </c>
      <c r="D706" s="668"/>
      <c r="E706" s="668"/>
      <c r="F706" s="342" t="str">
        <f>IFERROR(__xludf.DUMMYFUNCTION("""COMPUTED_VALUE"""),"仕上げプレス")</f>
        <v>仕上げプレス</v>
      </c>
      <c r="G706" s="668" t="str">
        <f>IFERROR(__xludf.DUMMYFUNCTION("""COMPUTED_VALUE"""),"仕上げプレス")</f>
        <v>仕上げプレス</v>
      </c>
      <c r="H706" s="669"/>
      <c r="I706" s="669" t="str">
        <f>IFERROR(__xludf.DUMMYFUNCTION("""COMPUTED_VALUE"""),"店舗/CS")</f>
        <v>店舗/CS</v>
      </c>
      <c r="J706" s="669"/>
      <c r="K706" s="669"/>
      <c r="L706" s="670"/>
      <c r="M706" s="670"/>
      <c r="N706" s="674">
        <f>IFERROR(__xludf.DUMMYFUNCTION("""COMPUTED_VALUE"""),550.0)</f>
        <v>550</v>
      </c>
      <c r="O706" s="593">
        <f>IFERROR(__xludf.DUMMYFUNCTION("""COMPUTED_VALUE"""),500.0)</f>
        <v>500</v>
      </c>
      <c r="P706" s="594">
        <f>IFERROR(__xludf.DUMMYFUNCTION("""COMPUTED_VALUE"""),150.0)</f>
        <v>150</v>
      </c>
      <c r="Q706" s="183"/>
      <c r="R706" s="544"/>
      <c r="S706" s="544"/>
      <c r="T706" s="544"/>
      <c r="U706" s="544"/>
      <c r="V706" s="544"/>
      <c r="W706" s="544"/>
      <c r="X706" s="544"/>
      <c r="Y706" s="544"/>
      <c r="Z706" s="544"/>
      <c r="AA706" s="544"/>
      <c r="AB706" s="544"/>
      <c r="AC706" s="544"/>
      <c r="AD706" s="544"/>
      <c r="AE706" s="183"/>
      <c r="AF706" s="183"/>
      <c r="AG706" s="183"/>
      <c r="AH706" s="183"/>
      <c r="AI706" s="183"/>
      <c r="AJ706" s="183"/>
      <c r="AK706" s="183"/>
      <c r="AL706" s="183"/>
      <c r="AM706" s="183"/>
    </row>
    <row r="707">
      <c r="A707" s="273" t="str">
        <f>IFERROR(__xludf.DUMMYFUNCTION("""COMPUTED_VALUE"""),"サイズ")</f>
        <v>サイズ</v>
      </c>
      <c r="B707" s="273" t="str">
        <f>IFERROR(__xludf.DUMMYFUNCTION("""COMPUTED_VALUE"""),"ポロシャツ")</f>
        <v>ポロシャツ</v>
      </c>
      <c r="C707" s="273" t="str">
        <f>IFERROR(__xludf.DUMMYFUNCTION("""COMPUTED_VALUE"""),"肩巾")</f>
        <v>肩巾</v>
      </c>
      <c r="D707" s="668"/>
      <c r="E707" s="668"/>
      <c r="F707" s="342" t="str">
        <f>IFERROR(__xludf.DUMMYFUNCTION("""COMPUTED_VALUE"""),"肩巾")</f>
        <v>肩巾</v>
      </c>
      <c r="G707" s="668" t="str">
        <f>IFERROR(__xludf.DUMMYFUNCTION("""COMPUTED_VALUE"""),"肩巾")</f>
        <v>肩巾</v>
      </c>
      <c r="H707" s="669"/>
      <c r="I707" s="669"/>
      <c r="J707" s="669" t="str">
        <f>IFERROR(__xludf.DUMMYFUNCTION("""COMPUTED_VALUE"""),"再製作")</f>
        <v>再製作</v>
      </c>
      <c r="K707" s="669" t="str">
        <f>IFERROR(__xludf.DUMMYFUNCTION("""COMPUTED_VALUE"""),"再製作")</f>
        <v>再製作</v>
      </c>
      <c r="L707" s="670" t="str">
        <f>IFERROR(__xludf.DUMMYFUNCTION("""COMPUTED_VALUE"""),"再製作")</f>
        <v>再製作</v>
      </c>
      <c r="M707" s="670" t="str">
        <f>IFERROR(__xludf.DUMMYFUNCTION("""COMPUTED_VALUE"""),"再製作")</f>
        <v>再製作</v>
      </c>
      <c r="N707" s="669" t="str">
        <f>IFERROR(__xludf.DUMMYFUNCTION("""COMPUTED_VALUE"""),"再製作")</f>
        <v>再製作</v>
      </c>
      <c r="O707" s="183" t="str">
        <f>IFERROR(__xludf.DUMMYFUNCTION("""COMPUTED_VALUE"""),"再製作")</f>
        <v>再製作</v>
      </c>
      <c r="P707" s="183"/>
      <c r="Q707" s="183"/>
      <c r="R707" s="544"/>
      <c r="S707" s="544"/>
      <c r="T707" s="544"/>
      <c r="U707" s="544"/>
      <c r="V707" s="544"/>
      <c r="W707" s="544"/>
      <c r="X707" s="544"/>
      <c r="Y707" s="544"/>
      <c r="Z707" s="544"/>
      <c r="AA707" s="544"/>
      <c r="AB707" s="544"/>
      <c r="AC707" s="544"/>
      <c r="AD707" s="544"/>
      <c r="AE707" s="183"/>
      <c r="AF707" s="183"/>
      <c r="AG707" s="183"/>
      <c r="AH707" s="183"/>
      <c r="AI707" s="183"/>
      <c r="AJ707" s="183"/>
      <c r="AK707" s="183"/>
      <c r="AL707" s="183"/>
      <c r="AM707" s="183"/>
    </row>
    <row r="708">
      <c r="A708" s="273" t="str">
        <f>IFERROR(__xludf.DUMMYFUNCTION("""COMPUTED_VALUE"""),"サイズ")</f>
        <v>サイズ</v>
      </c>
      <c r="B708" s="273" t="str">
        <f>IFERROR(__xludf.DUMMYFUNCTION("""COMPUTED_VALUE"""),"ポロシャツ")</f>
        <v>ポロシャツ</v>
      </c>
      <c r="C708" s="273" t="str">
        <f>IFERROR(__xludf.DUMMYFUNCTION("""COMPUTED_VALUE"""),"バスト")</f>
        <v>バスト</v>
      </c>
      <c r="D708" s="668"/>
      <c r="E708" s="668"/>
      <c r="F708" s="342" t="str">
        <f>IFERROR(__xludf.DUMMYFUNCTION("""COMPUTED_VALUE"""),"バスト")</f>
        <v>バスト</v>
      </c>
      <c r="G708" s="668" t="str">
        <f>IFERROR(__xludf.DUMMYFUNCTION("""COMPUTED_VALUE"""),"バスト")</f>
        <v>バスト</v>
      </c>
      <c r="H708" s="672" t="str">
        <f>IFERROR(__xludf.DUMMYFUNCTION("""COMPUTED_VALUE"""),"-2")</f>
        <v>-2</v>
      </c>
      <c r="I708" s="669"/>
      <c r="J708" s="669">
        <f>IFERROR(__xludf.DUMMYFUNCTION("""COMPUTED_VALUE"""),7.0)</f>
        <v>7</v>
      </c>
      <c r="K708" s="673">
        <f>IFERROR(__xludf.DUMMYFUNCTION("""COMPUTED_VALUE"""),46000.0)</f>
        <v>46000</v>
      </c>
      <c r="L708" s="670">
        <f>IFERROR(__xludf.DUMMYFUNCTION("""COMPUTED_VALUE"""),46003.0)</f>
        <v>46003</v>
      </c>
      <c r="M708" s="670">
        <f>IFERROR(__xludf.DUMMYFUNCTION("""COMPUTED_VALUE"""),46008.0)</f>
        <v>46008</v>
      </c>
      <c r="N708" s="674">
        <f>IFERROR(__xludf.DUMMYFUNCTION("""COMPUTED_VALUE"""),5780.0)</f>
        <v>5780</v>
      </c>
      <c r="O708" s="593">
        <f>IFERROR(__xludf.DUMMYFUNCTION("""COMPUTED_VALUE"""),5250.0)</f>
        <v>5250</v>
      </c>
      <c r="P708" s="594">
        <f>IFERROR(__xludf.DUMMYFUNCTION("""COMPUTED_VALUE"""),3500.0)</f>
        <v>3500</v>
      </c>
      <c r="Q708" s="183"/>
      <c r="R708" s="544"/>
      <c r="S708" s="544"/>
      <c r="T708" s="544"/>
      <c r="U708" s="544"/>
      <c r="V708" s="544"/>
      <c r="W708" s="544"/>
      <c r="X708" s="544"/>
      <c r="Y708" s="544"/>
      <c r="Z708" s="544"/>
      <c r="AA708" s="544"/>
      <c r="AB708" s="544"/>
      <c r="AC708" s="544"/>
      <c r="AD708" s="544"/>
      <c r="AE708" s="183"/>
      <c r="AF708" s="183"/>
      <c r="AG708" s="183"/>
      <c r="AH708" s="183"/>
      <c r="AI708" s="183"/>
      <c r="AJ708" s="183"/>
      <c r="AK708" s="183"/>
      <c r="AL708" s="183"/>
      <c r="AM708" s="183"/>
    </row>
    <row r="709">
      <c r="A709" s="273" t="str">
        <f>IFERROR(__xludf.DUMMYFUNCTION("""COMPUTED_VALUE"""),"サイズ")</f>
        <v>サイズ</v>
      </c>
      <c r="B709" s="273" t="str">
        <f>IFERROR(__xludf.DUMMYFUNCTION("""COMPUTED_VALUE"""),"ポロシャツ")</f>
        <v>ポロシャツ</v>
      </c>
      <c r="C709" s="273" t="str">
        <f>IFERROR(__xludf.DUMMYFUNCTION("""COMPUTED_VALUE"""),"バスト")</f>
        <v>バスト</v>
      </c>
      <c r="D709" s="668"/>
      <c r="E709" s="668"/>
      <c r="F709" s="342" t="str">
        <f>IFERROR(__xludf.DUMMYFUNCTION("""COMPUTED_VALUE"""),"バスト")</f>
        <v>バスト</v>
      </c>
      <c r="G709" s="668" t="str">
        <f>IFERROR(__xludf.DUMMYFUNCTION("""COMPUTED_VALUE"""),"バスト")</f>
        <v>バスト</v>
      </c>
      <c r="H709" s="672" t="str">
        <f>IFERROR(__xludf.DUMMYFUNCTION("""COMPUTED_VALUE"""),"-1")</f>
        <v>-1</v>
      </c>
      <c r="I709" s="669"/>
      <c r="J709" s="669">
        <f>IFERROR(__xludf.DUMMYFUNCTION("""COMPUTED_VALUE"""),7.0)</f>
        <v>7</v>
      </c>
      <c r="K709" s="673">
        <f>IFERROR(__xludf.DUMMYFUNCTION("""COMPUTED_VALUE"""),46000.0)</f>
        <v>46000</v>
      </c>
      <c r="L709" s="670">
        <f>IFERROR(__xludf.DUMMYFUNCTION("""COMPUTED_VALUE"""),46003.0)</f>
        <v>46003</v>
      </c>
      <c r="M709" s="670">
        <f>IFERROR(__xludf.DUMMYFUNCTION("""COMPUTED_VALUE"""),46008.0)</f>
        <v>46008</v>
      </c>
      <c r="N709" s="674">
        <f>IFERROR(__xludf.DUMMYFUNCTION("""COMPUTED_VALUE"""),5780.0)</f>
        <v>5780</v>
      </c>
      <c r="O709" s="593">
        <f>IFERROR(__xludf.DUMMYFUNCTION("""COMPUTED_VALUE"""),5250.0)</f>
        <v>5250</v>
      </c>
      <c r="P709" s="594">
        <f>IFERROR(__xludf.DUMMYFUNCTION("""COMPUTED_VALUE"""),3500.0)</f>
        <v>3500</v>
      </c>
      <c r="Q709" s="183"/>
      <c r="R709" s="544"/>
      <c r="S709" s="544"/>
      <c r="T709" s="544"/>
      <c r="U709" s="544"/>
      <c r="V709" s="544"/>
      <c r="W709" s="544"/>
      <c r="X709" s="544"/>
      <c r="Y709" s="544"/>
      <c r="Z709" s="544"/>
      <c r="AA709" s="544"/>
      <c r="AB709" s="544"/>
      <c r="AC709" s="544"/>
      <c r="AD709" s="544"/>
      <c r="AE709" s="183"/>
      <c r="AF709" s="183"/>
      <c r="AG709" s="183"/>
      <c r="AH709" s="183"/>
      <c r="AI709" s="183"/>
      <c r="AJ709" s="183"/>
      <c r="AK709" s="183"/>
      <c r="AL709" s="183"/>
      <c r="AM709" s="183"/>
    </row>
    <row r="710">
      <c r="A710" s="273" t="str">
        <f>IFERROR(__xludf.DUMMYFUNCTION("""COMPUTED_VALUE"""),"サイズ")</f>
        <v>サイズ</v>
      </c>
      <c r="B710" s="273" t="str">
        <f>IFERROR(__xludf.DUMMYFUNCTION("""COMPUTED_VALUE"""),"ポロシャツ")</f>
        <v>ポロシャツ</v>
      </c>
      <c r="C710" s="273" t="str">
        <f>IFERROR(__xludf.DUMMYFUNCTION("""COMPUTED_VALUE"""),"ウエスト")</f>
        <v>ウエスト</v>
      </c>
      <c r="D710" s="668"/>
      <c r="E710" s="668"/>
      <c r="F710" s="342" t="str">
        <f>IFERROR(__xludf.DUMMYFUNCTION("""COMPUTED_VALUE"""),"ウエスト")</f>
        <v>ウエスト</v>
      </c>
      <c r="G710" s="668" t="str">
        <f>IFERROR(__xludf.DUMMYFUNCTION("""COMPUTED_VALUE"""),"ウエスト")</f>
        <v>ウエスト</v>
      </c>
      <c r="H710" s="672" t="str">
        <f>IFERROR(__xludf.DUMMYFUNCTION("""COMPUTED_VALUE"""),"-2")</f>
        <v>-2</v>
      </c>
      <c r="I710" s="669"/>
      <c r="J710" s="669">
        <f>IFERROR(__xludf.DUMMYFUNCTION("""COMPUTED_VALUE"""),7.0)</f>
        <v>7</v>
      </c>
      <c r="K710" s="673">
        <f>IFERROR(__xludf.DUMMYFUNCTION("""COMPUTED_VALUE"""),46000.0)</f>
        <v>46000</v>
      </c>
      <c r="L710" s="670">
        <f>IFERROR(__xludf.DUMMYFUNCTION("""COMPUTED_VALUE"""),46003.0)</f>
        <v>46003</v>
      </c>
      <c r="M710" s="670">
        <f>IFERROR(__xludf.DUMMYFUNCTION("""COMPUTED_VALUE"""),46008.0)</f>
        <v>46008</v>
      </c>
      <c r="N710" s="674">
        <f>IFERROR(__xludf.DUMMYFUNCTION("""COMPUTED_VALUE"""),5780.0)</f>
        <v>5780</v>
      </c>
      <c r="O710" s="593">
        <f>IFERROR(__xludf.DUMMYFUNCTION("""COMPUTED_VALUE"""),5250.0)</f>
        <v>5250</v>
      </c>
      <c r="P710" s="594">
        <f>IFERROR(__xludf.DUMMYFUNCTION("""COMPUTED_VALUE"""),3500.0)</f>
        <v>3500</v>
      </c>
      <c r="Q710" s="183"/>
      <c r="R710" s="544"/>
      <c r="S710" s="544"/>
      <c r="T710" s="544"/>
      <c r="U710" s="544"/>
      <c r="V710" s="544"/>
      <c r="W710" s="544"/>
      <c r="X710" s="544"/>
      <c r="Y710" s="544"/>
      <c r="Z710" s="544"/>
      <c r="AA710" s="544"/>
      <c r="AB710" s="544"/>
      <c r="AC710" s="544"/>
      <c r="AD710" s="544"/>
      <c r="AE710" s="183"/>
      <c r="AF710" s="183"/>
      <c r="AG710" s="183"/>
      <c r="AH710" s="183"/>
      <c r="AI710" s="183"/>
      <c r="AJ710" s="183"/>
      <c r="AK710" s="183"/>
      <c r="AL710" s="183"/>
      <c r="AM710" s="183"/>
    </row>
    <row r="711">
      <c r="A711" s="273" t="str">
        <f>IFERROR(__xludf.DUMMYFUNCTION("""COMPUTED_VALUE"""),"サイズ")</f>
        <v>サイズ</v>
      </c>
      <c r="B711" s="273" t="str">
        <f>IFERROR(__xludf.DUMMYFUNCTION("""COMPUTED_VALUE"""),"ポロシャツ")</f>
        <v>ポロシャツ</v>
      </c>
      <c r="C711" s="273" t="str">
        <f>IFERROR(__xludf.DUMMYFUNCTION("""COMPUTED_VALUE"""),"ウエスト")</f>
        <v>ウエスト</v>
      </c>
      <c r="D711" s="668"/>
      <c r="E711" s="668"/>
      <c r="F711" s="342" t="str">
        <f>IFERROR(__xludf.DUMMYFUNCTION("""COMPUTED_VALUE"""),"ウエスト")</f>
        <v>ウエスト</v>
      </c>
      <c r="G711" s="668" t="str">
        <f>IFERROR(__xludf.DUMMYFUNCTION("""COMPUTED_VALUE"""),"ウエスト")</f>
        <v>ウエスト</v>
      </c>
      <c r="H711" s="672" t="str">
        <f>IFERROR(__xludf.DUMMYFUNCTION("""COMPUTED_VALUE"""),"-1")</f>
        <v>-1</v>
      </c>
      <c r="I711" s="669"/>
      <c r="J711" s="669">
        <f>IFERROR(__xludf.DUMMYFUNCTION("""COMPUTED_VALUE"""),7.0)</f>
        <v>7</v>
      </c>
      <c r="K711" s="673">
        <f>IFERROR(__xludf.DUMMYFUNCTION("""COMPUTED_VALUE"""),46000.0)</f>
        <v>46000</v>
      </c>
      <c r="L711" s="670">
        <f>IFERROR(__xludf.DUMMYFUNCTION("""COMPUTED_VALUE"""),46003.0)</f>
        <v>46003</v>
      </c>
      <c r="M711" s="670">
        <f>IFERROR(__xludf.DUMMYFUNCTION("""COMPUTED_VALUE"""),46008.0)</f>
        <v>46008</v>
      </c>
      <c r="N711" s="674">
        <f>IFERROR(__xludf.DUMMYFUNCTION("""COMPUTED_VALUE"""),5780.0)</f>
        <v>5780</v>
      </c>
      <c r="O711" s="593">
        <f>IFERROR(__xludf.DUMMYFUNCTION("""COMPUTED_VALUE"""),5250.0)</f>
        <v>5250</v>
      </c>
      <c r="P711" s="594">
        <f>IFERROR(__xludf.DUMMYFUNCTION("""COMPUTED_VALUE"""),3500.0)</f>
        <v>3500</v>
      </c>
      <c r="Q711" s="183"/>
      <c r="R711" s="544"/>
      <c r="S711" s="544"/>
      <c r="T711" s="544"/>
      <c r="U711" s="544"/>
      <c r="V711" s="544"/>
      <c r="W711" s="544"/>
      <c r="X711" s="544"/>
      <c r="Y711" s="544"/>
      <c r="Z711" s="544"/>
      <c r="AA711" s="544"/>
      <c r="AB711" s="544"/>
      <c r="AC711" s="544"/>
      <c r="AD711" s="544"/>
      <c r="AE711" s="183"/>
      <c r="AF711" s="183"/>
      <c r="AG711" s="183"/>
      <c r="AH711" s="183"/>
      <c r="AI711" s="183"/>
      <c r="AJ711" s="183"/>
      <c r="AK711" s="183"/>
      <c r="AL711" s="183"/>
      <c r="AM711" s="183"/>
    </row>
    <row r="712">
      <c r="A712" s="273" t="str">
        <f>IFERROR(__xludf.DUMMYFUNCTION("""COMPUTED_VALUE"""),"サイズ")</f>
        <v>サイズ</v>
      </c>
      <c r="B712" s="273" t="str">
        <f>IFERROR(__xludf.DUMMYFUNCTION("""COMPUTED_VALUE"""),"ポロシャツ")</f>
        <v>ポロシャツ</v>
      </c>
      <c r="C712" s="273" t="str">
        <f>IFERROR(__xludf.DUMMYFUNCTION("""COMPUTED_VALUE"""),"首まわり")</f>
        <v>首まわり</v>
      </c>
      <c r="D712" s="668"/>
      <c r="E712" s="668"/>
      <c r="F712" s="342" t="str">
        <f>IFERROR(__xludf.DUMMYFUNCTION("""COMPUTED_VALUE"""),"首まわり")</f>
        <v>首まわり</v>
      </c>
      <c r="G712" s="668" t="str">
        <f>IFERROR(__xludf.DUMMYFUNCTION("""COMPUTED_VALUE"""),"首まわり")</f>
        <v>首まわり</v>
      </c>
      <c r="H712" s="669"/>
      <c r="I712" s="669"/>
      <c r="J712" s="669" t="str">
        <f>IFERROR(__xludf.DUMMYFUNCTION("""COMPUTED_VALUE"""),"再製作")</f>
        <v>再製作</v>
      </c>
      <c r="K712" s="669" t="str">
        <f>IFERROR(__xludf.DUMMYFUNCTION("""COMPUTED_VALUE"""),"再製作")</f>
        <v>再製作</v>
      </c>
      <c r="L712" s="670" t="str">
        <f>IFERROR(__xludf.DUMMYFUNCTION("""COMPUTED_VALUE"""),"再製作")</f>
        <v>再製作</v>
      </c>
      <c r="M712" s="670" t="str">
        <f>IFERROR(__xludf.DUMMYFUNCTION("""COMPUTED_VALUE"""),"再製作")</f>
        <v>再製作</v>
      </c>
      <c r="N712" s="669" t="str">
        <f>IFERROR(__xludf.DUMMYFUNCTION("""COMPUTED_VALUE"""),"再製作")</f>
        <v>再製作</v>
      </c>
      <c r="O712" s="183" t="str">
        <f>IFERROR(__xludf.DUMMYFUNCTION("""COMPUTED_VALUE"""),"再製作")</f>
        <v>再製作</v>
      </c>
      <c r="P712" s="183"/>
      <c r="Q712" s="183"/>
      <c r="R712" s="544"/>
      <c r="S712" s="544"/>
      <c r="T712" s="544"/>
      <c r="U712" s="544"/>
      <c r="V712" s="544"/>
      <c r="W712" s="544"/>
      <c r="X712" s="544"/>
      <c r="Y712" s="544"/>
      <c r="Z712" s="544"/>
      <c r="AA712" s="544"/>
      <c r="AB712" s="544"/>
      <c r="AC712" s="544"/>
      <c r="AD712" s="544"/>
      <c r="AE712" s="183"/>
      <c r="AF712" s="183"/>
      <c r="AG712" s="183"/>
      <c r="AH712" s="183"/>
      <c r="AI712" s="183"/>
      <c r="AJ712" s="183"/>
      <c r="AK712" s="183"/>
      <c r="AL712" s="183"/>
      <c r="AM712" s="183"/>
    </row>
    <row r="713">
      <c r="A713" s="273" t="str">
        <f>IFERROR(__xludf.DUMMYFUNCTION("""COMPUTED_VALUE"""),"サイズ")</f>
        <v>サイズ</v>
      </c>
      <c r="B713" s="273" t="str">
        <f>IFERROR(__xludf.DUMMYFUNCTION("""COMPUTED_VALUE"""),"ポロシャツ")</f>
        <v>ポロシャツ</v>
      </c>
      <c r="C713" s="273" t="str">
        <f>IFERROR(__xludf.DUMMYFUNCTION("""COMPUTED_VALUE"""),"ヒップ仕上がり寸")</f>
        <v>ヒップ仕上がり寸</v>
      </c>
      <c r="D713" s="668"/>
      <c r="E713" s="668"/>
      <c r="F713" s="342" t="str">
        <f>IFERROR(__xludf.DUMMYFUNCTION("""COMPUTED_VALUE"""),"ヒップ仕上がり寸")</f>
        <v>ヒップ仕上がり寸</v>
      </c>
      <c r="G713" s="668" t="str">
        <f>IFERROR(__xludf.DUMMYFUNCTION("""COMPUTED_VALUE"""),"ヒップ仕上がり寸")</f>
        <v>ヒップ仕上がり寸</v>
      </c>
      <c r="H713" s="669"/>
      <c r="I713" s="669"/>
      <c r="J713" s="669" t="str">
        <f>IFERROR(__xludf.DUMMYFUNCTION("""COMPUTED_VALUE"""),"再製作")</f>
        <v>再製作</v>
      </c>
      <c r="K713" s="669" t="str">
        <f>IFERROR(__xludf.DUMMYFUNCTION("""COMPUTED_VALUE"""),"再製作")</f>
        <v>再製作</v>
      </c>
      <c r="L713" s="670" t="str">
        <f>IFERROR(__xludf.DUMMYFUNCTION("""COMPUTED_VALUE"""),"再製作")</f>
        <v>再製作</v>
      </c>
      <c r="M713" s="670" t="str">
        <f>IFERROR(__xludf.DUMMYFUNCTION("""COMPUTED_VALUE"""),"再製作")</f>
        <v>再製作</v>
      </c>
      <c r="N713" s="678" t="str">
        <f>IFERROR(__xludf.DUMMYFUNCTION("""COMPUTED_VALUE"""),"再製作")</f>
        <v>再製作</v>
      </c>
      <c r="O713" s="632" t="str">
        <f>IFERROR(__xludf.DUMMYFUNCTION("""COMPUTED_VALUE"""),"再製作")</f>
        <v>再製作</v>
      </c>
      <c r="P713" s="183"/>
      <c r="Q713" s="183"/>
      <c r="R713" s="544"/>
      <c r="S713" s="544"/>
      <c r="T713" s="544"/>
      <c r="U713" s="544"/>
      <c r="V713" s="544"/>
      <c r="W713" s="544"/>
      <c r="X713" s="544"/>
      <c r="Y713" s="544"/>
      <c r="Z713" s="544"/>
      <c r="AA713" s="544"/>
      <c r="AB713" s="544"/>
      <c r="AC713" s="544"/>
      <c r="AD713" s="544"/>
      <c r="AE713" s="183"/>
      <c r="AF713" s="183"/>
      <c r="AG713" s="183"/>
      <c r="AH713" s="183"/>
      <c r="AI713" s="183"/>
      <c r="AJ713" s="183"/>
      <c r="AK713" s="183"/>
      <c r="AL713" s="183"/>
      <c r="AM713" s="183"/>
    </row>
    <row r="714">
      <c r="A714" s="273" t="str">
        <f>IFERROR(__xludf.DUMMYFUNCTION("""COMPUTED_VALUE"""),"サイズ")</f>
        <v>サイズ</v>
      </c>
      <c r="B714" s="273" t="str">
        <f>IFERROR(__xludf.DUMMYFUNCTION("""COMPUTED_VALUE"""),"ポロシャツ")</f>
        <v>ポロシャツ</v>
      </c>
      <c r="C714" s="273" t="str">
        <f>IFERROR(__xludf.DUMMYFUNCTION("""COMPUTED_VALUE"""),"裄丈 (長袖)・カフスあり")</f>
        <v>裄丈 (長袖)・カフスあり</v>
      </c>
      <c r="D714" s="668"/>
      <c r="E714" s="671" t="str">
        <f>IFERROR(__xludf.DUMMYFUNCTION("""COMPUTED_VALUE"""),"左右であっても1箇所換算")</f>
        <v>左右であっても1箇所換算</v>
      </c>
      <c r="F714" s="342" t="str">
        <f>IFERROR(__xludf.DUMMYFUNCTION("""COMPUTED_VALUE"""),"裄丈 (長袖)・カフスあり")</f>
        <v>裄丈 (長袖)・カフスあり</v>
      </c>
      <c r="G714" s="668" t="str">
        <f>IFERROR(__xludf.DUMMYFUNCTION("""COMPUTED_VALUE"""),"裄丈 (長袖)・カフスあり（左右であっても1箇所換算）")</f>
        <v>裄丈 (長袖)・カフスあり（左右であっても1箇所換算）</v>
      </c>
      <c r="H714" s="672" t="str">
        <f>IFERROR(__xludf.DUMMYFUNCTION("""COMPUTED_VALUE"""),"-3")</f>
        <v>-3</v>
      </c>
      <c r="I714" s="669"/>
      <c r="J714" s="669">
        <f>IFERROR(__xludf.DUMMYFUNCTION("""COMPUTED_VALUE"""),7.0)</f>
        <v>7</v>
      </c>
      <c r="K714" s="673">
        <f>IFERROR(__xludf.DUMMYFUNCTION("""COMPUTED_VALUE"""),46000.0)</f>
        <v>46000</v>
      </c>
      <c r="L714" s="670">
        <f>IFERROR(__xludf.DUMMYFUNCTION("""COMPUTED_VALUE"""),46003.0)</f>
        <v>46003</v>
      </c>
      <c r="M714" s="670">
        <f>IFERROR(__xludf.DUMMYFUNCTION("""COMPUTED_VALUE"""),46008.0)</f>
        <v>46008</v>
      </c>
      <c r="N714" s="674">
        <f>IFERROR(__xludf.DUMMYFUNCTION("""COMPUTED_VALUE"""),2640.0)</f>
        <v>2640</v>
      </c>
      <c r="O714" s="593">
        <f>IFERROR(__xludf.DUMMYFUNCTION("""COMPUTED_VALUE"""),2400.0)</f>
        <v>2400</v>
      </c>
      <c r="P714" s="594">
        <f>IFERROR(__xludf.DUMMYFUNCTION("""COMPUTED_VALUE"""),1600.0)</f>
        <v>1600</v>
      </c>
      <c r="Q714" s="183"/>
      <c r="R714" s="544"/>
      <c r="S714" s="544"/>
      <c r="T714" s="544"/>
      <c r="U714" s="544"/>
      <c r="V714" s="544"/>
      <c r="W714" s="544"/>
      <c r="X714" s="544"/>
      <c r="Y714" s="544"/>
      <c r="Z714" s="544"/>
      <c r="AA714" s="544"/>
      <c r="AB714" s="544"/>
      <c r="AC714" s="544"/>
      <c r="AD714" s="544"/>
      <c r="AE714" s="183"/>
      <c r="AF714" s="183"/>
      <c r="AG714" s="183"/>
      <c r="AH714" s="183"/>
      <c r="AI714" s="183"/>
      <c r="AJ714" s="183"/>
      <c r="AK714" s="183"/>
      <c r="AL714" s="183"/>
      <c r="AM714" s="183"/>
    </row>
    <row r="715">
      <c r="A715" s="273" t="str">
        <f>IFERROR(__xludf.DUMMYFUNCTION("""COMPUTED_VALUE"""),"サイズ")</f>
        <v>サイズ</v>
      </c>
      <c r="B715" s="273" t="str">
        <f>IFERROR(__xludf.DUMMYFUNCTION("""COMPUTED_VALUE"""),"ポロシャツ")</f>
        <v>ポロシャツ</v>
      </c>
      <c r="C715" s="273" t="str">
        <f>IFERROR(__xludf.DUMMYFUNCTION("""COMPUTED_VALUE"""),"裄丈 (長袖)・カフスあり")</f>
        <v>裄丈 (長袖)・カフスあり</v>
      </c>
      <c r="D715" s="668"/>
      <c r="E715" s="671" t="str">
        <f>IFERROR(__xludf.DUMMYFUNCTION("""COMPUTED_VALUE"""),"左右であっても1箇所換算")</f>
        <v>左右であっても1箇所換算</v>
      </c>
      <c r="F715" s="342" t="str">
        <f>IFERROR(__xludf.DUMMYFUNCTION("""COMPUTED_VALUE"""),"裄丈 (長袖)・カフスあり")</f>
        <v>裄丈 (長袖)・カフスあり</v>
      </c>
      <c r="G715" s="668" t="str">
        <f>IFERROR(__xludf.DUMMYFUNCTION("""COMPUTED_VALUE"""),"裄丈 (長袖)・カフスあり（左右であっても1箇所換算）")</f>
        <v>裄丈 (長袖)・カフスあり（左右であっても1箇所換算）</v>
      </c>
      <c r="H715" s="672" t="str">
        <f>IFERROR(__xludf.DUMMYFUNCTION("""COMPUTED_VALUE"""),"-2.5")</f>
        <v>-2.5</v>
      </c>
      <c r="I715" s="669"/>
      <c r="J715" s="669">
        <f>IFERROR(__xludf.DUMMYFUNCTION("""COMPUTED_VALUE"""),7.0)</f>
        <v>7</v>
      </c>
      <c r="K715" s="673">
        <f>IFERROR(__xludf.DUMMYFUNCTION("""COMPUTED_VALUE"""),46000.0)</f>
        <v>46000</v>
      </c>
      <c r="L715" s="670">
        <f>IFERROR(__xludf.DUMMYFUNCTION("""COMPUTED_VALUE"""),46003.0)</f>
        <v>46003</v>
      </c>
      <c r="M715" s="670">
        <f>IFERROR(__xludf.DUMMYFUNCTION("""COMPUTED_VALUE"""),46008.0)</f>
        <v>46008</v>
      </c>
      <c r="N715" s="674">
        <f>IFERROR(__xludf.DUMMYFUNCTION("""COMPUTED_VALUE"""),2640.0)</f>
        <v>2640</v>
      </c>
      <c r="O715" s="593">
        <f>IFERROR(__xludf.DUMMYFUNCTION("""COMPUTED_VALUE"""),2400.0)</f>
        <v>2400</v>
      </c>
      <c r="P715" s="594">
        <f>IFERROR(__xludf.DUMMYFUNCTION("""COMPUTED_VALUE"""),1600.0)</f>
        <v>1600</v>
      </c>
      <c r="Q715" s="183"/>
      <c r="R715" s="544"/>
      <c r="S715" s="544"/>
      <c r="T715" s="544"/>
      <c r="U715" s="544"/>
      <c r="V715" s="544"/>
      <c r="W715" s="544"/>
      <c r="X715" s="544"/>
      <c r="Y715" s="544"/>
      <c r="Z715" s="544"/>
      <c r="AA715" s="544"/>
      <c r="AB715" s="544"/>
      <c r="AC715" s="544"/>
      <c r="AD715" s="544"/>
      <c r="AE715" s="183"/>
      <c r="AF715" s="183"/>
      <c r="AG715" s="183"/>
      <c r="AH715" s="183"/>
      <c r="AI715" s="183"/>
      <c r="AJ715" s="183"/>
      <c r="AK715" s="183"/>
      <c r="AL715" s="183"/>
      <c r="AM715" s="183"/>
    </row>
    <row r="716">
      <c r="A716" s="273" t="str">
        <f>IFERROR(__xludf.DUMMYFUNCTION("""COMPUTED_VALUE"""),"サイズ")</f>
        <v>サイズ</v>
      </c>
      <c r="B716" s="273" t="str">
        <f>IFERROR(__xludf.DUMMYFUNCTION("""COMPUTED_VALUE"""),"ポロシャツ")</f>
        <v>ポロシャツ</v>
      </c>
      <c r="C716" s="273" t="str">
        <f>IFERROR(__xludf.DUMMYFUNCTION("""COMPUTED_VALUE"""),"裄丈 (長袖)・カフスあり")</f>
        <v>裄丈 (長袖)・カフスあり</v>
      </c>
      <c r="D716" s="668"/>
      <c r="E716" s="671" t="str">
        <f>IFERROR(__xludf.DUMMYFUNCTION("""COMPUTED_VALUE"""),"左右であっても1箇所換算")</f>
        <v>左右であっても1箇所換算</v>
      </c>
      <c r="F716" s="342" t="str">
        <f>IFERROR(__xludf.DUMMYFUNCTION("""COMPUTED_VALUE"""),"裄丈 (長袖)・カフスあり")</f>
        <v>裄丈 (長袖)・カフスあり</v>
      </c>
      <c r="G716" s="668" t="str">
        <f>IFERROR(__xludf.DUMMYFUNCTION("""COMPUTED_VALUE"""),"裄丈 (長袖)・カフスあり（左右であっても1箇所換算）")</f>
        <v>裄丈 (長袖)・カフスあり（左右であっても1箇所換算）</v>
      </c>
      <c r="H716" s="672" t="str">
        <f>IFERROR(__xludf.DUMMYFUNCTION("""COMPUTED_VALUE"""),"-2")</f>
        <v>-2</v>
      </c>
      <c r="I716" s="669"/>
      <c r="J716" s="669">
        <f>IFERROR(__xludf.DUMMYFUNCTION("""COMPUTED_VALUE"""),7.0)</f>
        <v>7</v>
      </c>
      <c r="K716" s="673">
        <f>IFERROR(__xludf.DUMMYFUNCTION("""COMPUTED_VALUE"""),46000.0)</f>
        <v>46000</v>
      </c>
      <c r="L716" s="670">
        <f>IFERROR(__xludf.DUMMYFUNCTION("""COMPUTED_VALUE"""),46003.0)</f>
        <v>46003</v>
      </c>
      <c r="M716" s="670">
        <f>IFERROR(__xludf.DUMMYFUNCTION("""COMPUTED_VALUE"""),46008.0)</f>
        <v>46008</v>
      </c>
      <c r="N716" s="674">
        <f>IFERROR(__xludf.DUMMYFUNCTION("""COMPUTED_VALUE"""),2640.0)</f>
        <v>2640</v>
      </c>
      <c r="O716" s="593">
        <f>IFERROR(__xludf.DUMMYFUNCTION("""COMPUTED_VALUE"""),2400.0)</f>
        <v>2400</v>
      </c>
      <c r="P716" s="594">
        <f>IFERROR(__xludf.DUMMYFUNCTION("""COMPUTED_VALUE"""),1600.0)</f>
        <v>1600</v>
      </c>
      <c r="Q716" s="183"/>
      <c r="R716" s="544"/>
      <c r="S716" s="544"/>
      <c r="T716" s="544"/>
      <c r="U716" s="544"/>
      <c r="V716" s="544"/>
      <c r="W716" s="544"/>
      <c r="X716" s="544"/>
      <c r="Y716" s="544"/>
      <c r="Z716" s="544"/>
      <c r="AA716" s="544"/>
      <c r="AB716" s="544"/>
      <c r="AC716" s="544"/>
      <c r="AD716" s="544"/>
      <c r="AE716" s="183"/>
      <c r="AF716" s="183"/>
      <c r="AG716" s="183"/>
      <c r="AH716" s="183"/>
      <c r="AI716" s="183"/>
      <c r="AJ716" s="183"/>
      <c r="AK716" s="183"/>
      <c r="AL716" s="183"/>
      <c r="AM716" s="183"/>
    </row>
    <row r="717">
      <c r="A717" s="273" t="str">
        <f>IFERROR(__xludf.DUMMYFUNCTION("""COMPUTED_VALUE"""),"サイズ")</f>
        <v>サイズ</v>
      </c>
      <c r="B717" s="273" t="str">
        <f>IFERROR(__xludf.DUMMYFUNCTION("""COMPUTED_VALUE"""),"ポロシャツ")</f>
        <v>ポロシャツ</v>
      </c>
      <c r="C717" s="273" t="str">
        <f>IFERROR(__xludf.DUMMYFUNCTION("""COMPUTED_VALUE"""),"裄丈 (長袖)・カフスあり")</f>
        <v>裄丈 (長袖)・カフスあり</v>
      </c>
      <c r="D717" s="668"/>
      <c r="E717" s="671" t="str">
        <f>IFERROR(__xludf.DUMMYFUNCTION("""COMPUTED_VALUE"""),"左右であっても1箇所換算")</f>
        <v>左右であっても1箇所換算</v>
      </c>
      <c r="F717" s="342" t="str">
        <f>IFERROR(__xludf.DUMMYFUNCTION("""COMPUTED_VALUE"""),"裄丈 (長袖)・カフスあり")</f>
        <v>裄丈 (長袖)・カフスあり</v>
      </c>
      <c r="G717" s="668" t="str">
        <f>IFERROR(__xludf.DUMMYFUNCTION("""COMPUTED_VALUE"""),"裄丈 (長袖)・カフスあり（左右であっても1箇所換算）")</f>
        <v>裄丈 (長袖)・カフスあり（左右であっても1箇所換算）</v>
      </c>
      <c r="H717" s="672" t="str">
        <f>IFERROR(__xludf.DUMMYFUNCTION("""COMPUTED_VALUE"""),"-1.5")</f>
        <v>-1.5</v>
      </c>
      <c r="I717" s="669"/>
      <c r="J717" s="669">
        <f>IFERROR(__xludf.DUMMYFUNCTION("""COMPUTED_VALUE"""),7.0)</f>
        <v>7</v>
      </c>
      <c r="K717" s="673">
        <f>IFERROR(__xludf.DUMMYFUNCTION("""COMPUTED_VALUE"""),46000.0)</f>
        <v>46000</v>
      </c>
      <c r="L717" s="670">
        <f>IFERROR(__xludf.DUMMYFUNCTION("""COMPUTED_VALUE"""),46003.0)</f>
        <v>46003</v>
      </c>
      <c r="M717" s="670">
        <f>IFERROR(__xludf.DUMMYFUNCTION("""COMPUTED_VALUE"""),46008.0)</f>
        <v>46008</v>
      </c>
      <c r="N717" s="674">
        <f>IFERROR(__xludf.DUMMYFUNCTION("""COMPUTED_VALUE"""),2640.0)</f>
        <v>2640</v>
      </c>
      <c r="O717" s="593">
        <f>IFERROR(__xludf.DUMMYFUNCTION("""COMPUTED_VALUE"""),2400.0)</f>
        <v>2400</v>
      </c>
      <c r="P717" s="594">
        <f>IFERROR(__xludf.DUMMYFUNCTION("""COMPUTED_VALUE"""),1600.0)</f>
        <v>1600</v>
      </c>
      <c r="Q717" s="183"/>
      <c r="R717" s="544"/>
      <c r="S717" s="544"/>
      <c r="T717" s="544"/>
      <c r="U717" s="544"/>
      <c r="V717" s="544"/>
      <c r="W717" s="544"/>
      <c r="X717" s="544"/>
      <c r="Y717" s="544"/>
      <c r="Z717" s="544"/>
      <c r="AA717" s="544"/>
      <c r="AB717" s="544"/>
      <c r="AC717" s="544"/>
      <c r="AD717" s="544"/>
      <c r="AE717" s="183"/>
      <c r="AF717" s="183"/>
      <c r="AG717" s="183"/>
      <c r="AH717" s="183"/>
      <c r="AI717" s="183"/>
      <c r="AJ717" s="183"/>
      <c r="AK717" s="183"/>
      <c r="AL717" s="183"/>
      <c r="AM717" s="183"/>
    </row>
    <row r="718">
      <c r="A718" s="273" t="str">
        <f>IFERROR(__xludf.DUMMYFUNCTION("""COMPUTED_VALUE"""),"サイズ")</f>
        <v>サイズ</v>
      </c>
      <c r="B718" s="273" t="str">
        <f>IFERROR(__xludf.DUMMYFUNCTION("""COMPUTED_VALUE"""),"ポロシャツ")</f>
        <v>ポロシャツ</v>
      </c>
      <c r="C718" s="273" t="str">
        <f>IFERROR(__xludf.DUMMYFUNCTION("""COMPUTED_VALUE"""),"裄丈 (長袖)・カフスあり")</f>
        <v>裄丈 (長袖)・カフスあり</v>
      </c>
      <c r="D718" s="668"/>
      <c r="E718" s="671" t="str">
        <f>IFERROR(__xludf.DUMMYFUNCTION("""COMPUTED_VALUE"""),"左右であっても1箇所換算")</f>
        <v>左右であっても1箇所換算</v>
      </c>
      <c r="F718" s="342" t="str">
        <f>IFERROR(__xludf.DUMMYFUNCTION("""COMPUTED_VALUE"""),"裄丈 (長袖)・カフスあり")</f>
        <v>裄丈 (長袖)・カフスあり</v>
      </c>
      <c r="G718" s="668" t="str">
        <f>IFERROR(__xludf.DUMMYFUNCTION("""COMPUTED_VALUE"""),"裄丈 (長袖)・カフスあり（左右であっても1箇所換算）")</f>
        <v>裄丈 (長袖)・カフスあり（左右であっても1箇所換算）</v>
      </c>
      <c r="H718" s="672" t="str">
        <f>IFERROR(__xludf.DUMMYFUNCTION("""COMPUTED_VALUE"""),"-1")</f>
        <v>-1</v>
      </c>
      <c r="I718" s="669"/>
      <c r="J718" s="669">
        <f>IFERROR(__xludf.DUMMYFUNCTION("""COMPUTED_VALUE"""),7.0)</f>
        <v>7</v>
      </c>
      <c r="K718" s="673">
        <f>IFERROR(__xludf.DUMMYFUNCTION("""COMPUTED_VALUE"""),46000.0)</f>
        <v>46000</v>
      </c>
      <c r="L718" s="670">
        <f>IFERROR(__xludf.DUMMYFUNCTION("""COMPUTED_VALUE"""),46003.0)</f>
        <v>46003</v>
      </c>
      <c r="M718" s="670">
        <f>IFERROR(__xludf.DUMMYFUNCTION("""COMPUTED_VALUE"""),46008.0)</f>
        <v>46008</v>
      </c>
      <c r="N718" s="674">
        <f>IFERROR(__xludf.DUMMYFUNCTION("""COMPUTED_VALUE"""),2640.0)</f>
        <v>2640</v>
      </c>
      <c r="O718" s="593">
        <f>IFERROR(__xludf.DUMMYFUNCTION("""COMPUTED_VALUE"""),2400.0)</f>
        <v>2400</v>
      </c>
      <c r="P718" s="594">
        <f>IFERROR(__xludf.DUMMYFUNCTION("""COMPUTED_VALUE"""),1600.0)</f>
        <v>1600</v>
      </c>
      <c r="Q718" s="183"/>
      <c r="R718" s="544"/>
      <c r="S718" s="544"/>
      <c r="T718" s="544"/>
      <c r="U718" s="544"/>
      <c r="V718" s="544"/>
      <c r="W718" s="544"/>
      <c r="X718" s="544"/>
      <c r="Y718" s="544"/>
      <c r="Z718" s="544"/>
      <c r="AA718" s="544"/>
      <c r="AB718" s="544"/>
      <c r="AC718" s="544"/>
      <c r="AD718" s="544"/>
      <c r="AE718" s="183"/>
      <c r="AF718" s="183"/>
      <c r="AG718" s="183"/>
      <c r="AH718" s="183"/>
      <c r="AI718" s="183"/>
      <c r="AJ718" s="183"/>
      <c r="AK718" s="183"/>
      <c r="AL718" s="183"/>
      <c r="AM718" s="183"/>
    </row>
    <row r="719">
      <c r="A719" s="273" t="str">
        <f>IFERROR(__xludf.DUMMYFUNCTION("""COMPUTED_VALUE"""),"サイズ")</f>
        <v>サイズ</v>
      </c>
      <c r="B719" s="273" t="str">
        <f>IFERROR(__xludf.DUMMYFUNCTION("""COMPUTED_VALUE"""),"ポロシャツ")</f>
        <v>ポロシャツ</v>
      </c>
      <c r="C719" s="273" t="str">
        <f>IFERROR(__xludf.DUMMYFUNCTION("""COMPUTED_VALUE"""),"裄丈 (長袖)・カフスあり")</f>
        <v>裄丈 (長袖)・カフスあり</v>
      </c>
      <c r="D719" s="668"/>
      <c r="E719" s="671" t="str">
        <f>IFERROR(__xludf.DUMMYFUNCTION("""COMPUTED_VALUE"""),"左右であっても1箇所換算")</f>
        <v>左右であっても1箇所換算</v>
      </c>
      <c r="F719" s="342" t="str">
        <f>IFERROR(__xludf.DUMMYFUNCTION("""COMPUTED_VALUE"""),"裄丈 (長袖)・カフスあり")</f>
        <v>裄丈 (長袖)・カフスあり</v>
      </c>
      <c r="G719" s="668" t="str">
        <f>IFERROR(__xludf.DUMMYFUNCTION("""COMPUTED_VALUE"""),"裄丈 (長袖)・カフスあり（左右であっても1箇所換算）")</f>
        <v>裄丈 (長袖)・カフスあり（左右であっても1箇所換算）</v>
      </c>
      <c r="H719" s="672" t="str">
        <f>IFERROR(__xludf.DUMMYFUNCTION("""COMPUTED_VALUE"""),"-0.5")</f>
        <v>-0.5</v>
      </c>
      <c r="I719" s="669"/>
      <c r="J719" s="669">
        <f>IFERROR(__xludf.DUMMYFUNCTION("""COMPUTED_VALUE"""),7.0)</f>
        <v>7</v>
      </c>
      <c r="K719" s="673">
        <f>IFERROR(__xludf.DUMMYFUNCTION("""COMPUTED_VALUE"""),46000.0)</f>
        <v>46000</v>
      </c>
      <c r="L719" s="670">
        <f>IFERROR(__xludf.DUMMYFUNCTION("""COMPUTED_VALUE"""),46003.0)</f>
        <v>46003</v>
      </c>
      <c r="M719" s="670">
        <f>IFERROR(__xludf.DUMMYFUNCTION("""COMPUTED_VALUE"""),46008.0)</f>
        <v>46008</v>
      </c>
      <c r="N719" s="674">
        <f>IFERROR(__xludf.DUMMYFUNCTION("""COMPUTED_VALUE"""),2640.0)</f>
        <v>2640</v>
      </c>
      <c r="O719" s="593">
        <f>IFERROR(__xludf.DUMMYFUNCTION("""COMPUTED_VALUE"""),2400.0)</f>
        <v>2400</v>
      </c>
      <c r="P719" s="594">
        <f>IFERROR(__xludf.DUMMYFUNCTION("""COMPUTED_VALUE"""),1600.0)</f>
        <v>1600</v>
      </c>
      <c r="Q719" s="183"/>
      <c r="R719" s="544"/>
      <c r="S719" s="544"/>
      <c r="T719" s="544"/>
      <c r="U719" s="544"/>
      <c r="V719" s="544"/>
      <c r="W719" s="544"/>
      <c r="X719" s="544"/>
      <c r="Y719" s="544"/>
      <c r="Z719" s="544"/>
      <c r="AA719" s="544"/>
      <c r="AB719" s="544"/>
      <c r="AC719" s="544"/>
      <c r="AD719" s="544"/>
      <c r="AE719" s="183"/>
      <c r="AF719" s="183"/>
      <c r="AG719" s="183"/>
      <c r="AH719" s="183"/>
      <c r="AI719" s="183"/>
      <c r="AJ719" s="183"/>
      <c r="AK719" s="183"/>
      <c r="AL719" s="183"/>
      <c r="AM719" s="183"/>
    </row>
    <row r="720">
      <c r="A720" s="273" t="str">
        <f>IFERROR(__xludf.DUMMYFUNCTION("""COMPUTED_VALUE"""),"サイズ")</f>
        <v>サイズ</v>
      </c>
      <c r="B720" s="273" t="str">
        <f>IFERROR(__xludf.DUMMYFUNCTION("""COMPUTED_VALUE"""),"ポロシャツ")</f>
        <v>ポロシャツ</v>
      </c>
      <c r="C720" s="273" t="str">
        <f>IFERROR(__xludf.DUMMYFUNCTION("""COMPUTED_VALUE"""),"裄丈 (長袖)・カフスなし")</f>
        <v>裄丈 (長袖)・カフスなし</v>
      </c>
      <c r="D720" s="668"/>
      <c r="E720" s="671" t="str">
        <f>IFERROR(__xludf.DUMMYFUNCTION("""COMPUTED_VALUE"""),"左右であっても1箇所換算")</f>
        <v>左右であっても1箇所換算</v>
      </c>
      <c r="F720" s="342" t="str">
        <f>IFERROR(__xludf.DUMMYFUNCTION("""COMPUTED_VALUE"""),"裄丈 (長袖)・カフスなし")</f>
        <v>裄丈 (長袖)・カフスなし</v>
      </c>
      <c r="G720" s="668" t="str">
        <f>IFERROR(__xludf.DUMMYFUNCTION("""COMPUTED_VALUE"""),"裄丈 (長袖)・カフスなし（左右であっても1箇所換算）")</f>
        <v>裄丈 (長袖)・カフスなし（左右であっても1箇所換算）</v>
      </c>
      <c r="H720" s="672" t="str">
        <f>IFERROR(__xludf.DUMMYFUNCTION("""COMPUTED_VALUE"""),"-3")</f>
        <v>-3</v>
      </c>
      <c r="I720" s="669"/>
      <c r="J720" s="669">
        <f>IFERROR(__xludf.DUMMYFUNCTION("""COMPUTED_VALUE"""),7.0)</f>
        <v>7</v>
      </c>
      <c r="K720" s="673">
        <f>IFERROR(__xludf.DUMMYFUNCTION("""COMPUTED_VALUE"""),46000.0)</f>
        <v>46000</v>
      </c>
      <c r="L720" s="670">
        <f>IFERROR(__xludf.DUMMYFUNCTION("""COMPUTED_VALUE"""),46003.0)</f>
        <v>46003</v>
      </c>
      <c r="M720" s="670">
        <f>IFERROR(__xludf.DUMMYFUNCTION("""COMPUTED_VALUE"""),46008.0)</f>
        <v>46008</v>
      </c>
      <c r="N720" s="674">
        <f>IFERROR(__xludf.DUMMYFUNCTION("""COMPUTED_VALUE"""),2640.0)</f>
        <v>2640</v>
      </c>
      <c r="O720" s="593">
        <f>IFERROR(__xludf.DUMMYFUNCTION("""COMPUTED_VALUE"""),2400.0)</f>
        <v>2400</v>
      </c>
      <c r="P720" s="594">
        <f>IFERROR(__xludf.DUMMYFUNCTION("""COMPUTED_VALUE"""),1600.0)</f>
        <v>1600</v>
      </c>
      <c r="Q720" s="183"/>
      <c r="R720" s="544"/>
      <c r="S720" s="544"/>
      <c r="T720" s="544"/>
      <c r="U720" s="544"/>
      <c r="V720" s="544"/>
      <c r="W720" s="544"/>
      <c r="X720" s="544"/>
      <c r="Y720" s="544"/>
      <c r="Z720" s="544"/>
      <c r="AA720" s="544"/>
      <c r="AB720" s="544"/>
      <c r="AC720" s="544"/>
      <c r="AD720" s="544"/>
      <c r="AE720" s="183"/>
      <c r="AF720" s="183"/>
      <c r="AG720" s="183"/>
      <c r="AH720" s="183"/>
      <c r="AI720" s="183"/>
      <c r="AJ720" s="183"/>
      <c r="AK720" s="183"/>
      <c r="AL720" s="183"/>
      <c r="AM720" s="183"/>
    </row>
    <row r="721">
      <c r="A721" s="273" t="str">
        <f>IFERROR(__xludf.DUMMYFUNCTION("""COMPUTED_VALUE"""),"サイズ")</f>
        <v>サイズ</v>
      </c>
      <c r="B721" s="273" t="str">
        <f>IFERROR(__xludf.DUMMYFUNCTION("""COMPUTED_VALUE"""),"ポロシャツ")</f>
        <v>ポロシャツ</v>
      </c>
      <c r="C721" s="273" t="str">
        <f>IFERROR(__xludf.DUMMYFUNCTION("""COMPUTED_VALUE"""),"裄丈 (長袖)・カフスなし")</f>
        <v>裄丈 (長袖)・カフスなし</v>
      </c>
      <c r="D721" s="668"/>
      <c r="E721" s="671" t="str">
        <f>IFERROR(__xludf.DUMMYFUNCTION("""COMPUTED_VALUE"""),"左右であっても1箇所換算")</f>
        <v>左右であっても1箇所換算</v>
      </c>
      <c r="F721" s="342" t="str">
        <f>IFERROR(__xludf.DUMMYFUNCTION("""COMPUTED_VALUE"""),"裄丈 (長袖)・カフスなし")</f>
        <v>裄丈 (長袖)・カフスなし</v>
      </c>
      <c r="G721" s="668" t="str">
        <f>IFERROR(__xludf.DUMMYFUNCTION("""COMPUTED_VALUE"""),"裄丈 (長袖)・カフスなし（左右であっても1箇所換算）")</f>
        <v>裄丈 (長袖)・カフスなし（左右であっても1箇所換算）</v>
      </c>
      <c r="H721" s="672" t="str">
        <f>IFERROR(__xludf.DUMMYFUNCTION("""COMPUTED_VALUE"""),"-2.5")</f>
        <v>-2.5</v>
      </c>
      <c r="I721" s="669"/>
      <c r="J721" s="669">
        <f>IFERROR(__xludf.DUMMYFUNCTION("""COMPUTED_VALUE"""),7.0)</f>
        <v>7</v>
      </c>
      <c r="K721" s="673">
        <f>IFERROR(__xludf.DUMMYFUNCTION("""COMPUTED_VALUE"""),46000.0)</f>
        <v>46000</v>
      </c>
      <c r="L721" s="670">
        <f>IFERROR(__xludf.DUMMYFUNCTION("""COMPUTED_VALUE"""),46003.0)</f>
        <v>46003</v>
      </c>
      <c r="M721" s="670">
        <f>IFERROR(__xludf.DUMMYFUNCTION("""COMPUTED_VALUE"""),46008.0)</f>
        <v>46008</v>
      </c>
      <c r="N721" s="674">
        <f>IFERROR(__xludf.DUMMYFUNCTION("""COMPUTED_VALUE"""),2640.0)</f>
        <v>2640</v>
      </c>
      <c r="O721" s="593">
        <f>IFERROR(__xludf.DUMMYFUNCTION("""COMPUTED_VALUE"""),2400.0)</f>
        <v>2400</v>
      </c>
      <c r="P721" s="594">
        <f>IFERROR(__xludf.DUMMYFUNCTION("""COMPUTED_VALUE"""),1600.0)</f>
        <v>1600</v>
      </c>
      <c r="Q721" s="183"/>
      <c r="R721" s="544"/>
      <c r="S721" s="544"/>
      <c r="T721" s="544"/>
      <c r="U721" s="544"/>
      <c r="V721" s="544"/>
      <c r="W721" s="544"/>
      <c r="X721" s="544"/>
      <c r="Y721" s="544"/>
      <c r="Z721" s="544"/>
      <c r="AA721" s="544"/>
      <c r="AB721" s="544"/>
      <c r="AC721" s="544"/>
      <c r="AD721" s="544"/>
      <c r="AE721" s="183"/>
      <c r="AF721" s="183"/>
      <c r="AG721" s="183"/>
      <c r="AH721" s="183"/>
      <c r="AI721" s="183"/>
      <c r="AJ721" s="183"/>
      <c r="AK721" s="183"/>
      <c r="AL721" s="183"/>
      <c r="AM721" s="183"/>
    </row>
    <row r="722">
      <c r="A722" s="273" t="str">
        <f>IFERROR(__xludf.DUMMYFUNCTION("""COMPUTED_VALUE"""),"サイズ")</f>
        <v>サイズ</v>
      </c>
      <c r="B722" s="273" t="str">
        <f>IFERROR(__xludf.DUMMYFUNCTION("""COMPUTED_VALUE"""),"ポロシャツ")</f>
        <v>ポロシャツ</v>
      </c>
      <c r="C722" s="273" t="str">
        <f>IFERROR(__xludf.DUMMYFUNCTION("""COMPUTED_VALUE"""),"裄丈 (長袖)・カフスなし")</f>
        <v>裄丈 (長袖)・カフスなし</v>
      </c>
      <c r="D722" s="668"/>
      <c r="E722" s="671" t="str">
        <f>IFERROR(__xludf.DUMMYFUNCTION("""COMPUTED_VALUE"""),"左右であっても1箇所換算")</f>
        <v>左右であっても1箇所換算</v>
      </c>
      <c r="F722" s="342" t="str">
        <f>IFERROR(__xludf.DUMMYFUNCTION("""COMPUTED_VALUE"""),"裄丈 (長袖)・カフスなし")</f>
        <v>裄丈 (長袖)・カフスなし</v>
      </c>
      <c r="G722" s="668" t="str">
        <f>IFERROR(__xludf.DUMMYFUNCTION("""COMPUTED_VALUE"""),"裄丈 (長袖)・カフスなし（左右であっても1箇所換算）")</f>
        <v>裄丈 (長袖)・カフスなし（左右であっても1箇所換算）</v>
      </c>
      <c r="H722" s="672" t="str">
        <f>IFERROR(__xludf.DUMMYFUNCTION("""COMPUTED_VALUE"""),"-2")</f>
        <v>-2</v>
      </c>
      <c r="I722" s="669"/>
      <c r="J722" s="669">
        <f>IFERROR(__xludf.DUMMYFUNCTION("""COMPUTED_VALUE"""),7.0)</f>
        <v>7</v>
      </c>
      <c r="K722" s="673">
        <f>IFERROR(__xludf.DUMMYFUNCTION("""COMPUTED_VALUE"""),46000.0)</f>
        <v>46000</v>
      </c>
      <c r="L722" s="670">
        <f>IFERROR(__xludf.DUMMYFUNCTION("""COMPUTED_VALUE"""),46003.0)</f>
        <v>46003</v>
      </c>
      <c r="M722" s="670">
        <f>IFERROR(__xludf.DUMMYFUNCTION("""COMPUTED_VALUE"""),46008.0)</f>
        <v>46008</v>
      </c>
      <c r="N722" s="674">
        <f>IFERROR(__xludf.DUMMYFUNCTION("""COMPUTED_VALUE"""),2640.0)</f>
        <v>2640</v>
      </c>
      <c r="O722" s="593">
        <f>IFERROR(__xludf.DUMMYFUNCTION("""COMPUTED_VALUE"""),2400.0)</f>
        <v>2400</v>
      </c>
      <c r="P722" s="594">
        <f>IFERROR(__xludf.DUMMYFUNCTION("""COMPUTED_VALUE"""),1600.0)</f>
        <v>1600</v>
      </c>
      <c r="Q722" s="183"/>
      <c r="R722" s="544"/>
      <c r="S722" s="544"/>
      <c r="T722" s="544"/>
      <c r="U722" s="544"/>
      <c r="V722" s="544"/>
      <c r="W722" s="544"/>
      <c r="X722" s="544"/>
      <c r="Y722" s="544"/>
      <c r="Z722" s="544"/>
      <c r="AA722" s="544"/>
      <c r="AB722" s="544"/>
      <c r="AC722" s="544"/>
      <c r="AD722" s="544"/>
      <c r="AE722" s="183"/>
      <c r="AF722" s="183"/>
      <c r="AG722" s="183"/>
      <c r="AH722" s="183"/>
      <c r="AI722" s="183"/>
      <c r="AJ722" s="183"/>
      <c r="AK722" s="183"/>
      <c r="AL722" s="183"/>
      <c r="AM722" s="183"/>
    </row>
    <row r="723">
      <c r="A723" s="273" t="str">
        <f>IFERROR(__xludf.DUMMYFUNCTION("""COMPUTED_VALUE"""),"サイズ")</f>
        <v>サイズ</v>
      </c>
      <c r="B723" s="273" t="str">
        <f>IFERROR(__xludf.DUMMYFUNCTION("""COMPUTED_VALUE"""),"ポロシャツ")</f>
        <v>ポロシャツ</v>
      </c>
      <c r="C723" s="273" t="str">
        <f>IFERROR(__xludf.DUMMYFUNCTION("""COMPUTED_VALUE"""),"裄丈 (長袖)・カフスなし")</f>
        <v>裄丈 (長袖)・カフスなし</v>
      </c>
      <c r="D723" s="668"/>
      <c r="E723" s="671" t="str">
        <f>IFERROR(__xludf.DUMMYFUNCTION("""COMPUTED_VALUE"""),"左右であっても1箇所換算")</f>
        <v>左右であっても1箇所換算</v>
      </c>
      <c r="F723" s="342" t="str">
        <f>IFERROR(__xludf.DUMMYFUNCTION("""COMPUTED_VALUE"""),"裄丈 (長袖)・カフスなし")</f>
        <v>裄丈 (長袖)・カフスなし</v>
      </c>
      <c r="G723" s="668" t="str">
        <f>IFERROR(__xludf.DUMMYFUNCTION("""COMPUTED_VALUE"""),"裄丈 (長袖)・カフスなし（左右であっても1箇所換算）")</f>
        <v>裄丈 (長袖)・カフスなし（左右であっても1箇所換算）</v>
      </c>
      <c r="H723" s="672" t="str">
        <f>IFERROR(__xludf.DUMMYFUNCTION("""COMPUTED_VALUE"""),"-1.5")</f>
        <v>-1.5</v>
      </c>
      <c r="I723" s="669"/>
      <c r="J723" s="669">
        <f>IFERROR(__xludf.DUMMYFUNCTION("""COMPUTED_VALUE"""),7.0)</f>
        <v>7</v>
      </c>
      <c r="K723" s="673">
        <f>IFERROR(__xludf.DUMMYFUNCTION("""COMPUTED_VALUE"""),46000.0)</f>
        <v>46000</v>
      </c>
      <c r="L723" s="670">
        <f>IFERROR(__xludf.DUMMYFUNCTION("""COMPUTED_VALUE"""),46003.0)</f>
        <v>46003</v>
      </c>
      <c r="M723" s="670">
        <f>IFERROR(__xludf.DUMMYFUNCTION("""COMPUTED_VALUE"""),46008.0)</f>
        <v>46008</v>
      </c>
      <c r="N723" s="674">
        <f>IFERROR(__xludf.DUMMYFUNCTION("""COMPUTED_VALUE"""),2640.0)</f>
        <v>2640</v>
      </c>
      <c r="O723" s="593">
        <f>IFERROR(__xludf.DUMMYFUNCTION("""COMPUTED_VALUE"""),2400.0)</f>
        <v>2400</v>
      </c>
      <c r="P723" s="594">
        <f>IFERROR(__xludf.DUMMYFUNCTION("""COMPUTED_VALUE"""),1600.0)</f>
        <v>1600</v>
      </c>
      <c r="Q723" s="183"/>
      <c r="R723" s="544"/>
      <c r="S723" s="544"/>
      <c r="T723" s="544"/>
      <c r="U723" s="544"/>
      <c r="V723" s="544"/>
      <c r="W723" s="544"/>
      <c r="X723" s="544"/>
      <c r="Y723" s="544"/>
      <c r="Z723" s="544"/>
      <c r="AA723" s="544"/>
      <c r="AB723" s="544"/>
      <c r="AC723" s="544"/>
      <c r="AD723" s="544"/>
      <c r="AE723" s="183"/>
      <c r="AF723" s="183"/>
      <c r="AG723" s="183"/>
      <c r="AH723" s="183"/>
      <c r="AI723" s="183"/>
      <c r="AJ723" s="183"/>
      <c r="AK723" s="183"/>
      <c r="AL723" s="183"/>
      <c r="AM723" s="183"/>
    </row>
    <row r="724">
      <c r="A724" s="273" t="str">
        <f>IFERROR(__xludf.DUMMYFUNCTION("""COMPUTED_VALUE"""),"サイズ")</f>
        <v>サイズ</v>
      </c>
      <c r="B724" s="273" t="str">
        <f>IFERROR(__xludf.DUMMYFUNCTION("""COMPUTED_VALUE"""),"ポロシャツ")</f>
        <v>ポロシャツ</v>
      </c>
      <c r="C724" s="273" t="str">
        <f>IFERROR(__xludf.DUMMYFUNCTION("""COMPUTED_VALUE"""),"裄丈 (長袖)・カフスなし")</f>
        <v>裄丈 (長袖)・カフスなし</v>
      </c>
      <c r="D724" s="668"/>
      <c r="E724" s="671" t="str">
        <f>IFERROR(__xludf.DUMMYFUNCTION("""COMPUTED_VALUE"""),"左右であっても1箇所換算")</f>
        <v>左右であっても1箇所換算</v>
      </c>
      <c r="F724" s="342" t="str">
        <f>IFERROR(__xludf.DUMMYFUNCTION("""COMPUTED_VALUE"""),"裄丈 (長袖)・カフスなし")</f>
        <v>裄丈 (長袖)・カフスなし</v>
      </c>
      <c r="G724" s="668" t="str">
        <f>IFERROR(__xludf.DUMMYFUNCTION("""COMPUTED_VALUE"""),"裄丈 (長袖)・カフスなし（左右であっても1箇所換算）")</f>
        <v>裄丈 (長袖)・カフスなし（左右であっても1箇所換算）</v>
      </c>
      <c r="H724" s="672" t="str">
        <f>IFERROR(__xludf.DUMMYFUNCTION("""COMPUTED_VALUE"""),"-1")</f>
        <v>-1</v>
      </c>
      <c r="I724" s="669"/>
      <c r="J724" s="669">
        <f>IFERROR(__xludf.DUMMYFUNCTION("""COMPUTED_VALUE"""),7.0)</f>
        <v>7</v>
      </c>
      <c r="K724" s="673">
        <f>IFERROR(__xludf.DUMMYFUNCTION("""COMPUTED_VALUE"""),46000.0)</f>
        <v>46000</v>
      </c>
      <c r="L724" s="670">
        <f>IFERROR(__xludf.DUMMYFUNCTION("""COMPUTED_VALUE"""),46003.0)</f>
        <v>46003</v>
      </c>
      <c r="M724" s="670">
        <f>IFERROR(__xludf.DUMMYFUNCTION("""COMPUTED_VALUE"""),46008.0)</f>
        <v>46008</v>
      </c>
      <c r="N724" s="674">
        <f>IFERROR(__xludf.DUMMYFUNCTION("""COMPUTED_VALUE"""),2640.0)</f>
        <v>2640</v>
      </c>
      <c r="O724" s="593">
        <f>IFERROR(__xludf.DUMMYFUNCTION("""COMPUTED_VALUE"""),2400.0)</f>
        <v>2400</v>
      </c>
      <c r="P724" s="594">
        <f>IFERROR(__xludf.DUMMYFUNCTION("""COMPUTED_VALUE"""),1600.0)</f>
        <v>1600</v>
      </c>
      <c r="Q724" s="183"/>
      <c r="R724" s="544"/>
      <c r="S724" s="544"/>
      <c r="T724" s="544"/>
      <c r="U724" s="544"/>
      <c r="V724" s="544"/>
      <c r="W724" s="544"/>
      <c r="X724" s="544"/>
      <c r="Y724" s="544"/>
      <c r="Z724" s="544"/>
      <c r="AA724" s="544"/>
      <c r="AB724" s="544"/>
      <c r="AC724" s="544"/>
      <c r="AD724" s="544"/>
      <c r="AE724" s="183"/>
      <c r="AF724" s="183"/>
      <c r="AG724" s="183"/>
      <c r="AH724" s="183"/>
      <c r="AI724" s="183"/>
      <c r="AJ724" s="183"/>
      <c r="AK724" s="183"/>
      <c r="AL724" s="183"/>
      <c r="AM724" s="183"/>
    </row>
    <row r="725">
      <c r="A725" s="273" t="str">
        <f>IFERROR(__xludf.DUMMYFUNCTION("""COMPUTED_VALUE"""),"サイズ")</f>
        <v>サイズ</v>
      </c>
      <c r="B725" s="273" t="str">
        <f>IFERROR(__xludf.DUMMYFUNCTION("""COMPUTED_VALUE"""),"ポロシャツ")</f>
        <v>ポロシャツ</v>
      </c>
      <c r="C725" s="273" t="str">
        <f>IFERROR(__xludf.DUMMYFUNCTION("""COMPUTED_VALUE"""),"裄丈 (長袖)・カフスなし")</f>
        <v>裄丈 (長袖)・カフスなし</v>
      </c>
      <c r="D725" s="668"/>
      <c r="E725" s="671" t="str">
        <f>IFERROR(__xludf.DUMMYFUNCTION("""COMPUTED_VALUE"""),"左右であっても1箇所換算")</f>
        <v>左右であっても1箇所換算</v>
      </c>
      <c r="F725" s="342" t="str">
        <f>IFERROR(__xludf.DUMMYFUNCTION("""COMPUTED_VALUE"""),"裄丈 (長袖)・カフスなし")</f>
        <v>裄丈 (長袖)・カフスなし</v>
      </c>
      <c r="G725" s="668" t="str">
        <f>IFERROR(__xludf.DUMMYFUNCTION("""COMPUTED_VALUE"""),"裄丈 (長袖)・カフスなし（左右であっても1箇所換算）")</f>
        <v>裄丈 (長袖)・カフスなし（左右であっても1箇所換算）</v>
      </c>
      <c r="H725" s="672" t="str">
        <f>IFERROR(__xludf.DUMMYFUNCTION("""COMPUTED_VALUE"""),"-0.5")</f>
        <v>-0.5</v>
      </c>
      <c r="I725" s="669"/>
      <c r="J725" s="669">
        <f>IFERROR(__xludf.DUMMYFUNCTION("""COMPUTED_VALUE"""),7.0)</f>
        <v>7</v>
      </c>
      <c r="K725" s="673">
        <f>IFERROR(__xludf.DUMMYFUNCTION("""COMPUTED_VALUE"""),46000.0)</f>
        <v>46000</v>
      </c>
      <c r="L725" s="670">
        <f>IFERROR(__xludf.DUMMYFUNCTION("""COMPUTED_VALUE"""),46003.0)</f>
        <v>46003</v>
      </c>
      <c r="M725" s="670">
        <f>IFERROR(__xludf.DUMMYFUNCTION("""COMPUTED_VALUE"""),46008.0)</f>
        <v>46008</v>
      </c>
      <c r="N725" s="674">
        <f>IFERROR(__xludf.DUMMYFUNCTION("""COMPUTED_VALUE"""),2640.0)</f>
        <v>2640</v>
      </c>
      <c r="O725" s="593">
        <f>IFERROR(__xludf.DUMMYFUNCTION("""COMPUTED_VALUE"""),2400.0)</f>
        <v>2400</v>
      </c>
      <c r="P725" s="594">
        <f>IFERROR(__xludf.DUMMYFUNCTION("""COMPUTED_VALUE"""),1600.0)</f>
        <v>1600</v>
      </c>
      <c r="Q725" s="183"/>
      <c r="R725" s="544"/>
      <c r="S725" s="544"/>
      <c r="T725" s="544"/>
      <c r="U725" s="544"/>
      <c r="V725" s="544"/>
      <c r="W725" s="544"/>
      <c r="X725" s="544"/>
      <c r="Y725" s="544"/>
      <c r="Z725" s="544"/>
      <c r="AA725" s="544"/>
      <c r="AB725" s="544"/>
      <c r="AC725" s="544"/>
      <c r="AD725" s="544"/>
      <c r="AE725" s="183"/>
      <c r="AF725" s="183"/>
      <c r="AG725" s="183"/>
      <c r="AH725" s="183"/>
      <c r="AI725" s="183"/>
      <c r="AJ725" s="183"/>
      <c r="AK725" s="183"/>
      <c r="AL725" s="183"/>
      <c r="AM725" s="183"/>
    </row>
    <row r="726">
      <c r="A726" s="273" t="str">
        <f>IFERROR(__xludf.DUMMYFUNCTION("""COMPUTED_VALUE"""),"サイズ")</f>
        <v>サイズ</v>
      </c>
      <c r="B726" s="273" t="str">
        <f>IFERROR(__xludf.DUMMYFUNCTION("""COMPUTED_VALUE"""),"ポロシャツ")</f>
        <v>ポロシャツ</v>
      </c>
      <c r="C726" s="273" t="str">
        <f>IFERROR(__xludf.DUMMYFUNCTION("""COMPUTED_VALUE"""),"袖口まわり (半袖)")</f>
        <v>袖口まわり (半袖)</v>
      </c>
      <c r="D726" s="668"/>
      <c r="E726" s="668"/>
      <c r="F726" s="342" t="str">
        <f>IFERROR(__xludf.DUMMYFUNCTION("""COMPUTED_VALUE"""),"袖口まわり (半袖)")</f>
        <v>袖口まわり (半袖)</v>
      </c>
      <c r="G726" s="668" t="str">
        <f>IFERROR(__xludf.DUMMYFUNCTION("""COMPUTED_VALUE"""),"袖口まわり (半袖)")</f>
        <v>袖口まわり (半袖)</v>
      </c>
      <c r="H726" s="669"/>
      <c r="I726" s="669"/>
      <c r="J726" s="669" t="str">
        <f>IFERROR(__xludf.DUMMYFUNCTION("""COMPUTED_VALUE"""),"再製作")</f>
        <v>再製作</v>
      </c>
      <c r="K726" s="669" t="str">
        <f>IFERROR(__xludf.DUMMYFUNCTION("""COMPUTED_VALUE"""),"再製作")</f>
        <v>再製作</v>
      </c>
      <c r="L726" s="670" t="str">
        <f>IFERROR(__xludf.DUMMYFUNCTION("""COMPUTED_VALUE"""),"再製作")</f>
        <v>再製作</v>
      </c>
      <c r="M726" s="670" t="str">
        <f>IFERROR(__xludf.DUMMYFUNCTION("""COMPUTED_VALUE"""),"再製作")</f>
        <v>再製作</v>
      </c>
      <c r="N726" s="678" t="str">
        <f>IFERROR(__xludf.DUMMYFUNCTION("""COMPUTED_VALUE"""),"再製作")</f>
        <v>再製作</v>
      </c>
      <c r="O726" s="632" t="str">
        <f>IFERROR(__xludf.DUMMYFUNCTION("""COMPUTED_VALUE"""),"再製作")</f>
        <v>再製作</v>
      </c>
      <c r="P726" s="183"/>
      <c r="Q726" s="183"/>
      <c r="R726" s="544"/>
      <c r="S726" s="544"/>
      <c r="T726" s="544"/>
      <c r="U726" s="544"/>
      <c r="V726" s="544"/>
      <c r="W726" s="544"/>
      <c r="X726" s="544"/>
      <c r="Y726" s="544"/>
      <c r="Z726" s="544"/>
      <c r="AA726" s="544"/>
      <c r="AB726" s="544"/>
      <c r="AC726" s="544"/>
      <c r="AD726" s="544"/>
      <c r="AE726" s="183"/>
      <c r="AF726" s="183"/>
      <c r="AG726" s="183"/>
      <c r="AH726" s="183"/>
      <c r="AI726" s="183"/>
      <c r="AJ726" s="183"/>
      <c r="AK726" s="183"/>
      <c r="AL726" s="183"/>
      <c r="AM726" s="183"/>
    </row>
    <row r="727">
      <c r="A727" s="273" t="str">
        <f>IFERROR(__xludf.DUMMYFUNCTION("""COMPUTED_VALUE"""),"サイズ")</f>
        <v>サイズ</v>
      </c>
      <c r="B727" s="273" t="str">
        <f>IFERROR(__xludf.DUMMYFUNCTION("""COMPUTED_VALUE"""),"ポロシャツ")</f>
        <v>ポロシャツ</v>
      </c>
      <c r="C727" s="273" t="str">
        <f>IFERROR(__xludf.DUMMYFUNCTION("""COMPUTED_VALUE"""),"アームホール")</f>
        <v>アームホール</v>
      </c>
      <c r="D727" s="668"/>
      <c r="E727" s="668"/>
      <c r="F727" s="342" t="str">
        <f>IFERROR(__xludf.DUMMYFUNCTION("""COMPUTED_VALUE"""),"アームホール")</f>
        <v>アームホール</v>
      </c>
      <c r="G727" s="668" t="str">
        <f>IFERROR(__xludf.DUMMYFUNCTION("""COMPUTED_VALUE"""),"アームホール")</f>
        <v>アームホール</v>
      </c>
      <c r="H727" s="672" t="str">
        <f>IFERROR(__xludf.DUMMYFUNCTION("""COMPUTED_VALUE"""),"-1")</f>
        <v>-1</v>
      </c>
      <c r="I727" s="669"/>
      <c r="J727" s="669" t="str">
        <f>IFERROR(__xludf.DUMMYFUNCTION("""COMPUTED_VALUE"""),"再製作")</f>
        <v>再製作</v>
      </c>
      <c r="K727" s="669" t="str">
        <f>IFERROR(__xludf.DUMMYFUNCTION("""COMPUTED_VALUE"""),"再製作")</f>
        <v>再製作</v>
      </c>
      <c r="L727" s="670" t="str">
        <f>IFERROR(__xludf.DUMMYFUNCTION("""COMPUTED_VALUE"""),"再製作")</f>
        <v>再製作</v>
      </c>
      <c r="M727" s="670" t="str">
        <f>IFERROR(__xludf.DUMMYFUNCTION("""COMPUTED_VALUE"""),"再製作")</f>
        <v>再製作</v>
      </c>
      <c r="N727" s="678" t="str">
        <f>IFERROR(__xludf.DUMMYFUNCTION("""COMPUTED_VALUE"""),"再製作")</f>
        <v>再製作</v>
      </c>
      <c r="O727" s="632" t="str">
        <f>IFERROR(__xludf.DUMMYFUNCTION("""COMPUTED_VALUE"""),"再製作")</f>
        <v>再製作</v>
      </c>
      <c r="P727" s="183"/>
      <c r="Q727" s="183"/>
      <c r="R727" s="544"/>
      <c r="S727" s="544"/>
      <c r="T727" s="544"/>
      <c r="U727" s="544"/>
      <c r="V727" s="544"/>
      <c r="W727" s="544"/>
      <c r="X727" s="544"/>
      <c r="Y727" s="544"/>
      <c r="Z727" s="544"/>
      <c r="AA727" s="544"/>
      <c r="AB727" s="544"/>
      <c r="AC727" s="544"/>
      <c r="AD727" s="544"/>
      <c r="AE727" s="183"/>
      <c r="AF727" s="183"/>
      <c r="AG727" s="183"/>
      <c r="AH727" s="183"/>
      <c r="AI727" s="183"/>
      <c r="AJ727" s="183"/>
      <c r="AK727" s="183"/>
      <c r="AL727" s="183"/>
      <c r="AM727" s="183"/>
    </row>
    <row r="728">
      <c r="A728" s="273" t="str">
        <f>IFERROR(__xludf.DUMMYFUNCTION("""COMPUTED_VALUE"""),"サイズ")</f>
        <v>サイズ</v>
      </c>
      <c r="B728" s="273" t="str">
        <f>IFERROR(__xludf.DUMMYFUNCTION("""COMPUTED_VALUE"""),"ポロシャツ")</f>
        <v>ポロシャツ</v>
      </c>
      <c r="C728" s="273" t="str">
        <f>IFERROR(__xludf.DUMMYFUNCTION("""COMPUTED_VALUE"""),"着丈")</f>
        <v>着丈</v>
      </c>
      <c r="D728" s="668"/>
      <c r="E728" s="668"/>
      <c r="F728" s="342" t="str">
        <f>IFERROR(__xludf.DUMMYFUNCTION("""COMPUTED_VALUE"""),"着丈")</f>
        <v>着丈</v>
      </c>
      <c r="G728" s="668" t="str">
        <f>IFERROR(__xludf.DUMMYFUNCTION("""COMPUTED_VALUE"""),"着丈")</f>
        <v>着丈</v>
      </c>
      <c r="H728" s="672" t="str">
        <f>IFERROR(__xludf.DUMMYFUNCTION("""COMPUTED_VALUE"""),"-2")</f>
        <v>-2</v>
      </c>
      <c r="I728" s="669"/>
      <c r="J728" s="669">
        <f>IFERROR(__xludf.DUMMYFUNCTION("""COMPUTED_VALUE"""),7.0)</f>
        <v>7</v>
      </c>
      <c r="K728" s="673">
        <f>IFERROR(__xludf.DUMMYFUNCTION("""COMPUTED_VALUE"""),46000.0)</f>
        <v>46000</v>
      </c>
      <c r="L728" s="670">
        <f>IFERROR(__xludf.DUMMYFUNCTION("""COMPUTED_VALUE"""),46003.0)</f>
        <v>46003</v>
      </c>
      <c r="M728" s="670">
        <f>IFERROR(__xludf.DUMMYFUNCTION("""COMPUTED_VALUE"""),46008.0)</f>
        <v>46008</v>
      </c>
      <c r="N728" s="674">
        <f>IFERROR(__xludf.DUMMYFUNCTION("""COMPUTED_VALUE"""),6600.0)</f>
        <v>6600</v>
      </c>
      <c r="O728" s="593">
        <f>IFERROR(__xludf.DUMMYFUNCTION("""COMPUTED_VALUE"""),6000.0)</f>
        <v>6000</v>
      </c>
      <c r="P728" s="594">
        <f>IFERROR(__xludf.DUMMYFUNCTION("""COMPUTED_VALUE"""),4000.0)</f>
        <v>4000</v>
      </c>
      <c r="Q728" s="183"/>
      <c r="R728" s="544"/>
      <c r="S728" s="544"/>
      <c r="T728" s="544"/>
      <c r="U728" s="544"/>
      <c r="V728" s="544"/>
      <c r="W728" s="544"/>
      <c r="X728" s="544"/>
      <c r="Y728" s="544"/>
      <c r="Z728" s="544"/>
      <c r="AA728" s="544"/>
      <c r="AB728" s="544"/>
      <c r="AC728" s="544"/>
      <c r="AD728" s="544"/>
      <c r="AE728" s="183"/>
      <c r="AF728" s="183"/>
      <c r="AG728" s="183"/>
      <c r="AH728" s="183"/>
      <c r="AI728" s="183"/>
      <c r="AJ728" s="183"/>
      <c r="AK728" s="183"/>
      <c r="AL728" s="183"/>
      <c r="AM728" s="183"/>
    </row>
    <row r="729">
      <c r="A729" s="273" t="str">
        <f>IFERROR(__xludf.DUMMYFUNCTION("""COMPUTED_VALUE"""),"サイズ")</f>
        <v>サイズ</v>
      </c>
      <c r="B729" s="273" t="str">
        <f>IFERROR(__xludf.DUMMYFUNCTION("""COMPUTED_VALUE"""),"ポロシャツ")</f>
        <v>ポロシャツ</v>
      </c>
      <c r="C729" s="273" t="str">
        <f>IFERROR(__xludf.DUMMYFUNCTION("""COMPUTED_VALUE"""),"着丈")</f>
        <v>着丈</v>
      </c>
      <c r="D729" s="668"/>
      <c r="E729" s="668"/>
      <c r="F729" s="342" t="str">
        <f>IFERROR(__xludf.DUMMYFUNCTION("""COMPUTED_VALUE"""),"着丈")</f>
        <v>着丈</v>
      </c>
      <c r="G729" s="668" t="str">
        <f>IFERROR(__xludf.DUMMYFUNCTION("""COMPUTED_VALUE"""),"着丈")</f>
        <v>着丈</v>
      </c>
      <c r="H729" s="672" t="str">
        <f>IFERROR(__xludf.DUMMYFUNCTION("""COMPUTED_VALUE"""),"-1")</f>
        <v>-1</v>
      </c>
      <c r="I729" s="669"/>
      <c r="J729" s="669">
        <f>IFERROR(__xludf.DUMMYFUNCTION("""COMPUTED_VALUE"""),7.0)</f>
        <v>7</v>
      </c>
      <c r="K729" s="673">
        <f>IFERROR(__xludf.DUMMYFUNCTION("""COMPUTED_VALUE"""),46000.0)</f>
        <v>46000</v>
      </c>
      <c r="L729" s="670">
        <f>IFERROR(__xludf.DUMMYFUNCTION("""COMPUTED_VALUE"""),46003.0)</f>
        <v>46003</v>
      </c>
      <c r="M729" s="670">
        <f>IFERROR(__xludf.DUMMYFUNCTION("""COMPUTED_VALUE"""),46008.0)</f>
        <v>46008</v>
      </c>
      <c r="N729" s="674">
        <f>IFERROR(__xludf.DUMMYFUNCTION("""COMPUTED_VALUE"""),6600.0)</f>
        <v>6600</v>
      </c>
      <c r="O729" s="593">
        <f>IFERROR(__xludf.DUMMYFUNCTION("""COMPUTED_VALUE"""),6000.0)</f>
        <v>6000</v>
      </c>
      <c r="P729" s="594">
        <f>IFERROR(__xludf.DUMMYFUNCTION("""COMPUTED_VALUE"""),4000.0)</f>
        <v>4000</v>
      </c>
      <c r="Q729" s="183"/>
      <c r="R729" s="544"/>
      <c r="S729" s="544"/>
      <c r="T729" s="544"/>
      <c r="U729" s="544"/>
      <c r="V729" s="544"/>
      <c r="W729" s="544"/>
      <c r="X729" s="544"/>
      <c r="Y729" s="544"/>
      <c r="Z729" s="544"/>
      <c r="AA729" s="544"/>
      <c r="AB729" s="544"/>
      <c r="AC729" s="544"/>
      <c r="AD729" s="544"/>
      <c r="AE729" s="183"/>
      <c r="AF729" s="183"/>
      <c r="AG729" s="183"/>
      <c r="AH729" s="183"/>
      <c r="AI729" s="183"/>
      <c r="AJ729" s="183"/>
      <c r="AK729" s="183"/>
      <c r="AL729" s="183"/>
      <c r="AM729" s="183"/>
    </row>
    <row r="730">
      <c r="A730" s="273" t="str">
        <f>IFERROR(__xludf.DUMMYFUNCTION("""COMPUTED_VALUE"""),"サイズ")</f>
        <v>サイズ</v>
      </c>
      <c r="B730" s="273" t="str">
        <f>IFERROR(__xludf.DUMMYFUNCTION("""COMPUTED_VALUE"""),"ポロシャツ")</f>
        <v>ポロシャツ</v>
      </c>
      <c r="C730" s="273" t="str">
        <f>IFERROR(__xludf.DUMMYFUNCTION("""COMPUTED_VALUE"""),"なで肩")</f>
        <v>なで肩</v>
      </c>
      <c r="D730" s="668"/>
      <c r="E730" s="668"/>
      <c r="F730" s="342" t="str">
        <f>IFERROR(__xludf.DUMMYFUNCTION("""COMPUTED_VALUE"""),"なで肩")</f>
        <v>なで肩</v>
      </c>
      <c r="G730" s="668" t="str">
        <f>IFERROR(__xludf.DUMMYFUNCTION("""COMPUTED_VALUE"""),"なで肩")</f>
        <v>なで肩</v>
      </c>
      <c r="H730" s="669"/>
      <c r="I730" s="669"/>
      <c r="J730" s="669" t="str">
        <f>IFERROR(__xludf.DUMMYFUNCTION("""COMPUTED_VALUE"""),"再製作")</f>
        <v>再製作</v>
      </c>
      <c r="K730" s="673" t="str">
        <f>IFERROR(__xludf.DUMMYFUNCTION("""COMPUTED_VALUE"""),"再製作")</f>
        <v>再製作</v>
      </c>
      <c r="L730" s="670" t="str">
        <f>IFERROR(__xludf.DUMMYFUNCTION("""COMPUTED_VALUE"""),"再製作")</f>
        <v>再製作</v>
      </c>
      <c r="M730" s="670" t="str">
        <f>IFERROR(__xludf.DUMMYFUNCTION("""COMPUTED_VALUE"""),"再製作")</f>
        <v>再製作</v>
      </c>
      <c r="N730" s="673" t="str">
        <f>IFERROR(__xludf.DUMMYFUNCTION("""COMPUTED_VALUE"""),"再製作")</f>
        <v>再製作</v>
      </c>
      <c r="O730" s="677" t="str">
        <f>IFERROR(__xludf.DUMMYFUNCTION("""COMPUTED_VALUE"""),"再製作")</f>
        <v>再製作</v>
      </c>
      <c r="P730" s="183"/>
      <c r="Q730" s="183"/>
      <c r="R730" s="544"/>
      <c r="S730" s="544"/>
      <c r="T730" s="544"/>
      <c r="U730" s="544"/>
      <c r="V730" s="544"/>
      <c r="W730" s="544"/>
      <c r="X730" s="544"/>
      <c r="Y730" s="544"/>
      <c r="Z730" s="544"/>
      <c r="AA730" s="544"/>
      <c r="AB730" s="544"/>
      <c r="AC730" s="544"/>
      <c r="AD730" s="544"/>
      <c r="AE730" s="183"/>
      <c r="AF730" s="183"/>
      <c r="AG730" s="183"/>
      <c r="AH730" s="183"/>
      <c r="AI730" s="183"/>
      <c r="AJ730" s="183"/>
      <c r="AK730" s="183"/>
      <c r="AL730" s="183"/>
      <c r="AM730" s="183"/>
    </row>
    <row r="731">
      <c r="A731" s="273" t="str">
        <f>IFERROR(__xludf.DUMMYFUNCTION("""COMPUTED_VALUE"""),"縫製")</f>
        <v>縫製</v>
      </c>
      <c r="B731" s="273" t="str">
        <f>IFERROR(__xludf.DUMMYFUNCTION("""COMPUTED_VALUE"""),"ポロシャツ")</f>
        <v>ポロシャツ</v>
      </c>
      <c r="C731" s="273" t="str">
        <f>IFERROR(__xludf.DUMMYFUNCTION("""COMPUTED_VALUE"""),"再プレスのみ")</f>
        <v>再プレスのみ</v>
      </c>
      <c r="D731" s="668"/>
      <c r="E731" s="668"/>
      <c r="F731" s="342" t="str">
        <f>IFERROR(__xludf.DUMMYFUNCTION("""COMPUTED_VALUE"""),"再プレスのみ")</f>
        <v>再プレスのみ</v>
      </c>
      <c r="G731" s="668" t="str">
        <f>IFERROR(__xludf.DUMMYFUNCTION("""COMPUTED_VALUE"""),"再プレスのみ")</f>
        <v>再プレスのみ</v>
      </c>
      <c r="H731" s="669"/>
      <c r="I731" s="669" t="str">
        <f>IFERROR(__xludf.DUMMYFUNCTION("""COMPUTED_VALUE"""),"店舗/CS")</f>
        <v>店舗/CS</v>
      </c>
      <c r="J731" s="669"/>
      <c r="K731" s="669" t="str">
        <f>IFERROR(__xludf.DUMMYFUNCTION("""COMPUTED_VALUE"""),"3営業日前後")</f>
        <v>3営業日前後</v>
      </c>
      <c r="L731" s="670"/>
      <c r="M731" s="670"/>
      <c r="N731" s="674">
        <f>IFERROR(__xludf.DUMMYFUNCTION("""COMPUTED_VALUE"""),550.0)</f>
        <v>550</v>
      </c>
      <c r="O731" s="593">
        <f>IFERROR(__xludf.DUMMYFUNCTION("""COMPUTED_VALUE"""),500.0)</f>
        <v>500</v>
      </c>
      <c r="P731" s="594">
        <f>IFERROR(__xludf.DUMMYFUNCTION("""COMPUTED_VALUE"""),150.0)</f>
        <v>150</v>
      </c>
      <c r="Q731" s="183"/>
      <c r="R731" s="544"/>
      <c r="S731" s="544"/>
      <c r="T731" s="544"/>
      <c r="U731" s="544"/>
      <c r="V731" s="544"/>
      <c r="W731" s="544"/>
      <c r="X731" s="544"/>
      <c r="Y731" s="544"/>
      <c r="Z731" s="544"/>
      <c r="AA731" s="544"/>
      <c r="AB731" s="544"/>
      <c r="AC731" s="544"/>
      <c r="AD731" s="544"/>
      <c r="AE731" s="183"/>
      <c r="AF731" s="183"/>
      <c r="AG731" s="183"/>
      <c r="AH731" s="183"/>
      <c r="AI731" s="183"/>
      <c r="AJ731" s="183"/>
      <c r="AK731" s="183"/>
      <c r="AL731" s="183"/>
      <c r="AM731" s="183"/>
    </row>
    <row r="732">
      <c r="A732" s="273" t="str">
        <f>IFERROR(__xludf.DUMMYFUNCTION("""COMPUTED_VALUE"""),"縫製")</f>
        <v>縫製</v>
      </c>
      <c r="B732" s="273" t="str">
        <f>IFERROR(__xludf.DUMMYFUNCTION("""COMPUTED_VALUE"""),"ポロシャツ")</f>
        <v>ポロシャツ</v>
      </c>
      <c r="C732" s="273" t="str">
        <f>IFERROR(__xludf.DUMMYFUNCTION("""COMPUTED_VALUE"""),"ボタン購入のみ")</f>
        <v>ボタン購入のみ</v>
      </c>
      <c r="D732" s="668"/>
      <c r="E732" s="668" t="str">
        <f>IFERROR(__xludf.DUMMYFUNCTION("""COMPUTED_VALUE"""),"配送料不要")</f>
        <v>配送料不要</v>
      </c>
      <c r="F732" s="342" t="str">
        <f>IFERROR(__xludf.DUMMYFUNCTION("""COMPUTED_VALUE"""),"ボタン購入のみ")</f>
        <v>ボタン購入のみ</v>
      </c>
      <c r="G732" s="668" t="str">
        <f>IFERROR(__xludf.DUMMYFUNCTION("""COMPUTED_VALUE"""),"ボタン購入のみ（配送料不要）")</f>
        <v>ボタン購入のみ（配送料不要）</v>
      </c>
      <c r="H732" s="669"/>
      <c r="I732" s="669" t="str">
        <f>IFERROR(__xludf.DUMMYFUNCTION("""COMPUTED_VALUE"""),"店舗/CS")</f>
        <v>店舗/CS</v>
      </c>
      <c r="J732" s="669"/>
      <c r="K732" s="669" t="str">
        <f>IFERROR(__xludf.DUMMYFUNCTION("""COMPUTED_VALUE"""),"7営業日前後")</f>
        <v>7営業日前後</v>
      </c>
      <c r="L732" s="670"/>
      <c r="M732" s="670"/>
      <c r="N732" s="674">
        <f>IFERROR(__xludf.DUMMYFUNCTION("""COMPUTED_VALUE"""),1000.0)</f>
        <v>1000</v>
      </c>
      <c r="O732" s="593">
        <f>IFERROR(__xludf.DUMMYFUNCTION("""COMPUTED_VALUE"""),909.0)</f>
        <v>909</v>
      </c>
      <c r="P732" s="594" t="str">
        <f>IFERROR(__xludf.DUMMYFUNCTION("""COMPUTED_VALUE"""),"未定")</f>
        <v>未定</v>
      </c>
      <c r="Q732" s="183"/>
      <c r="R732" s="544"/>
      <c r="S732" s="544"/>
      <c r="T732" s="544"/>
      <c r="U732" s="544"/>
      <c r="V732" s="544"/>
      <c r="W732" s="544"/>
      <c r="X732" s="544"/>
      <c r="Y732" s="544"/>
      <c r="Z732" s="544"/>
      <c r="AA732" s="544"/>
      <c r="AB732" s="544"/>
      <c r="AC732" s="544"/>
      <c r="AD732" s="544"/>
      <c r="AE732" s="183"/>
      <c r="AF732" s="183"/>
      <c r="AG732" s="183"/>
      <c r="AH732" s="183"/>
      <c r="AI732" s="183"/>
      <c r="AJ732" s="183"/>
      <c r="AK732" s="183"/>
      <c r="AL732" s="183"/>
      <c r="AM732" s="183"/>
    </row>
    <row r="733">
      <c r="A733" s="273" t="str">
        <f>IFERROR(__xludf.DUMMYFUNCTION("""COMPUTED_VALUE"""),"縫製")</f>
        <v>縫製</v>
      </c>
      <c r="B733" s="273" t="str">
        <f>IFERROR(__xludf.DUMMYFUNCTION("""COMPUTED_VALUE"""),"ポロシャツ")</f>
        <v>ポロシャツ</v>
      </c>
      <c r="C733" s="273" t="str">
        <f>IFERROR(__xludf.DUMMYFUNCTION("""COMPUTED_VALUE"""),"ボタンお直し (購入＋つけ直し)")</f>
        <v>ボタンお直し (購入＋つけ直し)</v>
      </c>
      <c r="D733" s="668"/>
      <c r="E733" s="668"/>
      <c r="F733" s="342" t="str">
        <f>IFERROR(__xludf.DUMMYFUNCTION("""COMPUTED_VALUE"""),"ボタンお直し (購入＋つけ直し)")</f>
        <v>ボタンお直し (購入＋つけ直し)</v>
      </c>
      <c r="G733" s="668" t="str">
        <f>IFERROR(__xludf.DUMMYFUNCTION("""COMPUTED_VALUE"""),"ボタンお直し (購入＋つけ直し)")</f>
        <v>ボタンお直し (購入＋つけ直し)</v>
      </c>
      <c r="H733" s="669"/>
      <c r="I733" s="669" t="str">
        <f>IFERROR(__xludf.DUMMYFUNCTION("""COMPUTED_VALUE"""),"店舗/CS")</f>
        <v>店舗/CS</v>
      </c>
      <c r="J733" s="669"/>
      <c r="K733" s="669" t="str">
        <f>IFERROR(__xludf.DUMMYFUNCTION("""COMPUTED_VALUE"""),"約2週間")</f>
        <v>約2週間</v>
      </c>
      <c r="L733" s="670"/>
      <c r="M733" s="670"/>
      <c r="N733" s="674">
        <f>IFERROR(__xludf.DUMMYFUNCTION("""COMPUTED_VALUE"""),1320.0)</f>
        <v>1320</v>
      </c>
      <c r="O733" s="593">
        <f>IFERROR(__xludf.DUMMYFUNCTION("""COMPUTED_VALUE"""),1200.0)</f>
        <v>1200</v>
      </c>
      <c r="P733" s="594">
        <f>IFERROR(__xludf.DUMMYFUNCTION("""COMPUTED_VALUE"""),800.0)</f>
        <v>800</v>
      </c>
      <c r="Q733" s="183"/>
      <c r="R733" s="544"/>
      <c r="S733" s="544"/>
      <c r="T733" s="544"/>
      <c r="U733" s="544"/>
      <c r="V733" s="544"/>
      <c r="W733" s="544"/>
      <c r="X733" s="544"/>
      <c r="Y733" s="544"/>
      <c r="Z733" s="544"/>
      <c r="AA733" s="544"/>
      <c r="AB733" s="544"/>
      <c r="AC733" s="544"/>
      <c r="AD733" s="544"/>
      <c r="AE733" s="183"/>
      <c r="AF733" s="183"/>
      <c r="AG733" s="183"/>
      <c r="AH733" s="183"/>
      <c r="AI733" s="183"/>
      <c r="AJ733" s="183"/>
      <c r="AK733" s="183"/>
      <c r="AL733" s="183"/>
      <c r="AM733" s="183"/>
    </row>
    <row r="734">
      <c r="A734" s="273" t="str">
        <f>IFERROR(__xludf.DUMMYFUNCTION("""COMPUTED_VALUE"""),"縫製")</f>
        <v>縫製</v>
      </c>
      <c r="B734" s="273" t="str">
        <f>IFERROR(__xludf.DUMMYFUNCTION("""COMPUTED_VALUE"""),"ポロシャツ")</f>
        <v>ポロシャツ</v>
      </c>
      <c r="C734" s="273" t="str">
        <f>IFERROR(__xludf.DUMMYFUNCTION("""COMPUTED_VALUE"""),"緩くなったボタンの付け直し")</f>
        <v>緩くなったボタンの付け直し</v>
      </c>
      <c r="D734" s="668"/>
      <c r="E734" s="668"/>
      <c r="F734" s="342" t="str">
        <f>IFERROR(__xludf.DUMMYFUNCTION("""COMPUTED_VALUE"""),"緩くなったボタンの付け直し")</f>
        <v>緩くなったボタンの付け直し</v>
      </c>
      <c r="G734" s="668" t="str">
        <f>IFERROR(__xludf.DUMMYFUNCTION("""COMPUTED_VALUE"""),"緩くなったボタンの付け直し")</f>
        <v>緩くなったボタンの付け直し</v>
      </c>
      <c r="H734" s="669"/>
      <c r="I734" s="669" t="str">
        <f>IFERROR(__xludf.DUMMYFUNCTION("""COMPUTED_VALUE"""),"店舗/CS")</f>
        <v>店舗/CS</v>
      </c>
      <c r="J734" s="669"/>
      <c r="K734" s="669" t="str">
        <f>IFERROR(__xludf.DUMMYFUNCTION("""COMPUTED_VALUE"""),"約2週間")</f>
        <v>約2週間</v>
      </c>
      <c r="L734" s="670"/>
      <c r="M734" s="670"/>
      <c r="N734" s="674">
        <f>IFERROR(__xludf.DUMMYFUNCTION("""COMPUTED_VALUE"""),660.0)</f>
        <v>660</v>
      </c>
      <c r="O734" s="593">
        <f>IFERROR(__xludf.DUMMYFUNCTION("""COMPUTED_VALUE"""),600.0)</f>
        <v>600</v>
      </c>
      <c r="P734" s="594">
        <f>IFERROR(__xludf.DUMMYFUNCTION("""COMPUTED_VALUE"""),120.0)</f>
        <v>120</v>
      </c>
      <c r="Q734" s="183"/>
      <c r="R734" s="544"/>
      <c r="S734" s="544"/>
      <c r="T734" s="544"/>
      <c r="U734" s="544"/>
      <c r="V734" s="544"/>
      <c r="W734" s="544"/>
      <c r="X734" s="544"/>
      <c r="Y734" s="544"/>
      <c r="Z734" s="544"/>
      <c r="AA734" s="544"/>
      <c r="AB734" s="544"/>
      <c r="AC734" s="544"/>
      <c r="AD734" s="544"/>
      <c r="AE734" s="183"/>
      <c r="AF734" s="183"/>
      <c r="AG734" s="183"/>
      <c r="AH734" s="183"/>
      <c r="AI734" s="183"/>
      <c r="AJ734" s="183"/>
      <c r="AK734" s="183"/>
      <c r="AL734" s="183"/>
      <c r="AM734" s="183"/>
    </row>
    <row r="735">
      <c r="A735" s="273" t="str">
        <f>IFERROR(__xludf.DUMMYFUNCTION("""COMPUTED_VALUE"""),"サイズ")</f>
        <v>サイズ</v>
      </c>
      <c r="B735" s="273" t="str">
        <f>IFERROR(__xludf.DUMMYFUNCTION("""COMPUTED_VALUE"""),"ポロシャツ")</f>
        <v>ポロシャツ</v>
      </c>
      <c r="C735" s="273" t="str">
        <f>IFERROR(__xludf.DUMMYFUNCTION("""COMPUTED_VALUE"""),"怒り肩")</f>
        <v>怒り肩</v>
      </c>
      <c r="D735" s="668"/>
      <c r="E735" s="668"/>
      <c r="F735" s="342" t="str">
        <f>IFERROR(__xludf.DUMMYFUNCTION("""COMPUTED_VALUE"""),"怒り肩")</f>
        <v>怒り肩</v>
      </c>
      <c r="G735" s="668" t="str">
        <f>IFERROR(__xludf.DUMMYFUNCTION("""COMPUTED_VALUE"""),"怒り肩")</f>
        <v>怒り肩</v>
      </c>
      <c r="H735" s="669"/>
      <c r="I735" s="669"/>
      <c r="J735" s="669" t="str">
        <f>IFERROR(__xludf.DUMMYFUNCTION("""COMPUTED_VALUE"""),"再製作")</f>
        <v>再製作</v>
      </c>
      <c r="K735" s="673" t="str">
        <f>IFERROR(__xludf.DUMMYFUNCTION("""COMPUTED_VALUE"""),"再製作")</f>
        <v>再製作</v>
      </c>
      <c r="L735" s="670" t="str">
        <f>IFERROR(__xludf.DUMMYFUNCTION("""COMPUTED_VALUE"""),"再製作")</f>
        <v>再製作</v>
      </c>
      <c r="M735" s="670" t="str">
        <f>IFERROR(__xludf.DUMMYFUNCTION("""COMPUTED_VALUE"""),"再製作")</f>
        <v>再製作</v>
      </c>
      <c r="N735" s="673" t="str">
        <f>IFERROR(__xludf.DUMMYFUNCTION("""COMPUTED_VALUE"""),"再製作")</f>
        <v>再製作</v>
      </c>
      <c r="O735" s="677" t="str">
        <f>IFERROR(__xludf.DUMMYFUNCTION("""COMPUTED_VALUE"""),"再製作")</f>
        <v>再製作</v>
      </c>
      <c r="P735" s="183"/>
      <c r="Q735" s="183"/>
      <c r="R735" s="544"/>
      <c r="S735" s="544"/>
      <c r="T735" s="544"/>
      <c r="U735" s="544"/>
      <c r="V735" s="544"/>
      <c r="W735" s="544"/>
      <c r="X735" s="544"/>
      <c r="Y735" s="544"/>
      <c r="Z735" s="544"/>
      <c r="AA735" s="544"/>
      <c r="AB735" s="544"/>
      <c r="AC735" s="544"/>
      <c r="AD735" s="544"/>
      <c r="AE735" s="183"/>
      <c r="AF735" s="183"/>
      <c r="AG735" s="183"/>
      <c r="AH735" s="183"/>
      <c r="AI735" s="183"/>
      <c r="AJ735" s="183"/>
      <c r="AK735" s="183"/>
      <c r="AL735" s="183"/>
      <c r="AM735" s="183"/>
    </row>
    <row r="736">
      <c r="A736" s="273" t="str">
        <f>IFERROR(__xludf.DUMMYFUNCTION("""COMPUTED_VALUE"""),"サイズ")</f>
        <v>サイズ</v>
      </c>
      <c r="B736" s="273" t="str">
        <f>IFERROR(__xludf.DUMMYFUNCTION("""COMPUTED_VALUE"""),"ポロシャツ")</f>
        <v>ポロシャツ</v>
      </c>
      <c r="C736" s="273" t="str">
        <f>IFERROR(__xludf.DUMMYFUNCTION("""COMPUTED_VALUE"""),"反身")</f>
        <v>反身</v>
      </c>
      <c r="D736" s="668"/>
      <c r="E736" s="668"/>
      <c r="F736" s="342" t="str">
        <f>IFERROR(__xludf.DUMMYFUNCTION("""COMPUTED_VALUE"""),"反身")</f>
        <v>反身</v>
      </c>
      <c r="G736" s="668" t="str">
        <f>IFERROR(__xludf.DUMMYFUNCTION("""COMPUTED_VALUE"""),"反身")</f>
        <v>反身</v>
      </c>
      <c r="H736" s="669"/>
      <c r="I736" s="669"/>
      <c r="J736" s="669" t="str">
        <f>IFERROR(__xludf.DUMMYFUNCTION("""COMPUTED_VALUE"""),"再製作")</f>
        <v>再製作</v>
      </c>
      <c r="K736" s="673" t="str">
        <f>IFERROR(__xludf.DUMMYFUNCTION("""COMPUTED_VALUE"""),"再製作")</f>
        <v>再製作</v>
      </c>
      <c r="L736" s="670" t="str">
        <f>IFERROR(__xludf.DUMMYFUNCTION("""COMPUTED_VALUE"""),"再製作")</f>
        <v>再製作</v>
      </c>
      <c r="M736" s="670" t="str">
        <f>IFERROR(__xludf.DUMMYFUNCTION("""COMPUTED_VALUE"""),"再製作")</f>
        <v>再製作</v>
      </c>
      <c r="N736" s="673" t="str">
        <f>IFERROR(__xludf.DUMMYFUNCTION("""COMPUTED_VALUE"""),"再製作")</f>
        <v>再製作</v>
      </c>
      <c r="O736" s="677" t="str">
        <f>IFERROR(__xludf.DUMMYFUNCTION("""COMPUTED_VALUE"""),"再製作")</f>
        <v>再製作</v>
      </c>
      <c r="P736" s="183"/>
      <c r="Q736" s="183"/>
      <c r="R736" s="544"/>
      <c r="S736" s="544"/>
      <c r="T736" s="544"/>
      <c r="U736" s="544"/>
      <c r="V736" s="544"/>
      <c r="W736" s="544"/>
      <c r="X736" s="544"/>
      <c r="Y736" s="544"/>
      <c r="Z736" s="544"/>
      <c r="AA736" s="544"/>
      <c r="AB736" s="544"/>
      <c r="AC736" s="544"/>
      <c r="AD736" s="544"/>
      <c r="AE736" s="183"/>
      <c r="AF736" s="183"/>
      <c r="AG736" s="183"/>
      <c r="AH736" s="183"/>
      <c r="AI736" s="183"/>
      <c r="AJ736" s="183"/>
      <c r="AK736" s="183"/>
      <c r="AL736" s="183"/>
      <c r="AM736" s="183"/>
    </row>
    <row r="737">
      <c r="A737" s="273" t="str">
        <f>IFERROR(__xludf.DUMMYFUNCTION("""COMPUTED_VALUE"""),"サイズ")</f>
        <v>サイズ</v>
      </c>
      <c r="B737" s="273" t="str">
        <f>IFERROR(__xludf.DUMMYFUNCTION("""COMPUTED_VALUE"""),"ポロシャツ")</f>
        <v>ポロシャツ</v>
      </c>
      <c r="C737" s="273" t="str">
        <f>IFERROR(__xludf.DUMMYFUNCTION("""COMPUTED_VALUE"""),"屈身")</f>
        <v>屈身</v>
      </c>
      <c r="D737" s="668"/>
      <c r="E737" s="668"/>
      <c r="F737" s="342" t="str">
        <f>IFERROR(__xludf.DUMMYFUNCTION("""COMPUTED_VALUE"""),"屈身")</f>
        <v>屈身</v>
      </c>
      <c r="G737" s="668" t="str">
        <f>IFERROR(__xludf.DUMMYFUNCTION("""COMPUTED_VALUE"""),"屈身")</f>
        <v>屈身</v>
      </c>
      <c r="H737" s="669"/>
      <c r="I737" s="669"/>
      <c r="J737" s="669" t="str">
        <f>IFERROR(__xludf.DUMMYFUNCTION("""COMPUTED_VALUE"""),"再製作")</f>
        <v>再製作</v>
      </c>
      <c r="K737" s="673" t="str">
        <f>IFERROR(__xludf.DUMMYFUNCTION("""COMPUTED_VALUE"""),"再製作")</f>
        <v>再製作</v>
      </c>
      <c r="L737" s="670" t="str">
        <f>IFERROR(__xludf.DUMMYFUNCTION("""COMPUTED_VALUE"""),"再製作")</f>
        <v>再製作</v>
      </c>
      <c r="M737" s="670" t="str">
        <f>IFERROR(__xludf.DUMMYFUNCTION("""COMPUTED_VALUE"""),"再製作")</f>
        <v>再製作</v>
      </c>
      <c r="N737" s="673" t="str">
        <f>IFERROR(__xludf.DUMMYFUNCTION("""COMPUTED_VALUE"""),"再製作")</f>
        <v>再製作</v>
      </c>
      <c r="O737" s="677" t="str">
        <f>IFERROR(__xludf.DUMMYFUNCTION("""COMPUTED_VALUE"""),"再製作")</f>
        <v>再製作</v>
      </c>
      <c r="P737" s="183"/>
      <c r="Q737" s="183"/>
      <c r="R737" s="544"/>
      <c r="S737" s="544"/>
      <c r="T737" s="544"/>
      <c r="U737" s="544"/>
      <c r="V737" s="544"/>
      <c r="W737" s="544"/>
      <c r="X737" s="544"/>
      <c r="Y737" s="544"/>
      <c r="Z737" s="544"/>
      <c r="AA737" s="544"/>
      <c r="AB737" s="544"/>
      <c r="AC737" s="544"/>
      <c r="AD737" s="544"/>
      <c r="AE737" s="183"/>
      <c r="AF737" s="183"/>
      <c r="AG737" s="183"/>
      <c r="AH737" s="183"/>
      <c r="AI737" s="183"/>
      <c r="AJ737" s="183"/>
      <c r="AK737" s="183"/>
      <c r="AL737" s="183"/>
      <c r="AM737" s="183"/>
    </row>
    <row r="738">
      <c r="A738" s="273" t="str">
        <f>IFERROR(__xludf.DUMMYFUNCTION("""COMPUTED_VALUE"""),"サイズ")</f>
        <v>サイズ</v>
      </c>
      <c r="B738" s="273" t="str">
        <f>IFERROR(__xludf.DUMMYFUNCTION("""COMPUTED_VALUE"""),"ポロシャツ")</f>
        <v>ポロシャツ</v>
      </c>
      <c r="C738" s="273" t="str">
        <f>IFERROR(__xludf.DUMMYFUNCTION("""COMPUTED_VALUE"""),"前丈前幅")</f>
        <v>前丈前幅</v>
      </c>
      <c r="D738" s="668"/>
      <c r="E738" s="668"/>
      <c r="F738" s="342" t="str">
        <f>IFERROR(__xludf.DUMMYFUNCTION("""COMPUTED_VALUE"""),"前丈前幅")</f>
        <v>前丈前幅</v>
      </c>
      <c r="G738" s="668" t="str">
        <f>IFERROR(__xludf.DUMMYFUNCTION("""COMPUTED_VALUE"""),"前丈前幅")</f>
        <v>前丈前幅</v>
      </c>
      <c r="H738" s="669"/>
      <c r="I738" s="669"/>
      <c r="J738" s="669" t="str">
        <f>IFERROR(__xludf.DUMMYFUNCTION("""COMPUTED_VALUE"""),"再製作")</f>
        <v>再製作</v>
      </c>
      <c r="K738" s="673" t="str">
        <f>IFERROR(__xludf.DUMMYFUNCTION("""COMPUTED_VALUE"""),"再製作")</f>
        <v>再製作</v>
      </c>
      <c r="L738" s="670" t="str">
        <f>IFERROR(__xludf.DUMMYFUNCTION("""COMPUTED_VALUE"""),"再製作")</f>
        <v>再製作</v>
      </c>
      <c r="M738" s="670" t="str">
        <f>IFERROR(__xludf.DUMMYFUNCTION("""COMPUTED_VALUE"""),"再製作")</f>
        <v>再製作</v>
      </c>
      <c r="N738" s="673" t="str">
        <f>IFERROR(__xludf.DUMMYFUNCTION("""COMPUTED_VALUE"""),"再製作")</f>
        <v>再製作</v>
      </c>
      <c r="O738" s="677" t="str">
        <f>IFERROR(__xludf.DUMMYFUNCTION("""COMPUTED_VALUE"""),"再製作")</f>
        <v>再製作</v>
      </c>
      <c r="P738" s="183"/>
      <c r="Q738" s="183"/>
      <c r="R738" s="544"/>
      <c r="S738" s="544"/>
      <c r="T738" s="544"/>
      <c r="U738" s="544"/>
      <c r="V738" s="544"/>
      <c r="W738" s="544"/>
      <c r="X738" s="544"/>
      <c r="Y738" s="544"/>
      <c r="Z738" s="544"/>
      <c r="AA738" s="544"/>
      <c r="AB738" s="544"/>
      <c r="AC738" s="544"/>
      <c r="AD738" s="544"/>
      <c r="AE738" s="183"/>
      <c r="AF738" s="183"/>
      <c r="AG738" s="183"/>
      <c r="AH738" s="183"/>
      <c r="AI738" s="183"/>
      <c r="AJ738" s="183"/>
      <c r="AK738" s="183"/>
      <c r="AL738" s="183"/>
      <c r="AM738" s="183"/>
    </row>
    <row r="739">
      <c r="A739" s="273" t="str">
        <f>IFERROR(__xludf.DUMMYFUNCTION("""COMPUTED_VALUE"""),"サイズ")</f>
        <v>サイズ</v>
      </c>
      <c r="B739" s="273" t="str">
        <f>IFERROR(__xludf.DUMMYFUNCTION("""COMPUTED_VALUE"""),"カットソー")</f>
        <v>カットソー</v>
      </c>
      <c r="C739" s="675" t="str">
        <f>IFERROR(__xludf.DUMMYFUNCTION("""COMPUTED_VALUE"""),"仕上げプレス")</f>
        <v>仕上げプレス</v>
      </c>
      <c r="D739" s="668"/>
      <c r="E739" s="668"/>
      <c r="F739" s="607" t="str">
        <f>IFERROR(__xludf.DUMMYFUNCTION("""COMPUTED_VALUE"""),"仕上げプレス")</f>
        <v>仕上げプレス</v>
      </c>
      <c r="G739" s="676" t="str">
        <f>IFERROR(__xludf.DUMMYFUNCTION("""COMPUTED_VALUE"""),"仕上げプレス")</f>
        <v>仕上げプレス</v>
      </c>
      <c r="H739" s="669"/>
      <c r="I739" s="669" t="str">
        <f>IFERROR(__xludf.DUMMYFUNCTION("""COMPUTED_VALUE"""),"店舗/CS")</f>
        <v>店舗/CS</v>
      </c>
      <c r="J739" s="669"/>
      <c r="K739" s="669"/>
      <c r="L739" s="670"/>
      <c r="M739" s="670"/>
      <c r="N739" s="674">
        <f>IFERROR(__xludf.DUMMYFUNCTION("""COMPUTED_VALUE"""),250.0)</f>
        <v>250</v>
      </c>
      <c r="O739" s="593">
        <f>IFERROR(__xludf.DUMMYFUNCTION("""COMPUTED_VALUE"""),227.0)</f>
        <v>227</v>
      </c>
      <c r="P739" s="594">
        <f>IFERROR(__xludf.DUMMYFUNCTION("""COMPUTED_VALUE"""),150.0)</f>
        <v>150</v>
      </c>
      <c r="Q739" s="183"/>
      <c r="R739" s="544"/>
      <c r="S739" s="544"/>
      <c r="T739" s="544"/>
      <c r="U739" s="544"/>
      <c r="V739" s="544"/>
      <c r="W739" s="544"/>
      <c r="X739" s="544"/>
      <c r="Y739" s="544"/>
      <c r="Z739" s="544"/>
      <c r="AA739" s="544"/>
      <c r="AB739" s="544"/>
      <c r="AC739" s="544"/>
      <c r="AD739" s="544"/>
      <c r="AE739" s="183"/>
      <c r="AF739" s="183"/>
      <c r="AG739" s="183"/>
      <c r="AH739" s="183"/>
      <c r="AI739" s="183"/>
      <c r="AJ739" s="183"/>
      <c r="AK739" s="183"/>
      <c r="AL739" s="183"/>
      <c r="AM739" s="183"/>
    </row>
    <row r="740">
      <c r="A740" s="273" t="str">
        <f>IFERROR(__xludf.DUMMYFUNCTION("""COMPUTED_VALUE"""),"縫製")</f>
        <v>縫製</v>
      </c>
      <c r="B740" s="273" t="str">
        <f>IFERROR(__xludf.DUMMYFUNCTION("""COMPUTED_VALUE"""),"カットソー")</f>
        <v>カットソー</v>
      </c>
      <c r="C740" s="273" t="str">
        <f>IFERROR(__xludf.DUMMYFUNCTION("""COMPUTED_VALUE"""),"仕上げプレス")</f>
        <v>仕上げプレス</v>
      </c>
      <c r="D740" s="668"/>
      <c r="E740" s="668"/>
      <c r="F740" s="342" t="str">
        <f>IFERROR(__xludf.DUMMYFUNCTION("""COMPUTED_VALUE"""),"仕上げプレス")</f>
        <v>仕上げプレス</v>
      </c>
      <c r="G740" s="668" t="str">
        <f>IFERROR(__xludf.DUMMYFUNCTION("""COMPUTED_VALUE"""),"仕上げプレス")</f>
        <v>仕上げプレス</v>
      </c>
      <c r="H740" s="669"/>
      <c r="I740" s="669" t="str">
        <f>IFERROR(__xludf.DUMMYFUNCTION("""COMPUTED_VALUE"""),"店舗/CS")</f>
        <v>店舗/CS</v>
      </c>
      <c r="J740" s="669"/>
      <c r="K740" s="669"/>
      <c r="L740" s="670"/>
      <c r="M740" s="670"/>
      <c r="N740" s="674">
        <f>IFERROR(__xludf.DUMMYFUNCTION("""COMPUTED_VALUE"""),550.0)</f>
        <v>550</v>
      </c>
      <c r="O740" s="593">
        <f>IFERROR(__xludf.DUMMYFUNCTION("""COMPUTED_VALUE"""),500.0)</f>
        <v>500</v>
      </c>
      <c r="P740" s="594">
        <f>IFERROR(__xludf.DUMMYFUNCTION("""COMPUTED_VALUE"""),150.0)</f>
        <v>150</v>
      </c>
      <c r="Q740" s="183"/>
      <c r="R740" s="544"/>
      <c r="S740" s="544"/>
      <c r="T740" s="544"/>
      <c r="U740" s="544"/>
      <c r="V740" s="544"/>
      <c r="W740" s="544"/>
      <c r="X740" s="544"/>
      <c r="Y740" s="544"/>
      <c r="Z740" s="544"/>
      <c r="AA740" s="544"/>
      <c r="AB740" s="544"/>
      <c r="AC740" s="544"/>
      <c r="AD740" s="544"/>
      <c r="AE740" s="183"/>
      <c r="AF740" s="183"/>
      <c r="AG740" s="183"/>
      <c r="AH740" s="183"/>
      <c r="AI740" s="183"/>
      <c r="AJ740" s="183"/>
      <c r="AK740" s="183"/>
      <c r="AL740" s="183"/>
      <c r="AM740" s="183"/>
    </row>
    <row r="741">
      <c r="A741" s="273" t="str">
        <f>IFERROR(__xludf.DUMMYFUNCTION("""COMPUTED_VALUE"""),"サイズ")</f>
        <v>サイズ</v>
      </c>
      <c r="B741" s="273" t="str">
        <f>IFERROR(__xludf.DUMMYFUNCTION("""COMPUTED_VALUE"""),"カットソー")</f>
        <v>カットソー</v>
      </c>
      <c r="C741" s="273" t="str">
        <f>IFERROR(__xludf.DUMMYFUNCTION("""COMPUTED_VALUE"""),"肩巾")</f>
        <v>肩巾</v>
      </c>
      <c r="D741" s="668"/>
      <c r="E741" s="668"/>
      <c r="F741" s="342" t="str">
        <f>IFERROR(__xludf.DUMMYFUNCTION("""COMPUTED_VALUE"""),"肩巾")</f>
        <v>肩巾</v>
      </c>
      <c r="G741" s="668" t="str">
        <f>IFERROR(__xludf.DUMMYFUNCTION("""COMPUTED_VALUE"""),"肩巾")</f>
        <v>肩巾</v>
      </c>
      <c r="H741" s="669"/>
      <c r="I741" s="669"/>
      <c r="J741" s="669" t="str">
        <f>IFERROR(__xludf.DUMMYFUNCTION("""COMPUTED_VALUE"""),"再製作")</f>
        <v>再製作</v>
      </c>
      <c r="K741" s="669" t="str">
        <f>IFERROR(__xludf.DUMMYFUNCTION("""COMPUTED_VALUE"""),"再製作")</f>
        <v>再製作</v>
      </c>
      <c r="L741" s="670" t="str">
        <f>IFERROR(__xludf.DUMMYFUNCTION("""COMPUTED_VALUE"""),"再製作")</f>
        <v>再製作</v>
      </c>
      <c r="M741" s="670" t="str">
        <f>IFERROR(__xludf.DUMMYFUNCTION("""COMPUTED_VALUE"""),"再製作")</f>
        <v>再製作</v>
      </c>
      <c r="N741" s="669" t="str">
        <f>IFERROR(__xludf.DUMMYFUNCTION("""COMPUTED_VALUE"""),"再製作")</f>
        <v>再製作</v>
      </c>
      <c r="O741" s="183" t="str">
        <f>IFERROR(__xludf.DUMMYFUNCTION("""COMPUTED_VALUE"""),"再製作")</f>
        <v>再製作</v>
      </c>
      <c r="P741" s="183"/>
      <c r="Q741" s="183"/>
      <c r="R741" s="544"/>
      <c r="S741" s="544"/>
      <c r="T741" s="544"/>
      <c r="U741" s="544"/>
      <c r="V741" s="544"/>
      <c r="W741" s="544"/>
      <c r="X741" s="544"/>
      <c r="Y741" s="544"/>
      <c r="Z741" s="544"/>
      <c r="AA741" s="544"/>
      <c r="AB741" s="544"/>
      <c r="AC741" s="544"/>
      <c r="AD741" s="544"/>
      <c r="AE741" s="183"/>
      <c r="AF741" s="183"/>
      <c r="AG741" s="183"/>
      <c r="AH741" s="183"/>
      <c r="AI741" s="183"/>
      <c r="AJ741" s="183"/>
      <c r="AK741" s="183"/>
      <c r="AL741" s="183"/>
      <c r="AM741" s="183"/>
    </row>
    <row r="742">
      <c r="A742" s="273" t="str">
        <f>IFERROR(__xludf.DUMMYFUNCTION("""COMPUTED_VALUE"""),"サイズ")</f>
        <v>サイズ</v>
      </c>
      <c r="B742" s="273" t="str">
        <f>IFERROR(__xludf.DUMMYFUNCTION("""COMPUTED_VALUE"""),"カットソー")</f>
        <v>カットソー</v>
      </c>
      <c r="C742" s="273" t="str">
        <f>IFERROR(__xludf.DUMMYFUNCTION("""COMPUTED_VALUE"""),"バスト")</f>
        <v>バスト</v>
      </c>
      <c r="D742" s="668"/>
      <c r="E742" s="668"/>
      <c r="F742" s="342" t="str">
        <f>IFERROR(__xludf.DUMMYFUNCTION("""COMPUTED_VALUE"""),"バスト")</f>
        <v>バスト</v>
      </c>
      <c r="G742" s="668" t="str">
        <f>IFERROR(__xludf.DUMMYFUNCTION("""COMPUTED_VALUE"""),"バスト")</f>
        <v>バスト</v>
      </c>
      <c r="H742" s="672" t="str">
        <f>IFERROR(__xludf.DUMMYFUNCTION("""COMPUTED_VALUE"""),"-4")</f>
        <v>-4</v>
      </c>
      <c r="I742" s="669"/>
      <c r="J742" s="669">
        <f>IFERROR(__xludf.DUMMYFUNCTION("""COMPUTED_VALUE"""),7.0)</f>
        <v>7</v>
      </c>
      <c r="K742" s="673">
        <f>IFERROR(__xludf.DUMMYFUNCTION("""COMPUTED_VALUE"""),46000.0)</f>
        <v>46000</v>
      </c>
      <c r="L742" s="670">
        <f>IFERROR(__xludf.DUMMYFUNCTION("""COMPUTED_VALUE"""),46003.0)</f>
        <v>46003</v>
      </c>
      <c r="M742" s="670">
        <f>IFERROR(__xludf.DUMMYFUNCTION("""COMPUTED_VALUE"""),46008.0)</f>
        <v>46008</v>
      </c>
      <c r="N742" s="674">
        <f>IFERROR(__xludf.DUMMYFUNCTION("""COMPUTED_VALUE"""),5780.0)</f>
        <v>5780</v>
      </c>
      <c r="O742" s="593">
        <f>IFERROR(__xludf.DUMMYFUNCTION("""COMPUTED_VALUE"""),5250.0)</f>
        <v>5250</v>
      </c>
      <c r="P742" s="594">
        <f>IFERROR(__xludf.DUMMYFUNCTION("""COMPUTED_VALUE"""),3500.0)</f>
        <v>3500</v>
      </c>
      <c r="Q742" s="183"/>
      <c r="R742" s="544"/>
      <c r="S742" s="544"/>
      <c r="T742" s="544"/>
      <c r="U742" s="544"/>
      <c r="V742" s="544"/>
      <c r="W742" s="544"/>
      <c r="X742" s="544"/>
      <c r="Y742" s="544"/>
      <c r="Z742" s="544"/>
      <c r="AA742" s="544"/>
      <c r="AB742" s="544"/>
      <c r="AC742" s="544"/>
      <c r="AD742" s="544"/>
      <c r="AE742" s="183"/>
      <c r="AF742" s="183"/>
      <c r="AG742" s="183"/>
      <c r="AH742" s="183"/>
      <c r="AI742" s="183"/>
      <c r="AJ742" s="183"/>
      <c r="AK742" s="183"/>
      <c r="AL742" s="183"/>
      <c r="AM742" s="183"/>
    </row>
    <row r="743">
      <c r="A743" s="273" t="str">
        <f>IFERROR(__xludf.DUMMYFUNCTION("""COMPUTED_VALUE"""),"サイズ")</f>
        <v>サイズ</v>
      </c>
      <c r="B743" s="273" t="str">
        <f>IFERROR(__xludf.DUMMYFUNCTION("""COMPUTED_VALUE"""),"カットソー")</f>
        <v>カットソー</v>
      </c>
      <c r="C743" s="273" t="str">
        <f>IFERROR(__xludf.DUMMYFUNCTION("""COMPUTED_VALUE"""),"バスト")</f>
        <v>バスト</v>
      </c>
      <c r="D743" s="668"/>
      <c r="E743" s="668"/>
      <c r="F743" s="342" t="str">
        <f>IFERROR(__xludf.DUMMYFUNCTION("""COMPUTED_VALUE"""),"バスト")</f>
        <v>バスト</v>
      </c>
      <c r="G743" s="668" t="str">
        <f>IFERROR(__xludf.DUMMYFUNCTION("""COMPUTED_VALUE"""),"バスト")</f>
        <v>バスト</v>
      </c>
      <c r="H743" s="672" t="str">
        <f>IFERROR(__xludf.DUMMYFUNCTION("""COMPUTED_VALUE"""),"-3")</f>
        <v>-3</v>
      </c>
      <c r="I743" s="669"/>
      <c r="J743" s="669">
        <f>IFERROR(__xludf.DUMMYFUNCTION("""COMPUTED_VALUE"""),7.0)</f>
        <v>7</v>
      </c>
      <c r="K743" s="673">
        <f>IFERROR(__xludf.DUMMYFUNCTION("""COMPUTED_VALUE"""),46000.0)</f>
        <v>46000</v>
      </c>
      <c r="L743" s="670">
        <f>IFERROR(__xludf.DUMMYFUNCTION("""COMPUTED_VALUE"""),46003.0)</f>
        <v>46003</v>
      </c>
      <c r="M743" s="670">
        <f>IFERROR(__xludf.DUMMYFUNCTION("""COMPUTED_VALUE"""),46008.0)</f>
        <v>46008</v>
      </c>
      <c r="N743" s="674">
        <f>IFERROR(__xludf.DUMMYFUNCTION("""COMPUTED_VALUE"""),5780.0)</f>
        <v>5780</v>
      </c>
      <c r="O743" s="593">
        <f>IFERROR(__xludf.DUMMYFUNCTION("""COMPUTED_VALUE"""),5250.0)</f>
        <v>5250</v>
      </c>
      <c r="P743" s="594">
        <f>IFERROR(__xludf.DUMMYFUNCTION("""COMPUTED_VALUE"""),3500.0)</f>
        <v>3500</v>
      </c>
      <c r="Q743" s="183"/>
      <c r="R743" s="544"/>
      <c r="S743" s="544"/>
      <c r="T743" s="544"/>
      <c r="U743" s="544"/>
      <c r="V743" s="544"/>
      <c r="W743" s="544"/>
      <c r="X743" s="544"/>
      <c r="Y743" s="544"/>
      <c r="Z743" s="544"/>
      <c r="AA743" s="544"/>
      <c r="AB743" s="544"/>
      <c r="AC743" s="544"/>
      <c r="AD743" s="544"/>
      <c r="AE743" s="183"/>
      <c r="AF743" s="183"/>
      <c r="AG743" s="183"/>
      <c r="AH743" s="183"/>
      <c r="AI743" s="183"/>
      <c r="AJ743" s="183"/>
      <c r="AK743" s="183"/>
      <c r="AL743" s="183"/>
      <c r="AM743" s="183"/>
    </row>
    <row r="744">
      <c r="A744" s="273" t="str">
        <f>IFERROR(__xludf.DUMMYFUNCTION("""COMPUTED_VALUE"""),"サイズ")</f>
        <v>サイズ</v>
      </c>
      <c r="B744" s="273" t="str">
        <f>IFERROR(__xludf.DUMMYFUNCTION("""COMPUTED_VALUE"""),"カットソー")</f>
        <v>カットソー</v>
      </c>
      <c r="C744" s="273" t="str">
        <f>IFERROR(__xludf.DUMMYFUNCTION("""COMPUTED_VALUE"""),"バスト")</f>
        <v>バスト</v>
      </c>
      <c r="D744" s="668"/>
      <c r="E744" s="668"/>
      <c r="F744" s="342" t="str">
        <f>IFERROR(__xludf.DUMMYFUNCTION("""COMPUTED_VALUE"""),"バスト")</f>
        <v>バスト</v>
      </c>
      <c r="G744" s="668" t="str">
        <f>IFERROR(__xludf.DUMMYFUNCTION("""COMPUTED_VALUE"""),"バスト")</f>
        <v>バスト</v>
      </c>
      <c r="H744" s="672" t="str">
        <f>IFERROR(__xludf.DUMMYFUNCTION("""COMPUTED_VALUE"""),"-2")</f>
        <v>-2</v>
      </c>
      <c r="I744" s="669"/>
      <c r="J744" s="669">
        <f>IFERROR(__xludf.DUMMYFUNCTION("""COMPUTED_VALUE"""),7.0)</f>
        <v>7</v>
      </c>
      <c r="K744" s="673">
        <f>IFERROR(__xludf.DUMMYFUNCTION("""COMPUTED_VALUE"""),46000.0)</f>
        <v>46000</v>
      </c>
      <c r="L744" s="670">
        <f>IFERROR(__xludf.DUMMYFUNCTION("""COMPUTED_VALUE"""),46003.0)</f>
        <v>46003</v>
      </c>
      <c r="M744" s="670">
        <f>IFERROR(__xludf.DUMMYFUNCTION("""COMPUTED_VALUE"""),46008.0)</f>
        <v>46008</v>
      </c>
      <c r="N744" s="674">
        <f>IFERROR(__xludf.DUMMYFUNCTION("""COMPUTED_VALUE"""),5780.0)</f>
        <v>5780</v>
      </c>
      <c r="O744" s="593">
        <f>IFERROR(__xludf.DUMMYFUNCTION("""COMPUTED_VALUE"""),5250.0)</f>
        <v>5250</v>
      </c>
      <c r="P744" s="594">
        <f>IFERROR(__xludf.DUMMYFUNCTION("""COMPUTED_VALUE"""),3500.0)</f>
        <v>3500</v>
      </c>
      <c r="Q744" s="183"/>
      <c r="R744" s="544"/>
      <c r="S744" s="544"/>
      <c r="T744" s="544"/>
      <c r="U744" s="544"/>
      <c r="V744" s="544"/>
      <c r="W744" s="544"/>
      <c r="X744" s="544"/>
      <c r="Y744" s="544"/>
      <c r="Z744" s="544"/>
      <c r="AA744" s="544"/>
      <c r="AB744" s="544"/>
      <c r="AC744" s="544"/>
      <c r="AD744" s="544"/>
      <c r="AE744" s="183"/>
      <c r="AF744" s="183"/>
      <c r="AG744" s="183"/>
      <c r="AH744" s="183"/>
      <c r="AI744" s="183"/>
      <c r="AJ744" s="183"/>
      <c r="AK744" s="183"/>
      <c r="AL744" s="183"/>
      <c r="AM744" s="183"/>
    </row>
    <row r="745">
      <c r="A745" s="273" t="str">
        <f>IFERROR(__xludf.DUMMYFUNCTION("""COMPUTED_VALUE"""),"サイズ")</f>
        <v>サイズ</v>
      </c>
      <c r="B745" s="273" t="str">
        <f>IFERROR(__xludf.DUMMYFUNCTION("""COMPUTED_VALUE"""),"カットソー")</f>
        <v>カットソー</v>
      </c>
      <c r="C745" s="273" t="str">
        <f>IFERROR(__xludf.DUMMYFUNCTION("""COMPUTED_VALUE"""),"バスト")</f>
        <v>バスト</v>
      </c>
      <c r="D745" s="668"/>
      <c r="E745" s="668"/>
      <c r="F745" s="342" t="str">
        <f>IFERROR(__xludf.DUMMYFUNCTION("""COMPUTED_VALUE"""),"バスト")</f>
        <v>バスト</v>
      </c>
      <c r="G745" s="668" t="str">
        <f>IFERROR(__xludf.DUMMYFUNCTION("""COMPUTED_VALUE"""),"バスト")</f>
        <v>バスト</v>
      </c>
      <c r="H745" s="672" t="str">
        <f>IFERROR(__xludf.DUMMYFUNCTION("""COMPUTED_VALUE"""),"-1")</f>
        <v>-1</v>
      </c>
      <c r="I745" s="669"/>
      <c r="J745" s="669">
        <f>IFERROR(__xludf.DUMMYFUNCTION("""COMPUTED_VALUE"""),7.0)</f>
        <v>7</v>
      </c>
      <c r="K745" s="673">
        <f>IFERROR(__xludf.DUMMYFUNCTION("""COMPUTED_VALUE"""),46000.0)</f>
        <v>46000</v>
      </c>
      <c r="L745" s="670">
        <f>IFERROR(__xludf.DUMMYFUNCTION("""COMPUTED_VALUE"""),46003.0)</f>
        <v>46003</v>
      </c>
      <c r="M745" s="670">
        <f>IFERROR(__xludf.DUMMYFUNCTION("""COMPUTED_VALUE"""),46008.0)</f>
        <v>46008</v>
      </c>
      <c r="N745" s="674">
        <f>IFERROR(__xludf.DUMMYFUNCTION("""COMPUTED_VALUE"""),5780.0)</f>
        <v>5780</v>
      </c>
      <c r="O745" s="593">
        <f>IFERROR(__xludf.DUMMYFUNCTION("""COMPUTED_VALUE"""),5250.0)</f>
        <v>5250</v>
      </c>
      <c r="P745" s="594">
        <f>IFERROR(__xludf.DUMMYFUNCTION("""COMPUTED_VALUE"""),3500.0)</f>
        <v>3500</v>
      </c>
      <c r="Q745" s="183"/>
      <c r="R745" s="544"/>
      <c r="S745" s="544"/>
      <c r="T745" s="544"/>
      <c r="U745" s="544"/>
      <c r="V745" s="544"/>
      <c r="W745" s="544"/>
      <c r="X745" s="544"/>
      <c r="Y745" s="544"/>
      <c r="Z745" s="544"/>
      <c r="AA745" s="544"/>
      <c r="AB745" s="544"/>
      <c r="AC745" s="544"/>
      <c r="AD745" s="544"/>
      <c r="AE745" s="183"/>
      <c r="AF745" s="183"/>
      <c r="AG745" s="183"/>
      <c r="AH745" s="183"/>
      <c r="AI745" s="183"/>
      <c r="AJ745" s="183"/>
      <c r="AK745" s="183"/>
      <c r="AL745" s="183"/>
      <c r="AM745" s="183"/>
    </row>
    <row r="746">
      <c r="A746" s="273" t="str">
        <f>IFERROR(__xludf.DUMMYFUNCTION("""COMPUTED_VALUE"""),"サイズ")</f>
        <v>サイズ</v>
      </c>
      <c r="B746" s="273" t="str">
        <f>IFERROR(__xludf.DUMMYFUNCTION("""COMPUTED_VALUE"""),"カットソー")</f>
        <v>カットソー</v>
      </c>
      <c r="C746" s="273" t="str">
        <f>IFERROR(__xludf.DUMMYFUNCTION("""COMPUTED_VALUE"""),"ウエスト")</f>
        <v>ウエスト</v>
      </c>
      <c r="D746" s="668"/>
      <c r="E746" s="668"/>
      <c r="F746" s="342" t="str">
        <f>IFERROR(__xludf.DUMMYFUNCTION("""COMPUTED_VALUE"""),"ウエスト")</f>
        <v>ウエスト</v>
      </c>
      <c r="G746" s="668" t="str">
        <f>IFERROR(__xludf.DUMMYFUNCTION("""COMPUTED_VALUE"""),"ウエスト")</f>
        <v>ウエスト</v>
      </c>
      <c r="H746" s="672" t="str">
        <f>IFERROR(__xludf.DUMMYFUNCTION("""COMPUTED_VALUE"""),"-4")</f>
        <v>-4</v>
      </c>
      <c r="I746" s="669"/>
      <c r="J746" s="669">
        <f>IFERROR(__xludf.DUMMYFUNCTION("""COMPUTED_VALUE"""),7.0)</f>
        <v>7</v>
      </c>
      <c r="K746" s="673">
        <f>IFERROR(__xludf.DUMMYFUNCTION("""COMPUTED_VALUE"""),46000.0)</f>
        <v>46000</v>
      </c>
      <c r="L746" s="670">
        <f>IFERROR(__xludf.DUMMYFUNCTION("""COMPUTED_VALUE"""),46003.0)</f>
        <v>46003</v>
      </c>
      <c r="M746" s="670">
        <f>IFERROR(__xludf.DUMMYFUNCTION("""COMPUTED_VALUE"""),46008.0)</f>
        <v>46008</v>
      </c>
      <c r="N746" s="674">
        <f>IFERROR(__xludf.DUMMYFUNCTION("""COMPUTED_VALUE"""),5780.0)</f>
        <v>5780</v>
      </c>
      <c r="O746" s="593">
        <f>IFERROR(__xludf.DUMMYFUNCTION("""COMPUTED_VALUE"""),5250.0)</f>
        <v>5250</v>
      </c>
      <c r="P746" s="594">
        <f>IFERROR(__xludf.DUMMYFUNCTION("""COMPUTED_VALUE"""),3500.0)</f>
        <v>3500</v>
      </c>
      <c r="Q746" s="183"/>
      <c r="R746" s="544"/>
      <c r="S746" s="544"/>
      <c r="T746" s="544"/>
      <c r="U746" s="544"/>
      <c r="V746" s="544"/>
      <c r="W746" s="544"/>
      <c r="X746" s="544"/>
      <c r="Y746" s="544"/>
      <c r="Z746" s="544"/>
      <c r="AA746" s="544"/>
      <c r="AB746" s="544"/>
      <c r="AC746" s="544"/>
      <c r="AD746" s="544"/>
      <c r="AE746" s="183"/>
      <c r="AF746" s="183"/>
      <c r="AG746" s="183"/>
      <c r="AH746" s="183"/>
      <c r="AI746" s="183"/>
      <c r="AJ746" s="183"/>
      <c r="AK746" s="183"/>
      <c r="AL746" s="183"/>
      <c r="AM746" s="183"/>
    </row>
    <row r="747">
      <c r="A747" s="273" t="str">
        <f>IFERROR(__xludf.DUMMYFUNCTION("""COMPUTED_VALUE"""),"サイズ")</f>
        <v>サイズ</v>
      </c>
      <c r="B747" s="273" t="str">
        <f>IFERROR(__xludf.DUMMYFUNCTION("""COMPUTED_VALUE"""),"カットソー")</f>
        <v>カットソー</v>
      </c>
      <c r="C747" s="273" t="str">
        <f>IFERROR(__xludf.DUMMYFUNCTION("""COMPUTED_VALUE"""),"ウエスト")</f>
        <v>ウエスト</v>
      </c>
      <c r="D747" s="668"/>
      <c r="E747" s="668"/>
      <c r="F747" s="342" t="str">
        <f>IFERROR(__xludf.DUMMYFUNCTION("""COMPUTED_VALUE"""),"ウエスト")</f>
        <v>ウエスト</v>
      </c>
      <c r="G747" s="668" t="str">
        <f>IFERROR(__xludf.DUMMYFUNCTION("""COMPUTED_VALUE"""),"ウエスト")</f>
        <v>ウエスト</v>
      </c>
      <c r="H747" s="672" t="str">
        <f>IFERROR(__xludf.DUMMYFUNCTION("""COMPUTED_VALUE"""),"-3")</f>
        <v>-3</v>
      </c>
      <c r="I747" s="669"/>
      <c r="J747" s="669">
        <f>IFERROR(__xludf.DUMMYFUNCTION("""COMPUTED_VALUE"""),7.0)</f>
        <v>7</v>
      </c>
      <c r="K747" s="673">
        <f>IFERROR(__xludf.DUMMYFUNCTION("""COMPUTED_VALUE"""),46000.0)</f>
        <v>46000</v>
      </c>
      <c r="L747" s="670">
        <f>IFERROR(__xludf.DUMMYFUNCTION("""COMPUTED_VALUE"""),46003.0)</f>
        <v>46003</v>
      </c>
      <c r="M747" s="670">
        <f>IFERROR(__xludf.DUMMYFUNCTION("""COMPUTED_VALUE"""),46008.0)</f>
        <v>46008</v>
      </c>
      <c r="N747" s="674">
        <f>IFERROR(__xludf.DUMMYFUNCTION("""COMPUTED_VALUE"""),5780.0)</f>
        <v>5780</v>
      </c>
      <c r="O747" s="593">
        <f>IFERROR(__xludf.DUMMYFUNCTION("""COMPUTED_VALUE"""),5250.0)</f>
        <v>5250</v>
      </c>
      <c r="P747" s="594">
        <f>IFERROR(__xludf.DUMMYFUNCTION("""COMPUTED_VALUE"""),3500.0)</f>
        <v>3500</v>
      </c>
      <c r="Q747" s="183"/>
      <c r="R747" s="544"/>
      <c r="S747" s="544"/>
      <c r="T747" s="544"/>
      <c r="U747" s="544"/>
      <c r="V747" s="544"/>
      <c r="W747" s="544"/>
      <c r="X747" s="544"/>
      <c r="Y747" s="544"/>
      <c r="Z747" s="544"/>
      <c r="AA747" s="544"/>
      <c r="AB747" s="544"/>
      <c r="AC747" s="544"/>
      <c r="AD747" s="544"/>
      <c r="AE747" s="183"/>
      <c r="AF747" s="183"/>
      <c r="AG747" s="183"/>
      <c r="AH747" s="183"/>
      <c r="AI747" s="183"/>
      <c r="AJ747" s="183"/>
      <c r="AK747" s="183"/>
      <c r="AL747" s="183"/>
      <c r="AM747" s="183"/>
    </row>
    <row r="748">
      <c r="A748" s="273" t="str">
        <f>IFERROR(__xludf.DUMMYFUNCTION("""COMPUTED_VALUE"""),"サイズ")</f>
        <v>サイズ</v>
      </c>
      <c r="B748" s="273" t="str">
        <f>IFERROR(__xludf.DUMMYFUNCTION("""COMPUTED_VALUE"""),"カットソー")</f>
        <v>カットソー</v>
      </c>
      <c r="C748" s="273" t="str">
        <f>IFERROR(__xludf.DUMMYFUNCTION("""COMPUTED_VALUE"""),"ウエスト")</f>
        <v>ウエスト</v>
      </c>
      <c r="D748" s="668"/>
      <c r="E748" s="668"/>
      <c r="F748" s="342" t="str">
        <f>IFERROR(__xludf.DUMMYFUNCTION("""COMPUTED_VALUE"""),"ウエスト")</f>
        <v>ウエスト</v>
      </c>
      <c r="G748" s="668" t="str">
        <f>IFERROR(__xludf.DUMMYFUNCTION("""COMPUTED_VALUE"""),"ウエスト")</f>
        <v>ウエスト</v>
      </c>
      <c r="H748" s="672" t="str">
        <f>IFERROR(__xludf.DUMMYFUNCTION("""COMPUTED_VALUE"""),"-2")</f>
        <v>-2</v>
      </c>
      <c r="I748" s="669"/>
      <c r="J748" s="669">
        <f>IFERROR(__xludf.DUMMYFUNCTION("""COMPUTED_VALUE"""),7.0)</f>
        <v>7</v>
      </c>
      <c r="K748" s="673">
        <f>IFERROR(__xludf.DUMMYFUNCTION("""COMPUTED_VALUE"""),46000.0)</f>
        <v>46000</v>
      </c>
      <c r="L748" s="670">
        <f>IFERROR(__xludf.DUMMYFUNCTION("""COMPUTED_VALUE"""),46003.0)</f>
        <v>46003</v>
      </c>
      <c r="M748" s="670">
        <f>IFERROR(__xludf.DUMMYFUNCTION("""COMPUTED_VALUE"""),46008.0)</f>
        <v>46008</v>
      </c>
      <c r="N748" s="674">
        <f>IFERROR(__xludf.DUMMYFUNCTION("""COMPUTED_VALUE"""),5780.0)</f>
        <v>5780</v>
      </c>
      <c r="O748" s="593">
        <f>IFERROR(__xludf.DUMMYFUNCTION("""COMPUTED_VALUE"""),5250.0)</f>
        <v>5250</v>
      </c>
      <c r="P748" s="594">
        <f>IFERROR(__xludf.DUMMYFUNCTION("""COMPUTED_VALUE"""),3500.0)</f>
        <v>3500</v>
      </c>
      <c r="Q748" s="183"/>
      <c r="R748" s="544"/>
      <c r="S748" s="544"/>
      <c r="T748" s="544"/>
      <c r="U748" s="544"/>
      <c r="V748" s="544"/>
      <c r="W748" s="544"/>
      <c r="X748" s="544"/>
      <c r="Y748" s="544"/>
      <c r="Z748" s="544"/>
      <c r="AA748" s="544"/>
      <c r="AB748" s="544"/>
      <c r="AC748" s="544"/>
      <c r="AD748" s="544"/>
      <c r="AE748" s="183"/>
      <c r="AF748" s="183"/>
      <c r="AG748" s="183"/>
      <c r="AH748" s="183"/>
      <c r="AI748" s="183"/>
      <c r="AJ748" s="183"/>
      <c r="AK748" s="183"/>
      <c r="AL748" s="183"/>
      <c r="AM748" s="183"/>
    </row>
    <row r="749">
      <c r="A749" s="273" t="str">
        <f>IFERROR(__xludf.DUMMYFUNCTION("""COMPUTED_VALUE"""),"サイズ")</f>
        <v>サイズ</v>
      </c>
      <c r="B749" s="273" t="str">
        <f>IFERROR(__xludf.DUMMYFUNCTION("""COMPUTED_VALUE"""),"カットソー")</f>
        <v>カットソー</v>
      </c>
      <c r="C749" s="273" t="str">
        <f>IFERROR(__xludf.DUMMYFUNCTION("""COMPUTED_VALUE"""),"ウエスト")</f>
        <v>ウエスト</v>
      </c>
      <c r="D749" s="668"/>
      <c r="E749" s="668"/>
      <c r="F749" s="342" t="str">
        <f>IFERROR(__xludf.DUMMYFUNCTION("""COMPUTED_VALUE"""),"ウエスト")</f>
        <v>ウエスト</v>
      </c>
      <c r="G749" s="668" t="str">
        <f>IFERROR(__xludf.DUMMYFUNCTION("""COMPUTED_VALUE"""),"ウエスト")</f>
        <v>ウエスト</v>
      </c>
      <c r="H749" s="672" t="str">
        <f>IFERROR(__xludf.DUMMYFUNCTION("""COMPUTED_VALUE"""),"-1")</f>
        <v>-1</v>
      </c>
      <c r="I749" s="669"/>
      <c r="J749" s="669">
        <f>IFERROR(__xludf.DUMMYFUNCTION("""COMPUTED_VALUE"""),7.0)</f>
        <v>7</v>
      </c>
      <c r="K749" s="673">
        <f>IFERROR(__xludf.DUMMYFUNCTION("""COMPUTED_VALUE"""),46000.0)</f>
        <v>46000</v>
      </c>
      <c r="L749" s="670">
        <f>IFERROR(__xludf.DUMMYFUNCTION("""COMPUTED_VALUE"""),46003.0)</f>
        <v>46003</v>
      </c>
      <c r="M749" s="670">
        <f>IFERROR(__xludf.DUMMYFUNCTION("""COMPUTED_VALUE"""),46008.0)</f>
        <v>46008</v>
      </c>
      <c r="N749" s="674">
        <f>IFERROR(__xludf.DUMMYFUNCTION("""COMPUTED_VALUE"""),5780.0)</f>
        <v>5780</v>
      </c>
      <c r="O749" s="593">
        <f>IFERROR(__xludf.DUMMYFUNCTION("""COMPUTED_VALUE"""),5250.0)</f>
        <v>5250</v>
      </c>
      <c r="P749" s="594">
        <f>IFERROR(__xludf.DUMMYFUNCTION("""COMPUTED_VALUE"""),3500.0)</f>
        <v>3500</v>
      </c>
      <c r="Q749" s="183"/>
      <c r="R749" s="544"/>
      <c r="S749" s="544"/>
      <c r="T749" s="544"/>
      <c r="U749" s="544"/>
      <c r="V749" s="544"/>
      <c r="W749" s="544"/>
      <c r="X749" s="544"/>
      <c r="Y749" s="544"/>
      <c r="Z749" s="544"/>
      <c r="AA749" s="544"/>
      <c r="AB749" s="544"/>
      <c r="AC749" s="544"/>
      <c r="AD749" s="544"/>
      <c r="AE749" s="183"/>
      <c r="AF749" s="183"/>
      <c r="AG749" s="183"/>
      <c r="AH749" s="183"/>
      <c r="AI749" s="183"/>
      <c r="AJ749" s="183"/>
      <c r="AK749" s="183"/>
      <c r="AL749" s="183"/>
      <c r="AM749" s="183"/>
    </row>
    <row r="750">
      <c r="A750" s="273" t="str">
        <f>IFERROR(__xludf.DUMMYFUNCTION("""COMPUTED_VALUE"""),"サイズ")</f>
        <v>サイズ</v>
      </c>
      <c r="B750" s="273" t="str">
        <f>IFERROR(__xludf.DUMMYFUNCTION("""COMPUTED_VALUE"""),"カットソー")</f>
        <v>カットソー</v>
      </c>
      <c r="C750" s="273" t="str">
        <f>IFERROR(__xludf.DUMMYFUNCTION("""COMPUTED_VALUE"""),"首まわり")</f>
        <v>首まわり</v>
      </c>
      <c r="D750" s="668"/>
      <c r="E750" s="668"/>
      <c r="F750" s="342" t="str">
        <f>IFERROR(__xludf.DUMMYFUNCTION("""COMPUTED_VALUE"""),"首まわり")</f>
        <v>首まわり</v>
      </c>
      <c r="G750" s="668" t="str">
        <f>IFERROR(__xludf.DUMMYFUNCTION("""COMPUTED_VALUE"""),"首まわり")</f>
        <v>首まわり</v>
      </c>
      <c r="H750" s="669"/>
      <c r="I750" s="669"/>
      <c r="J750" s="669" t="str">
        <f>IFERROR(__xludf.DUMMYFUNCTION("""COMPUTED_VALUE"""),"再製作")</f>
        <v>再製作</v>
      </c>
      <c r="K750" s="669" t="str">
        <f>IFERROR(__xludf.DUMMYFUNCTION("""COMPUTED_VALUE"""),"再製作")</f>
        <v>再製作</v>
      </c>
      <c r="L750" s="670" t="str">
        <f>IFERROR(__xludf.DUMMYFUNCTION("""COMPUTED_VALUE"""),"再製作")</f>
        <v>再製作</v>
      </c>
      <c r="M750" s="670" t="str">
        <f>IFERROR(__xludf.DUMMYFUNCTION("""COMPUTED_VALUE"""),"再製作")</f>
        <v>再製作</v>
      </c>
      <c r="N750" s="669" t="str">
        <f>IFERROR(__xludf.DUMMYFUNCTION("""COMPUTED_VALUE"""),"再製作")</f>
        <v>再製作</v>
      </c>
      <c r="O750" s="183" t="str">
        <f>IFERROR(__xludf.DUMMYFUNCTION("""COMPUTED_VALUE"""),"再製作")</f>
        <v>再製作</v>
      </c>
      <c r="P750" s="183"/>
      <c r="Q750" s="183"/>
      <c r="R750" s="544"/>
      <c r="S750" s="544"/>
      <c r="T750" s="544"/>
      <c r="U750" s="544"/>
      <c r="V750" s="544"/>
      <c r="W750" s="544"/>
      <c r="X750" s="544"/>
      <c r="Y750" s="544"/>
      <c r="Z750" s="544"/>
      <c r="AA750" s="544"/>
      <c r="AB750" s="544"/>
      <c r="AC750" s="544"/>
      <c r="AD750" s="544"/>
      <c r="AE750" s="183"/>
      <c r="AF750" s="183"/>
      <c r="AG750" s="183"/>
      <c r="AH750" s="183"/>
      <c r="AI750" s="183"/>
      <c r="AJ750" s="183"/>
      <c r="AK750" s="183"/>
      <c r="AL750" s="183"/>
      <c r="AM750" s="183"/>
    </row>
    <row r="751">
      <c r="A751" s="273" t="str">
        <f>IFERROR(__xludf.DUMMYFUNCTION("""COMPUTED_VALUE"""),"サイズ")</f>
        <v>サイズ</v>
      </c>
      <c r="B751" s="273" t="str">
        <f>IFERROR(__xludf.DUMMYFUNCTION("""COMPUTED_VALUE"""),"カットソー")</f>
        <v>カットソー</v>
      </c>
      <c r="C751" s="273" t="str">
        <f>IFERROR(__xludf.DUMMYFUNCTION("""COMPUTED_VALUE"""),"ヒップ仕上がり寸")</f>
        <v>ヒップ仕上がり寸</v>
      </c>
      <c r="D751" s="668"/>
      <c r="E751" s="668"/>
      <c r="F751" s="342" t="str">
        <f>IFERROR(__xludf.DUMMYFUNCTION("""COMPUTED_VALUE"""),"ヒップ仕上がり寸")</f>
        <v>ヒップ仕上がり寸</v>
      </c>
      <c r="G751" s="668" t="str">
        <f>IFERROR(__xludf.DUMMYFUNCTION("""COMPUTED_VALUE"""),"ヒップ仕上がり寸")</f>
        <v>ヒップ仕上がり寸</v>
      </c>
      <c r="H751" s="672" t="str">
        <f>IFERROR(__xludf.DUMMYFUNCTION("""COMPUTED_VALUE"""),"-1")</f>
        <v>-1</v>
      </c>
      <c r="I751" s="669"/>
      <c r="J751" s="669">
        <f>IFERROR(__xludf.DUMMYFUNCTION("""COMPUTED_VALUE"""),7.0)</f>
        <v>7</v>
      </c>
      <c r="K751" s="673">
        <f>IFERROR(__xludf.DUMMYFUNCTION("""COMPUTED_VALUE"""),46000.0)</f>
        <v>46000</v>
      </c>
      <c r="L751" s="670">
        <f>IFERROR(__xludf.DUMMYFUNCTION("""COMPUTED_VALUE"""),46003.0)</f>
        <v>46003</v>
      </c>
      <c r="M751" s="670">
        <f>IFERROR(__xludf.DUMMYFUNCTION("""COMPUTED_VALUE"""),46008.0)</f>
        <v>46008</v>
      </c>
      <c r="N751" s="674">
        <f>IFERROR(__xludf.DUMMYFUNCTION("""COMPUTED_VALUE"""),5780.0)</f>
        <v>5780</v>
      </c>
      <c r="O751" s="593">
        <f>IFERROR(__xludf.DUMMYFUNCTION("""COMPUTED_VALUE"""),5250.0)</f>
        <v>5250</v>
      </c>
      <c r="P751" s="594">
        <f>IFERROR(__xludf.DUMMYFUNCTION("""COMPUTED_VALUE"""),3500.0)</f>
        <v>3500</v>
      </c>
      <c r="Q751" s="183"/>
      <c r="R751" s="544"/>
      <c r="S751" s="544"/>
      <c r="T751" s="544"/>
      <c r="U751" s="544"/>
      <c r="V751" s="544"/>
      <c r="W751" s="544"/>
      <c r="X751" s="544"/>
      <c r="Y751" s="544"/>
      <c r="Z751" s="544"/>
      <c r="AA751" s="544"/>
      <c r="AB751" s="544"/>
      <c r="AC751" s="544"/>
      <c r="AD751" s="544"/>
      <c r="AE751" s="183"/>
      <c r="AF751" s="183"/>
      <c r="AG751" s="183"/>
      <c r="AH751" s="183"/>
      <c r="AI751" s="183"/>
      <c r="AJ751" s="183"/>
      <c r="AK751" s="183"/>
      <c r="AL751" s="183"/>
      <c r="AM751" s="183"/>
    </row>
    <row r="752">
      <c r="A752" s="273" t="str">
        <f>IFERROR(__xludf.DUMMYFUNCTION("""COMPUTED_VALUE"""),"サイズ")</f>
        <v>サイズ</v>
      </c>
      <c r="B752" s="273" t="str">
        <f>IFERROR(__xludf.DUMMYFUNCTION("""COMPUTED_VALUE"""),"カットソー")</f>
        <v>カットソー</v>
      </c>
      <c r="C752" s="273" t="str">
        <f>IFERROR(__xludf.DUMMYFUNCTION("""COMPUTED_VALUE"""),"ヒップ仕上がり寸")</f>
        <v>ヒップ仕上がり寸</v>
      </c>
      <c r="D752" s="668"/>
      <c r="E752" s="668"/>
      <c r="F752" s="342" t="str">
        <f>IFERROR(__xludf.DUMMYFUNCTION("""COMPUTED_VALUE"""),"ヒップ仕上がり寸")</f>
        <v>ヒップ仕上がり寸</v>
      </c>
      <c r="G752" s="668" t="str">
        <f>IFERROR(__xludf.DUMMYFUNCTION("""COMPUTED_VALUE"""),"ヒップ仕上がり寸")</f>
        <v>ヒップ仕上がり寸</v>
      </c>
      <c r="H752" s="672" t="str">
        <f>IFERROR(__xludf.DUMMYFUNCTION("""COMPUTED_VALUE"""),"-2")</f>
        <v>-2</v>
      </c>
      <c r="I752" s="669"/>
      <c r="J752" s="669">
        <f>IFERROR(__xludf.DUMMYFUNCTION("""COMPUTED_VALUE"""),7.0)</f>
        <v>7</v>
      </c>
      <c r="K752" s="673">
        <f>IFERROR(__xludf.DUMMYFUNCTION("""COMPUTED_VALUE"""),46000.0)</f>
        <v>46000</v>
      </c>
      <c r="L752" s="670">
        <f>IFERROR(__xludf.DUMMYFUNCTION("""COMPUTED_VALUE"""),46003.0)</f>
        <v>46003</v>
      </c>
      <c r="M752" s="670">
        <f>IFERROR(__xludf.DUMMYFUNCTION("""COMPUTED_VALUE"""),46008.0)</f>
        <v>46008</v>
      </c>
      <c r="N752" s="674">
        <f>IFERROR(__xludf.DUMMYFUNCTION("""COMPUTED_VALUE"""),5780.0)</f>
        <v>5780</v>
      </c>
      <c r="O752" s="593">
        <f>IFERROR(__xludf.DUMMYFUNCTION("""COMPUTED_VALUE"""),5250.0)</f>
        <v>5250</v>
      </c>
      <c r="P752" s="594">
        <f>IFERROR(__xludf.DUMMYFUNCTION("""COMPUTED_VALUE"""),3500.0)</f>
        <v>3500</v>
      </c>
      <c r="Q752" s="183"/>
      <c r="R752" s="544"/>
      <c r="S752" s="544"/>
      <c r="T752" s="544"/>
      <c r="U752" s="544"/>
      <c r="V752" s="544"/>
      <c r="W752" s="544"/>
      <c r="X752" s="544"/>
      <c r="Y752" s="544"/>
      <c r="Z752" s="544"/>
      <c r="AA752" s="544"/>
      <c r="AB752" s="544"/>
      <c r="AC752" s="544"/>
      <c r="AD752" s="544"/>
      <c r="AE752" s="183"/>
      <c r="AF752" s="183"/>
      <c r="AG752" s="183"/>
      <c r="AH752" s="183"/>
      <c r="AI752" s="183"/>
      <c r="AJ752" s="183"/>
      <c r="AK752" s="183"/>
      <c r="AL752" s="183"/>
      <c r="AM752" s="183"/>
    </row>
    <row r="753">
      <c r="A753" s="273" t="str">
        <f>IFERROR(__xludf.DUMMYFUNCTION("""COMPUTED_VALUE"""),"サイズ")</f>
        <v>サイズ</v>
      </c>
      <c r="B753" s="273" t="str">
        <f>IFERROR(__xludf.DUMMYFUNCTION("""COMPUTED_VALUE"""),"カットソー")</f>
        <v>カットソー</v>
      </c>
      <c r="C753" s="273" t="str">
        <f>IFERROR(__xludf.DUMMYFUNCTION("""COMPUTED_VALUE"""),"ヒップ仕上がり寸")</f>
        <v>ヒップ仕上がり寸</v>
      </c>
      <c r="D753" s="668"/>
      <c r="E753" s="668"/>
      <c r="F753" s="342" t="str">
        <f>IFERROR(__xludf.DUMMYFUNCTION("""COMPUTED_VALUE"""),"ヒップ仕上がり寸")</f>
        <v>ヒップ仕上がり寸</v>
      </c>
      <c r="G753" s="668" t="str">
        <f>IFERROR(__xludf.DUMMYFUNCTION("""COMPUTED_VALUE"""),"ヒップ仕上がり寸")</f>
        <v>ヒップ仕上がり寸</v>
      </c>
      <c r="H753" s="672" t="str">
        <f>IFERROR(__xludf.DUMMYFUNCTION("""COMPUTED_VALUE"""),"-3")</f>
        <v>-3</v>
      </c>
      <c r="I753" s="669"/>
      <c r="J753" s="669">
        <f>IFERROR(__xludf.DUMMYFUNCTION("""COMPUTED_VALUE"""),7.0)</f>
        <v>7</v>
      </c>
      <c r="K753" s="673">
        <f>IFERROR(__xludf.DUMMYFUNCTION("""COMPUTED_VALUE"""),46000.0)</f>
        <v>46000</v>
      </c>
      <c r="L753" s="670">
        <f>IFERROR(__xludf.DUMMYFUNCTION("""COMPUTED_VALUE"""),46003.0)</f>
        <v>46003</v>
      </c>
      <c r="M753" s="670">
        <f>IFERROR(__xludf.DUMMYFUNCTION("""COMPUTED_VALUE"""),46008.0)</f>
        <v>46008</v>
      </c>
      <c r="N753" s="674">
        <f>IFERROR(__xludf.DUMMYFUNCTION("""COMPUTED_VALUE"""),5780.0)</f>
        <v>5780</v>
      </c>
      <c r="O753" s="593">
        <f>IFERROR(__xludf.DUMMYFUNCTION("""COMPUTED_VALUE"""),5250.0)</f>
        <v>5250</v>
      </c>
      <c r="P753" s="594">
        <f>IFERROR(__xludf.DUMMYFUNCTION("""COMPUTED_VALUE"""),3500.0)</f>
        <v>3500</v>
      </c>
      <c r="Q753" s="183"/>
      <c r="R753" s="544"/>
      <c r="S753" s="544"/>
      <c r="T753" s="544"/>
      <c r="U753" s="544"/>
      <c r="V753" s="544"/>
      <c r="W753" s="544"/>
      <c r="X753" s="544"/>
      <c r="Y753" s="544"/>
      <c r="Z753" s="544"/>
      <c r="AA753" s="544"/>
      <c r="AB753" s="544"/>
      <c r="AC753" s="544"/>
      <c r="AD753" s="544"/>
      <c r="AE753" s="183"/>
      <c r="AF753" s="183"/>
      <c r="AG753" s="183"/>
      <c r="AH753" s="183"/>
      <c r="AI753" s="183"/>
      <c r="AJ753" s="183"/>
      <c r="AK753" s="183"/>
      <c r="AL753" s="183"/>
      <c r="AM753" s="183"/>
    </row>
    <row r="754">
      <c r="A754" s="273" t="str">
        <f>IFERROR(__xludf.DUMMYFUNCTION("""COMPUTED_VALUE"""),"サイズ")</f>
        <v>サイズ</v>
      </c>
      <c r="B754" s="273" t="str">
        <f>IFERROR(__xludf.DUMMYFUNCTION("""COMPUTED_VALUE"""),"カットソー")</f>
        <v>カットソー</v>
      </c>
      <c r="C754" s="273" t="str">
        <f>IFERROR(__xludf.DUMMYFUNCTION("""COMPUTED_VALUE"""),"ヒップ仕上がり寸")</f>
        <v>ヒップ仕上がり寸</v>
      </c>
      <c r="D754" s="668"/>
      <c r="E754" s="668"/>
      <c r="F754" s="342" t="str">
        <f>IFERROR(__xludf.DUMMYFUNCTION("""COMPUTED_VALUE"""),"ヒップ仕上がり寸")</f>
        <v>ヒップ仕上がり寸</v>
      </c>
      <c r="G754" s="668" t="str">
        <f>IFERROR(__xludf.DUMMYFUNCTION("""COMPUTED_VALUE"""),"ヒップ仕上がり寸")</f>
        <v>ヒップ仕上がり寸</v>
      </c>
      <c r="H754" s="672" t="str">
        <f>IFERROR(__xludf.DUMMYFUNCTION("""COMPUTED_VALUE"""),"-4")</f>
        <v>-4</v>
      </c>
      <c r="I754" s="669"/>
      <c r="J754" s="669">
        <f>IFERROR(__xludf.DUMMYFUNCTION("""COMPUTED_VALUE"""),7.0)</f>
        <v>7</v>
      </c>
      <c r="K754" s="673">
        <f>IFERROR(__xludf.DUMMYFUNCTION("""COMPUTED_VALUE"""),46000.0)</f>
        <v>46000</v>
      </c>
      <c r="L754" s="670">
        <f>IFERROR(__xludf.DUMMYFUNCTION("""COMPUTED_VALUE"""),46003.0)</f>
        <v>46003</v>
      </c>
      <c r="M754" s="670">
        <f>IFERROR(__xludf.DUMMYFUNCTION("""COMPUTED_VALUE"""),46008.0)</f>
        <v>46008</v>
      </c>
      <c r="N754" s="674">
        <f>IFERROR(__xludf.DUMMYFUNCTION("""COMPUTED_VALUE"""),5780.0)</f>
        <v>5780</v>
      </c>
      <c r="O754" s="593">
        <f>IFERROR(__xludf.DUMMYFUNCTION("""COMPUTED_VALUE"""),5250.0)</f>
        <v>5250</v>
      </c>
      <c r="P754" s="594">
        <f>IFERROR(__xludf.DUMMYFUNCTION("""COMPUTED_VALUE"""),3500.0)</f>
        <v>3500</v>
      </c>
      <c r="Q754" s="183"/>
      <c r="R754" s="544"/>
      <c r="S754" s="544"/>
      <c r="T754" s="544"/>
      <c r="U754" s="544"/>
      <c r="V754" s="544"/>
      <c r="W754" s="544"/>
      <c r="X754" s="544"/>
      <c r="Y754" s="544"/>
      <c r="Z754" s="544"/>
      <c r="AA754" s="544"/>
      <c r="AB754" s="544"/>
      <c r="AC754" s="544"/>
      <c r="AD754" s="544"/>
      <c r="AE754" s="183"/>
      <c r="AF754" s="183"/>
      <c r="AG754" s="183"/>
      <c r="AH754" s="183"/>
      <c r="AI754" s="183"/>
      <c r="AJ754" s="183"/>
      <c r="AK754" s="183"/>
      <c r="AL754" s="183"/>
      <c r="AM754" s="183"/>
    </row>
    <row r="755">
      <c r="A755" s="273" t="str">
        <f>IFERROR(__xludf.DUMMYFUNCTION("""COMPUTED_VALUE"""),"サイズ")</f>
        <v>サイズ</v>
      </c>
      <c r="B755" s="273" t="str">
        <f>IFERROR(__xludf.DUMMYFUNCTION("""COMPUTED_VALUE"""),"カットソー")</f>
        <v>カットソー</v>
      </c>
      <c r="C755" s="273" t="str">
        <f>IFERROR(__xludf.DUMMYFUNCTION("""COMPUTED_VALUE"""),"裄丈 (長袖)・カフスあり")</f>
        <v>裄丈 (長袖)・カフスあり</v>
      </c>
      <c r="D755" s="668"/>
      <c r="E755" s="671" t="str">
        <f>IFERROR(__xludf.DUMMYFUNCTION("""COMPUTED_VALUE"""),"左右であっても1箇所換算")</f>
        <v>左右であっても1箇所換算</v>
      </c>
      <c r="F755" s="342" t="str">
        <f>IFERROR(__xludf.DUMMYFUNCTION("""COMPUTED_VALUE"""),"裄丈 (長袖)・カフスあり")</f>
        <v>裄丈 (長袖)・カフスあり</v>
      </c>
      <c r="G755" s="668" t="str">
        <f>IFERROR(__xludf.DUMMYFUNCTION("""COMPUTED_VALUE"""),"裄丈 (長袖)・カフスあり（左右であっても1箇所換算）")</f>
        <v>裄丈 (長袖)・カフスあり（左右であっても1箇所換算）</v>
      </c>
      <c r="H755" s="672" t="str">
        <f>IFERROR(__xludf.DUMMYFUNCTION("""COMPUTED_VALUE"""),"-1")</f>
        <v>-1</v>
      </c>
      <c r="I755" s="669"/>
      <c r="J755" s="669">
        <f>IFERROR(__xludf.DUMMYFUNCTION("""COMPUTED_VALUE"""),7.0)</f>
        <v>7</v>
      </c>
      <c r="K755" s="673">
        <f>IFERROR(__xludf.DUMMYFUNCTION("""COMPUTED_VALUE"""),46000.0)</f>
        <v>46000</v>
      </c>
      <c r="L755" s="670">
        <f>IFERROR(__xludf.DUMMYFUNCTION("""COMPUTED_VALUE"""),46003.0)</f>
        <v>46003</v>
      </c>
      <c r="M755" s="670">
        <f>IFERROR(__xludf.DUMMYFUNCTION("""COMPUTED_VALUE"""),46008.0)</f>
        <v>46008</v>
      </c>
      <c r="N755" s="669" t="str">
        <f>IFERROR(__xludf.DUMMYFUNCTION("""COMPUTED_VALUE"""),"再製作")</f>
        <v>再製作</v>
      </c>
      <c r="O755" s="183" t="str">
        <f>IFERROR(__xludf.DUMMYFUNCTION("""COMPUTED_VALUE"""),"再製作")</f>
        <v>再製作</v>
      </c>
      <c r="P755" s="183"/>
      <c r="Q755" s="183"/>
      <c r="R755" s="544"/>
      <c r="S755" s="544"/>
      <c r="T755" s="544"/>
      <c r="U755" s="544"/>
      <c r="V755" s="544"/>
      <c r="W755" s="544"/>
      <c r="X755" s="544"/>
      <c r="Y755" s="544"/>
      <c r="Z755" s="544"/>
      <c r="AA755" s="544"/>
      <c r="AB755" s="544"/>
      <c r="AC755" s="544"/>
      <c r="AD755" s="544"/>
      <c r="AE755" s="183"/>
      <c r="AF755" s="183"/>
      <c r="AG755" s="183"/>
      <c r="AH755" s="183"/>
      <c r="AI755" s="183"/>
      <c r="AJ755" s="183"/>
      <c r="AK755" s="183"/>
      <c r="AL755" s="183"/>
      <c r="AM755" s="183"/>
    </row>
    <row r="756">
      <c r="A756" s="273" t="str">
        <f>IFERROR(__xludf.DUMMYFUNCTION("""COMPUTED_VALUE"""),"サイズ")</f>
        <v>サイズ</v>
      </c>
      <c r="B756" s="273" t="str">
        <f>IFERROR(__xludf.DUMMYFUNCTION("""COMPUTED_VALUE"""),"カットソー")</f>
        <v>カットソー</v>
      </c>
      <c r="C756" s="273" t="str">
        <f>IFERROR(__xludf.DUMMYFUNCTION("""COMPUTED_VALUE"""),"裄丈 (長袖)・カフスあり")</f>
        <v>裄丈 (長袖)・カフスあり</v>
      </c>
      <c r="D756" s="668"/>
      <c r="E756" s="671" t="str">
        <f>IFERROR(__xludf.DUMMYFUNCTION("""COMPUTED_VALUE"""),"左右であっても1箇所換算")</f>
        <v>左右であっても1箇所換算</v>
      </c>
      <c r="F756" s="342" t="str">
        <f>IFERROR(__xludf.DUMMYFUNCTION("""COMPUTED_VALUE"""),"裄丈 (長袖)・カフスあり")</f>
        <v>裄丈 (長袖)・カフスあり</v>
      </c>
      <c r="G756" s="668" t="str">
        <f>IFERROR(__xludf.DUMMYFUNCTION("""COMPUTED_VALUE"""),"裄丈 (長袖)・カフスあり（左右であっても1箇所換算）")</f>
        <v>裄丈 (長袖)・カフスあり（左右であっても1箇所換算）</v>
      </c>
      <c r="H756" s="672" t="str">
        <f>IFERROR(__xludf.DUMMYFUNCTION("""COMPUTED_VALUE"""),"-2")</f>
        <v>-2</v>
      </c>
      <c r="I756" s="669"/>
      <c r="J756" s="669">
        <f>IFERROR(__xludf.DUMMYFUNCTION("""COMPUTED_VALUE"""),7.0)</f>
        <v>7</v>
      </c>
      <c r="K756" s="673">
        <f>IFERROR(__xludf.DUMMYFUNCTION("""COMPUTED_VALUE"""),46000.0)</f>
        <v>46000</v>
      </c>
      <c r="L756" s="670">
        <f>IFERROR(__xludf.DUMMYFUNCTION("""COMPUTED_VALUE"""),46003.0)</f>
        <v>46003</v>
      </c>
      <c r="M756" s="670">
        <f>IFERROR(__xludf.DUMMYFUNCTION("""COMPUTED_VALUE"""),46008.0)</f>
        <v>46008</v>
      </c>
      <c r="N756" s="669" t="str">
        <f>IFERROR(__xludf.DUMMYFUNCTION("""COMPUTED_VALUE"""),"再製作")</f>
        <v>再製作</v>
      </c>
      <c r="O756" s="183" t="str">
        <f>IFERROR(__xludf.DUMMYFUNCTION("""COMPUTED_VALUE"""),"再製作")</f>
        <v>再製作</v>
      </c>
      <c r="P756" s="183"/>
      <c r="Q756" s="183"/>
      <c r="R756" s="544"/>
      <c r="S756" s="544"/>
      <c r="T756" s="544"/>
      <c r="U756" s="544"/>
      <c r="V756" s="544"/>
      <c r="W756" s="544"/>
      <c r="X756" s="544"/>
      <c r="Y756" s="544"/>
      <c r="Z756" s="544"/>
      <c r="AA756" s="544"/>
      <c r="AB756" s="544"/>
      <c r="AC756" s="544"/>
      <c r="AD756" s="544"/>
      <c r="AE756" s="183"/>
      <c r="AF756" s="183"/>
      <c r="AG756" s="183"/>
      <c r="AH756" s="183"/>
      <c r="AI756" s="183"/>
      <c r="AJ756" s="183"/>
      <c r="AK756" s="183"/>
      <c r="AL756" s="183"/>
      <c r="AM756" s="183"/>
    </row>
    <row r="757">
      <c r="A757" s="273" t="str">
        <f>IFERROR(__xludf.DUMMYFUNCTION("""COMPUTED_VALUE"""),"サイズ")</f>
        <v>サイズ</v>
      </c>
      <c r="B757" s="273" t="str">
        <f>IFERROR(__xludf.DUMMYFUNCTION("""COMPUTED_VALUE"""),"カットソー")</f>
        <v>カットソー</v>
      </c>
      <c r="C757" s="273" t="str">
        <f>IFERROR(__xludf.DUMMYFUNCTION("""COMPUTED_VALUE"""),"裄丈 (長袖)・カフスあり")</f>
        <v>裄丈 (長袖)・カフスあり</v>
      </c>
      <c r="D757" s="668"/>
      <c r="E757" s="671" t="str">
        <f>IFERROR(__xludf.DUMMYFUNCTION("""COMPUTED_VALUE"""),"左右であっても1箇所換算")</f>
        <v>左右であっても1箇所換算</v>
      </c>
      <c r="F757" s="342" t="str">
        <f>IFERROR(__xludf.DUMMYFUNCTION("""COMPUTED_VALUE"""),"裄丈 (長袖)・カフスあり")</f>
        <v>裄丈 (長袖)・カフスあり</v>
      </c>
      <c r="G757" s="668" t="str">
        <f>IFERROR(__xludf.DUMMYFUNCTION("""COMPUTED_VALUE"""),"裄丈 (長袖)・カフスあり（左右であっても1箇所換算）")</f>
        <v>裄丈 (長袖)・カフスあり（左右であっても1箇所換算）</v>
      </c>
      <c r="H757" s="672" t="str">
        <f>IFERROR(__xludf.DUMMYFUNCTION("""COMPUTED_VALUE"""),"-3")</f>
        <v>-3</v>
      </c>
      <c r="I757" s="669"/>
      <c r="J757" s="669">
        <f>IFERROR(__xludf.DUMMYFUNCTION("""COMPUTED_VALUE"""),7.0)</f>
        <v>7</v>
      </c>
      <c r="K757" s="673">
        <f>IFERROR(__xludf.DUMMYFUNCTION("""COMPUTED_VALUE"""),46000.0)</f>
        <v>46000</v>
      </c>
      <c r="L757" s="670">
        <f>IFERROR(__xludf.DUMMYFUNCTION("""COMPUTED_VALUE"""),46003.0)</f>
        <v>46003</v>
      </c>
      <c r="M757" s="670">
        <f>IFERROR(__xludf.DUMMYFUNCTION("""COMPUTED_VALUE"""),46008.0)</f>
        <v>46008</v>
      </c>
      <c r="N757" s="669" t="str">
        <f>IFERROR(__xludf.DUMMYFUNCTION("""COMPUTED_VALUE"""),"再製作")</f>
        <v>再製作</v>
      </c>
      <c r="O757" s="183" t="str">
        <f>IFERROR(__xludf.DUMMYFUNCTION("""COMPUTED_VALUE"""),"再製作")</f>
        <v>再製作</v>
      </c>
      <c r="P757" s="183"/>
      <c r="Q757" s="183"/>
      <c r="R757" s="544"/>
      <c r="S757" s="544"/>
      <c r="T757" s="544"/>
      <c r="U757" s="544"/>
      <c r="V757" s="544"/>
      <c r="W757" s="544"/>
      <c r="X757" s="544"/>
      <c r="Y757" s="544"/>
      <c r="Z757" s="544"/>
      <c r="AA757" s="544"/>
      <c r="AB757" s="544"/>
      <c r="AC757" s="544"/>
      <c r="AD757" s="544"/>
      <c r="AE757" s="183"/>
      <c r="AF757" s="183"/>
      <c r="AG757" s="183"/>
      <c r="AH757" s="183"/>
      <c r="AI757" s="183"/>
      <c r="AJ757" s="183"/>
      <c r="AK757" s="183"/>
      <c r="AL757" s="183"/>
      <c r="AM757" s="183"/>
    </row>
    <row r="758">
      <c r="A758" s="273" t="str">
        <f>IFERROR(__xludf.DUMMYFUNCTION("""COMPUTED_VALUE"""),"サイズ")</f>
        <v>サイズ</v>
      </c>
      <c r="B758" s="273" t="str">
        <f>IFERROR(__xludf.DUMMYFUNCTION("""COMPUTED_VALUE"""),"カットソー")</f>
        <v>カットソー</v>
      </c>
      <c r="C758" s="273" t="str">
        <f>IFERROR(__xludf.DUMMYFUNCTION("""COMPUTED_VALUE"""),"裄丈 (長袖)・カフスなし")</f>
        <v>裄丈 (長袖)・カフスなし</v>
      </c>
      <c r="D758" s="668"/>
      <c r="E758" s="671" t="str">
        <f>IFERROR(__xludf.DUMMYFUNCTION("""COMPUTED_VALUE"""),"左右であっても1箇所換算")</f>
        <v>左右であっても1箇所換算</v>
      </c>
      <c r="F758" s="342" t="str">
        <f>IFERROR(__xludf.DUMMYFUNCTION("""COMPUTED_VALUE"""),"裄丈 (長袖)・カフスなし")</f>
        <v>裄丈 (長袖)・カフスなし</v>
      </c>
      <c r="G758" s="668" t="str">
        <f>IFERROR(__xludf.DUMMYFUNCTION("""COMPUTED_VALUE"""),"裄丈 (長袖)・カフスなし（左右であっても1箇所換算）")</f>
        <v>裄丈 (長袖)・カフスなし（左右であっても1箇所換算）</v>
      </c>
      <c r="H758" s="672" t="str">
        <f>IFERROR(__xludf.DUMMYFUNCTION("""COMPUTED_VALUE"""),"-1")</f>
        <v>-1</v>
      </c>
      <c r="I758" s="669"/>
      <c r="J758" s="669">
        <f>IFERROR(__xludf.DUMMYFUNCTION("""COMPUTED_VALUE"""),7.0)</f>
        <v>7</v>
      </c>
      <c r="K758" s="673">
        <f>IFERROR(__xludf.DUMMYFUNCTION("""COMPUTED_VALUE"""),46000.0)</f>
        <v>46000</v>
      </c>
      <c r="L758" s="670">
        <f>IFERROR(__xludf.DUMMYFUNCTION("""COMPUTED_VALUE"""),46003.0)</f>
        <v>46003</v>
      </c>
      <c r="M758" s="670">
        <f>IFERROR(__xludf.DUMMYFUNCTION("""COMPUTED_VALUE"""),46008.0)</f>
        <v>46008</v>
      </c>
      <c r="N758" s="669" t="str">
        <f>IFERROR(__xludf.DUMMYFUNCTION("""COMPUTED_VALUE"""),"再製作")</f>
        <v>再製作</v>
      </c>
      <c r="O758" s="183" t="str">
        <f>IFERROR(__xludf.DUMMYFUNCTION("""COMPUTED_VALUE"""),"再製作")</f>
        <v>再製作</v>
      </c>
      <c r="P758" s="183"/>
      <c r="Q758" s="183"/>
      <c r="R758" s="544"/>
      <c r="S758" s="544"/>
      <c r="T758" s="544"/>
      <c r="U758" s="544"/>
      <c r="V758" s="544"/>
      <c r="W758" s="544"/>
      <c r="X758" s="544"/>
      <c r="Y758" s="544"/>
      <c r="Z758" s="544"/>
      <c r="AA758" s="544"/>
      <c r="AB758" s="544"/>
      <c r="AC758" s="544"/>
      <c r="AD758" s="544"/>
      <c r="AE758" s="183"/>
      <c r="AF758" s="183"/>
      <c r="AG758" s="183"/>
      <c r="AH758" s="183"/>
      <c r="AI758" s="183"/>
      <c r="AJ758" s="183"/>
      <c r="AK758" s="183"/>
      <c r="AL758" s="183"/>
      <c r="AM758" s="183"/>
    </row>
    <row r="759">
      <c r="A759" s="273" t="str">
        <f>IFERROR(__xludf.DUMMYFUNCTION("""COMPUTED_VALUE"""),"サイズ")</f>
        <v>サイズ</v>
      </c>
      <c r="B759" s="273" t="str">
        <f>IFERROR(__xludf.DUMMYFUNCTION("""COMPUTED_VALUE"""),"カットソー")</f>
        <v>カットソー</v>
      </c>
      <c r="C759" s="273" t="str">
        <f>IFERROR(__xludf.DUMMYFUNCTION("""COMPUTED_VALUE"""),"裄丈 (長袖)・カフスなし")</f>
        <v>裄丈 (長袖)・カフスなし</v>
      </c>
      <c r="D759" s="668"/>
      <c r="E759" s="671" t="str">
        <f>IFERROR(__xludf.DUMMYFUNCTION("""COMPUTED_VALUE"""),"左右であっても1箇所換算")</f>
        <v>左右であっても1箇所換算</v>
      </c>
      <c r="F759" s="342" t="str">
        <f>IFERROR(__xludf.DUMMYFUNCTION("""COMPUTED_VALUE"""),"裄丈 (長袖)・カフスなし")</f>
        <v>裄丈 (長袖)・カフスなし</v>
      </c>
      <c r="G759" s="668" t="str">
        <f>IFERROR(__xludf.DUMMYFUNCTION("""COMPUTED_VALUE"""),"裄丈 (長袖)・カフスなし（左右であっても1箇所換算）")</f>
        <v>裄丈 (長袖)・カフスなし（左右であっても1箇所換算）</v>
      </c>
      <c r="H759" s="672" t="str">
        <f>IFERROR(__xludf.DUMMYFUNCTION("""COMPUTED_VALUE"""),"-2")</f>
        <v>-2</v>
      </c>
      <c r="I759" s="669"/>
      <c r="J759" s="669">
        <f>IFERROR(__xludf.DUMMYFUNCTION("""COMPUTED_VALUE"""),7.0)</f>
        <v>7</v>
      </c>
      <c r="K759" s="673">
        <f>IFERROR(__xludf.DUMMYFUNCTION("""COMPUTED_VALUE"""),46000.0)</f>
        <v>46000</v>
      </c>
      <c r="L759" s="670">
        <f>IFERROR(__xludf.DUMMYFUNCTION("""COMPUTED_VALUE"""),46003.0)</f>
        <v>46003</v>
      </c>
      <c r="M759" s="670">
        <f>IFERROR(__xludf.DUMMYFUNCTION("""COMPUTED_VALUE"""),46008.0)</f>
        <v>46008</v>
      </c>
      <c r="N759" s="669" t="str">
        <f>IFERROR(__xludf.DUMMYFUNCTION("""COMPUTED_VALUE"""),"再製作")</f>
        <v>再製作</v>
      </c>
      <c r="O759" s="183" t="str">
        <f>IFERROR(__xludf.DUMMYFUNCTION("""COMPUTED_VALUE"""),"再製作")</f>
        <v>再製作</v>
      </c>
      <c r="P759" s="183"/>
      <c r="Q759" s="183"/>
      <c r="R759" s="544"/>
      <c r="S759" s="544"/>
      <c r="T759" s="544"/>
      <c r="U759" s="544"/>
      <c r="V759" s="544"/>
      <c r="W759" s="544"/>
      <c r="X759" s="544"/>
      <c r="Y759" s="544"/>
      <c r="Z759" s="544"/>
      <c r="AA759" s="544"/>
      <c r="AB759" s="544"/>
      <c r="AC759" s="544"/>
      <c r="AD759" s="544"/>
      <c r="AE759" s="183"/>
      <c r="AF759" s="183"/>
      <c r="AG759" s="183"/>
      <c r="AH759" s="183"/>
      <c r="AI759" s="183"/>
      <c r="AJ759" s="183"/>
      <c r="AK759" s="183"/>
      <c r="AL759" s="183"/>
      <c r="AM759" s="183"/>
    </row>
    <row r="760">
      <c r="A760" s="273" t="str">
        <f>IFERROR(__xludf.DUMMYFUNCTION("""COMPUTED_VALUE"""),"サイズ")</f>
        <v>サイズ</v>
      </c>
      <c r="B760" s="273" t="str">
        <f>IFERROR(__xludf.DUMMYFUNCTION("""COMPUTED_VALUE"""),"カットソー")</f>
        <v>カットソー</v>
      </c>
      <c r="C760" s="273" t="str">
        <f>IFERROR(__xludf.DUMMYFUNCTION("""COMPUTED_VALUE"""),"裄丈 (長袖)・カフスなし")</f>
        <v>裄丈 (長袖)・カフスなし</v>
      </c>
      <c r="D760" s="668"/>
      <c r="E760" s="671" t="str">
        <f>IFERROR(__xludf.DUMMYFUNCTION("""COMPUTED_VALUE"""),"左右であっても1箇所換算")</f>
        <v>左右であっても1箇所換算</v>
      </c>
      <c r="F760" s="342" t="str">
        <f>IFERROR(__xludf.DUMMYFUNCTION("""COMPUTED_VALUE"""),"裄丈 (長袖)・カフスなし")</f>
        <v>裄丈 (長袖)・カフスなし</v>
      </c>
      <c r="G760" s="668" t="str">
        <f>IFERROR(__xludf.DUMMYFUNCTION("""COMPUTED_VALUE"""),"裄丈 (長袖)・カフスなし（左右であっても1箇所換算）")</f>
        <v>裄丈 (長袖)・カフスなし（左右であっても1箇所換算）</v>
      </c>
      <c r="H760" s="672" t="str">
        <f>IFERROR(__xludf.DUMMYFUNCTION("""COMPUTED_VALUE"""),"-3")</f>
        <v>-3</v>
      </c>
      <c r="I760" s="669"/>
      <c r="J760" s="669">
        <f>IFERROR(__xludf.DUMMYFUNCTION("""COMPUTED_VALUE"""),7.0)</f>
        <v>7</v>
      </c>
      <c r="K760" s="673">
        <f>IFERROR(__xludf.DUMMYFUNCTION("""COMPUTED_VALUE"""),46000.0)</f>
        <v>46000</v>
      </c>
      <c r="L760" s="670">
        <f>IFERROR(__xludf.DUMMYFUNCTION("""COMPUTED_VALUE"""),46003.0)</f>
        <v>46003</v>
      </c>
      <c r="M760" s="670">
        <f>IFERROR(__xludf.DUMMYFUNCTION("""COMPUTED_VALUE"""),46008.0)</f>
        <v>46008</v>
      </c>
      <c r="N760" s="669" t="str">
        <f>IFERROR(__xludf.DUMMYFUNCTION("""COMPUTED_VALUE"""),"再製作")</f>
        <v>再製作</v>
      </c>
      <c r="O760" s="183" t="str">
        <f>IFERROR(__xludf.DUMMYFUNCTION("""COMPUTED_VALUE"""),"再製作")</f>
        <v>再製作</v>
      </c>
      <c r="P760" s="183"/>
      <c r="Q760" s="183"/>
      <c r="R760" s="544"/>
      <c r="S760" s="544"/>
      <c r="T760" s="544"/>
      <c r="U760" s="544"/>
      <c r="V760" s="544"/>
      <c r="W760" s="544"/>
      <c r="X760" s="544"/>
      <c r="Y760" s="544"/>
      <c r="Z760" s="544"/>
      <c r="AA760" s="544"/>
      <c r="AB760" s="544"/>
      <c r="AC760" s="544"/>
      <c r="AD760" s="544"/>
      <c r="AE760" s="183"/>
      <c r="AF760" s="183"/>
      <c r="AG760" s="183"/>
      <c r="AH760" s="183"/>
      <c r="AI760" s="183"/>
      <c r="AJ760" s="183"/>
      <c r="AK760" s="183"/>
      <c r="AL760" s="183"/>
      <c r="AM760" s="183"/>
    </row>
    <row r="761">
      <c r="A761" s="273" t="str">
        <f>IFERROR(__xludf.DUMMYFUNCTION("""COMPUTED_VALUE"""),"サイズ")</f>
        <v>サイズ</v>
      </c>
      <c r="B761" s="273" t="str">
        <f>IFERROR(__xludf.DUMMYFUNCTION("""COMPUTED_VALUE"""),"カットソー")</f>
        <v>カットソー</v>
      </c>
      <c r="C761" s="273" t="str">
        <f>IFERROR(__xludf.DUMMYFUNCTION("""COMPUTED_VALUE"""),"アームホール")</f>
        <v>アームホール</v>
      </c>
      <c r="D761" s="668"/>
      <c r="E761" s="668"/>
      <c r="F761" s="342" t="str">
        <f>IFERROR(__xludf.DUMMYFUNCTION("""COMPUTED_VALUE"""),"アームホール")</f>
        <v>アームホール</v>
      </c>
      <c r="G761" s="668" t="str">
        <f>IFERROR(__xludf.DUMMYFUNCTION("""COMPUTED_VALUE"""),"アームホール")</f>
        <v>アームホール</v>
      </c>
      <c r="H761" s="672" t="str">
        <f>IFERROR(__xludf.DUMMYFUNCTION("""COMPUTED_VALUE"""),"-1")</f>
        <v>-1</v>
      </c>
      <c r="I761" s="669"/>
      <c r="J761" s="669">
        <f>IFERROR(__xludf.DUMMYFUNCTION("""COMPUTED_VALUE"""),7.0)</f>
        <v>7</v>
      </c>
      <c r="K761" s="673">
        <f>IFERROR(__xludf.DUMMYFUNCTION("""COMPUTED_VALUE"""),46000.0)</f>
        <v>46000</v>
      </c>
      <c r="L761" s="670">
        <f>IFERROR(__xludf.DUMMYFUNCTION("""COMPUTED_VALUE"""),46003.0)</f>
        <v>46003</v>
      </c>
      <c r="M761" s="670">
        <f>IFERROR(__xludf.DUMMYFUNCTION("""COMPUTED_VALUE"""),46008.0)</f>
        <v>46008</v>
      </c>
      <c r="N761" s="678">
        <f>IFERROR(__xludf.DUMMYFUNCTION("""COMPUTED_VALUE"""),5800.0)</f>
        <v>5800</v>
      </c>
      <c r="O761" s="632">
        <f>IFERROR(__xludf.DUMMYFUNCTION("""COMPUTED_VALUE"""),5250.0)</f>
        <v>5250</v>
      </c>
      <c r="P761" s="594">
        <f>IFERROR(__xludf.DUMMYFUNCTION("""COMPUTED_VALUE"""),3500.0)</f>
        <v>3500</v>
      </c>
      <c r="Q761" s="183"/>
      <c r="R761" s="544"/>
      <c r="S761" s="544"/>
      <c r="T761" s="544"/>
      <c r="U761" s="544"/>
      <c r="V761" s="544"/>
      <c r="W761" s="544"/>
      <c r="X761" s="544"/>
      <c r="Y761" s="544"/>
      <c r="Z761" s="544"/>
      <c r="AA761" s="544"/>
      <c r="AB761" s="544"/>
      <c r="AC761" s="544"/>
      <c r="AD761" s="544"/>
      <c r="AE761" s="183"/>
      <c r="AF761" s="183"/>
      <c r="AG761" s="183"/>
      <c r="AH761" s="183"/>
      <c r="AI761" s="183"/>
      <c r="AJ761" s="183"/>
      <c r="AK761" s="183"/>
      <c r="AL761" s="183"/>
      <c r="AM761" s="183"/>
    </row>
    <row r="762">
      <c r="A762" s="273" t="str">
        <f>IFERROR(__xludf.DUMMYFUNCTION("""COMPUTED_VALUE"""),"サイズ")</f>
        <v>サイズ</v>
      </c>
      <c r="B762" s="273" t="str">
        <f>IFERROR(__xludf.DUMMYFUNCTION("""COMPUTED_VALUE"""),"カットソー")</f>
        <v>カットソー</v>
      </c>
      <c r="C762" s="273" t="str">
        <f>IFERROR(__xludf.DUMMYFUNCTION("""COMPUTED_VALUE"""),"アームホール")</f>
        <v>アームホール</v>
      </c>
      <c r="D762" s="668"/>
      <c r="E762" s="668"/>
      <c r="F762" s="342" t="str">
        <f>IFERROR(__xludf.DUMMYFUNCTION("""COMPUTED_VALUE"""),"アームホール")</f>
        <v>アームホール</v>
      </c>
      <c r="G762" s="668" t="str">
        <f>IFERROR(__xludf.DUMMYFUNCTION("""COMPUTED_VALUE"""),"アームホール")</f>
        <v>アームホール</v>
      </c>
      <c r="H762" s="672" t="str">
        <f>IFERROR(__xludf.DUMMYFUNCTION("""COMPUTED_VALUE"""),"-2")</f>
        <v>-2</v>
      </c>
      <c r="I762" s="669"/>
      <c r="J762" s="669">
        <f>IFERROR(__xludf.DUMMYFUNCTION("""COMPUTED_VALUE"""),7.0)</f>
        <v>7</v>
      </c>
      <c r="K762" s="673">
        <f>IFERROR(__xludf.DUMMYFUNCTION("""COMPUTED_VALUE"""),46000.0)</f>
        <v>46000</v>
      </c>
      <c r="L762" s="670">
        <f>IFERROR(__xludf.DUMMYFUNCTION("""COMPUTED_VALUE"""),46003.0)</f>
        <v>46003</v>
      </c>
      <c r="M762" s="670">
        <f>IFERROR(__xludf.DUMMYFUNCTION("""COMPUTED_VALUE"""),46008.0)</f>
        <v>46008</v>
      </c>
      <c r="N762" s="678">
        <f>IFERROR(__xludf.DUMMYFUNCTION("""COMPUTED_VALUE"""),5800.0)</f>
        <v>5800</v>
      </c>
      <c r="O762" s="632">
        <f>IFERROR(__xludf.DUMMYFUNCTION("""COMPUTED_VALUE"""),5250.0)</f>
        <v>5250</v>
      </c>
      <c r="P762" s="594">
        <f>IFERROR(__xludf.DUMMYFUNCTION("""COMPUTED_VALUE"""),3500.0)</f>
        <v>3500</v>
      </c>
      <c r="Q762" s="183"/>
      <c r="R762" s="544"/>
      <c r="S762" s="544"/>
      <c r="T762" s="544"/>
      <c r="U762" s="544"/>
      <c r="V762" s="544"/>
      <c r="W762" s="544"/>
      <c r="X762" s="544"/>
      <c r="Y762" s="544"/>
      <c r="Z762" s="544"/>
      <c r="AA762" s="544"/>
      <c r="AB762" s="544"/>
      <c r="AC762" s="544"/>
      <c r="AD762" s="544"/>
      <c r="AE762" s="183"/>
      <c r="AF762" s="183"/>
      <c r="AG762" s="183"/>
      <c r="AH762" s="183"/>
      <c r="AI762" s="183"/>
      <c r="AJ762" s="183"/>
      <c r="AK762" s="183"/>
      <c r="AL762" s="183"/>
      <c r="AM762" s="183"/>
    </row>
    <row r="763">
      <c r="A763" s="273" t="str">
        <f>IFERROR(__xludf.DUMMYFUNCTION("""COMPUTED_VALUE"""),"サイズ")</f>
        <v>サイズ</v>
      </c>
      <c r="B763" s="273" t="str">
        <f>IFERROR(__xludf.DUMMYFUNCTION("""COMPUTED_VALUE"""),"カットソー")</f>
        <v>カットソー</v>
      </c>
      <c r="C763" s="273" t="str">
        <f>IFERROR(__xludf.DUMMYFUNCTION("""COMPUTED_VALUE"""),"着丈")</f>
        <v>着丈</v>
      </c>
      <c r="D763" s="668"/>
      <c r="E763" s="668"/>
      <c r="F763" s="342" t="str">
        <f>IFERROR(__xludf.DUMMYFUNCTION("""COMPUTED_VALUE"""),"着丈")</f>
        <v>着丈</v>
      </c>
      <c r="G763" s="668" t="str">
        <f>IFERROR(__xludf.DUMMYFUNCTION("""COMPUTED_VALUE"""),"着丈")</f>
        <v>着丈</v>
      </c>
      <c r="H763" s="672" t="str">
        <f>IFERROR(__xludf.DUMMYFUNCTION("""COMPUTED_VALUE"""),"-1")</f>
        <v>-1</v>
      </c>
      <c r="I763" s="669"/>
      <c r="J763" s="669">
        <f>IFERROR(__xludf.DUMMYFUNCTION("""COMPUTED_VALUE"""),7.0)</f>
        <v>7</v>
      </c>
      <c r="K763" s="673">
        <f>IFERROR(__xludf.DUMMYFUNCTION("""COMPUTED_VALUE"""),46000.0)</f>
        <v>46000</v>
      </c>
      <c r="L763" s="670">
        <f>IFERROR(__xludf.DUMMYFUNCTION("""COMPUTED_VALUE"""),46003.0)</f>
        <v>46003</v>
      </c>
      <c r="M763" s="670">
        <f>IFERROR(__xludf.DUMMYFUNCTION("""COMPUTED_VALUE"""),46008.0)</f>
        <v>46008</v>
      </c>
      <c r="N763" s="674">
        <f>IFERROR(__xludf.DUMMYFUNCTION("""COMPUTED_VALUE"""),6600.0)</f>
        <v>6600</v>
      </c>
      <c r="O763" s="593">
        <f>IFERROR(__xludf.DUMMYFUNCTION("""COMPUTED_VALUE"""),6000.0)</f>
        <v>6000</v>
      </c>
      <c r="P763" s="594">
        <f>IFERROR(__xludf.DUMMYFUNCTION("""COMPUTED_VALUE"""),4000.0)</f>
        <v>4000</v>
      </c>
      <c r="Q763" s="183"/>
      <c r="R763" s="544"/>
      <c r="S763" s="544"/>
      <c r="T763" s="544"/>
      <c r="U763" s="544"/>
      <c r="V763" s="544"/>
      <c r="W763" s="544"/>
      <c r="X763" s="544"/>
      <c r="Y763" s="544"/>
      <c r="Z763" s="544"/>
      <c r="AA763" s="544"/>
      <c r="AB763" s="544"/>
      <c r="AC763" s="544"/>
      <c r="AD763" s="544"/>
      <c r="AE763" s="183"/>
      <c r="AF763" s="183"/>
      <c r="AG763" s="183"/>
      <c r="AH763" s="183"/>
      <c r="AI763" s="183"/>
      <c r="AJ763" s="183"/>
      <c r="AK763" s="183"/>
      <c r="AL763" s="183"/>
      <c r="AM763" s="183"/>
    </row>
    <row r="764">
      <c r="A764" s="273" t="str">
        <f>IFERROR(__xludf.DUMMYFUNCTION("""COMPUTED_VALUE"""),"サイズ")</f>
        <v>サイズ</v>
      </c>
      <c r="B764" s="273" t="str">
        <f>IFERROR(__xludf.DUMMYFUNCTION("""COMPUTED_VALUE"""),"カットソー")</f>
        <v>カットソー</v>
      </c>
      <c r="C764" s="273" t="str">
        <f>IFERROR(__xludf.DUMMYFUNCTION("""COMPUTED_VALUE"""),"着丈")</f>
        <v>着丈</v>
      </c>
      <c r="D764" s="668"/>
      <c r="E764" s="668"/>
      <c r="F764" s="342" t="str">
        <f>IFERROR(__xludf.DUMMYFUNCTION("""COMPUTED_VALUE"""),"着丈")</f>
        <v>着丈</v>
      </c>
      <c r="G764" s="668" t="str">
        <f>IFERROR(__xludf.DUMMYFUNCTION("""COMPUTED_VALUE"""),"着丈")</f>
        <v>着丈</v>
      </c>
      <c r="H764" s="672" t="str">
        <f>IFERROR(__xludf.DUMMYFUNCTION("""COMPUTED_VALUE"""),"-2")</f>
        <v>-2</v>
      </c>
      <c r="I764" s="669"/>
      <c r="J764" s="669">
        <f>IFERROR(__xludf.DUMMYFUNCTION("""COMPUTED_VALUE"""),7.0)</f>
        <v>7</v>
      </c>
      <c r="K764" s="673">
        <f>IFERROR(__xludf.DUMMYFUNCTION("""COMPUTED_VALUE"""),46000.0)</f>
        <v>46000</v>
      </c>
      <c r="L764" s="670">
        <f>IFERROR(__xludf.DUMMYFUNCTION("""COMPUTED_VALUE"""),46003.0)</f>
        <v>46003</v>
      </c>
      <c r="M764" s="670">
        <f>IFERROR(__xludf.DUMMYFUNCTION("""COMPUTED_VALUE"""),46008.0)</f>
        <v>46008</v>
      </c>
      <c r="N764" s="674">
        <f>IFERROR(__xludf.DUMMYFUNCTION("""COMPUTED_VALUE"""),6600.0)</f>
        <v>6600</v>
      </c>
      <c r="O764" s="593">
        <f>IFERROR(__xludf.DUMMYFUNCTION("""COMPUTED_VALUE"""),6000.0)</f>
        <v>6000</v>
      </c>
      <c r="P764" s="594">
        <f>IFERROR(__xludf.DUMMYFUNCTION("""COMPUTED_VALUE"""),4000.0)</f>
        <v>4000</v>
      </c>
      <c r="Q764" s="183"/>
      <c r="R764" s="544"/>
      <c r="S764" s="544"/>
      <c r="T764" s="544"/>
      <c r="U764" s="544"/>
      <c r="V764" s="544"/>
      <c r="W764" s="544"/>
      <c r="X764" s="544"/>
      <c r="Y764" s="544"/>
      <c r="Z764" s="544"/>
      <c r="AA764" s="544"/>
      <c r="AB764" s="544"/>
      <c r="AC764" s="544"/>
      <c r="AD764" s="544"/>
      <c r="AE764" s="183"/>
      <c r="AF764" s="183"/>
      <c r="AG764" s="183"/>
      <c r="AH764" s="183"/>
      <c r="AI764" s="183"/>
      <c r="AJ764" s="183"/>
      <c r="AK764" s="183"/>
      <c r="AL764" s="183"/>
      <c r="AM764" s="183"/>
    </row>
    <row r="765">
      <c r="A765" s="273" t="str">
        <f>IFERROR(__xludf.DUMMYFUNCTION("""COMPUTED_VALUE"""),"サイズ")</f>
        <v>サイズ</v>
      </c>
      <c r="B765" s="273" t="str">
        <f>IFERROR(__xludf.DUMMYFUNCTION("""COMPUTED_VALUE"""),"カットソー")</f>
        <v>カットソー</v>
      </c>
      <c r="C765" s="273" t="str">
        <f>IFERROR(__xludf.DUMMYFUNCTION("""COMPUTED_VALUE"""),"着丈")</f>
        <v>着丈</v>
      </c>
      <c r="D765" s="668"/>
      <c r="E765" s="668"/>
      <c r="F765" s="342" t="str">
        <f>IFERROR(__xludf.DUMMYFUNCTION("""COMPUTED_VALUE"""),"着丈")</f>
        <v>着丈</v>
      </c>
      <c r="G765" s="668" t="str">
        <f>IFERROR(__xludf.DUMMYFUNCTION("""COMPUTED_VALUE"""),"着丈")</f>
        <v>着丈</v>
      </c>
      <c r="H765" s="672" t="str">
        <f>IFERROR(__xludf.DUMMYFUNCTION("""COMPUTED_VALUE"""),"-3")</f>
        <v>-3</v>
      </c>
      <c r="I765" s="669"/>
      <c r="J765" s="669">
        <f>IFERROR(__xludf.DUMMYFUNCTION("""COMPUTED_VALUE"""),7.0)</f>
        <v>7</v>
      </c>
      <c r="K765" s="673">
        <f>IFERROR(__xludf.DUMMYFUNCTION("""COMPUTED_VALUE"""),46000.0)</f>
        <v>46000</v>
      </c>
      <c r="L765" s="670">
        <f>IFERROR(__xludf.DUMMYFUNCTION("""COMPUTED_VALUE"""),46003.0)</f>
        <v>46003</v>
      </c>
      <c r="M765" s="670">
        <f>IFERROR(__xludf.DUMMYFUNCTION("""COMPUTED_VALUE"""),46008.0)</f>
        <v>46008</v>
      </c>
      <c r="N765" s="674">
        <f>IFERROR(__xludf.DUMMYFUNCTION("""COMPUTED_VALUE"""),6600.0)</f>
        <v>6600</v>
      </c>
      <c r="O765" s="593">
        <f>IFERROR(__xludf.DUMMYFUNCTION("""COMPUTED_VALUE"""),6000.0)</f>
        <v>6000</v>
      </c>
      <c r="P765" s="594">
        <f>IFERROR(__xludf.DUMMYFUNCTION("""COMPUTED_VALUE"""),4000.0)</f>
        <v>4000</v>
      </c>
      <c r="Q765" s="183"/>
      <c r="R765" s="544"/>
      <c r="S765" s="544"/>
      <c r="T765" s="544"/>
      <c r="U765" s="544"/>
      <c r="V765" s="544"/>
      <c r="W765" s="544"/>
      <c r="X765" s="544"/>
      <c r="Y765" s="544"/>
      <c r="Z765" s="544"/>
      <c r="AA765" s="544"/>
      <c r="AB765" s="544"/>
      <c r="AC765" s="544"/>
      <c r="AD765" s="544"/>
      <c r="AE765" s="183"/>
      <c r="AF765" s="183"/>
      <c r="AG765" s="183"/>
      <c r="AH765" s="183"/>
      <c r="AI765" s="183"/>
      <c r="AJ765" s="183"/>
      <c r="AK765" s="183"/>
      <c r="AL765" s="183"/>
      <c r="AM765" s="183"/>
    </row>
    <row r="766">
      <c r="A766" s="273" t="str">
        <f>IFERROR(__xludf.DUMMYFUNCTION("""COMPUTED_VALUE"""),"サイズ")</f>
        <v>サイズ</v>
      </c>
      <c r="B766" s="273" t="str">
        <f>IFERROR(__xludf.DUMMYFUNCTION("""COMPUTED_VALUE"""),"カットソー")</f>
        <v>カットソー</v>
      </c>
      <c r="C766" s="273" t="str">
        <f>IFERROR(__xludf.DUMMYFUNCTION("""COMPUTED_VALUE"""),"着丈")</f>
        <v>着丈</v>
      </c>
      <c r="D766" s="668"/>
      <c r="E766" s="668"/>
      <c r="F766" s="342" t="str">
        <f>IFERROR(__xludf.DUMMYFUNCTION("""COMPUTED_VALUE"""),"着丈")</f>
        <v>着丈</v>
      </c>
      <c r="G766" s="668" t="str">
        <f>IFERROR(__xludf.DUMMYFUNCTION("""COMPUTED_VALUE"""),"着丈")</f>
        <v>着丈</v>
      </c>
      <c r="H766" s="672" t="str">
        <f>IFERROR(__xludf.DUMMYFUNCTION("""COMPUTED_VALUE"""),"-4")</f>
        <v>-4</v>
      </c>
      <c r="I766" s="669"/>
      <c r="J766" s="669">
        <f>IFERROR(__xludf.DUMMYFUNCTION("""COMPUTED_VALUE"""),7.0)</f>
        <v>7</v>
      </c>
      <c r="K766" s="673">
        <f>IFERROR(__xludf.DUMMYFUNCTION("""COMPUTED_VALUE"""),46000.0)</f>
        <v>46000</v>
      </c>
      <c r="L766" s="670">
        <f>IFERROR(__xludf.DUMMYFUNCTION("""COMPUTED_VALUE"""),46003.0)</f>
        <v>46003</v>
      </c>
      <c r="M766" s="670">
        <f>IFERROR(__xludf.DUMMYFUNCTION("""COMPUTED_VALUE"""),46008.0)</f>
        <v>46008</v>
      </c>
      <c r="N766" s="674">
        <f>IFERROR(__xludf.DUMMYFUNCTION("""COMPUTED_VALUE"""),6600.0)</f>
        <v>6600</v>
      </c>
      <c r="O766" s="593">
        <f>IFERROR(__xludf.DUMMYFUNCTION("""COMPUTED_VALUE"""),6000.0)</f>
        <v>6000</v>
      </c>
      <c r="P766" s="594">
        <f>IFERROR(__xludf.DUMMYFUNCTION("""COMPUTED_VALUE"""),4000.0)</f>
        <v>4000</v>
      </c>
      <c r="Q766" s="183"/>
      <c r="R766" s="544"/>
      <c r="S766" s="544"/>
      <c r="T766" s="544"/>
      <c r="U766" s="544"/>
      <c r="V766" s="544"/>
      <c r="W766" s="544"/>
      <c r="X766" s="544"/>
      <c r="Y766" s="544"/>
      <c r="Z766" s="544"/>
      <c r="AA766" s="544"/>
      <c r="AB766" s="544"/>
      <c r="AC766" s="544"/>
      <c r="AD766" s="544"/>
      <c r="AE766" s="183"/>
      <c r="AF766" s="183"/>
      <c r="AG766" s="183"/>
      <c r="AH766" s="183"/>
      <c r="AI766" s="183"/>
      <c r="AJ766" s="183"/>
      <c r="AK766" s="183"/>
      <c r="AL766" s="183"/>
      <c r="AM766" s="183"/>
    </row>
    <row r="767">
      <c r="A767" s="273" t="str">
        <f>IFERROR(__xludf.DUMMYFUNCTION("""COMPUTED_VALUE"""),"サイズ")</f>
        <v>サイズ</v>
      </c>
      <c r="B767" s="273" t="str">
        <f>IFERROR(__xludf.DUMMYFUNCTION("""COMPUTED_VALUE"""),"カットソー")</f>
        <v>カットソー</v>
      </c>
      <c r="C767" s="273" t="str">
        <f>IFERROR(__xludf.DUMMYFUNCTION("""COMPUTED_VALUE"""),"着丈")</f>
        <v>着丈</v>
      </c>
      <c r="D767" s="668"/>
      <c r="E767" s="668"/>
      <c r="F767" s="342" t="str">
        <f>IFERROR(__xludf.DUMMYFUNCTION("""COMPUTED_VALUE"""),"着丈")</f>
        <v>着丈</v>
      </c>
      <c r="G767" s="668" t="str">
        <f>IFERROR(__xludf.DUMMYFUNCTION("""COMPUTED_VALUE"""),"着丈")</f>
        <v>着丈</v>
      </c>
      <c r="H767" s="672" t="str">
        <f>IFERROR(__xludf.DUMMYFUNCTION("""COMPUTED_VALUE"""),"-5")</f>
        <v>-5</v>
      </c>
      <c r="I767" s="669"/>
      <c r="J767" s="669">
        <f>IFERROR(__xludf.DUMMYFUNCTION("""COMPUTED_VALUE"""),7.0)</f>
        <v>7</v>
      </c>
      <c r="K767" s="673">
        <f>IFERROR(__xludf.DUMMYFUNCTION("""COMPUTED_VALUE"""),46000.0)</f>
        <v>46000</v>
      </c>
      <c r="L767" s="670">
        <f>IFERROR(__xludf.DUMMYFUNCTION("""COMPUTED_VALUE"""),46003.0)</f>
        <v>46003</v>
      </c>
      <c r="M767" s="670">
        <f>IFERROR(__xludf.DUMMYFUNCTION("""COMPUTED_VALUE"""),46008.0)</f>
        <v>46008</v>
      </c>
      <c r="N767" s="674">
        <f>IFERROR(__xludf.DUMMYFUNCTION("""COMPUTED_VALUE"""),6600.0)</f>
        <v>6600</v>
      </c>
      <c r="O767" s="593">
        <f>IFERROR(__xludf.DUMMYFUNCTION("""COMPUTED_VALUE"""),6000.0)</f>
        <v>6000</v>
      </c>
      <c r="P767" s="594">
        <f>IFERROR(__xludf.DUMMYFUNCTION("""COMPUTED_VALUE"""),4000.0)</f>
        <v>4000</v>
      </c>
      <c r="Q767" s="183"/>
      <c r="R767" s="544"/>
      <c r="S767" s="544"/>
      <c r="T767" s="544"/>
      <c r="U767" s="544"/>
      <c r="V767" s="544"/>
      <c r="W767" s="544"/>
      <c r="X767" s="544"/>
      <c r="Y767" s="544"/>
      <c r="Z767" s="544"/>
      <c r="AA767" s="544"/>
      <c r="AB767" s="544"/>
      <c r="AC767" s="544"/>
      <c r="AD767" s="544"/>
      <c r="AE767" s="183"/>
      <c r="AF767" s="183"/>
      <c r="AG767" s="183"/>
      <c r="AH767" s="183"/>
      <c r="AI767" s="183"/>
      <c r="AJ767" s="183"/>
      <c r="AK767" s="183"/>
      <c r="AL767" s="183"/>
      <c r="AM767" s="183"/>
    </row>
    <row r="768">
      <c r="A768" s="273" t="str">
        <f>IFERROR(__xludf.DUMMYFUNCTION("""COMPUTED_VALUE"""),"サイズ")</f>
        <v>サイズ</v>
      </c>
      <c r="B768" s="273" t="str">
        <f>IFERROR(__xludf.DUMMYFUNCTION("""COMPUTED_VALUE"""),"カットソー")</f>
        <v>カットソー</v>
      </c>
      <c r="C768" s="273" t="str">
        <f>IFERROR(__xludf.DUMMYFUNCTION("""COMPUTED_VALUE"""),"着丈")</f>
        <v>着丈</v>
      </c>
      <c r="D768" s="668"/>
      <c r="E768" s="668"/>
      <c r="F768" s="342" t="str">
        <f>IFERROR(__xludf.DUMMYFUNCTION("""COMPUTED_VALUE"""),"着丈")</f>
        <v>着丈</v>
      </c>
      <c r="G768" s="668" t="str">
        <f>IFERROR(__xludf.DUMMYFUNCTION("""COMPUTED_VALUE"""),"着丈")</f>
        <v>着丈</v>
      </c>
      <c r="H768" s="672" t="str">
        <f>IFERROR(__xludf.DUMMYFUNCTION("""COMPUTED_VALUE"""),"-6")</f>
        <v>-6</v>
      </c>
      <c r="I768" s="669"/>
      <c r="J768" s="669">
        <f>IFERROR(__xludf.DUMMYFUNCTION("""COMPUTED_VALUE"""),7.0)</f>
        <v>7</v>
      </c>
      <c r="K768" s="673">
        <f>IFERROR(__xludf.DUMMYFUNCTION("""COMPUTED_VALUE"""),46000.0)</f>
        <v>46000</v>
      </c>
      <c r="L768" s="670">
        <f>IFERROR(__xludf.DUMMYFUNCTION("""COMPUTED_VALUE"""),46003.0)</f>
        <v>46003</v>
      </c>
      <c r="M768" s="670">
        <f>IFERROR(__xludf.DUMMYFUNCTION("""COMPUTED_VALUE"""),46008.0)</f>
        <v>46008</v>
      </c>
      <c r="N768" s="674">
        <f>IFERROR(__xludf.DUMMYFUNCTION("""COMPUTED_VALUE"""),6600.0)</f>
        <v>6600</v>
      </c>
      <c r="O768" s="593">
        <f>IFERROR(__xludf.DUMMYFUNCTION("""COMPUTED_VALUE"""),6000.0)</f>
        <v>6000</v>
      </c>
      <c r="P768" s="594">
        <f>IFERROR(__xludf.DUMMYFUNCTION("""COMPUTED_VALUE"""),4000.0)</f>
        <v>4000</v>
      </c>
      <c r="Q768" s="183"/>
      <c r="R768" s="544"/>
      <c r="S768" s="544"/>
      <c r="T768" s="544"/>
      <c r="U768" s="544"/>
      <c r="V768" s="544"/>
      <c r="W768" s="544"/>
      <c r="X768" s="544"/>
      <c r="Y768" s="544"/>
      <c r="Z768" s="544"/>
      <c r="AA768" s="544"/>
      <c r="AB768" s="544"/>
      <c r="AC768" s="544"/>
      <c r="AD768" s="544"/>
      <c r="AE768" s="183"/>
      <c r="AF768" s="183"/>
      <c r="AG768" s="183"/>
      <c r="AH768" s="183"/>
      <c r="AI768" s="183"/>
      <c r="AJ768" s="183"/>
      <c r="AK768" s="183"/>
      <c r="AL768" s="183"/>
      <c r="AM768" s="183"/>
    </row>
    <row r="769">
      <c r="A769" s="273" t="str">
        <f>IFERROR(__xludf.DUMMYFUNCTION("""COMPUTED_VALUE"""),"縫製")</f>
        <v>縫製</v>
      </c>
      <c r="B769" s="273" t="str">
        <f>IFERROR(__xludf.DUMMYFUNCTION("""COMPUTED_VALUE"""),"ゲージ")</f>
        <v>ゲージ</v>
      </c>
      <c r="C769" s="273" t="str">
        <f>IFERROR(__xludf.DUMMYFUNCTION("""COMPUTED_VALUE"""),"ラベル交換")</f>
        <v>ラベル交換</v>
      </c>
      <c r="D769" s="668"/>
      <c r="E769" s="668"/>
      <c r="F769" s="342" t="str">
        <f>IFERROR(__xludf.DUMMYFUNCTION("""COMPUTED_VALUE"""),"ラベル交換")</f>
        <v>ラベル交換</v>
      </c>
      <c r="G769" s="668" t="str">
        <f>IFERROR(__xludf.DUMMYFUNCTION("""COMPUTED_VALUE"""),"ラベル交換")</f>
        <v>ラベル交換</v>
      </c>
      <c r="H769" s="669"/>
      <c r="I769" s="669"/>
      <c r="J769" s="669">
        <f>IFERROR(__xludf.DUMMYFUNCTION("""COMPUTED_VALUE"""),5.0)</f>
        <v>5</v>
      </c>
      <c r="K769" s="673">
        <f>IFERROR(__xludf.DUMMYFUNCTION("""COMPUTED_VALUE"""),45996.0)</f>
        <v>45996</v>
      </c>
      <c r="L769" s="670">
        <f>IFERROR(__xludf.DUMMYFUNCTION("""COMPUTED_VALUE"""),46003.0)</f>
        <v>46003</v>
      </c>
      <c r="M769" s="670">
        <f>IFERROR(__xludf.DUMMYFUNCTION("""COMPUTED_VALUE"""),46008.0)</f>
        <v>46008</v>
      </c>
      <c r="N769" s="674">
        <f>IFERROR(__xludf.DUMMYFUNCTION("""COMPUTED_VALUE"""),550.0)</f>
        <v>550</v>
      </c>
      <c r="O769" s="593">
        <f>IFERROR(__xludf.DUMMYFUNCTION("""COMPUTED_VALUE"""),500.0)</f>
        <v>500</v>
      </c>
      <c r="P769" s="594">
        <f>IFERROR(__xludf.DUMMYFUNCTION("""COMPUTED_VALUE"""),500.0)</f>
        <v>500</v>
      </c>
      <c r="Q769" s="183"/>
      <c r="R769" s="544"/>
      <c r="S769" s="544"/>
      <c r="T769" s="544"/>
      <c r="U769" s="544"/>
      <c r="V769" s="544"/>
      <c r="W769" s="544"/>
      <c r="X769" s="544"/>
      <c r="Y769" s="544"/>
      <c r="Z769" s="544"/>
      <c r="AA769" s="544"/>
      <c r="AB769" s="544"/>
      <c r="AC769" s="544"/>
      <c r="AD769" s="544"/>
      <c r="AE769" s="183"/>
      <c r="AF769" s="183"/>
      <c r="AG769" s="183"/>
      <c r="AH769" s="183"/>
      <c r="AI769" s="183"/>
      <c r="AJ769" s="183"/>
      <c r="AK769" s="183"/>
      <c r="AL769" s="183"/>
      <c r="AM769" s="183"/>
    </row>
    <row r="770">
      <c r="A770" s="273"/>
      <c r="B770" s="273"/>
      <c r="C770" s="273"/>
      <c r="D770" s="668"/>
      <c r="E770" s="668"/>
      <c r="F770" s="342"/>
      <c r="G770" s="668"/>
      <c r="H770" s="669"/>
      <c r="I770" s="669"/>
      <c r="J770" s="669"/>
      <c r="K770" s="669"/>
      <c r="L770" s="670"/>
      <c r="M770" s="670"/>
      <c r="N770" s="669"/>
      <c r="O770" s="183"/>
      <c r="P770" s="183"/>
      <c r="Q770" s="183"/>
      <c r="R770" s="544"/>
      <c r="S770" s="544"/>
      <c r="T770" s="544"/>
      <c r="U770" s="544"/>
      <c r="V770" s="544"/>
      <c r="W770" s="544"/>
      <c r="X770" s="544"/>
      <c r="Y770" s="544"/>
      <c r="Z770" s="544"/>
      <c r="AA770" s="544"/>
      <c r="AB770" s="544"/>
      <c r="AC770" s="544"/>
      <c r="AD770" s="544"/>
      <c r="AE770" s="183"/>
      <c r="AF770" s="183"/>
      <c r="AG770" s="183"/>
      <c r="AH770" s="183"/>
      <c r="AI770" s="183"/>
      <c r="AJ770" s="183"/>
      <c r="AK770" s="183"/>
      <c r="AL770" s="183"/>
      <c r="AM770" s="183"/>
    </row>
    <row r="771">
      <c r="A771" s="273"/>
      <c r="B771" s="273"/>
      <c r="C771" s="273"/>
      <c r="D771" s="668"/>
      <c r="E771" s="668"/>
      <c r="F771" s="342"/>
      <c r="G771" s="668"/>
      <c r="H771" s="669"/>
      <c r="I771" s="669"/>
      <c r="J771" s="669"/>
      <c r="K771" s="669"/>
      <c r="L771" s="670"/>
      <c r="M771" s="670"/>
      <c r="N771" s="669"/>
      <c r="O771" s="183"/>
      <c r="P771" s="183"/>
      <c r="Q771" s="183"/>
      <c r="R771" s="544"/>
      <c r="S771" s="544"/>
      <c r="T771" s="544"/>
      <c r="U771" s="544"/>
      <c r="V771" s="544"/>
      <c r="W771" s="544"/>
      <c r="X771" s="544"/>
      <c r="Y771" s="544"/>
      <c r="Z771" s="544"/>
      <c r="AA771" s="544"/>
      <c r="AB771" s="544"/>
      <c r="AC771" s="544"/>
      <c r="AD771" s="544"/>
      <c r="AE771" s="183"/>
      <c r="AF771" s="183"/>
      <c r="AG771" s="183"/>
      <c r="AH771" s="183"/>
      <c r="AI771" s="183"/>
      <c r="AJ771" s="183"/>
      <c r="AK771" s="183"/>
      <c r="AL771" s="183"/>
      <c r="AM771" s="183"/>
    </row>
    <row r="772">
      <c r="A772" s="273"/>
      <c r="B772" s="273"/>
      <c r="C772" s="273"/>
      <c r="D772" s="668"/>
      <c r="E772" s="668"/>
      <c r="F772" s="342"/>
      <c r="G772" s="668"/>
      <c r="H772" s="669"/>
      <c r="I772" s="669"/>
      <c r="J772" s="669"/>
      <c r="K772" s="669"/>
      <c r="L772" s="670"/>
      <c r="M772" s="670"/>
      <c r="N772" s="669"/>
      <c r="O772" s="183"/>
      <c r="P772" s="183"/>
      <c r="Q772" s="183"/>
      <c r="R772" s="544"/>
      <c r="S772" s="544"/>
      <c r="T772" s="544"/>
      <c r="U772" s="544"/>
      <c r="V772" s="544"/>
      <c r="W772" s="544"/>
      <c r="X772" s="544"/>
      <c r="Y772" s="544"/>
      <c r="Z772" s="544"/>
      <c r="AA772" s="544"/>
      <c r="AB772" s="544"/>
      <c r="AC772" s="544"/>
      <c r="AD772" s="544"/>
      <c r="AE772" s="183"/>
      <c r="AF772" s="183"/>
      <c r="AG772" s="183"/>
      <c r="AH772" s="183"/>
      <c r="AI772" s="183"/>
      <c r="AJ772" s="183"/>
      <c r="AK772" s="183"/>
      <c r="AL772" s="183"/>
      <c r="AM772" s="183"/>
    </row>
    <row r="773">
      <c r="A773" s="273"/>
      <c r="B773" s="273"/>
      <c r="C773" s="273"/>
      <c r="D773" s="668"/>
      <c r="E773" s="668"/>
      <c r="F773" s="342"/>
      <c r="G773" s="668"/>
      <c r="H773" s="669"/>
      <c r="I773" s="669"/>
      <c r="J773" s="669"/>
      <c r="K773" s="669"/>
      <c r="L773" s="670"/>
      <c r="M773" s="670"/>
      <c r="N773" s="669"/>
      <c r="O773" s="183"/>
      <c r="P773" s="183"/>
      <c r="Q773" s="183"/>
      <c r="R773" s="544"/>
      <c r="S773" s="544"/>
      <c r="T773" s="544"/>
      <c r="U773" s="544"/>
      <c r="V773" s="544"/>
      <c r="W773" s="544"/>
      <c r="X773" s="544"/>
      <c r="Y773" s="544"/>
      <c r="Z773" s="544"/>
      <c r="AA773" s="544"/>
      <c r="AB773" s="544"/>
      <c r="AC773" s="544"/>
      <c r="AD773" s="544"/>
      <c r="AE773" s="183"/>
      <c r="AF773" s="183"/>
      <c r="AG773" s="183"/>
      <c r="AH773" s="183"/>
      <c r="AI773" s="183"/>
      <c r="AJ773" s="183"/>
      <c r="AK773" s="183"/>
      <c r="AL773" s="183"/>
      <c r="AM773" s="183"/>
    </row>
    <row r="774">
      <c r="A774" s="273"/>
      <c r="B774" s="273"/>
      <c r="C774" s="273"/>
      <c r="D774" s="668"/>
      <c r="E774" s="668"/>
      <c r="F774" s="342"/>
      <c r="G774" s="668"/>
      <c r="H774" s="669"/>
      <c r="I774" s="669"/>
      <c r="J774" s="669"/>
      <c r="K774" s="669"/>
      <c r="L774" s="670"/>
      <c r="M774" s="670"/>
      <c r="N774" s="669"/>
      <c r="O774" s="183"/>
      <c r="P774" s="183"/>
      <c r="Q774" s="183"/>
      <c r="R774" s="544"/>
      <c r="S774" s="544"/>
      <c r="T774" s="544"/>
      <c r="U774" s="544"/>
      <c r="V774" s="544"/>
      <c r="W774" s="544"/>
      <c r="X774" s="544"/>
      <c r="Y774" s="544"/>
      <c r="Z774" s="544"/>
      <c r="AA774" s="544"/>
      <c r="AB774" s="544"/>
      <c r="AC774" s="544"/>
      <c r="AD774" s="544"/>
      <c r="AE774" s="183"/>
      <c r="AF774" s="183"/>
      <c r="AG774" s="183"/>
      <c r="AH774" s="183"/>
      <c r="AI774" s="183"/>
      <c r="AJ774" s="183"/>
      <c r="AK774" s="183"/>
      <c r="AL774" s="183"/>
      <c r="AM774" s="183"/>
    </row>
    <row r="775">
      <c r="A775" s="273"/>
      <c r="B775" s="273"/>
      <c r="C775" s="273"/>
      <c r="D775" s="668"/>
      <c r="E775" s="668"/>
      <c r="F775" s="342"/>
      <c r="G775" s="668"/>
      <c r="H775" s="669"/>
      <c r="I775" s="669"/>
      <c r="J775" s="669"/>
      <c r="K775" s="669"/>
      <c r="L775" s="670"/>
      <c r="M775" s="670"/>
      <c r="N775" s="669"/>
      <c r="O775" s="183"/>
      <c r="P775" s="183"/>
      <c r="Q775" s="183"/>
      <c r="R775" s="544"/>
      <c r="S775" s="544"/>
      <c r="T775" s="544"/>
      <c r="U775" s="544"/>
      <c r="V775" s="544"/>
      <c r="W775" s="544"/>
      <c r="X775" s="544"/>
      <c r="Y775" s="544"/>
      <c r="Z775" s="544"/>
      <c r="AA775" s="544"/>
      <c r="AB775" s="544"/>
      <c r="AC775" s="544"/>
      <c r="AD775" s="544"/>
      <c r="AE775" s="183"/>
      <c r="AF775" s="183"/>
      <c r="AG775" s="183"/>
      <c r="AH775" s="183"/>
      <c r="AI775" s="183"/>
      <c r="AJ775" s="183"/>
      <c r="AK775" s="183"/>
      <c r="AL775" s="183"/>
      <c r="AM775" s="183"/>
    </row>
    <row r="776">
      <c r="A776" s="273"/>
      <c r="B776" s="273"/>
      <c r="C776" s="273"/>
      <c r="D776" s="668"/>
      <c r="E776" s="668"/>
      <c r="F776" s="342"/>
      <c r="G776" s="668"/>
      <c r="H776" s="669"/>
      <c r="I776" s="669"/>
      <c r="J776" s="669"/>
      <c r="K776" s="669"/>
      <c r="L776" s="670"/>
      <c r="M776" s="670"/>
      <c r="N776" s="669"/>
      <c r="O776" s="183"/>
      <c r="P776" s="183"/>
      <c r="Q776" s="183"/>
      <c r="R776" s="544"/>
      <c r="S776" s="544"/>
      <c r="T776" s="544"/>
      <c r="U776" s="544"/>
      <c r="V776" s="544"/>
      <c r="W776" s="544"/>
      <c r="X776" s="544"/>
      <c r="Y776" s="544"/>
      <c r="Z776" s="544"/>
      <c r="AA776" s="544"/>
      <c r="AB776" s="544"/>
      <c r="AC776" s="544"/>
      <c r="AD776" s="544"/>
      <c r="AE776" s="183"/>
      <c r="AF776" s="183"/>
      <c r="AG776" s="183"/>
      <c r="AH776" s="183"/>
      <c r="AI776" s="183"/>
      <c r="AJ776" s="183"/>
      <c r="AK776" s="183"/>
      <c r="AL776" s="183"/>
      <c r="AM776" s="183"/>
    </row>
    <row r="777">
      <c r="A777" s="273"/>
      <c r="B777" s="273"/>
      <c r="C777" s="273"/>
      <c r="D777" s="668"/>
      <c r="E777" s="668"/>
      <c r="F777" s="342"/>
      <c r="G777" s="668"/>
      <c r="H777" s="669"/>
      <c r="I777" s="669"/>
      <c r="J777" s="669"/>
      <c r="K777" s="669"/>
      <c r="L777" s="670"/>
      <c r="M777" s="670"/>
      <c r="N777" s="669"/>
      <c r="O777" s="183"/>
      <c r="P777" s="183"/>
      <c r="Q777" s="183"/>
      <c r="R777" s="544"/>
      <c r="S777" s="544"/>
      <c r="T777" s="544"/>
      <c r="U777" s="544"/>
      <c r="V777" s="544"/>
      <c r="W777" s="544"/>
      <c r="X777" s="544"/>
      <c r="Y777" s="544"/>
      <c r="Z777" s="544"/>
      <c r="AA777" s="544"/>
      <c r="AB777" s="544"/>
      <c r="AC777" s="544"/>
      <c r="AD777" s="544"/>
      <c r="AE777" s="183"/>
      <c r="AF777" s="183"/>
      <c r="AG777" s="183"/>
      <c r="AH777" s="183"/>
      <c r="AI777" s="183"/>
      <c r="AJ777" s="183"/>
      <c r="AK777" s="183"/>
      <c r="AL777" s="183"/>
      <c r="AM777" s="183"/>
    </row>
    <row r="778">
      <c r="A778" s="273"/>
      <c r="B778" s="273"/>
      <c r="C778" s="273"/>
      <c r="D778" s="668"/>
      <c r="E778" s="668"/>
      <c r="F778" s="342"/>
      <c r="G778" s="668"/>
      <c r="H778" s="669"/>
      <c r="I778" s="669"/>
      <c r="J778" s="669"/>
      <c r="K778" s="669"/>
      <c r="L778" s="670"/>
      <c r="M778" s="670"/>
      <c r="N778" s="669"/>
      <c r="O778" s="183"/>
      <c r="P778" s="183"/>
      <c r="Q778" s="183"/>
      <c r="R778" s="544"/>
      <c r="S778" s="544"/>
      <c r="T778" s="544"/>
      <c r="U778" s="544"/>
      <c r="V778" s="544"/>
      <c r="W778" s="544"/>
      <c r="X778" s="544"/>
      <c r="Y778" s="544"/>
      <c r="Z778" s="544"/>
      <c r="AA778" s="544"/>
      <c r="AB778" s="544"/>
      <c r="AC778" s="544"/>
      <c r="AD778" s="544"/>
      <c r="AE778" s="183"/>
      <c r="AF778" s="183"/>
      <c r="AG778" s="183"/>
      <c r="AH778" s="183"/>
      <c r="AI778" s="183"/>
      <c r="AJ778" s="183"/>
      <c r="AK778" s="183"/>
      <c r="AL778" s="183"/>
      <c r="AM778" s="183"/>
    </row>
    <row r="779">
      <c r="A779" s="273"/>
      <c r="B779" s="273"/>
      <c r="C779" s="273"/>
      <c r="D779" s="668"/>
      <c r="E779" s="668"/>
      <c r="F779" s="342"/>
      <c r="G779" s="668"/>
      <c r="H779" s="669"/>
      <c r="I779" s="669"/>
      <c r="J779" s="669"/>
      <c r="K779" s="669"/>
      <c r="L779" s="670"/>
      <c r="M779" s="670"/>
      <c r="N779" s="669"/>
      <c r="O779" s="183"/>
      <c r="P779" s="183"/>
      <c r="Q779" s="183"/>
      <c r="R779" s="544"/>
      <c r="S779" s="544"/>
      <c r="T779" s="544"/>
      <c r="U779" s="544"/>
      <c r="V779" s="544"/>
      <c r="W779" s="544"/>
      <c r="X779" s="544"/>
      <c r="Y779" s="544"/>
      <c r="Z779" s="544"/>
      <c r="AA779" s="544"/>
      <c r="AB779" s="544"/>
      <c r="AC779" s="544"/>
      <c r="AD779" s="544"/>
      <c r="AE779" s="183"/>
      <c r="AF779" s="183"/>
      <c r="AG779" s="183"/>
      <c r="AH779" s="183"/>
      <c r="AI779" s="183"/>
      <c r="AJ779" s="183"/>
      <c r="AK779" s="183"/>
      <c r="AL779" s="183"/>
      <c r="AM779" s="183"/>
    </row>
    <row r="780">
      <c r="A780" s="273"/>
      <c r="B780" s="273"/>
      <c r="C780" s="273"/>
      <c r="D780" s="668"/>
      <c r="E780" s="668"/>
      <c r="F780" s="342"/>
      <c r="G780" s="668"/>
      <c r="H780" s="669"/>
      <c r="I780" s="669"/>
      <c r="J780" s="669"/>
      <c r="K780" s="669"/>
      <c r="L780" s="670"/>
      <c r="M780" s="670"/>
      <c r="N780" s="669"/>
      <c r="O780" s="183"/>
      <c r="P780" s="183"/>
      <c r="Q780" s="183"/>
      <c r="R780" s="544"/>
      <c r="S780" s="544"/>
      <c r="T780" s="544"/>
      <c r="U780" s="544"/>
      <c r="V780" s="544"/>
      <c r="W780" s="544"/>
      <c r="X780" s="544"/>
      <c r="Y780" s="544"/>
      <c r="Z780" s="544"/>
      <c r="AA780" s="544"/>
      <c r="AB780" s="544"/>
      <c r="AC780" s="544"/>
      <c r="AD780" s="544"/>
      <c r="AE780" s="183"/>
      <c r="AF780" s="183"/>
      <c r="AG780" s="183"/>
      <c r="AH780" s="183"/>
      <c r="AI780" s="183"/>
      <c r="AJ780" s="183"/>
      <c r="AK780" s="183"/>
      <c r="AL780" s="183"/>
      <c r="AM780" s="183"/>
    </row>
    <row r="781">
      <c r="A781" s="273"/>
      <c r="B781" s="273"/>
      <c r="C781" s="273"/>
      <c r="D781" s="668"/>
      <c r="E781" s="668"/>
      <c r="F781" s="342"/>
      <c r="G781" s="668"/>
      <c r="H781" s="669"/>
      <c r="I781" s="669"/>
      <c r="J781" s="669"/>
      <c r="K781" s="669"/>
      <c r="L781" s="670"/>
      <c r="M781" s="670"/>
      <c r="N781" s="669"/>
      <c r="O781" s="183"/>
      <c r="P781" s="183"/>
      <c r="Q781" s="183"/>
      <c r="R781" s="544"/>
      <c r="S781" s="544"/>
      <c r="T781" s="544"/>
      <c r="U781" s="544"/>
      <c r="V781" s="544"/>
      <c r="W781" s="544"/>
      <c r="X781" s="544"/>
      <c r="Y781" s="544"/>
      <c r="Z781" s="544"/>
      <c r="AA781" s="544"/>
      <c r="AB781" s="544"/>
      <c r="AC781" s="544"/>
      <c r="AD781" s="544"/>
      <c r="AE781" s="183"/>
      <c r="AF781" s="183"/>
      <c r="AG781" s="183"/>
      <c r="AH781" s="183"/>
      <c r="AI781" s="183"/>
      <c r="AJ781" s="183"/>
      <c r="AK781" s="183"/>
      <c r="AL781" s="183"/>
      <c r="AM781" s="183"/>
    </row>
    <row r="782">
      <c r="A782" s="273"/>
      <c r="B782" s="273"/>
      <c r="C782" s="273"/>
      <c r="D782" s="668"/>
      <c r="E782" s="668"/>
      <c r="F782" s="342"/>
      <c r="G782" s="668"/>
      <c r="H782" s="669"/>
      <c r="I782" s="669"/>
      <c r="J782" s="669"/>
      <c r="K782" s="669"/>
      <c r="L782" s="670"/>
      <c r="M782" s="670"/>
      <c r="N782" s="669"/>
      <c r="O782" s="183"/>
      <c r="P782" s="183"/>
      <c r="Q782" s="183"/>
      <c r="R782" s="544"/>
      <c r="S782" s="544"/>
      <c r="T782" s="544"/>
      <c r="U782" s="544"/>
      <c r="V782" s="544"/>
      <c r="W782" s="544"/>
      <c r="X782" s="544"/>
      <c r="Y782" s="544"/>
      <c r="Z782" s="544"/>
      <c r="AA782" s="544"/>
      <c r="AB782" s="544"/>
      <c r="AC782" s="544"/>
      <c r="AD782" s="544"/>
      <c r="AE782" s="183"/>
      <c r="AF782" s="183"/>
      <c r="AG782" s="183"/>
      <c r="AH782" s="183"/>
      <c r="AI782" s="183"/>
      <c r="AJ782" s="183"/>
      <c r="AK782" s="183"/>
      <c r="AL782" s="183"/>
      <c r="AM782" s="183"/>
    </row>
    <row r="783">
      <c r="A783" s="273"/>
      <c r="B783" s="273"/>
      <c r="C783" s="273"/>
      <c r="D783" s="668"/>
      <c r="E783" s="668"/>
      <c r="F783" s="342"/>
      <c r="G783" s="668"/>
      <c r="H783" s="669"/>
      <c r="I783" s="669"/>
      <c r="J783" s="669"/>
      <c r="K783" s="669"/>
      <c r="L783" s="670"/>
      <c r="M783" s="670"/>
      <c r="N783" s="669"/>
      <c r="O783" s="183"/>
      <c r="P783" s="183"/>
      <c r="Q783" s="183"/>
      <c r="R783" s="544"/>
      <c r="S783" s="544"/>
      <c r="T783" s="544"/>
      <c r="U783" s="544"/>
      <c r="V783" s="544"/>
      <c r="W783" s="544"/>
      <c r="X783" s="544"/>
      <c r="Y783" s="544"/>
      <c r="Z783" s="544"/>
      <c r="AA783" s="544"/>
      <c r="AB783" s="544"/>
      <c r="AC783" s="544"/>
      <c r="AD783" s="544"/>
      <c r="AE783" s="183"/>
      <c r="AF783" s="183"/>
      <c r="AG783" s="183"/>
      <c r="AH783" s="183"/>
      <c r="AI783" s="183"/>
      <c r="AJ783" s="183"/>
      <c r="AK783" s="183"/>
      <c r="AL783" s="183"/>
      <c r="AM783" s="183"/>
    </row>
    <row r="784">
      <c r="A784" s="273"/>
      <c r="B784" s="273"/>
      <c r="C784" s="273"/>
      <c r="D784" s="668"/>
      <c r="E784" s="668"/>
      <c r="F784" s="342"/>
      <c r="G784" s="668"/>
      <c r="H784" s="669"/>
      <c r="I784" s="669"/>
      <c r="J784" s="669"/>
      <c r="K784" s="669"/>
      <c r="L784" s="670"/>
      <c r="M784" s="670"/>
      <c r="N784" s="669"/>
      <c r="O784" s="183"/>
      <c r="P784" s="183"/>
      <c r="Q784" s="183"/>
      <c r="R784" s="544"/>
      <c r="S784" s="544"/>
      <c r="T784" s="544"/>
      <c r="U784" s="544"/>
      <c r="V784" s="544"/>
      <c r="W784" s="544"/>
      <c r="X784" s="544"/>
      <c r="Y784" s="544"/>
      <c r="Z784" s="544"/>
      <c r="AA784" s="544"/>
      <c r="AB784" s="544"/>
      <c r="AC784" s="544"/>
      <c r="AD784" s="544"/>
      <c r="AE784" s="183"/>
      <c r="AF784" s="183"/>
      <c r="AG784" s="183"/>
      <c r="AH784" s="183"/>
      <c r="AI784" s="183"/>
      <c r="AJ784" s="183"/>
      <c r="AK784" s="183"/>
      <c r="AL784" s="183"/>
      <c r="AM784" s="183"/>
    </row>
    <row r="785">
      <c r="D785" s="668"/>
      <c r="E785" s="668"/>
      <c r="F785" s="342"/>
      <c r="G785" s="668"/>
      <c r="H785" s="669"/>
      <c r="I785" s="669"/>
      <c r="J785" s="669"/>
      <c r="K785" s="669"/>
      <c r="L785" s="670"/>
      <c r="M785" s="670"/>
      <c r="N785" s="669"/>
      <c r="O785" s="183"/>
      <c r="P785" s="183"/>
      <c r="Q785" s="183"/>
      <c r="R785" s="544"/>
      <c r="S785" s="544"/>
      <c r="T785" s="544"/>
      <c r="U785" s="544"/>
      <c r="V785" s="544"/>
      <c r="W785" s="544"/>
      <c r="X785" s="544"/>
      <c r="Y785" s="544"/>
      <c r="Z785" s="544"/>
      <c r="AA785" s="544"/>
      <c r="AB785" s="544"/>
      <c r="AC785" s="544"/>
      <c r="AD785" s="544"/>
      <c r="AE785" s="183"/>
      <c r="AF785" s="183"/>
      <c r="AG785" s="183"/>
      <c r="AH785" s="183"/>
      <c r="AI785" s="183"/>
      <c r="AJ785" s="183"/>
      <c r="AK785" s="183"/>
      <c r="AL785" s="183"/>
      <c r="AM785" s="183"/>
    </row>
    <row r="786">
      <c r="D786" s="668"/>
      <c r="E786" s="668"/>
      <c r="F786" s="342"/>
      <c r="G786" s="668"/>
      <c r="H786" s="669"/>
      <c r="I786" s="669"/>
      <c r="J786" s="669"/>
      <c r="K786" s="669"/>
      <c r="L786" s="670"/>
      <c r="M786" s="670"/>
      <c r="N786" s="669"/>
      <c r="O786" s="183"/>
      <c r="P786" s="183"/>
      <c r="Q786" s="183"/>
      <c r="R786" s="544"/>
      <c r="S786" s="544"/>
      <c r="T786" s="544"/>
      <c r="U786" s="544"/>
      <c r="V786" s="544"/>
      <c r="W786" s="544"/>
      <c r="X786" s="544"/>
      <c r="Y786" s="544"/>
      <c r="Z786" s="544"/>
      <c r="AA786" s="544"/>
      <c r="AB786" s="544"/>
      <c r="AC786" s="544"/>
      <c r="AD786" s="544"/>
      <c r="AE786" s="183"/>
      <c r="AF786" s="183"/>
      <c r="AG786" s="183"/>
      <c r="AH786" s="183"/>
      <c r="AI786" s="183"/>
      <c r="AJ786" s="183"/>
      <c r="AK786" s="183"/>
      <c r="AL786" s="183"/>
      <c r="AM786" s="183"/>
    </row>
    <row r="787">
      <c r="D787" s="668"/>
      <c r="E787" s="668"/>
      <c r="F787" s="342"/>
      <c r="G787" s="668"/>
      <c r="H787" s="669"/>
      <c r="I787" s="669"/>
      <c r="J787" s="669"/>
      <c r="K787" s="669"/>
      <c r="L787" s="670"/>
      <c r="M787" s="670"/>
      <c r="N787" s="669"/>
      <c r="O787" s="183"/>
      <c r="P787" s="183"/>
      <c r="Q787" s="183"/>
      <c r="R787" s="544"/>
      <c r="S787" s="544"/>
      <c r="T787" s="544"/>
      <c r="U787" s="544"/>
      <c r="V787" s="544"/>
      <c r="W787" s="544"/>
      <c r="X787" s="544"/>
      <c r="Y787" s="544"/>
      <c r="Z787" s="544"/>
      <c r="AA787" s="544"/>
      <c r="AB787" s="544"/>
      <c r="AC787" s="544"/>
      <c r="AD787" s="544"/>
      <c r="AE787" s="183"/>
      <c r="AF787" s="183"/>
      <c r="AG787" s="183"/>
      <c r="AH787" s="183"/>
      <c r="AI787" s="183"/>
      <c r="AJ787" s="183"/>
      <c r="AK787" s="183"/>
      <c r="AL787" s="183"/>
      <c r="AM787" s="183"/>
    </row>
    <row r="788">
      <c r="D788" s="668"/>
      <c r="E788" s="668"/>
      <c r="F788" s="342"/>
      <c r="G788" s="668"/>
      <c r="H788" s="669"/>
      <c r="I788" s="669"/>
      <c r="J788" s="669"/>
      <c r="K788" s="669"/>
      <c r="L788" s="670"/>
      <c r="M788" s="670"/>
      <c r="N788" s="669"/>
      <c r="O788" s="183"/>
      <c r="P788" s="183"/>
      <c r="Q788" s="183"/>
      <c r="R788" s="544"/>
      <c r="S788" s="544"/>
      <c r="T788" s="544"/>
      <c r="U788" s="544"/>
      <c r="V788" s="544"/>
      <c r="W788" s="544"/>
      <c r="X788" s="544"/>
      <c r="Y788" s="544"/>
      <c r="Z788" s="544"/>
      <c r="AA788" s="544"/>
      <c r="AB788" s="544"/>
      <c r="AC788" s="544"/>
      <c r="AD788" s="544"/>
      <c r="AE788" s="183"/>
      <c r="AF788" s="183"/>
      <c r="AG788" s="183"/>
      <c r="AH788" s="183"/>
      <c r="AI788" s="183"/>
      <c r="AJ788" s="183"/>
      <c r="AK788" s="183"/>
      <c r="AL788" s="183"/>
      <c r="AM788" s="183"/>
    </row>
    <row r="789">
      <c r="D789" s="668"/>
      <c r="E789" s="668"/>
      <c r="F789" s="342"/>
      <c r="G789" s="668"/>
      <c r="H789" s="669"/>
      <c r="I789" s="669"/>
      <c r="J789" s="669"/>
      <c r="K789" s="669"/>
      <c r="L789" s="670"/>
      <c r="M789" s="670"/>
      <c r="N789" s="669"/>
      <c r="O789" s="183"/>
      <c r="P789" s="183"/>
      <c r="Q789" s="183"/>
      <c r="R789" s="544"/>
      <c r="S789" s="544"/>
      <c r="T789" s="544"/>
      <c r="U789" s="544"/>
      <c r="V789" s="544"/>
      <c r="W789" s="544"/>
      <c r="X789" s="544"/>
      <c r="Y789" s="544"/>
      <c r="Z789" s="544"/>
      <c r="AA789" s="544"/>
      <c r="AB789" s="544"/>
      <c r="AC789" s="544"/>
      <c r="AD789" s="544"/>
      <c r="AE789" s="183"/>
      <c r="AF789" s="183"/>
      <c r="AG789" s="183"/>
      <c r="AH789" s="183"/>
      <c r="AI789" s="183"/>
      <c r="AJ789" s="183"/>
      <c r="AK789" s="183"/>
      <c r="AL789" s="183"/>
      <c r="AM789" s="183"/>
    </row>
    <row r="790">
      <c r="D790" s="668"/>
      <c r="E790" s="668"/>
      <c r="F790" s="342"/>
      <c r="G790" s="668"/>
      <c r="H790" s="669"/>
      <c r="I790" s="669"/>
      <c r="J790" s="669"/>
      <c r="K790" s="669"/>
      <c r="L790" s="670"/>
      <c r="M790" s="670"/>
      <c r="N790" s="669"/>
      <c r="O790" s="183"/>
      <c r="P790" s="183"/>
      <c r="Q790" s="183"/>
      <c r="R790" s="544"/>
      <c r="S790" s="544"/>
      <c r="T790" s="544"/>
      <c r="U790" s="544"/>
      <c r="V790" s="544"/>
      <c r="W790" s="544"/>
      <c r="X790" s="544"/>
      <c r="Y790" s="544"/>
      <c r="Z790" s="544"/>
      <c r="AA790" s="544"/>
      <c r="AB790" s="544"/>
      <c r="AC790" s="544"/>
      <c r="AD790" s="544"/>
      <c r="AE790" s="183"/>
      <c r="AF790" s="183"/>
      <c r="AG790" s="183"/>
      <c r="AH790" s="183"/>
      <c r="AI790" s="183"/>
      <c r="AJ790" s="183"/>
      <c r="AK790" s="183"/>
      <c r="AL790" s="183"/>
      <c r="AM790" s="183"/>
    </row>
    <row r="791">
      <c r="D791" s="668"/>
      <c r="E791" s="668"/>
      <c r="F791" s="342"/>
      <c r="G791" s="668"/>
      <c r="H791" s="669"/>
      <c r="I791" s="669"/>
      <c r="J791" s="669"/>
      <c r="K791" s="669"/>
      <c r="L791" s="670"/>
      <c r="M791" s="670"/>
      <c r="N791" s="669"/>
      <c r="O791" s="183"/>
      <c r="P791" s="183"/>
      <c r="Q791" s="183"/>
      <c r="R791" s="544"/>
      <c r="S791" s="544"/>
      <c r="T791" s="544"/>
      <c r="U791" s="544"/>
      <c r="V791" s="544"/>
      <c r="W791" s="544"/>
      <c r="X791" s="544"/>
      <c r="Y791" s="544"/>
      <c r="Z791" s="544"/>
      <c r="AA791" s="544"/>
      <c r="AB791" s="544"/>
      <c r="AC791" s="544"/>
      <c r="AD791" s="544"/>
      <c r="AE791" s="183"/>
      <c r="AF791" s="183"/>
      <c r="AG791" s="183"/>
      <c r="AH791" s="183"/>
      <c r="AI791" s="183"/>
      <c r="AJ791" s="183"/>
      <c r="AK791" s="183"/>
      <c r="AL791" s="183"/>
      <c r="AM791" s="183"/>
    </row>
    <row r="792">
      <c r="D792" s="668"/>
      <c r="E792" s="668"/>
      <c r="F792" s="342"/>
      <c r="G792" s="668"/>
      <c r="H792" s="669"/>
      <c r="I792" s="669"/>
      <c r="J792" s="669"/>
      <c r="K792" s="669"/>
      <c r="L792" s="670"/>
      <c r="M792" s="670"/>
      <c r="N792" s="669"/>
      <c r="O792" s="183"/>
      <c r="P792" s="183"/>
      <c r="Q792" s="183"/>
      <c r="R792" s="544"/>
      <c r="S792" s="544"/>
      <c r="T792" s="544"/>
      <c r="U792" s="544"/>
      <c r="V792" s="544"/>
      <c r="W792" s="544"/>
      <c r="X792" s="544"/>
      <c r="Y792" s="544"/>
      <c r="Z792" s="544"/>
      <c r="AA792" s="544"/>
      <c r="AB792" s="544"/>
      <c r="AC792" s="544"/>
      <c r="AD792" s="544"/>
      <c r="AE792" s="183"/>
      <c r="AF792" s="183"/>
      <c r="AG792" s="183"/>
      <c r="AH792" s="183"/>
      <c r="AI792" s="183"/>
      <c r="AJ792" s="183"/>
      <c r="AK792" s="183"/>
      <c r="AL792" s="183"/>
      <c r="AM792" s="183"/>
    </row>
    <row r="793">
      <c r="D793" s="668"/>
      <c r="E793" s="668"/>
      <c r="F793" s="342"/>
      <c r="G793" s="668"/>
      <c r="H793" s="669"/>
      <c r="I793" s="669"/>
      <c r="J793" s="669"/>
      <c r="K793" s="669"/>
      <c r="L793" s="670"/>
      <c r="M793" s="670"/>
      <c r="N793" s="669"/>
      <c r="O793" s="183"/>
      <c r="P793" s="183"/>
      <c r="Q793" s="183"/>
      <c r="R793" s="544"/>
      <c r="S793" s="544"/>
      <c r="T793" s="544"/>
      <c r="U793" s="544"/>
      <c r="V793" s="544"/>
      <c r="W793" s="544"/>
      <c r="X793" s="544"/>
      <c r="Y793" s="544"/>
      <c r="Z793" s="544"/>
      <c r="AA793" s="544"/>
      <c r="AB793" s="544"/>
      <c r="AC793" s="544"/>
      <c r="AD793" s="544"/>
      <c r="AE793" s="183"/>
      <c r="AF793" s="183"/>
      <c r="AG793" s="183"/>
      <c r="AH793" s="183"/>
      <c r="AI793" s="183"/>
      <c r="AJ793" s="183"/>
      <c r="AK793" s="183"/>
      <c r="AL793" s="183"/>
      <c r="AM793" s="183"/>
    </row>
    <row r="794">
      <c r="D794" s="668"/>
      <c r="E794" s="668"/>
      <c r="F794" s="342"/>
      <c r="G794" s="668"/>
      <c r="H794" s="669"/>
      <c r="I794" s="669"/>
      <c r="J794" s="669"/>
      <c r="K794" s="669"/>
      <c r="L794" s="670"/>
      <c r="M794" s="670"/>
      <c r="N794" s="669"/>
      <c r="O794" s="183"/>
      <c r="P794" s="183"/>
      <c r="Q794" s="183"/>
      <c r="R794" s="544"/>
      <c r="S794" s="544"/>
      <c r="T794" s="544"/>
      <c r="U794" s="544"/>
      <c r="V794" s="544"/>
      <c r="W794" s="544"/>
      <c r="X794" s="544"/>
      <c r="Y794" s="544"/>
      <c r="Z794" s="544"/>
      <c r="AA794" s="544"/>
      <c r="AB794" s="544"/>
      <c r="AC794" s="544"/>
      <c r="AD794" s="544"/>
      <c r="AE794" s="183"/>
      <c r="AF794" s="183"/>
      <c r="AG794" s="183"/>
      <c r="AH794" s="183"/>
      <c r="AI794" s="183"/>
      <c r="AJ794" s="183"/>
      <c r="AK794" s="183"/>
      <c r="AL794" s="183"/>
      <c r="AM794" s="183"/>
    </row>
    <row r="795">
      <c r="D795" s="668"/>
      <c r="E795" s="668"/>
      <c r="F795" s="342"/>
      <c r="G795" s="668"/>
      <c r="H795" s="669"/>
      <c r="I795" s="669"/>
      <c r="J795" s="669"/>
      <c r="K795" s="669"/>
      <c r="L795" s="670"/>
      <c r="M795" s="670"/>
      <c r="N795" s="669"/>
      <c r="O795" s="183"/>
      <c r="P795" s="183"/>
      <c r="Q795" s="183"/>
      <c r="R795" s="544"/>
      <c r="S795" s="544"/>
      <c r="T795" s="544"/>
      <c r="U795" s="544"/>
      <c r="V795" s="544"/>
      <c r="W795" s="544"/>
      <c r="X795" s="544"/>
      <c r="Y795" s="544"/>
      <c r="Z795" s="544"/>
      <c r="AA795" s="544"/>
      <c r="AB795" s="544"/>
      <c r="AC795" s="544"/>
      <c r="AD795" s="544"/>
      <c r="AE795" s="183"/>
      <c r="AF795" s="183"/>
      <c r="AG795" s="183"/>
      <c r="AH795" s="183"/>
      <c r="AI795" s="183"/>
      <c r="AJ795" s="183"/>
      <c r="AK795" s="183"/>
      <c r="AL795" s="183"/>
      <c r="AM795" s="183"/>
    </row>
    <row r="796">
      <c r="D796" s="668"/>
      <c r="E796" s="668"/>
      <c r="F796" s="342"/>
      <c r="G796" s="668"/>
      <c r="H796" s="669"/>
      <c r="I796" s="669"/>
      <c r="J796" s="669"/>
      <c r="K796" s="669"/>
      <c r="L796" s="670"/>
      <c r="M796" s="670"/>
      <c r="N796" s="669"/>
      <c r="O796" s="183"/>
      <c r="P796" s="183"/>
      <c r="Q796" s="183"/>
      <c r="R796" s="544"/>
      <c r="S796" s="544"/>
      <c r="T796" s="544"/>
      <c r="U796" s="544"/>
      <c r="V796" s="544"/>
      <c r="W796" s="544"/>
      <c r="X796" s="544"/>
      <c r="Y796" s="544"/>
      <c r="Z796" s="544"/>
      <c r="AA796" s="544"/>
      <c r="AB796" s="544"/>
      <c r="AC796" s="544"/>
      <c r="AD796" s="544"/>
      <c r="AE796" s="183"/>
      <c r="AF796" s="183"/>
      <c r="AG796" s="183"/>
      <c r="AH796" s="183"/>
      <c r="AI796" s="183"/>
      <c r="AJ796" s="183"/>
      <c r="AK796" s="183"/>
      <c r="AL796" s="183"/>
      <c r="AM796" s="183"/>
    </row>
    <row r="797">
      <c r="D797" s="668"/>
      <c r="E797" s="668"/>
      <c r="F797" s="342"/>
      <c r="G797" s="668"/>
      <c r="H797" s="669"/>
      <c r="I797" s="669"/>
      <c r="J797" s="669"/>
      <c r="K797" s="669"/>
      <c r="L797" s="670"/>
      <c r="M797" s="670"/>
      <c r="N797" s="669"/>
      <c r="O797" s="183"/>
      <c r="P797" s="183"/>
      <c r="Q797" s="183"/>
      <c r="R797" s="544"/>
      <c r="S797" s="544"/>
      <c r="T797" s="544"/>
      <c r="U797" s="544"/>
      <c r="V797" s="544"/>
      <c r="W797" s="544"/>
      <c r="X797" s="544"/>
      <c r="Y797" s="544"/>
      <c r="Z797" s="544"/>
      <c r="AA797" s="544"/>
      <c r="AB797" s="544"/>
      <c r="AC797" s="544"/>
      <c r="AD797" s="544"/>
      <c r="AE797" s="183"/>
      <c r="AF797" s="183"/>
      <c r="AG797" s="183"/>
      <c r="AH797" s="183"/>
      <c r="AI797" s="183"/>
      <c r="AJ797" s="183"/>
      <c r="AK797" s="183"/>
      <c r="AL797" s="183"/>
      <c r="AM797" s="183"/>
    </row>
    <row r="798">
      <c r="D798" s="668"/>
      <c r="E798" s="668"/>
      <c r="F798" s="342"/>
      <c r="G798" s="668"/>
      <c r="H798" s="669"/>
      <c r="I798" s="669"/>
      <c r="J798" s="669"/>
      <c r="K798" s="669"/>
      <c r="L798" s="670"/>
      <c r="M798" s="670"/>
      <c r="N798" s="669"/>
      <c r="O798" s="183"/>
      <c r="P798" s="183"/>
      <c r="Q798" s="183"/>
      <c r="R798" s="544"/>
      <c r="S798" s="544"/>
      <c r="T798" s="544"/>
      <c r="U798" s="544"/>
      <c r="V798" s="544"/>
      <c r="W798" s="544"/>
      <c r="X798" s="544"/>
      <c r="Y798" s="544"/>
      <c r="Z798" s="544"/>
      <c r="AA798" s="544"/>
      <c r="AB798" s="544"/>
      <c r="AC798" s="544"/>
      <c r="AD798" s="544"/>
      <c r="AE798" s="183"/>
      <c r="AF798" s="183"/>
      <c r="AG798" s="183"/>
      <c r="AH798" s="183"/>
      <c r="AI798" s="183"/>
      <c r="AJ798" s="183"/>
      <c r="AK798" s="183"/>
      <c r="AL798" s="183"/>
      <c r="AM798" s="183"/>
    </row>
    <row r="799">
      <c r="D799" s="668"/>
      <c r="E799" s="668"/>
      <c r="F799" s="342"/>
      <c r="G799" s="668"/>
      <c r="H799" s="669"/>
      <c r="I799" s="669"/>
      <c r="J799" s="669"/>
      <c r="K799" s="669"/>
      <c r="L799" s="670"/>
      <c r="M799" s="670"/>
      <c r="N799" s="669"/>
      <c r="O799" s="183"/>
      <c r="P799" s="183"/>
      <c r="Q799" s="183"/>
      <c r="R799" s="544"/>
      <c r="S799" s="544"/>
      <c r="T799" s="544"/>
      <c r="U799" s="544"/>
      <c r="V799" s="544"/>
      <c r="W799" s="544"/>
      <c r="X799" s="544"/>
      <c r="Y799" s="544"/>
      <c r="Z799" s="544"/>
      <c r="AA799" s="544"/>
      <c r="AB799" s="544"/>
      <c r="AC799" s="544"/>
      <c r="AD799" s="544"/>
      <c r="AE799" s="183"/>
      <c r="AF799" s="183"/>
      <c r="AG799" s="183"/>
      <c r="AH799" s="183"/>
      <c r="AI799" s="183"/>
      <c r="AJ799" s="183"/>
      <c r="AK799" s="183"/>
      <c r="AL799" s="183"/>
      <c r="AM799" s="183"/>
    </row>
    <row r="800">
      <c r="D800" s="668"/>
      <c r="E800" s="668"/>
      <c r="F800" s="342"/>
      <c r="G800" s="668"/>
      <c r="H800" s="669"/>
      <c r="I800" s="669"/>
      <c r="J800" s="669"/>
      <c r="K800" s="669"/>
      <c r="L800" s="670"/>
      <c r="M800" s="670"/>
      <c r="N800" s="669"/>
      <c r="O800" s="183"/>
      <c r="P800" s="183"/>
      <c r="Q800" s="183"/>
      <c r="R800" s="544"/>
      <c r="S800" s="544"/>
      <c r="T800" s="544"/>
      <c r="U800" s="544"/>
      <c r="V800" s="544"/>
      <c r="W800" s="544"/>
      <c r="X800" s="544"/>
      <c r="Y800" s="544"/>
      <c r="Z800" s="544"/>
      <c r="AA800" s="544"/>
      <c r="AB800" s="544"/>
      <c r="AC800" s="544"/>
      <c r="AD800" s="544"/>
      <c r="AE800" s="183"/>
      <c r="AF800" s="183"/>
      <c r="AG800" s="183"/>
      <c r="AH800" s="183"/>
      <c r="AI800" s="183"/>
      <c r="AJ800" s="183"/>
      <c r="AK800" s="183"/>
      <c r="AL800" s="183"/>
      <c r="AM800" s="183"/>
    </row>
    <row r="801">
      <c r="D801" s="668"/>
      <c r="E801" s="668"/>
      <c r="F801" s="342"/>
      <c r="G801" s="668"/>
      <c r="H801" s="669"/>
      <c r="I801" s="669"/>
      <c r="J801" s="669"/>
      <c r="K801" s="669"/>
      <c r="L801" s="670"/>
      <c r="M801" s="670"/>
      <c r="N801" s="669"/>
      <c r="O801" s="183"/>
      <c r="P801" s="183"/>
      <c r="Q801" s="183"/>
      <c r="R801" s="544"/>
      <c r="S801" s="544"/>
      <c r="T801" s="544"/>
      <c r="U801" s="544"/>
      <c r="V801" s="544"/>
      <c r="W801" s="544"/>
      <c r="X801" s="544"/>
      <c r="Y801" s="544"/>
      <c r="Z801" s="544"/>
      <c r="AA801" s="544"/>
      <c r="AB801" s="544"/>
      <c r="AC801" s="544"/>
      <c r="AD801" s="544"/>
      <c r="AE801" s="183"/>
      <c r="AF801" s="183"/>
      <c r="AG801" s="183"/>
      <c r="AH801" s="183"/>
      <c r="AI801" s="183"/>
      <c r="AJ801" s="183"/>
      <c r="AK801" s="183"/>
      <c r="AL801" s="183"/>
      <c r="AM801" s="183"/>
    </row>
    <row r="802">
      <c r="D802" s="668"/>
      <c r="E802" s="668"/>
      <c r="F802" s="342"/>
      <c r="G802" s="668"/>
      <c r="H802" s="669"/>
      <c r="I802" s="669"/>
      <c r="J802" s="669"/>
      <c r="K802" s="669"/>
      <c r="L802" s="670"/>
      <c r="M802" s="670"/>
      <c r="N802" s="669"/>
      <c r="O802" s="183"/>
      <c r="P802" s="183"/>
      <c r="Q802" s="183"/>
      <c r="R802" s="544"/>
      <c r="S802" s="544"/>
      <c r="T802" s="544"/>
      <c r="U802" s="544"/>
      <c r="V802" s="544"/>
      <c r="W802" s="544"/>
      <c r="X802" s="544"/>
      <c r="Y802" s="544"/>
      <c r="Z802" s="544"/>
      <c r="AA802" s="544"/>
      <c r="AB802" s="544"/>
      <c r="AC802" s="544"/>
      <c r="AD802" s="544"/>
      <c r="AE802" s="183"/>
      <c r="AF802" s="183"/>
      <c r="AG802" s="183"/>
      <c r="AH802" s="183"/>
      <c r="AI802" s="183"/>
      <c r="AJ802" s="183"/>
      <c r="AK802" s="183"/>
      <c r="AL802" s="183"/>
      <c r="AM802" s="183"/>
    </row>
    <row r="803">
      <c r="D803" s="668"/>
      <c r="E803" s="668"/>
      <c r="F803" s="342"/>
      <c r="G803" s="668"/>
      <c r="H803" s="669"/>
      <c r="I803" s="669"/>
      <c r="J803" s="669"/>
      <c r="K803" s="669"/>
      <c r="L803" s="670"/>
      <c r="M803" s="670"/>
      <c r="N803" s="669"/>
      <c r="O803" s="183"/>
      <c r="P803" s="183"/>
      <c r="Q803" s="183"/>
      <c r="R803" s="544"/>
      <c r="S803" s="544"/>
      <c r="T803" s="544"/>
      <c r="U803" s="544"/>
      <c r="V803" s="544"/>
      <c r="W803" s="544"/>
      <c r="X803" s="544"/>
      <c r="Y803" s="544"/>
      <c r="Z803" s="544"/>
      <c r="AA803" s="544"/>
      <c r="AB803" s="544"/>
      <c r="AC803" s="544"/>
      <c r="AD803" s="544"/>
      <c r="AE803" s="183"/>
      <c r="AF803" s="183"/>
      <c r="AG803" s="183"/>
      <c r="AH803" s="183"/>
      <c r="AI803" s="183"/>
      <c r="AJ803" s="183"/>
      <c r="AK803" s="183"/>
      <c r="AL803" s="183"/>
      <c r="AM803" s="183"/>
    </row>
    <row r="804">
      <c r="D804" s="668"/>
      <c r="E804" s="668"/>
      <c r="F804" s="342"/>
      <c r="G804" s="668"/>
      <c r="H804" s="669"/>
      <c r="I804" s="669"/>
      <c r="J804" s="669"/>
      <c r="K804" s="669"/>
      <c r="L804" s="670"/>
      <c r="M804" s="670"/>
      <c r="N804" s="669"/>
      <c r="O804" s="183"/>
      <c r="P804" s="183"/>
      <c r="Q804" s="183"/>
      <c r="R804" s="544"/>
      <c r="S804" s="544"/>
      <c r="T804" s="544"/>
      <c r="U804" s="544"/>
      <c r="V804" s="544"/>
      <c r="W804" s="544"/>
      <c r="X804" s="544"/>
      <c r="Y804" s="544"/>
      <c r="Z804" s="544"/>
      <c r="AA804" s="544"/>
      <c r="AB804" s="544"/>
      <c r="AC804" s="544"/>
      <c r="AD804" s="544"/>
      <c r="AE804" s="183"/>
      <c r="AF804" s="183"/>
      <c r="AG804" s="183"/>
      <c r="AH804" s="183"/>
      <c r="AI804" s="183"/>
      <c r="AJ804" s="183"/>
      <c r="AK804" s="183"/>
      <c r="AL804" s="183"/>
      <c r="AM804" s="183"/>
    </row>
    <row r="805">
      <c r="D805" s="668"/>
      <c r="E805" s="668"/>
      <c r="F805" s="342"/>
      <c r="G805" s="668"/>
      <c r="H805" s="669"/>
      <c r="I805" s="669"/>
      <c r="J805" s="669"/>
      <c r="K805" s="669"/>
      <c r="L805" s="670"/>
      <c r="M805" s="670"/>
      <c r="N805" s="669"/>
      <c r="O805" s="183"/>
      <c r="P805" s="183"/>
      <c r="Q805" s="183"/>
      <c r="R805" s="544"/>
      <c r="S805" s="544"/>
      <c r="T805" s="544"/>
      <c r="U805" s="544"/>
      <c r="V805" s="544"/>
      <c r="W805" s="544"/>
      <c r="X805" s="544"/>
      <c r="Y805" s="544"/>
      <c r="Z805" s="544"/>
      <c r="AA805" s="544"/>
      <c r="AB805" s="544"/>
      <c r="AC805" s="544"/>
      <c r="AD805" s="544"/>
      <c r="AE805" s="183"/>
      <c r="AF805" s="183"/>
      <c r="AG805" s="183"/>
      <c r="AH805" s="183"/>
      <c r="AI805" s="183"/>
      <c r="AJ805" s="183"/>
      <c r="AK805" s="183"/>
      <c r="AL805" s="183"/>
      <c r="AM805" s="183"/>
    </row>
    <row r="806">
      <c r="D806" s="668"/>
      <c r="E806" s="668"/>
      <c r="F806" s="342"/>
      <c r="G806" s="668"/>
      <c r="H806" s="669"/>
      <c r="I806" s="669"/>
      <c r="J806" s="669"/>
      <c r="K806" s="669"/>
      <c r="L806" s="670"/>
      <c r="M806" s="670"/>
      <c r="N806" s="669"/>
      <c r="O806" s="183"/>
      <c r="P806" s="183"/>
      <c r="Q806" s="183"/>
      <c r="R806" s="544"/>
      <c r="S806" s="544"/>
      <c r="T806" s="544"/>
      <c r="U806" s="544"/>
      <c r="V806" s="544"/>
      <c r="W806" s="544"/>
      <c r="X806" s="544"/>
      <c r="Y806" s="544"/>
      <c r="Z806" s="544"/>
      <c r="AA806" s="544"/>
      <c r="AB806" s="544"/>
      <c r="AC806" s="544"/>
      <c r="AD806" s="544"/>
      <c r="AE806" s="183"/>
      <c r="AF806" s="183"/>
      <c r="AG806" s="183"/>
      <c r="AH806" s="183"/>
      <c r="AI806" s="183"/>
      <c r="AJ806" s="183"/>
      <c r="AK806" s="183"/>
      <c r="AL806" s="183"/>
      <c r="AM806" s="183"/>
    </row>
    <row r="807">
      <c r="D807" s="668"/>
      <c r="E807" s="668"/>
      <c r="F807" s="342"/>
      <c r="G807" s="668"/>
      <c r="H807" s="669"/>
      <c r="I807" s="669"/>
      <c r="J807" s="669"/>
      <c r="K807" s="669"/>
      <c r="L807" s="670"/>
      <c r="M807" s="670"/>
      <c r="N807" s="669"/>
      <c r="O807" s="183"/>
      <c r="P807" s="183"/>
      <c r="Q807" s="183"/>
      <c r="R807" s="544"/>
      <c r="S807" s="544"/>
      <c r="T807" s="544"/>
      <c r="U807" s="544"/>
      <c r="V807" s="544"/>
      <c r="W807" s="544"/>
      <c r="X807" s="544"/>
      <c r="Y807" s="544"/>
      <c r="Z807" s="544"/>
      <c r="AA807" s="544"/>
      <c r="AB807" s="544"/>
      <c r="AC807" s="544"/>
      <c r="AD807" s="544"/>
      <c r="AE807" s="183"/>
      <c r="AF807" s="183"/>
      <c r="AG807" s="183"/>
      <c r="AH807" s="183"/>
      <c r="AI807" s="183"/>
      <c r="AJ807" s="183"/>
      <c r="AK807" s="183"/>
      <c r="AL807" s="183"/>
      <c r="AM807" s="183"/>
    </row>
    <row r="808">
      <c r="D808" s="668"/>
      <c r="E808" s="668"/>
      <c r="F808" s="342"/>
      <c r="G808" s="668"/>
      <c r="H808" s="669"/>
      <c r="I808" s="669"/>
      <c r="J808" s="669"/>
      <c r="K808" s="669"/>
      <c r="L808" s="670"/>
      <c r="M808" s="670"/>
      <c r="N808" s="669"/>
      <c r="O808" s="183"/>
      <c r="P808" s="183"/>
      <c r="Q808" s="183"/>
      <c r="R808" s="544"/>
      <c r="S808" s="544"/>
      <c r="T808" s="544"/>
      <c r="U808" s="544"/>
      <c r="V808" s="544"/>
      <c r="W808" s="544"/>
      <c r="X808" s="544"/>
      <c r="Y808" s="544"/>
      <c r="Z808" s="544"/>
      <c r="AA808" s="544"/>
      <c r="AB808" s="544"/>
      <c r="AC808" s="544"/>
      <c r="AD808" s="544"/>
      <c r="AE808" s="183"/>
      <c r="AF808" s="183"/>
      <c r="AG808" s="183"/>
      <c r="AH808" s="183"/>
      <c r="AI808" s="183"/>
      <c r="AJ808" s="183"/>
      <c r="AK808" s="183"/>
      <c r="AL808" s="183"/>
      <c r="AM808" s="183"/>
    </row>
    <row r="809">
      <c r="D809" s="668"/>
      <c r="E809" s="668"/>
      <c r="F809" s="342"/>
      <c r="G809" s="668"/>
      <c r="H809" s="669"/>
      <c r="I809" s="669"/>
      <c r="J809" s="669"/>
      <c r="K809" s="669"/>
      <c r="L809" s="670"/>
      <c r="M809" s="670"/>
      <c r="N809" s="669"/>
      <c r="O809" s="183"/>
      <c r="P809" s="183"/>
      <c r="Q809" s="183"/>
      <c r="R809" s="544"/>
      <c r="S809" s="544"/>
      <c r="T809" s="544"/>
      <c r="U809" s="544"/>
      <c r="V809" s="544"/>
      <c r="W809" s="544"/>
      <c r="X809" s="544"/>
      <c r="Y809" s="544"/>
      <c r="Z809" s="544"/>
      <c r="AA809" s="544"/>
      <c r="AB809" s="544"/>
      <c r="AC809" s="544"/>
      <c r="AD809" s="544"/>
      <c r="AE809" s="183"/>
      <c r="AF809" s="183"/>
      <c r="AG809" s="183"/>
      <c r="AH809" s="183"/>
      <c r="AI809" s="183"/>
      <c r="AJ809" s="183"/>
      <c r="AK809" s="183"/>
      <c r="AL809" s="183"/>
      <c r="AM809" s="183"/>
    </row>
    <row r="810">
      <c r="D810" s="668"/>
      <c r="E810" s="668"/>
      <c r="F810" s="342"/>
      <c r="G810" s="668"/>
      <c r="H810" s="669"/>
      <c r="I810" s="669"/>
      <c r="J810" s="669"/>
      <c r="K810" s="669"/>
      <c r="L810" s="670"/>
      <c r="M810" s="670"/>
      <c r="N810" s="669"/>
      <c r="O810" s="183"/>
      <c r="P810" s="183"/>
      <c r="Q810" s="183"/>
      <c r="R810" s="544"/>
      <c r="S810" s="544"/>
      <c r="T810" s="544"/>
      <c r="U810" s="544"/>
      <c r="V810" s="544"/>
      <c r="W810" s="544"/>
      <c r="X810" s="544"/>
      <c r="Y810" s="544"/>
      <c r="Z810" s="544"/>
      <c r="AA810" s="544"/>
      <c r="AB810" s="544"/>
      <c r="AC810" s="544"/>
      <c r="AD810" s="544"/>
      <c r="AE810" s="183"/>
      <c r="AF810" s="183"/>
      <c r="AG810" s="183"/>
      <c r="AH810" s="183"/>
      <c r="AI810" s="183"/>
      <c r="AJ810" s="183"/>
      <c r="AK810" s="183"/>
      <c r="AL810" s="183"/>
      <c r="AM810" s="183"/>
    </row>
    <row r="811">
      <c r="D811" s="668"/>
      <c r="E811" s="668"/>
      <c r="F811" s="342"/>
      <c r="G811" s="668"/>
      <c r="H811" s="669"/>
      <c r="I811" s="669"/>
      <c r="J811" s="669"/>
      <c r="K811" s="669"/>
      <c r="L811" s="670"/>
      <c r="M811" s="670"/>
      <c r="N811" s="669"/>
      <c r="O811" s="183"/>
      <c r="P811" s="183"/>
      <c r="Q811" s="183"/>
      <c r="R811" s="544"/>
      <c r="S811" s="544"/>
      <c r="T811" s="544"/>
      <c r="U811" s="544"/>
      <c r="V811" s="544"/>
      <c r="W811" s="544"/>
      <c r="X811" s="544"/>
      <c r="Y811" s="544"/>
      <c r="Z811" s="544"/>
      <c r="AA811" s="544"/>
      <c r="AB811" s="544"/>
      <c r="AC811" s="544"/>
      <c r="AD811" s="544"/>
      <c r="AE811" s="183"/>
      <c r="AF811" s="183"/>
      <c r="AG811" s="183"/>
      <c r="AH811" s="183"/>
      <c r="AI811" s="183"/>
      <c r="AJ811" s="183"/>
      <c r="AK811" s="183"/>
      <c r="AL811" s="183"/>
      <c r="AM811" s="183"/>
    </row>
    <row r="812">
      <c r="D812" s="668"/>
      <c r="E812" s="668"/>
      <c r="F812" s="342"/>
      <c r="G812" s="668"/>
      <c r="H812" s="669"/>
      <c r="I812" s="669"/>
      <c r="J812" s="669"/>
      <c r="K812" s="669"/>
      <c r="L812" s="670"/>
      <c r="M812" s="670"/>
      <c r="N812" s="669"/>
      <c r="O812" s="183"/>
      <c r="P812" s="183"/>
      <c r="Q812" s="183"/>
      <c r="R812" s="544"/>
      <c r="S812" s="544"/>
      <c r="T812" s="544"/>
      <c r="U812" s="544"/>
      <c r="V812" s="544"/>
      <c r="W812" s="544"/>
      <c r="X812" s="544"/>
      <c r="Y812" s="544"/>
      <c r="Z812" s="544"/>
      <c r="AA812" s="544"/>
      <c r="AB812" s="544"/>
      <c r="AC812" s="544"/>
      <c r="AD812" s="544"/>
      <c r="AE812" s="183"/>
      <c r="AF812" s="183"/>
      <c r="AG812" s="183"/>
      <c r="AH812" s="183"/>
      <c r="AI812" s="183"/>
      <c r="AJ812" s="183"/>
      <c r="AK812" s="183"/>
      <c r="AL812" s="183"/>
      <c r="AM812" s="183"/>
    </row>
    <row r="813">
      <c r="D813" s="668"/>
      <c r="E813" s="668"/>
      <c r="F813" s="342"/>
      <c r="G813" s="668"/>
      <c r="H813" s="669"/>
      <c r="I813" s="669"/>
      <c r="J813" s="669"/>
      <c r="K813" s="669"/>
      <c r="L813" s="670"/>
      <c r="M813" s="670"/>
      <c r="N813" s="669"/>
      <c r="O813" s="183"/>
      <c r="P813" s="183"/>
      <c r="Q813" s="183"/>
      <c r="R813" s="544"/>
      <c r="S813" s="544"/>
      <c r="T813" s="544"/>
      <c r="U813" s="544"/>
      <c r="V813" s="544"/>
      <c r="W813" s="544"/>
      <c r="X813" s="544"/>
      <c r="Y813" s="544"/>
      <c r="Z813" s="544"/>
      <c r="AA813" s="544"/>
      <c r="AB813" s="544"/>
      <c r="AC813" s="544"/>
      <c r="AD813" s="544"/>
      <c r="AE813" s="183"/>
      <c r="AF813" s="183"/>
      <c r="AG813" s="183"/>
      <c r="AH813" s="183"/>
      <c r="AI813" s="183"/>
      <c r="AJ813" s="183"/>
      <c r="AK813" s="183"/>
      <c r="AL813" s="183"/>
      <c r="AM813" s="183"/>
    </row>
    <row r="814">
      <c r="D814" s="668"/>
      <c r="E814" s="668"/>
      <c r="F814" s="342"/>
      <c r="G814" s="668"/>
      <c r="H814" s="669"/>
      <c r="I814" s="669"/>
      <c r="J814" s="669"/>
      <c r="K814" s="669"/>
      <c r="L814" s="670"/>
      <c r="M814" s="670"/>
      <c r="N814" s="669"/>
      <c r="O814" s="183"/>
      <c r="P814" s="183"/>
      <c r="Q814" s="183"/>
      <c r="R814" s="544"/>
      <c r="S814" s="544"/>
      <c r="T814" s="544"/>
      <c r="U814" s="544"/>
      <c r="V814" s="544"/>
      <c r="W814" s="544"/>
      <c r="X814" s="544"/>
      <c r="Y814" s="544"/>
      <c r="Z814" s="544"/>
      <c r="AA814" s="544"/>
      <c r="AB814" s="544"/>
      <c r="AC814" s="544"/>
      <c r="AD814" s="544"/>
      <c r="AE814" s="183"/>
      <c r="AF814" s="183"/>
      <c r="AG814" s="183"/>
      <c r="AH814" s="183"/>
      <c r="AI814" s="183"/>
      <c r="AJ814" s="183"/>
      <c r="AK814" s="183"/>
      <c r="AL814" s="183"/>
      <c r="AM814" s="183"/>
    </row>
    <row r="815">
      <c r="D815" s="668"/>
      <c r="E815" s="668"/>
      <c r="F815" s="342"/>
      <c r="G815" s="668"/>
      <c r="H815" s="669"/>
      <c r="I815" s="669"/>
      <c r="J815" s="669"/>
      <c r="K815" s="669"/>
      <c r="L815" s="670"/>
      <c r="M815" s="670"/>
      <c r="N815" s="669"/>
      <c r="O815" s="183"/>
      <c r="P815" s="183"/>
      <c r="Q815" s="183"/>
      <c r="R815" s="544"/>
      <c r="S815" s="544"/>
      <c r="T815" s="544"/>
      <c r="U815" s="544"/>
      <c r="V815" s="544"/>
      <c r="W815" s="544"/>
      <c r="X815" s="544"/>
      <c r="Y815" s="544"/>
      <c r="Z815" s="544"/>
      <c r="AA815" s="544"/>
      <c r="AB815" s="544"/>
      <c r="AC815" s="544"/>
      <c r="AD815" s="544"/>
      <c r="AE815" s="183"/>
      <c r="AF815" s="183"/>
      <c r="AG815" s="183"/>
      <c r="AH815" s="183"/>
      <c r="AI815" s="183"/>
      <c r="AJ815" s="183"/>
      <c r="AK815" s="183"/>
      <c r="AL815" s="183"/>
      <c r="AM815" s="183"/>
    </row>
    <row r="816">
      <c r="D816" s="668"/>
      <c r="E816" s="668"/>
      <c r="F816" s="342"/>
      <c r="G816" s="668"/>
      <c r="H816" s="669"/>
      <c r="I816" s="669"/>
      <c r="J816" s="669"/>
      <c r="K816" s="669"/>
      <c r="L816" s="670"/>
      <c r="M816" s="670"/>
      <c r="N816" s="669"/>
      <c r="O816" s="183"/>
      <c r="P816" s="183"/>
      <c r="Q816" s="183"/>
      <c r="R816" s="544"/>
      <c r="S816" s="544"/>
      <c r="T816" s="544"/>
      <c r="U816" s="544"/>
      <c r="V816" s="544"/>
      <c r="W816" s="544"/>
      <c r="X816" s="544"/>
      <c r="Y816" s="544"/>
      <c r="Z816" s="544"/>
      <c r="AA816" s="544"/>
      <c r="AB816" s="544"/>
      <c r="AC816" s="544"/>
      <c r="AD816" s="544"/>
      <c r="AE816" s="183"/>
      <c r="AF816" s="183"/>
      <c r="AG816" s="183"/>
      <c r="AH816" s="183"/>
      <c r="AI816" s="183"/>
      <c r="AJ816" s="183"/>
      <c r="AK816" s="183"/>
      <c r="AL816" s="183"/>
      <c r="AM816" s="183"/>
    </row>
    <row r="817">
      <c r="D817" s="668"/>
      <c r="E817" s="668"/>
      <c r="F817" s="342"/>
      <c r="G817" s="668"/>
      <c r="H817" s="669"/>
      <c r="I817" s="669"/>
      <c r="J817" s="669"/>
      <c r="K817" s="669"/>
      <c r="L817" s="670"/>
      <c r="M817" s="670"/>
      <c r="N817" s="669"/>
      <c r="O817" s="183"/>
      <c r="P817" s="183"/>
      <c r="Q817" s="183"/>
      <c r="R817" s="544"/>
      <c r="S817" s="544"/>
      <c r="T817" s="544"/>
      <c r="U817" s="544"/>
      <c r="V817" s="544"/>
      <c r="W817" s="544"/>
      <c r="X817" s="544"/>
      <c r="Y817" s="544"/>
      <c r="Z817" s="544"/>
      <c r="AA817" s="544"/>
      <c r="AB817" s="544"/>
      <c r="AC817" s="544"/>
      <c r="AD817" s="544"/>
      <c r="AE817" s="183"/>
      <c r="AF817" s="183"/>
      <c r="AG817" s="183"/>
      <c r="AH817" s="183"/>
      <c r="AI817" s="183"/>
      <c r="AJ817" s="183"/>
      <c r="AK817" s="183"/>
      <c r="AL817" s="183"/>
      <c r="AM817" s="183"/>
    </row>
    <row r="818">
      <c r="D818" s="668"/>
      <c r="E818" s="668"/>
      <c r="F818" s="342"/>
      <c r="G818" s="668"/>
      <c r="H818" s="669"/>
      <c r="I818" s="669"/>
      <c r="J818" s="669"/>
      <c r="K818" s="669"/>
      <c r="L818" s="670"/>
      <c r="M818" s="670"/>
      <c r="N818" s="669"/>
      <c r="O818" s="183"/>
      <c r="P818" s="183"/>
      <c r="Q818" s="183"/>
      <c r="R818" s="544"/>
      <c r="S818" s="544"/>
      <c r="T818" s="544"/>
      <c r="U818" s="544"/>
      <c r="V818" s="544"/>
      <c r="W818" s="544"/>
      <c r="X818" s="544"/>
      <c r="Y818" s="544"/>
      <c r="Z818" s="544"/>
      <c r="AA818" s="544"/>
      <c r="AB818" s="544"/>
      <c r="AC818" s="544"/>
      <c r="AD818" s="544"/>
      <c r="AE818" s="183"/>
      <c r="AF818" s="183"/>
      <c r="AG818" s="183"/>
      <c r="AH818" s="183"/>
      <c r="AI818" s="183"/>
      <c r="AJ818" s="183"/>
      <c r="AK818" s="183"/>
      <c r="AL818" s="183"/>
      <c r="AM818" s="183"/>
    </row>
    <row r="819">
      <c r="D819" s="668"/>
      <c r="E819" s="668"/>
      <c r="F819" s="342"/>
      <c r="G819" s="668"/>
      <c r="H819" s="669"/>
      <c r="I819" s="669"/>
      <c r="J819" s="669"/>
      <c r="K819" s="669"/>
      <c r="L819" s="670"/>
      <c r="M819" s="670"/>
      <c r="N819" s="669"/>
      <c r="O819" s="183"/>
      <c r="P819" s="183"/>
      <c r="Q819" s="183"/>
      <c r="R819" s="544"/>
      <c r="S819" s="544"/>
      <c r="T819" s="544"/>
      <c r="U819" s="544"/>
      <c r="V819" s="544"/>
      <c r="W819" s="544"/>
      <c r="X819" s="544"/>
      <c r="Y819" s="544"/>
      <c r="Z819" s="544"/>
      <c r="AA819" s="544"/>
      <c r="AB819" s="544"/>
      <c r="AC819" s="544"/>
      <c r="AD819" s="544"/>
      <c r="AE819" s="183"/>
      <c r="AF819" s="183"/>
      <c r="AG819" s="183"/>
      <c r="AH819" s="183"/>
      <c r="AI819" s="183"/>
      <c r="AJ819" s="183"/>
      <c r="AK819" s="183"/>
      <c r="AL819" s="183"/>
      <c r="AM819" s="183"/>
    </row>
    <row r="820">
      <c r="D820" s="668"/>
      <c r="E820" s="668"/>
      <c r="F820" s="342"/>
      <c r="G820" s="668"/>
      <c r="H820" s="669"/>
      <c r="I820" s="669"/>
      <c r="J820" s="669"/>
      <c r="K820" s="669"/>
      <c r="L820" s="670"/>
      <c r="M820" s="670"/>
      <c r="N820" s="669"/>
      <c r="O820" s="183"/>
      <c r="P820" s="183"/>
      <c r="Q820" s="183"/>
      <c r="R820" s="544"/>
      <c r="S820" s="544"/>
      <c r="T820" s="544"/>
      <c r="U820" s="544"/>
      <c r="V820" s="544"/>
      <c r="W820" s="544"/>
      <c r="X820" s="544"/>
      <c r="Y820" s="544"/>
      <c r="Z820" s="544"/>
      <c r="AA820" s="544"/>
      <c r="AB820" s="544"/>
      <c r="AC820" s="544"/>
      <c r="AD820" s="544"/>
      <c r="AE820" s="183"/>
      <c r="AF820" s="183"/>
      <c r="AG820" s="183"/>
      <c r="AH820" s="183"/>
      <c r="AI820" s="183"/>
      <c r="AJ820" s="183"/>
      <c r="AK820" s="183"/>
      <c r="AL820" s="183"/>
      <c r="AM820" s="183"/>
    </row>
    <row r="821">
      <c r="D821" s="668"/>
      <c r="E821" s="668"/>
      <c r="F821" s="342"/>
      <c r="G821" s="668"/>
      <c r="H821" s="669"/>
      <c r="I821" s="669"/>
      <c r="J821" s="669"/>
      <c r="K821" s="669"/>
      <c r="L821" s="670"/>
      <c r="M821" s="670"/>
      <c r="N821" s="669"/>
      <c r="O821" s="183"/>
      <c r="P821" s="183"/>
      <c r="Q821" s="183"/>
      <c r="R821" s="544"/>
      <c r="S821" s="544"/>
      <c r="T821" s="544"/>
      <c r="U821" s="544"/>
      <c r="V821" s="544"/>
      <c r="W821" s="544"/>
      <c r="X821" s="544"/>
      <c r="Y821" s="544"/>
      <c r="Z821" s="544"/>
      <c r="AA821" s="544"/>
      <c r="AB821" s="544"/>
      <c r="AC821" s="544"/>
      <c r="AD821" s="544"/>
      <c r="AE821" s="183"/>
      <c r="AF821" s="183"/>
      <c r="AG821" s="183"/>
      <c r="AH821" s="183"/>
      <c r="AI821" s="183"/>
      <c r="AJ821" s="183"/>
      <c r="AK821" s="183"/>
      <c r="AL821" s="183"/>
      <c r="AM821" s="183"/>
    </row>
    <row r="822">
      <c r="D822" s="668"/>
      <c r="E822" s="668"/>
      <c r="F822" s="342"/>
      <c r="G822" s="668"/>
      <c r="H822" s="669"/>
      <c r="I822" s="669"/>
      <c r="J822" s="669"/>
      <c r="K822" s="669"/>
      <c r="L822" s="670"/>
      <c r="M822" s="670"/>
      <c r="N822" s="669"/>
      <c r="O822" s="183"/>
      <c r="P822" s="183"/>
      <c r="Q822" s="183"/>
      <c r="R822" s="544"/>
      <c r="S822" s="544"/>
      <c r="T822" s="544"/>
      <c r="U822" s="544"/>
      <c r="V822" s="544"/>
      <c r="W822" s="544"/>
      <c r="X822" s="544"/>
      <c r="Y822" s="544"/>
      <c r="Z822" s="544"/>
      <c r="AA822" s="544"/>
      <c r="AB822" s="544"/>
      <c r="AC822" s="544"/>
      <c r="AD822" s="544"/>
      <c r="AE822" s="183"/>
      <c r="AF822" s="183"/>
      <c r="AG822" s="183"/>
      <c r="AH822" s="183"/>
      <c r="AI822" s="183"/>
      <c r="AJ822" s="183"/>
      <c r="AK822" s="183"/>
      <c r="AL822" s="183"/>
      <c r="AM822" s="183"/>
    </row>
    <row r="823">
      <c r="D823" s="668"/>
      <c r="E823" s="668"/>
      <c r="F823" s="342"/>
      <c r="G823" s="668"/>
      <c r="H823" s="669"/>
      <c r="I823" s="669"/>
      <c r="J823" s="669"/>
      <c r="K823" s="669"/>
      <c r="L823" s="670"/>
      <c r="M823" s="670"/>
      <c r="N823" s="669"/>
      <c r="O823" s="183"/>
      <c r="P823" s="183"/>
      <c r="Q823" s="183"/>
      <c r="R823" s="544"/>
      <c r="S823" s="544"/>
      <c r="T823" s="544"/>
      <c r="U823" s="544"/>
      <c r="V823" s="544"/>
      <c r="W823" s="544"/>
      <c r="X823" s="544"/>
      <c r="Y823" s="544"/>
      <c r="Z823" s="544"/>
      <c r="AA823" s="544"/>
      <c r="AB823" s="544"/>
      <c r="AC823" s="544"/>
      <c r="AD823" s="544"/>
      <c r="AE823" s="183"/>
      <c r="AF823" s="183"/>
      <c r="AG823" s="183"/>
      <c r="AH823" s="183"/>
      <c r="AI823" s="183"/>
      <c r="AJ823" s="183"/>
      <c r="AK823" s="183"/>
      <c r="AL823" s="183"/>
      <c r="AM823" s="183"/>
    </row>
    <row r="824">
      <c r="D824" s="668"/>
      <c r="E824" s="668"/>
      <c r="F824" s="342"/>
      <c r="G824" s="668"/>
      <c r="H824" s="669"/>
      <c r="I824" s="669"/>
      <c r="J824" s="669"/>
      <c r="K824" s="669"/>
      <c r="L824" s="670"/>
      <c r="M824" s="670"/>
      <c r="N824" s="669"/>
      <c r="O824" s="183"/>
      <c r="P824" s="183"/>
      <c r="Q824" s="183"/>
      <c r="R824" s="544"/>
      <c r="S824" s="544"/>
      <c r="T824" s="544"/>
      <c r="U824" s="544"/>
      <c r="V824" s="544"/>
      <c r="W824" s="544"/>
      <c r="X824" s="544"/>
      <c r="Y824" s="544"/>
      <c r="Z824" s="544"/>
      <c r="AA824" s="544"/>
      <c r="AB824" s="544"/>
      <c r="AC824" s="544"/>
      <c r="AD824" s="544"/>
      <c r="AE824" s="183"/>
      <c r="AF824" s="183"/>
      <c r="AG824" s="183"/>
      <c r="AH824" s="183"/>
      <c r="AI824" s="183"/>
      <c r="AJ824" s="183"/>
      <c r="AK824" s="183"/>
      <c r="AL824" s="183"/>
      <c r="AM824" s="183"/>
    </row>
    <row r="825">
      <c r="D825" s="668"/>
      <c r="E825" s="668"/>
      <c r="F825" s="342"/>
      <c r="G825" s="668"/>
      <c r="H825" s="669"/>
      <c r="I825" s="669"/>
      <c r="J825" s="669"/>
      <c r="K825" s="669"/>
      <c r="L825" s="670"/>
      <c r="M825" s="670"/>
      <c r="N825" s="669"/>
      <c r="O825" s="183"/>
      <c r="P825" s="183"/>
      <c r="Q825" s="183"/>
      <c r="R825" s="544"/>
      <c r="S825" s="544"/>
      <c r="T825" s="544"/>
      <c r="U825" s="544"/>
      <c r="V825" s="544"/>
      <c r="W825" s="544"/>
      <c r="X825" s="544"/>
      <c r="Y825" s="544"/>
      <c r="Z825" s="544"/>
      <c r="AA825" s="544"/>
      <c r="AB825" s="544"/>
      <c r="AC825" s="544"/>
      <c r="AD825" s="544"/>
      <c r="AE825" s="183"/>
      <c r="AF825" s="183"/>
      <c r="AG825" s="183"/>
      <c r="AH825" s="183"/>
      <c r="AI825" s="183"/>
      <c r="AJ825" s="183"/>
      <c r="AK825" s="183"/>
      <c r="AL825" s="183"/>
      <c r="AM825" s="183"/>
    </row>
    <row r="826">
      <c r="D826" s="668"/>
      <c r="E826" s="668"/>
      <c r="F826" s="342"/>
      <c r="G826" s="668"/>
      <c r="H826" s="669"/>
      <c r="I826" s="669"/>
      <c r="J826" s="669"/>
      <c r="K826" s="669"/>
      <c r="L826" s="670"/>
      <c r="M826" s="670"/>
      <c r="N826" s="669"/>
      <c r="O826" s="183"/>
      <c r="P826" s="183"/>
      <c r="Q826" s="183"/>
      <c r="R826" s="544"/>
      <c r="S826" s="544"/>
      <c r="T826" s="544"/>
      <c r="U826" s="544"/>
      <c r="V826" s="544"/>
      <c r="W826" s="544"/>
      <c r="X826" s="544"/>
      <c r="Y826" s="544"/>
      <c r="Z826" s="544"/>
      <c r="AA826" s="544"/>
      <c r="AB826" s="544"/>
      <c r="AC826" s="544"/>
      <c r="AD826" s="544"/>
      <c r="AE826" s="183"/>
      <c r="AF826" s="183"/>
      <c r="AG826" s="183"/>
      <c r="AH826" s="183"/>
      <c r="AI826" s="183"/>
      <c r="AJ826" s="183"/>
      <c r="AK826" s="183"/>
      <c r="AL826" s="183"/>
      <c r="AM826" s="183"/>
    </row>
    <row r="827">
      <c r="D827" s="668"/>
      <c r="E827" s="668"/>
      <c r="F827" s="342"/>
      <c r="G827" s="668"/>
      <c r="H827" s="669"/>
      <c r="I827" s="669"/>
      <c r="J827" s="669"/>
      <c r="K827" s="669"/>
      <c r="L827" s="670"/>
      <c r="M827" s="670"/>
      <c r="N827" s="669"/>
      <c r="O827" s="183"/>
      <c r="P827" s="183"/>
      <c r="Q827" s="183"/>
      <c r="R827" s="544"/>
      <c r="S827" s="544"/>
      <c r="T827" s="544"/>
      <c r="U827" s="544"/>
      <c r="V827" s="544"/>
      <c r="W827" s="544"/>
      <c r="X827" s="544"/>
      <c r="Y827" s="544"/>
      <c r="Z827" s="544"/>
      <c r="AA827" s="544"/>
      <c r="AB827" s="544"/>
      <c r="AC827" s="544"/>
      <c r="AD827" s="544"/>
      <c r="AE827" s="183"/>
      <c r="AF827" s="183"/>
      <c r="AG827" s="183"/>
      <c r="AH827" s="183"/>
      <c r="AI827" s="183"/>
      <c r="AJ827" s="183"/>
      <c r="AK827" s="183"/>
      <c r="AL827" s="183"/>
      <c r="AM827" s="183"/>
    </row>
    <row r="828">
      <c r="D828" s="668"/>
      <c r="E828" s="668"/>
      <c r="F828" s="342"/>
      <c r="G828" s="668"/>
      <c r="H828" s="669"/>
      <c r="I828" s="669"/>
      <c r="J828" s="669"/>
      <c r="K828" s="669"/>
      <c r="L828" s="670"/>
      <c r="M828" s="670"/>
      <c r="N828" s="669"/>
      <c r="O828" s="183"/>
      <c r="P828" s="183"/>
      <c r="Q828" s="183"/>
      <c r="R828" s="544"/>
      <c r="S828" s="544"/>
      <c r="T828" s="544"/>
      <c r="U828" s="544"/>
      <c r="V828" s="544"/>
      <c r="W828" s="544"/>
      <c r="X828" s="544"/>
      <c r="Y828" s="544"/>
      <c r="Z828" s="544"/>
      <c r="AA828" s="544"/>
      <c r="AB828" s="544"/>
      <c r="AC828" s="544"/>
      <c r="AD828" s="544"/>
      <c r="AE828" s="183"/>
      <c r="AF828" s="183"/>
      <c r="AG828" s="183"/>
      <c r="AH828" s="183"/>
      <c r="AI828" s="183"/>
      <c r="AJ828" s="183"/>
      <c r="AK828" s="183"/>
      <c r="AL828" s="183"/>
      <c r="AM828" s="183"/>
    </row>
    <row r="829">
      <c r="D829" s="668"/>
      <c r="E829" s="668"/>
      <c r="F829" s="342"/>
      <c r="G829" s="668"/>
      <c r="H829" s="669"/>
      <c r="I829" s="669"/>
      <c r="J829" s="669"/>
      <c r="K829" s="669"/>
      <c r="L829" s="670"/>
      <c r="M829" s="670"/>
      <c r="N829" s="669"/>
      <c r="O829" s="183"/>
      <c r="P829" s="183"/>
      <c r="Q829" s="183"/>
      <c r="R829" s="544"/>
      <c r="S829" s="544"/>
      <c r="T829" s="544"/>
      <c r="U829" s="544"/>
      <c r="V829" s="544"/>
      <c r="W829" s="544"/>
      <c r="X829" s="544"/>
      <c r="Y829" s="544"/>
      <c r="Z829" s="544"/>
      <c r="AA829" s="544"/>
      <c r="AB829" s="544"/>
      <c r="AC829" s="544"/>
      <c r="AD829" s="544"/>
      <c r="AE829" s="183"/>
      <c r="AF829" s="183"/>
      <c r="AG829" s="183"/>
      <c r="AH829" s="183"/>
      <c r="AI829" s="183"/>
      <c r="AJ829" s="183"/>
      <c r="AK829" s="183"/>
      <c r="AL829" s="183"/>
      <c r="AM829" s="183"/>
    </row>
    <row r="830">
      <c r="D830" s="668"/>
      <c r="E830" s="668"/>
      <c r="F830" s="342"/>
      <c r="G830" s="668"/>
      <c r="H830" s="669"/>
      <c r="I830" s="669"/>
      <c r="J830" s="669"/>
      <c r="K830" s="669"/>
      <c r="L830" s="670"/>
      <c r="M830" s="670"/>
      <c r="N830" s="669"/>
      <c r="O830" s="183"/>
      <c r="P830" s="183"/>
      <c r="Q830" s="183"/>
      <c r="R830" s="544"/>
      <c r="S830" s="544"/>
      <c r="T830" s="544"/>
      <c r="U830" s="544"/>
      <c r="V830" s="544"/>
      <c r="W830" s="544"/>
      <c r="X830" s="544"/>
      <c r="Y830" s="544"/>
      <c r="Z830" s="544"/>
      <c r="AA830" s="544"/>
      <c r="AB830" s="544"/>
      <c r="AC830" s="544"/>
      <c r="AD830" s="544"/>
      <c r="AE830" s="183"/>
      <c r="AF830" s="183"/>
      <c r="AG830" s="183"/>
      <c r="AH830" s="183"/>
      <c r="AI830" s="183"/>
      <c r="AJ830" s="183"/>
      <c r="AK830" s="183"/>
      <c r="AL830" s="183"/>
      <c r="AM830" s="183"/>
    </row>
    <row r="831">
      <c r="D831" s="668"/>
      <c r="E831" s="668"/>
      <c r="F831" s="342"/>
      <c r="G831" s="668"/>
      <c r="H831" s="669"/>
      <c r="I831" s="669"/>
      <c r="J831" s="669"/>
      <c r="K831" s="669"/>
      <c r="L831" s="670"/>
      <c r="M831" s="670"/>
      <c r="N831" s="669"/>
      <c r="O831" s="183"/>
      <c r="P831" s="183"/>
      <c r="Q831" s="183"/>
      <c r="R831" s="544"/>
      <c r="S831" s="544"/>
      <c r="T831" s="544"/>
      <c r="U831" s="544"/>
      <c r="V831" s="544"/>
      <c r="W831" s="544"/>
      <c r="X831" s="544"/>
      <c r="Y831" s="544"/>
      <c r="Z831" s="544"/>
      <c r="AA831" s="544"/>
      <c r="AB831" s="544"/>
      <c r="AC831" s="544"/>
      <c r="AD831" s="544"/>
      <c r="AE831" s="183"/>
      <c r="AF831" s="183"/>
      <c r="AG831" s="183"/>
      <c r="AH831" s="183"/>
      <c r="AI831" s="183"/>
      <c r="AJ831" s="183"/>
      <c r="AK831" s="183"/>
      <c r="AL831" s="183"/>
      <c r="AM831" s="183"/>
    </row>
    <row r="832">
      <c r="D832" s="668"/>
      <c r="E832" s="668"/>
      <c r="F832" s="342"/>
      <c r="G832" s="668"/>
      <c r="H832" s="669"/>
      <c r="I832" s="669"/>
      <c r="J832" s="669"/>
      <c r="K832" s="669"/>
      <c r="L832" s="670"/>
      <c r="M832" s="670"/>
      <c r="N832" s="669"/>
      <c r="O832" s="183"/>
      <c r="P832" s="183"/>
      <c r="Q832" s="183"/>
      <c r="R832" s="544"/>
      <c r="S832" s="544"/>
      <c r="T832" s="544"/>
      <c r="U832" s="544"/>
      <c r="V832" s="544"/>
      <c r="W832" s="544"/>
      <c r="X832" s="544"/>
      <c r="Y832" s="544"/>
      <c r="Z832" s="544"/>
      <c r="AA832" s="544"/>
      <c r="AB832" s="544"/>
      <c r="AC832" s="544"/>
      <c r="AD832" s="544"/>
      <c r="AE832" s="183"/>
      <c r="AF832" s="183"/>
      <c r="AG832" s="183"/>
      <c r="AH832" s="183"/>
      <c r="AI832" s="183"/>
      <c r="AJ832" s="183"/>
      <c r="AK832" s="183"/>
      <c r="AL832" s="183"/>
      <c r="AM832" s="183"/>
    </row>
    <row r="833">
      <c r="D833" s="668"/>
      <c r="E833" s="668"/>
      <c r="F833" s="342"/>
      <c r="G833" s="668"/>
      <c r="H833" s="669"/>
      <c r="I833" s="669"/>
      <c r="J833" s="669"/>
      <c r="K833" s="669"/>
      <c r="L833" s="670"/>
      <c r="M833" s="670"/>
      <c r="N833" s="669"/>
      <c r="O833" s="183"/>
      <c r="P833" s="183"/>
      <c r="Q833" s="183"/>
      <c r="R833" s="544"/>
      <c r="S833" s="544"/>
      <c r="T833" s="544"/>
      <c r="U833" s="544"/>
      <c r="V833" s="544"/>
      <c r="W833" s="544"/>
      <c r="X833" s="544"/>
      <c r="Y833" s="544"/>
      <c r="Z833" s="544"/>
      <c r="AA833" s="544"/>
      <c r="AB833" s="544"/>
      <c r="AC833" s="544"/>
      <c r="AD833" s="544"/>
      <c r="AE833" s="183"/>
      <c r="AF833" s="183"/>
      <c r="AG833" s="183"/>
      <c r="AH833" s="183"/>
      <c r="AI833" s="183"/>
      <c r="AJ833" s="183"/>
      <c r="AK833" s="183"/>
      <c r="AL833" s="183"/>
      <c r="AM833" s="183"/>
    </row>
    <row r="834">
      <c r="D834" s="668"/>
      <c r="E834" s="668"/>
      <c r="F834" s="342"/>
      <c r="G834" s="668"/>
      <c r="H834" s="669"/>
      <c r="I834" s="669"/>
      <c r="J834" s="669"/>
      <c r="K834" s="669"/>
      <c r="L834" s="670"/>
      <c r="M834" s="670"/>
      <c r="N834" s="669"/>
      <c r="O834" s="183"/>
      <c r="P834" s="183"/>
      <c r="Q834" s="183"/>
      <c r="R834" s="544"/>
      <c r="S834" s="544"/>
      <c r="T834" s="544"/>
      <c r="U834" s="544"/>
      <c r="V834" s="544"/>
      <c r="W834" s="544"/>
      <c r="X834" s="544"/>
      <c r="Y834" s="544"/>
      <c r="Z834" s="544"/>
      <c r="AA834" s="544"/>
      <c r="AB834" s="544"/>
      <c r="AC834" s="544"/>
      <c r="AD834" s="544"/>
      <c r="AE834" s="183"/>
      <c r="AF834" s="183"/>
      <c r="AG834" s="183"/>
      <c r="AH834" s="183"/>
      <c r="AI834" s="183"/>
      <c r="AJ834" s="183"/>
      <c r="AK834" s="183"/>
      <c r="AL834" s="183"/>
      <c r="AM834" s="183"/>
    </row>
    <row r="835">
      <c r="D835" s="668"/>
      <c r="E835" s="668"/>
      <c r="F835" s="342"/>
      <c r="G835" s="668"/>
      <c r="H835" s="669"/>
      <c r="I835" s="669"/>
      <c r="J835" s="669"/>
      <c r="K835" s="669"/>
      <c r="L835" s="670"/>
      <c r="M835" s="670"/>
      <c r="N835" s="669"/>
      <c r="O835" s="183"/>
      <c r="P835" s="183"/>
      <c r="Q835" s="183"/>
      <c r="R835" s="544"/>
      <c r="S835" s="544"/>
      <c r="T835" s="544"/>
      <c r="U835" s="544"/>
      <c r="V835" s="544"/>
      <c r="W835" s="544"/>
      <c r="X835" s="544"/>
      <c r="Y835" s="544"/>
      <c r="Z835" s="544"/>
      <c r="AA835" s="544"/>
      <c r="AB835" s="544"/>
      <c r="AC835" s="544"/>
      <c r="AD835" s="544"/>
      <c r="AE835" s="183"/>
      <c r="AF835" s="183"/>
      <c r="AG835" s="183"/>
      <c r="AH835" s="183"/>
      <c r="AI835" s="183"/>
      <c r="AJ835" s="183"/>
      <c r="AK835" s="183"/>
      <c r="AL835" s="183"/>
      <c r="AM835" s="183"/>
    </row>
    <row r="836">
      <c r="D836" s="668"/>
      <c r="E836" s="668"/>
      <c r="F836" s="342"/>
      <c r="G836" s="668"/>
      <c r="H836" s="669"/>
      <c r="I836" s="669"/>
      <c r="J836" s="669"/>
      <c r="K836" s="669"/>
      <c r="L836" s="670"/>
      <c r="M836" s="670"/>
      <c r="N836" s="669"/>
      <c r="O836" s="183"/>
      <c r="P836" s="183"/>
      <c r="Q836" s="183"/>
      <c r="R836" s="544"/>
      <c r="S836" s="544"/>
      <c r="T836" s="544"/>
      <c r="U836" s="544"/>
      <c r="V836" s="544"/>
      <c r="W836" s="544"/>
      <c r="X836" s="544"/>
      <c r="Y836" s="544"/>
      <c r="Z836" s="544"/>
      <c r="AA836" s="544"/>
      <c r="AB836" s="544"/>
      <c r="AC836" s="544"/>
      <c r="AD836" s="544"/>
      <c r="AE836" s="183"/>
      <c r="AF836" s="183"/>
      <c r="AG836" s="183"/>
      <c r="AH836" s="183"/>
      <c r="AI836" s="183"/>
      <c r="AJ836" s="183"/>
      <c r="AK836" s="183"/>
      <c r="AL836" s="183"/>
      <c r="AM836" s="183"/>
    </row>
    <row r="837">
      <c r="D837" s="668"/>
      <c r="E837" s="668"/>
      <c r="F837" s="342"/>
      <c r="G837" s="668"/>
      <c r="H837" s="669"/>
      <c r="I837" s="669"/>
      <c r="J837" s="669"/>
      <c r="K837" s="669"/>
      <c r="L837" s="670"/>
      <c r="M837" s="670"/>
      <c r="N837" s="669"/>
      <c r="O837" s="183"/>
      <c r="P837" s="183"/>
      <c r="Q837" s="183"/>
      <c r="R837" s="544"/>
      <c r="S837" s="544"/>
      <c r="T837" s="544"/>
      <c r="U837" s="544"/>
      <c r="V837" s="544"/>
      <c r="W837" s="544"/>
      <c r="X837" s="544"/>
      <c r="Y837" s="544"/>
      <c r="Z837" s="544"/>
      <c r="AA837" s="544"/>
      <c r="AB837" s="544"/>
      <c r="AC837" s="544"/>
      <c r="AD837" s="544"/>
      <c r="AE837" s="183"/>
      <c r="AF837" s="183"/>
      <c r="AG837" s="183"/>
      <c r="AH837" s="183"/>
      <c r="AI837" s="183"/>
      <c r="AJ837" s="183"/>
      <c r="AK837" s="183"/>
      <c r="AL837" s="183"/>
      <c r="AM837" s="183"/>
    </row>
    <row r="838">
      <c r="D838" s="668"/>
      <c r="E838" s="668"/>
      <c r="F838" s="342"/>
      <c r="G838" s="668"/>
      <c r="H838" s="669"/>
      <c r="I838" s="669"/>
      <c r="J838" s="669"/>
      <c r="K838" s="669"/>
      <c r="L838" s="670"/>
      <c r="M838" s="670"/>
      <c r="N838" s="669"/>
      <c r="O838" s="183"/>
      <c r="P838" s="183"/>
      <c r="Q838" s="183"/>
      <c r="R838" s="544"/>
      <c r="S838" s="544"/>
      <c r="T838" s="544"/>
      <c r="U838" s="544"/>
      <c r="V838" s="544"/>
      <c r="W838" s="544"/>
      <c r="X838" s="544"/>
      <c r="Y838" s="544"/>
      <c r="Z838" s="544"/>
      <c r="AA838" s="544"/>
      <c r="AB838" s="544"/>
      <c r="AC838" s="544"/>
      <c r="AD838" s="544"/>
      <c r="AE838" s="183"/>
      <c r="AF838" s="183"/>
      <c r="AG838" s="183"/>
      <c r="AH838" s="183"/>
      <c r="AI838" s="183"/>
      <c r="AJ838" s="183"/>
      <c r="AK838" s="183"/>
      <c r="AL838" s="183"/>
      <c r="AM838" s="183"/>
    </row>
    <row r="839">
      <c r="D839" s="668"/>
      <c r="E839" s="668"/>
      <c r="F839" s="342"/>
      <c r="G839" s="668"/>
      <c r="H839" s="669"/>
      <c r="I839" s="669"/>
      <c r="J839" s="669"/>
      <c r="K839" s="669"/>
      <c r="L839" s="670"/>
      <c r="M839" s="670"/>
      <c r="N839" s="669"/>
      <c r="O839" s="183"/>
      <c r="P839" s="183"/>
      <c r="Q839" s="183"/>
      <c r="R839" s="544"/>
      <c r="S839" s="544"/>
      <c r="T839" s="544"/>
      <c r="U839" s="544"/>
      <c r="V839" s="544"/>
      <c r="W839" s="544"/>
      <c r="X839" s="544"/>
      <c r="Y839" s="544"/>
      <c r="Z839" s="544"/>
      <c r="AA839" s="544"/>
      <c r="AB839" s="544"/>
      <c r="AC839" s="544"/>
      <c r="AD839" s="544"/>
      <c r="AE839" s="183"/>
      <c r="AF839" s="183"/>
      <c r="AG839" s="183"/>
      <c r="AH839" s="183"/>
      <c r="AI839" s="183"/>
      <c r="AJ839" s="183"/>
      <c r="AK839" s="183"/>
      <c r="AL839" s="183"/>
      <c r="AM839" s="183"/>
    </row>
    <row r="840">
      <c r="D840" s="668"/>
      <c r="E840" s="668"/>
      <c r="F840" s="342"/>
      <c r="G840" s="668"/>
      <c r="H840" s="669"/>
      <c r="I840" s="669"/>
      <c r="J840" s="669"/>
      <c r="K840" s="669"/>
      <c r="L840" s="670"/>
      <c r="M840" s="670"/>
      <c r="N840" s="669"/>
      <c r="O840" s="183"/>
      <c r="P840" s="183"/>
      <c r="Q840" s="183"/>
      <c r="R840" s="544"/>
      <c r="S840" s="544"/>
      <c r="T840" s="544"/>
      <c r="U840" s="544"/>
      <c r="V840" s="544"/>
      <c r="W840" s="544"/>
      <c r="X840" s="544"/>
      <c r="Y840" s="544"/>
      <c r="Z840" s="544"/>
      <c r="AA840" s="544"/>
      <c r="AB840" s="544"/>
      <c r="AC840" s="544"/>
      <c r="AD840" s="544"/>
      <c r="AE840" s="183"/>
      <c r="AF840" s="183"/>
      <c r="AG840" s="183"/>
      <c r="AH840" s="183"/>
      <c r="AI840" s="183"/>
      <c r="AJ840" s="183"/>
      <c r="AK840" s="183"/>
      <c r="AL840" s="183"/>
      <c r="AM840" s="183"/>
    </row>
    <row r="841">
      <c r="D841" s="668"/>
      <c r="E841" s="668"/>
      <c r="F841" s="342"/>
      <c r="G841" s="668"/>
      <c r="H841" s="669"/>
      <c r="I841" s="669"/>
      <c r="J841" s="669"/>
      <c r="K841" s="669"/>
      <c r="L841" s="670"/>
      <c r="M841" s="670"/>
      <c r="N841" s="669"/>
      <c r="O841" s="183"/>
      <c r="P841" s="183"/>
      <c r="Q841" s="183"/>
      <c r="R841" s="544"/>
      <c r="S841" s="544"/>
      <c r="T841" s="544"/>
      <c r="U841" s="544"/>
      <c r="V841" s="544"/>
      <c r="W841" s="544"/>
      <c r="X841" s="544"/>
      <c r="Y841" s="544"/>
      <c r="Z841" s="544"/>
      <c r="AA841" s="544"/>
      <c r="AB841" s="544"/>
      <c r="AC841" s="544"/>
      <c r="AD841" s="544"/>
      <c r="AE841" s="183"/>
      <c r="AF841" s="183"/>
      <c r="AG841" s="183"/>
      <c r="AH841" s="183"/>
      <c r="AI841" s="183"/>
      <c r="AJ841" s="183"/>
      <c r="AK841" s="183"/>
      <c r="AL841" s="183"/>
      <c r="AM841" s="183"/>
    </row>
    <row r="842">
      <c r="D842" s="668"/>
      <c r="E842" s="668"/>
      <c r="F842" s="342"/>
      <c r="G842" s="668"/>
      <c r="H842" s="669"/>
      <c r="I842" s="669"/>
      <c r="J842" s="669"/>
      <c r="K842" s="669"/>
      <c r="L842" s="670"/>
      <c r="M842" s="670"/>
      <c r="N842" s="669"/>
      <c r="O842" s="183"/>
      <c r="P842" s="183"/>
      <c r="Q842" s="183"/>
      <c r="R842" s="544"/>
      <c r="S842" s="544"/>
      <c r="T842" s="544"/>
      <c r="U842" s="544"/>
      <c r="V842" s="544"/>
      <c r="W842" s="544"/>
      <c r="X842" s="544"/>
      <c r="Y842" s="544"/>
      <c r="Z842" s="544"/>
      <c r="AA842" s="544"/>
      <c r="AB842" s="544"/>
      <c r="AC842" s="544"/>
      <c r="AD842" s="544"/>
      <c r="AE842" s="183"/>
      <c r="AF842" s="183"/>
      <c r="AG842" s="183"/>
      <c r="AH842" s="183"/>
      <c r="AI842" s="183"/>
      <c r="AJ842" s="183"/>
      <c r="AK842" s="183"/>
      <c r="AL842" s="183"/>
      <c r="AM842" s="183"/>
    </row>
    <row r="843">
      <c r="D843" s="668"/>
      <c r="E843" s="668"/>
      <c r="F843" s="342"/>
      <c r="G843" s="668"/>
      <c r="H843" s="669"/>
      <c r="I843" s="669"/>
      <c r="J843" s="669"/>
      <c r="K843" s="669"/>
      <c r="L843" s="670"/>
      <c r="M843" s="670"/>
      <c r="N843" s="669"/>
      <c r="O843" s="183"/>
      <c r="P843" s="183"/>
      <c r="Q843" s="183"/>
      <c r="R843" s="544"/>
      <c r="S843" s="544"/>
      <c r="T843" s="544"/>
      <c r="U843" s="544"/>
      <c r="V843" s="544"/>
      <c r="W843" s="544"/>
      <c r="X843" s="544"/>
      <c r="Y843" s="544"/>
      <c r="Z843" s="544"/>
      <c r="AA843" s="544"/>
      <c r="AB843" s="544"/>
      <c r="AC843" s="544"/>
      <c r="AD843" s="544"/>
      <c r="AE843" s="183"/>
      <c r="AF843" s="183"/>
      <c r="AG843" s="183"/>
      <c r="AH843" s="183"/>
      <c r="AI843" s="183"/>
      <c r="AJ843" s="183"/>
      <c r="AK843" s="183"/>
      <c r="AL843" s="183"/>
      <c r="AM843" s="183"/>
    </row>
    <row r="844">
      <c r="D844" s="668"/>
      <c r="E844" s="668"/>
      <c r="F844" s="342"/>
      <c r="G844" s="668"/>
      <c r="H844" s="669"/>
      <c r="I844" s="669"/>
      <c r="J844" s="669"/>
      <c r="K844" s="669"/>
      <c r="L844" s="670"/>
      <c r="M844" s="670"/>
      <c r="N844" s="669"/>
      <c r="O844" s="183"/>
      <c r="P844" s="183"/>
      <c r="Q844" s="183"/>
      <c r="R844" s="544"/>
      <c r="S844" s="544"/>
      <c r="T844" s="544"/>
      <c r="U844" s="544"/>
      <c r="V844" s="544"/>
      <c r="W844" s="544"/>
      <c r="X844" s="544"/>
      <c r="Y844" s="544"/>
      <c r="Z844" s="544"/>
      <c r="AA844" s="544"/>
      <c r="AB844" s="544"/>
      <c r="AC844" s="544"/>
      <c r="AD844" s="544"/>
      <c r="AE844" s="183"/>
      <c r="AF844" s="183"/>
      <c r="AG844" s="183"/>
      <c r="AH844" s="183"/>
      <c r="AI844" s="183"/>
      <c r="AJ844" s="183"/>
      <c r="AK844" s="183"/>
      <c r="AL844" s="183"/>
      <c r="AM844" s="183"/>
    </row>
    <row r="845">
      <c r="D845" s="668"/>
      <c r="E845" s="668"/>
      <c r="F845" s="342"/>
      <c r="G845" s="668"/>
      <c r="H845" s="669"/>
      <c r="I845" s="669"/>
      <c r="J845" s="669"/>
      <c r="K845" s="669"/>
      <c r="L845" s="670"/>
      <c r="M845" s="670"/>
      <c r="N845" s="669"/>
      <c r="O845" s="183"/>
      <c r="P845" s="183"/>
      <c r="Q845" s="183"/>
      <c r="R845" s="544"/>
      <c r="S845" s="544"/>
      <c r="T845" s="544"/>
      <c r="U845" s="544"/>
      <c r="V845" s="544"/>
      <c r="W845" s="544"/>
      <c r="X845" s="544"/>
      <c r="Y845" s="544"/>
      <c r="Z845" s="544"/>
      <c r="AA845" s="544"/>
      <c r="AB845" s="544"/>
      <c r="AC845" s="544"/>
      <c r="AD845" s="544"/>
      <c r="AE845" s="183"/>
      <c r="AF845" s="183"/>
      <c r="AG845" s="183"/>
      <c r="AH845" s="183"/>
      <c r="AI845" s="183"/>
      <c r="AJ845" s="183"/>
      <c r="AK845" s="183"/>
      <c r="AL845" s="183"/>
      <c r="AM845" s="183"/>
    </row>
    <row r="846">
      <c r="D846" s="668"/>
      <c r="E846" s="668"/>
      <c r="F846" s="342"/>
      <c r="G846" s="668"/>
      <c r="H846" s="669"/>
      <c r="I846" s="669"/>
      <c r="J846" s="669"/>
      <c r="K846" s="669"/>
      <c r="L846" s="670"/>
      <c r="M846" s="670"/>
      <c r="N846" s="669"/>
      <c r="O846" s="183"/>
      <c r="P846" s="183"/>
      <c r="Q846" s="183"/>
      <c r="R846" s="544"/>
      <c r="S846" s="544"/>
      <c r="T846" s="544"/>
      <c r="U846" s="544"/>
      <c r="V846" s="544"/>
      <c r="W846" s="544"/>
      <c r="X846" s="544"/>
      <c r="Y846" s="544"/>
      <c r="Z846" s="544"/>
      <c r="AA846" s="544"/>
      <c r="AB846" s="544"/>
      <c r="AC846" s="544"/>
      <c r="AD846" s="544"/>
      <c r="AE846" s="183"/>
      <c r="AF846" s="183"/>
      <c r="AG846" s="183"/>
      <c r="AH846" s="183"/>
      <c r="AI846" s="183"/>
      <c r="AJ846" s="183"/>
      <c r="AK846" s="183"/>
      <c r="AL846" s="183"/>
      <c r="AM846" s="183"/>
    </row>
    <row r="847">
      <c r="D847" s="668"/>
      <c r="E847" s="668"/>
      <c r="F847" s="342"/>
      <c r="G847" s="668"/>
      <c r="H847" s="669"/>
      <c r="I847" s="669"/>
      <c r="J847" s="669"/>
      <c r="K847" s="669"/>
      <c r="L847" s="670"/>
      <c r="M847" s="670"/>
      <c r="N847" s="669"/>
      <c r="O847" s="183"/>
      <c r="P847" s="183"/>
      <c r="Q847" s="183"/>
      <c r="R847" s="544"/>
      <c r="S847" s="544"/>
      <c r="T847" s="544"/>
      <c r="U847" s="544"/>
      <c r="V847" s="544"/>
      <c r="W847" s="544"/>
      <c r="X847" s="544"/>
      <c r="Y847" s="544"/>
      <c r="Z847" s="544"/>
      <c r="AA847" s="544"/>
      <c r="AB847" s="544"/>
      <c r="AC847" s="544"/>
      <c r="AD847" s="544"/>
      <c r="AE847" s="183"/>
      <c r="AF847" s="183"/>
      <c r="AG847" s="183"/>
      <c r="AH847" s="183"/>
      <c r="AI847" s="183"/>
      <c r="AJ847" s="183"/>
      <c r="AK847" s="183"/>
      <c r="AL847" s="183"/>
      <c r="AM847" s="183"/>
    </row>
    <row r="848">
      <c r="D848" s="668"/>
      <c r="E848" s="668"/>
      <c r="F848" s="342"/>
      <c r="G848" s="668"/>
      <c r="H848" s="669"/>
      <c r="I848" s="669"/>
      <c r="J848" s="669"/>
      <c r="K848" s="669"/>
      <c r="L848" s="670"/>
      <c r="M848" s="670"/>
      <c r="N848" s="669"/>
      <c r="O848" s="183"/>
      <c r="P848" s="183"/>
      <c r="Q848" s="183"/>
      <c r="R848" s="544"/>
      <c r="S848" s="544"/>
      <c r="T848" s="544"/>
      <c r="U848" s="544"/>
      <c r="V848" s="544"/>
      <c r="W848" s="544"/>
      <c r="X848" s="544"/>
      <c r="Y848" s="544"/>
      <c r="Z848" s="544"/>
      <c r="AA848" s="544"/>
      <c r="AB848" s="544"/>
      <c r="AC848" s="544"/>
      <c r="AD848" s="544"/>
      <c r="AE848" s="183"/>
      <c r="AF848" s="183"/>
      <c r="AG848" s="183"/>
      <c r="AH848" s="183"/>
      <c r="AI848" s="183"/>
      <c r="AJ848" s="183"/>
      <c r="AK848" s="183"/>
      <c r="AL848" s="183"/>
      <c r="AM848" s="183"/>
    </row>
    <row r="849">
      <c r="D849" s="668"/>
      <c r="E849" s="668"/>
      <c r="F849" s="342"/>
      <c r="G849" s="668"/>
      <c r="H849" s="669"/>
      <c r="I849" s="669"/>
      <c r="J849" s="669"/>
      <c r="K849" s="669"/>
      <c r="L849" s="670"/>
      <c r="M849" s="670"/>
      <c r="N849" s="669"/>
      <c r="O849" s="183"/>
      <c r="P849" s="183"/>
      <c r="Q849" s="183"/>
      <c r="R849" s="544"/>
      <c r="S849" s="544"/>
      <c r="T849" s="544"/>
      <c r="U849" s="544"/>
      <c r="V849" s="544"/>
      <c r="W849" s="544"/>
      <c r="X849" s="544"/>
      <c r="Y849" s="544"/>
      <c r="Z849" s="544"/>
      <c r="AA849" s="544"/>
      <c r="AB849" s="544"/>
      <c r="AC849" s="544"/>
      <c r="AD849" s="544"/>
      <c r="AE849" s="183"/>
      <c r="AF849" s="183"/>
      <c r="AG849" s="183"/>
      <c r="AH849" s="183"/>
      <c r="AI849" s="183"/>
      <c r="AJ849" s="183"/>
      <c r="AK849" s="183"/>
      <c r="AL849" s="183"/>
      <c r="AM849" s="183"/>
    </row>
    <row r="850">
      <c r="D850" s="668"/>
      <c r="E850" s="668"/>
      <c r="F850" s="342"/>
      <c r="G850" s="668"/>
      <c r="H850" s="669"/>
      <c r="I850" s="669"/>
      <c r="J850" s="669"/>
      <c r="K850" s="669"/>
      <c r="L850" s="670"/>
      <c r="M850" s="670"/>
      <c r="N850" s="669"/>
      <c r="O850" s="183"/>
      <c r="P850" s="183"/>
      <c r="Q850" s="183"/>
      <c r="R850" s="544"/>
      <c r="S850" s="544"/>
      <c r="T850" s="544"/>
      <c r="U850" s="544"/>
      <c r="V850" s="544"/>
      <c r="W850" s="544"/>
      <c r="X850" s="544"/>
      <c r="Y850" s="544"/>
      <c r="Z850" s="544"/>
      <c r="AA850" s="544"/>
      <c r="AB850" s="544"/>
      <c r="AC850" s="544"/>
      <c r="AD850" s="544"/>
      <c r="AE850" s="183"/>
      <c r="AF850" s="183"/>
      <c r="AG850" s="183"/>
      <c r="AH850" s="183"/>
      <c r="AI850" s="183"/>
      <c r="AJ850" s="183"/>
      <c r="AK850" s="183"/>
      <c r="AL850" s="183"/>
      <c r="AM850" s="183"/>
    </row>
    <row r="851">
      <c r="D851" s="668"/>
      <c r="E851" s="668"/>
      <c r="F851" s="342"/>
      <c r="G851" s="668"/>
      <c r="H851" s="669"/>
      <c r="I851" s="669"/>
      <c r="J851" s="669"/>
      <c r="K851" s="669"/>
      <c r="L851" s="670"/>
      <c r="M851" s="670"/>
      <c r="N851" s="669"/>
      <c r="O851" s="183"/>
      <c r="P851" s="183"/>
      <c r="Q851" s="183"/>
      <c r="R851" s="544"/>
      <c r="S851" s="544"/>
      <c r="T851" s="544"/>
      <c r="U851" s="544"/>
      <c r="V851" s="544"/>
      <c r="W851" s="544"/>
      <c r="X851" s="544"/>
      <c r="Y851" s="544"/>
      <c r="Z851" s="544"/>
      <c r="AA851" s="544"/>
      <c r="AB851" s="544"/>
      <c r="AC851" s="544"/>
      <c r="AD851" s="544"/>
      <c r="AE851" s="183"/>
      <c r="AF851" s="183"/>
      <c r="AG851" s="183"/>
      <c r="AH851" s="183"/>
      <c r="AI851" s="183"/>
      <c r="AJ851" s="183"/>
      <c r="AK851" s="183"/>
      <c r="AL851" s="183"/>
      <c r="AM851" s="183"/>
    </row>
    <row r="852">
      <c r="D852" s="668"/>
      <c r="E852" s="668"/>
      <c r="F852" s="342"/>
      <c r="G852" s="668"/>
      <c r="H852" s="669"/>
      <c r="I852" s="669"/>
      <c r="J852" s="669"/>
      <c r="K852" s="669"/>
      <c r="L852" s="670"/>
      <c r="M852" s="670"/>
      <c r="N852" s="669"/>
      <c r="O852" s="183"/>
      <c r="P852" s="183"/>
      <c r="Q852" s="183"/>
      <c r="R852" s="544"/>
      <c r="S852" s="544"/>
      <c r="T852" s="544"/>
      <c r="U852" s="544"/>
      <c r="V852" s="544"/>
      <c r="W852" s="544"/>
      <c r="X852" s="544"/>
      <c r="Y852" s="544"/>
      <c r="Z852" s="544"/>
      <c r="AA852" s="544"/>
      <c r="AB852" s="544"/>
      <c r="AC852" s="544"/>
      <c r="AD852" s="544"/>
      <c r="AE852" s="183"/>
      <c r="AF852" s="183"/>
      <c r="AG852" s="183"/>
      <c r="AH852" s="183"/>
      <c r="AI852" s="183"/>
      <c r="AJ852" s="183"/>
      <c r="AK852" s="183"/>
      <c r="AL852" s="183"/>
      <c r="AM852" s="183"/>
    </row>
    <row r="853">
      <c r="D853" s="668"/>
      <c r="E853" s="668"/>
      <c r="F853" s="342"/>
      <c r="G853" s="668"/>
      <c r="H853" s="669"/>
      <c r="I853" s="669"/>
      <c r="J853" s="669"/>
      <c r="K853" s="669"/>
      <c r="L853" s="670"/>
      <c r="M853" s="670"/>
      <c r="N853" s="669"/>
      <c r="O853" s="183"/>
      <c r="P853" s="183"/>
      <c r="Q853" s="183"/>
      <c r="R853" s="544"/>
      <c r="S853" s="544"/>
      <c r="T853" s="544"/>
      <c r="U853" s="544"/>
      <c r="V853" s="544"/>
      <c r="W853" s="544"/>
      <c r="X853" s="544"/>
      <c r="Y853" s="544"/>
      <c r="Z853" s="544"/>
      <c r="AA853" s="544"/>
      <c r="AB853" s="544"/>
      <c r="AC853" s="544"/>
      <c r="AD853" s="544"/>
      <c r="AE853" s="183"/>
      <c r="AF853" s="183"/>
      <c r="AG853" s="183"/>
      <c r="AH853" s="183"/>
      <c r="AI853" s="183"/>
      <c r="AJ853" s="183"/>
      <c r="AK853" s="183"/>
      <c r="AL853" s="183"/>
      <c r="AM853" s="183"/>
    </row>
    <row r="854">
      <c r="D854" s="668"/>
      <c r="E854" s="668"/>
      <c r="F854" s="342"/>
      <c r="G854" s="668"/>
      <c r="H854" s="669"/>
      <c r="I854" s="669"/>
      <c r="J854" s="669"/>
      <c r="K854" s="669"/>
      <c r="L854" s="670"/>
      <c r="M854" s="670"/>
      <c r="N854" s="669"/>
      <c r="O854" s="183"/>
      <c r="P854" s="183"/>
      <c r="Q854" s="183"/>
      <c r="R854" s="544"/>
      <c r="S854" s="544"/>
      <c r="T854" s="544"/>
      <c r="U854" s="544"/>
      <c r="V854" s="544"/>
      <c r="W854" s="544"/>
      <c r="X854" s="544"/>
      <c r="Y854" s="544"/>
      <c r="Z854" s="544"/>
      <c r="AA854" s="544"/>
      <c r="AB854" s="544"/>
      <c r="AC854" s="544"/>
      <c r="AD854" s="544"/>
      <c r="AE854" s="183"/>
      <c r="AF854" s="183"/>
      <c r="AG854" s="183"/>
      <c r="AH854" s="183"/>
      <c r="AI854" s="183"/>
      <c r="AJ854" s="183"/>
      <c r="AK854" s="183"/>
      <c r="AL854" s="183"/>
      <c r="AM854" s="183"/>
    </row>
    <row r="855">
      <c r="D855" s="668"/>
      <c r="E855" s="668"/>
      <c r="F855" s="342"/>
      <c r="G855" s="668"/>
      <c r="H855" s="669"/>
      <c r="I855" s="669"/>
      <c r="J855" s="669"/>
      <c r="K855" s="669"/>
      <c r="L855" s="670"/>
      <c r="M855" s="670"/>
      <c r="N855" s="669"/>
      <c r="O855" s="183"/>
      <c r="P855" s="183"/>
      <c r="Q855" s="183"/>
      <c r="R855" s="544"/>
      <c r="S855" s="544"/>
      <c r="T855" s="544"/>
      <c r="U855" s="544"/>
      <c r="V855" s="544"/>
      <c r="W855" s="544"/>
      <c r="X855" s="544"/>
      <c r="Y855" s="544"/>
      <c r="Z855" s="544"/>
      <c r="AA855" s="544"/>
      <c r="AB855" s="544"/>
      <c r="AC855" s="544"/>
      <c r="AD855" s="544"/>
      <c r="AE855" s="183"/>
      <c r="AF855" s="183"/>
      <c r="AG855" s="183"/>
      <c r="AH855" s="183"/>
      <c r="AI855" s="183"/>
      <c r="AJ855" s="183"/>
      <c r="AK855" s="183"/>
      <c r="AL855" s="183"/>
      <c r="AM855" s="183"/>
    </row>
    <row r="856">
      <c r="D856" s="668"/>
      <c r="E856" s="668"/>
      <c r="F856" s="342"/>
      <c r="G856" s="668"/>
      <c r="H856" s="669"/>
      <c r="I856" s="669"/>
      <c r="J856" s="669"/>
      <c r="K856" s="669"/>
      <c r="L856" s="670"/>
      <c r="M856" s="670"/>
      <c r="N856" s="669"/>
      <c r="O856" s="183"/>
      <c r="P856" s="183"/>
      <c r="Q856" s="183"/>
      <c r="R856" s="544"/>
      <c r="S856" s="544"/>
      <c r="T856" s="544"/>
      <c r="U856" s="544"/>
      <c r="V856" s="544"/>
      <c r="W856" s="544"/>
      <c r="X856" s="544"/>
      <c r="Y856" s="544"/>
      <c r="Z856" s="544"/>
      <c r="AA856" s="544"/>
      <c r="AB856" s="544"/>
      <c r="AC856" s="544"/>
      <c r="AD856" s="544"/>
      <c r="AE856" s="183"/>
      <c r="AF856" s="183"/>
      <c r="AG856" s="183"/>
      <c r="AH856" s="183"/>
      <c r="AI856" s="183"/>
      <c r="AJ856" s="183"/>
      <c r="AK856" s="183"/>
      <c r="AL856" s="183"/>
      <c r="AM856" s="183"/>
    </row>
    <row r="857">
      <c r="D857" s="668"/>
      <c r="E857" s="668"/>
      <c r="F857" s="342"/>
      <c r="G857" s="668"/>
      <c r="H857" s="669"/>
      <c r="I857" s="669"/>
      <c r="J857" s="669"/>
      <c r="K857" s="669"/>
      <c r="L857" s="670"/>
      <c r="M857" s="670"/>
      <c r="N857" s="669"/>
      <c r="O857" s="183"/>
      <c r="P857" s="183"/>
      <c r="Q857" s="183"/>
      <c r="R857" s="544"/>
      <c r="S857" s="544"/>
      <c r="T857" s="544"/>
      <c r="U857" s="544"/>
      <c r="V857" s="544"/>
      <c r="W857" s="544"/>
      <c r="X857" s="544"/>
      <c r="Y857" s="544"/>
      <c r="Z857" s="544"/>
      <c r="AA857" s="544"/>
      <c r="AB857" s="544"/>
      <c r="AC857" s="544"/>
      <c r="AD857" s="544"/>
      <c r="AE857" s="183"/>
      <c r="AF857" s="183"/>
      <c r="AG857" s="183"/>
      <c r="AH857" s="183"/>
      <c r="AI857" s="183"/>
      <c r="AJ857" s="183"/>
      <c r="AK857" s="183"/>
      <c r="AL857" s="183"/>
      <c r="AM857" s="183"/>
    </row>
    <row r="858">
      <c r="D858" s="668"/>
      <c r="E858" s="668"/>
      <c r="F858" s="342"/>
      <c r="G858" s="668"/>
      <c r="H858" s="669"/>
      <c r="I858" s="669"/>
      <c r="J858" s="669"/>
      <c r="K858" s="669"/>
      <c r="L858" s="670"/>
      <c r="M858" s="670"/>
      <c r="N858" s="669"/>
      <c r="O858" s="183"/>
      <c r="P858" s="183"/>
      <c r="Q858" s="183"/>
      <c r="R858" s="544"/>
      <c r="S858" s="544"/>
      <c r="T858" s="544"/>
      <c r="U858" s="544"/>
      <c r="V858" s="544"/>
      <c r="W858" s="544"/>
      <c r="X858" s="544"/>
      <c r="Y858" s="544"/>
      <c r="Z858" s="544"/>
      <c r="AA858" s="544"/>
      <c r="AB858" s="544"/>
      <c r="AC858" s="544"/>
      <c r="AD858" s="544"/>
      <c r="AE858" s="183"/>
      <c r="AF858" s="183"/>
      <c r="AG858" s="183"/>
      <c r="AH858" s="183"/>
      <c r="AI858" s="183"/>
      <c r="AJ858" s="183"/>
      <c r="AK858" s="183"/>
      <c r="AL858" s="183"/>
      <c r="AM858" s="183"/>
    </row>
    <row r="859">
      <c r="D859" s="668"/>
      <c r="E859" s="668"/>
      <c r="F859" s="342"/>
      <c r="G859" s="668"/>
      <c r="H859" s="669"/>
      <c r="I859" s="669"/>
      <c r="J859" s="669"/>
      <c r="K859" s="669"/>
      <c r="L859" s="670"/>
      <c r="M859" s="670"/>
      <c r="N859" s="669"/>
      <c r="O859" s="183"/>
      <c r="P859" s="183"/>
      <c r="Q859" s="183"/>
      <c r="R859" s="544"/>
      <c r="S859" s="544"/>
      <c r="T859" s="544"/>
      <c r="U859" s="544"/>
      <c r="V859" s="544"/>
      <c r="W859" s="544"/>
      <c r="X859" s="544"/>
      <c r="Y859" s="544"/>
      <c r="Z859" s="544"/>
      <c r="AA859" s="544"/>
      <c r="AB859" s="544"/>
      <c r="AC859" s="544"/>
      <c r="AD859" s="544"/>
      <c r="AE859" s="183"/>
      <c r="AF859" s="183"/>
      <c r="AG859" s="183"/>
      <c r="AH859" s="183"/>
      <c r="AI859" s="183"/>
      <c r="AJ859" s="183"/>
      <c r="AK859" s="183"/>
      <c r="AL859" s="183"/>
      <c r="AM859" s="183"/>
    </row>
    <row r="860">
      <c r="D860" s="668"/>
      <c r="E860" s="668"/>
      <c r="F860" s="342"/>
      <c r="G860" s="668"/>
      <c r="H860" s="669"/>
      <c r="I860" s="669"/>
      <c r="J860" s="669"/>
      <c r="K860" s="669"/>
      <c r="L860" s="670"/>
      <c r="M860" s="670"/>
      <c r="N860" s="669"/>
      <c r="O860" s="183"/>
      <c r="P860" s="183"/>
      <c r="Q860" s="183"/>
      <c r="R860" s="544"/>
      <c r="S860" s="544"/>
      <c r="T860" s="544"/>
      <c r="U860" s="544"/>
      <c r="V860" s="544"/>
      <c r="W860" s="544"/>
      <c r="X860" s="544"/>
      <c r="Y860" s="544"/>
      <c r="Z860" s="544"/>
      <c r="AA860" s="544"/>
      <c r="AB860" s="544"/>
      <c r="AC860" s="544"/>
      <c r="AD860" s="544"/>
      <c r="AE860" s="183"/>
      <c r="AF860" s="183"/>
      <c r="AG860" s="183"/>
      <c r="AH860" s="183"/>
      <c r="AI860" s="183"/>
      <c r="AJ860" s="183"/>
      <c r="AK860" s="183"/>
      <c r="AL860" s="183"/>
      <c r="AM860" s="183"/>
    </row>
    <row r="861">
      <c r="D861" s="668"/>
      <c r="E861" s="668"/>
      <c r="F861" s="342"/>
      <c r="G861" s="668"/>
      <c r="H861" s="669"/>
      <c r="I861" s="669"/>
      <c r="J861" s="669"/>
      <c r="K861" s="669"/>
      <c r="L861" s="670"/>
      <c r="M861" s="670"/>
      <c r="N861" s="669"/>
      <c r="O861" s="183"/>
      <c r="P861" s="183"/>
      <c r="Q861" s="183"/>
      <c r="R861" s="544"/>
      <c r="S861" s="544"/>
      <c r="T861" s="544"/>
      <c r="U861" s="544"/>
      <c r="V861" s="544"/>
      <c r="W861" s="544"/>
      <c r="X861" s="544"/>
      <c r="Y861" s="544"/>
      <c r="Z861" s="544"/>
      <c r="AA861" s="544"/>
      <c r="AB861" s="544"/>
      <c r="AC861" s="544"/>
      <c r="AD861" s="544"/>
      <c r="AE861" s="183"/>
      <c r="AF861" s="183"/>
      <c r="AG861" s="183"/>
      <c r="AH861" s="183"/>
      <c r="AI861" s="183"/>
      <c r="AJ861" s="183"/>
      <c r="AK861" s="183"/>
      <c r="AL861" s="183"/>
      <c r="AM861" s="183"/>
    </row>
    <row r="862">
      <c r="D862" s="668"/>
      <c r="E862" s="668"/>
      <c r="F862" s="342"/>
      <c r="G862" s="668"/>
      <c r="H862" s="669"/>
      <c r="I862" s="669"/>
      <c r="J862" s="669"/>
      <c r="K862" s="669"/>
      <c r="L862" s="670"/>
      <c r="M862" s="670"/>
      <c r="N862" s="669"/>
      <c r="O862" s="183"/>
      <c r="P862" s="183"/>
      <c r="Q862" s="183"/>
      <c r="R862" s="544"/>
      <c r="S862" s="544"/>
      <c r="T862" s="544"/>
      <c r="U862" s="544"/>
      <c r="V862" s="544"/>
      <c r="W862" s="544"/>
      <c r="X862" s="544"/>
      <c r="Y862" s="544"/>
      <c r="Z862" s="544"/>
      <c r="AA862" s="544"/>
      <c r="AB862" s="544"/>
      <c r="AC862" s="544"/>
      <c r="AD862" s="544"/>
      <c r="AE862" s="183"/>
      <c r="AF862" s="183"/>
      <c r="AG862" s="183"/>
      <c r="AH862" s="183"/>
      <c r="AI862" s="183"/>
      <c r="AJ862" s="183"/>
      <c r="AK862" s="183"/>
      <c r="AL862" s="183"/>
      <c r="AM862" s="183"/>
    </row>
    <row r="863">
      <c r="D863" s="668"/>
      <c r="E863" s="668"/>
      <c r="F863" s="342"/>
      <c r="G863" s="668"/>
      <c r="H863" s="669"/>
      <c r="I863" s="669"/>
      <c r="J863" s="669"/>
      <c r="K863" s="669"/>
      <c r="L863" s="670"/>
      <c r="M863" s="670"/>
      <c r="N863" s="669"/>
      <c r="O863" s="183"/>
      <c r="P863" s="183"/>
      <c r="Q863" s="183"/>
      <c r="R863" s="544"/>
      <c r="S863" s="544"/>
      <c r="T863" s="544"/>
      <c r="U863" s="544"/>
      <c r="V863" s="544"/>
      <c r="W863" s="544"/>
      <c r="X863" s="544"/>
      <c r="Y863" s="544"/>
      <c r="Z863" s="544"/>
      <c r="AA863" s="544"/>
      <c r="AB863" s="544"/>
      <c r="AC863" s="544"/>
      <c r="AD863" s="544"/>
      <c r="AE863" s="183"/>
      <c r="AF863" s="183"/>
      <c r="AG863" s="183"/>
      <c r="AH863" s="183"/>
      <c r="AI863" s="183"/>
      <c r="AJ863" s="183"/>
      <c r="AK863" s="183"/>
      <c r="AL863" s="183"/>
      <c r="AM863" s="183"/>
    </row>
    <row r="864">
      <c r="D864" s="668"/>
      <c r="E864" s="668"/>
      <c r="F864" s="342"/>
      <c r="G864" s="668"/>
      <c r="H864" s="669"/>
      <c r="I864" s="669"/>
      <c r="J864" s="669"/>
      <c r="K864" s="669"/>
      <c r="L864" s="670"/>
      <c r="M864" s="670"/>
      <c r="N864" s="669"/>
      <c r="O864" s="183"/>
      <c r="P864" s="183"/>
      <c r="Q864" s="183"/>
      <c r="R864" s="544"/>
      <c r="S864" s="544"/>
      <c r="T864" s="544"/>
      <c r="U864" s="544"/>
      <c r="V864" s="544"/>
      <c r="W864" s="544"/>
      <c r="X864" s="544"/>
      <c r="Y864" s="544"/>
      <c r="Z864" s="544"/>
      <c r="AA864" s="544"/>
      <c r="AB864" s="544"/>
      <c r="AC864" s="544"/>
      <c r="AD864" s="544"/>
      <c r="AE864" s="183"/>
      <c r="AF864" s="183"/>
      <c r="AG864" s="183"/>
      <c r="AH864" s="183"/>
      <c r="AI864" s="183"/>
      <c r="AJ864" s="183"/>
      <c r="AK864" s="183"/>
      <c r="AL864" s="183"/>
      <c r="AM864" s="183"/>
    </row>
    <row r="865">
      <c r="D865" s="668"/>
      <c r="E865" s="668"/>
      <c r="F865" s="342"/>
      <c r="G865" s="668"/>
      <c r="H865" s="669"/>
      <c r="I865" s="669"/>
      <c r="J865" s="669"/>
      <c r="K865" s="669"/>
      <c r="L865" s="670"/>
      <c r="M865" s="670"/>
      <c r="N865" s="669"/>
      <c r="O865" s="183"/>
      <c r="P865" s="183"/>
      <c r="Q865" s="183"/>
      <c r="R865" s="544"/>
      <c r="S865" s="544"/>
      <c r="T865" s="544"/>
      <c r="U865" s="544"/>
      <c r="V865" s="544"/>
      <c r="W865" s="544"/>
      <c r="X865" s="544"/>
      <c r="Y865" s="544"/>
      <c r="Z865" s="544"/>
      <c r="AA865" s="544"/>
      <c r="AB865" s="544"/>
      <c r="AC865" s="544"/>
      <c r="AD865" s="544"/>
      <c r="AE865" s="183"/>
      <c r="AF865" s="183"/>
      <c r="AG865" s="183"/>
      <c r="AH865" s="183"/>
      <c r="AI865" s="183"/>
      <c r="AJ865" s="183"/>
      <c r="AK865" s="183"/>
      <c r="AL865" s="183"/>
      <c r="AM865" s="183"/>
    </row>
    <row r="866">
      <c r="D866" s="668"/>
      <c r="E866" s="668"/>
      <c r="F866" s="342"/>
      <c r="G866" s="668"/>
      <c r="H866" s="669"/>
      <c r="I866" s="669"/>
      <c r="J866" s="669"/>
      <c r="K866" s="669"/>
      <c r="L866" s="670"/>
      <c r="M866" s="670"/>
      <c r="N866" s="669"/>
      <c r="O866" s="183"/>
      <c r="P866" s="183"/>
      <c r="Q866" s="183"/>
      <c r="R866" s="544"/>
      <c r="S866" s="544"/>
      <c r="T866" s="544"/>
      <c r="U866" s="544"/>
      <c r="V866" s="544"/>
      <c r="W866" s="544"/>
      <c r="X866" s="544"/>
      <c r="Y866" s="544"/>
      <c r="Z866" s="544"/>
      <c r="AA866" s="544"/>
      <c r="AB866" s="544"/>
      <c r="AC866" s="544"/>
      <c r="AD866" s="544"/>
      <c r="AE866" s="183"/>
      <c r="AF866" s="183"/>
      <c r="AG866" s="183"/>
      <c r="AH866" s="183"/>
      <c r="AI866" s="183"/>
      <c r="AJ866" s="183"/>
      <c r="AK866" s="183"/>
      <c r="AL866" s="183"/>
      <c r="AM866" s="183"/>
    </row>
    <row r="867">
      <c r="D867" s="668"/>
      <c r="E867" s="668"/>
      <c r="F867" s="342"/>
      <c r="G867" s="668"/>
      <c r="H867" s="669"/>
      <c r="I867" s="669"/>
      <c r="J867" s="669"/>
      <c r="K867" s="669"/>
      <c r="L867" s="670"/>
      <c r="M867" s="670"/>
      <c r="N867" s="669"/>
      <c r="O867" s="183"/>
      <c r="P867" s="183"/>
      <c r="Q867" s="183"/>
      <c r="R867" s="544"/>
      <c r="S867" s="544"/>
      <c r="T867" s="544"/>
      <c r="U867" s="544"/>
      <c r="V867" s="544"/>
      <c r="W867" s="544"/>
      <c r="X867" s="544"/>
      <c r="Y867" s="544"/>
      <c r="Z867" s="544"/>
      <c r="AA867" s="544"/>
      <c r="AB867" s="544"/>
      <c r="AC867" s="544"/>
      <c r="AD867" s="544"/>
      <c r="AE867" s="183"/>
      <c r="AF867" s="183"/>
      <c r="AG867" s="183"/>
      <c r="AH867" s="183"/>
      <c r="AI867" s="183"/>
      <c r="AJ867" s="183"/>
      <c r="AK867" s="183"/>
      <c r="AL867" s="183"/>
      <c r="AM867" s="183"/>
    </row>
    <row r="868">
      <c r="D868" s="668"/>
      <c r="E868" s="668"/>
      <c r="F868" s="342"/>
      <c r="G868" s="668"/>
      <c r="H868" s="669"/>
      <c r="I868" s="669"/>
      <c r="J868" s="669"/>
      <c r="K868" s="669"/>
      <c r="L868" s="670"/>
      <c r="M868" s="670"/>
      <c r="N868" s="669"/>
      <c r="O868" s="183"/>
      <c r="P868" s="183"/>
      <c r="Q868" s="183"/>
      <c r="R868" s="544"/>
      <c r="S868" s="544"/>
      <c r="T868" s="544"/>
      <c r="U868" s="544"/>
      <c r="V868" s="544"/>
      <c r="W868" s="544"/>
      <c r="X868" s="544"/>
      <c r="Y868" s="544"/>
      <c r="Z868" s="544"/>
      <c r="AA868" s="544"/>
      <c r="AB868" s="544"/>
      <c r="AC868" s="544"/>
      <c r="AD868" s="544"/>
      <c r="AE868" s="183"/>
      <c r="AF868" s="183"/>
      <c r="AG868" s="183"/>
      <c r="AH868" s="183"/>
      <c r="AI868" s="183"/>
      <c r="AJ868" s="183"/>
      <c r="AK868" s="183"/>
      <c r="AL868" s="183"/>
      <c r="AM868" s="183"/>
    </row>
    <row r="869">
      <c r="D869" s="668"/>
      <c r="E869" s="668"/>
      <c r="F869" s="342"/>
      <c r="G869" s="668"/>
      <c r="H869" s="669"/>
      <c r="I869" s="669"/>
      <c r="J869" s="669"/>
      <c r="K869" s="669"/>
      <c r="L869" s="670"/>
      <c r="M869" s="670"/>
      <c r="N869" s="669"/>
      <c r="O869" s="183"/>
      <c r="P869" s="183"/>
      <c r="Q869" s="183"/>
      <c r="R869" s="544"/>
      <c r="S869" s="544"/>
      <c r="T869" s="544"/>
      <c r="U869" s="544"/>
      <c r="V869" s="544"/>
      <c r="W869" s="544"/>
      <c r="X869" s="544"/>
      <c r="Y869" s="544"/>
      <c r="Z869" s="544"/>
      <c r="AA869" s="544"/>
      <c r="AB869" s="544"/>
      <c r="AC869" s="544"/>
      <c r="AD869" s="544"/>
      <c r="AE869" s="183"/>
      <c r="AF869" s="183"/>
      <c r="AG869" s="183"/>
      <c r="AH869" s="183"/>
      <c r="AI869" s="183"/>
      <c r="AJ869" s="183"/>
      <c r="AK869" s="183"/>
      <c r="AL869" s="183"/>
      <c r="AM869" s="183"/>
    </row>
    <row r="870">
      <c r="D870" s="668"/>
      <c r="E870" s="668"/>
      <c r="F870" s="342"/>
      <c r="G870" s="668"/>
      <c r="H870" s="669"/>
      <c r="I870" s="669"/>
      <c r="J870" s="669"/>
      <c r="K870" s="669"/>
      <c r="L870" s="670"/>
      <c r="M870" s="670"/>
      <c r="N870" s="669"/>
      <c r="O870" s="183"/>
      <c r="P870" s="183"/>
      <c r="Q870" s="183"/>
      <c r="R870" s="544"/>
      <c r="S870" s="544"/>
      <c r="T870" s="544"/>
      <c r="U870" s="544"/>
      <c r="V870" s="544"/>
      <c r="W870" s="544"/>
      <c r="X870" s="544"/>
      <c r="Y870" s="544"/>
      <c r="Z870" s="544"/>
      <c r="AA870" s="544"/>
      <c r="AB870" s="544"/>
      <c r="AC870" s="544"/>
      <c r="AD870" s="544"/>
      <c r="AE870" s="183"/>
      <c r="AF870" s="183"/>
      <c r="AG870" s="183"/>
      <c r="AH870" s="183"/>
      <c r="AI870" s="183"/>
      <c r="AJ870" s="183"/>
      <c r="AK870" s="183"/>
      <c r="AL870" s="183"/>
      <c r="AM870" s="183"/>
    </row>
    <row r="871">
      <c r="D871" s="668"/>
      <c r="E871" s="668"/>
      <c r="F871" s="342"/>
      <c r="G871" s="668"/>
      <c r="H871" s="669"/>
      <c r="I871" s="669"/>
      <c r="J871" s="669"/>
      <c r="K871" s="669"/>
      <c r="L871" s="670"/>
      <c r="M871" s="670"/>
      <c r="N871" s="669"/>
      <c r="O871" s="183"/>
      <c r="P871" s="183"/>
      <c r="Q871" s="183"/>
      <c r="R871" s="544"/>
      <c r="S871" s="544"/>
      <c r="T871" s="544"/>
      <c r="U871" s="544"/>
      <c r="V871" s="544"/>
      <c r="W871" s="544"/>
      <c r="X871" s="544"/>
      <c r="Y871" s="544"/>
      <c r="Z871" s="544"/>
      <c r="AA871" s="544"/>
      <c r="AB871" s="544"/>
      <c r="AC871" s="544"/>
      <c r="AD871" s="544"/>
      <c r="AE871" s="183"/>
      <c r="AF871" s="183"/>
      <c r="AG871" s="183"/>
      <c r="AH871" s="183"/>
      <c r="AI871" s="183"/>
      <c r="AJ871" s="183"/>
      <c r="AK871" s="183"/>
      <c r="AL871" s="183"/>
      <c r="AM871" s="183"/>
    </row>
    <row r="872">
      <c r="D872" s="668"/>
      <c r="E872" s="668"/>
      <c r="F872" s="342"/>
      <c r="G872" s="668"/>
      <c r="H872" s="669"/>
      <c r="I872" s="669"/>
      <c r="J872" s="669"/>
      <c r="K872" s="669"/>
      <c r="L872" s="670"/>
      <c r="M872" s="670"/>
      <c r="N872" s="669"/>
      <c r="O872" s="183"/>
      <c r="P872" s="183"/>
      <c r="Q872" s="183"/>
      <c r="R872" s="544"/>
      <c r="S872" s="544"/>
      <c r="T872" s="544"/>
      <c r="U872" s="544"/>
      <c r="V872" s="544"/>
      <c r="W872" s="544"/>
      <c r="X872" s="544"/>
      <c r="Y872" s="544"/>
      <c r="Z872" s="544"/>
      <c r="AA872" s="544"/>
      <c r="AB872" s="544"/>
      <c r="AC872" s="544"/>
      <c r="AD872" s="544"/>
      <c r="AE872" s="183"/>
      <c r="AF872" s="183"/>
      <c r="AG872" s="183"/>
      <c r="AH872" s="183"/>
      <c r="AI872" s="183"/>
      <c r="AJ872" s="183"/>
      <c r="AK872" s="183"/>
      <c r="AL872" s="183"/>
      <c r="AM872" s="183"/>
    </row>
    <row r="873">
      <c r="D873" s="668"/>
      <c r="E873" s="668"/>
      <c r="F873" s="342"/>
      <c r="G873" s="668"/>
      <c r="H873" s="669"/>
      <c r="I873" s="669"/>
      <c r="J873" s="669"/>
      <c r="K873" s="669"/>
      <c r="L873" s="670"/>
      <c r="M873" s="670"/>
      <c r="N873" s="669"/>
      <c r="O873" s="183"/>
      <c r="P873" s="183"/>
      <c r="Q873" s="183"/>
      <c r="R873" s="544"/>
      <c r="S873" s="544"/>
      <c r="T873" s="544"/>
      <c r="U873" s="544"/>
      <c r="V873" s="544"/>
      <c r="W873" s="544"/>
      <c r="X873" s="544"/>
      <c r="Y873" s="544"/>
      <c r="Z873" s="544"/>
      <c r="AA873" s="544"/>
      <c r="AB873" s="544"/>
      <c r="AC873" s="544"/>
      <c r="AD873" s="544"/>
      <c r="AE873" s="183"/>
      <c r="AF873" s="183"/>
      <c r="AG873" s="183"/>
      <c r="AH873" s="183"/>
      <c r="AI873" s="183"/>
      <c r="AJ873" s="183"/>
      <c r="AK873" s="183"/>
      <c r="AL873" s="183"/>
      <c r="AM873" s="183"/>
    </row>
    <row r="874">
      <c r="D874" s="668"/>
      <c r="E874" s="668"/>
      <c r="F874" s="342"/>
      <c r="G874" s="668"/>
      <c r="H874" s="669"/>
      <c r="I874" s="669"/>
      <c r="J874" s="669"/>
      <c r="K874" s="669"/>
      <c r="L874" s="670"/>
      <c r="M874" s="670"/>
      <c r="N874" s="669"/>
      <c r="O874" s="183"/>
      <c r="P874" s="183"/>
      <c r="Q874" s="183"/>
      <c r="R874" s="544"/>
      <c r="S874" s="544"/>
      <c r="T874" s="544"/>
      <c r="U874" s="544"/>
      <c r="V874" s="544"/>
      <c r="W874" s="544"/>
      <c r="X874" s="544"/>
      <c r="Y874" s="544"/>
      <c r="Z874" s="544"/>
      <c r="AA874" s="544"/>
      <c r="AB874" s="544"/>
      <c r="AC874" s="544"/>
      <c r="AD874" s="544"/>
      <c r="AE874" s="183"/>
      <c r="AF874" s="183"/>
      <c r="AG874" s="183"/>
      <c r="AH874" s="183"/>
      <c r="AI874" s="183"/>
      <c r="AJ874" s="183"/>
      <c r="AK874" s="183"/>
      <c r="AL874" s="183"/>
      <c r="AM874" s="183"/>
    </row>
    <row r="875">
      <c r="D875" s="668"/>
      <c r="E875" s="668"/>
      <c r="F875" s="342"/>
      <c r="G875" s="668"/>
      <c r="H875" s="669"/>
      <c r="I875" s="669"/>
      <c r="J875" s="669"/>
      <c r="K875" s="669"/>
      <c r="L875" s="670"/>
      <c r="M875" s="670"/>
      <c r="N875" s="669"/>
      <c r="O875" s="183"/>
      <c r="P875" s="183"/>
      <c r="Q875" s="183"/>
      <c r="R875" s="544"/>
      <c r="S875" s="544"/>
      <c r="T875" s="544"/>
      <c r="U875" s="544"/>
      <c r="V875" s="544"/>
      <c r="W875" s="544"/>
      <c r="X875" s="544"/>
      <c r="Y875" s="544"/>
      <c r="Z875" s="544"/>
      <c r="AA875" s="544"/>
      <c r="AB875" s="544"/>
      <c r="AC875" s="544"/>
      <c r="AD875" s="544"/>
      <c r="AE875" s="183"/>
      <c r="AF875" s="183"/>
      <c r="AG875" s="183"/>
      <c r="AH875" s="183"/>
      <c r="AI875" s="183"/>
      <c r="AJ875" s="183"/>
      <c r="AK875" s="183"/>
      <c r="AL875" s="183"/>
      <c r="AM875" s="183"/>
    </row>
    <row r="876">
      <c r="D876" s="668"/>
      <c r="E876" s="668"/>
      <c r="F876" s="342"/>
      <c r="G876" s="668"/>
      <c r="H876" s="669"/>
      <c r="I876" s="669"/>
      <c r="J876" s="669"/>
      <c r="K876" s="669"/>
      <c r="L876" s="670"/>
      <c r="M876" s="670"/>
      <c r="N876" s="669"/>
      <c r="O876" s="183"/>
      <c r="P876" s="183"/>
      <c r="Q876" s="183"/>
      <c r="R876" s="544"/>
      <c r="S876" s="544"/>
      <c r="T876" s="544"/>
      <c r="U876" s="544"/>
      <c r="V876" s="544"/>
      <c r="W876" s="544"/>
      <c r="X876" s="544"/>
      <c r="Y876" s="544"/>
      <c r="Z876" s="544"/>
      <c r="AA876" s="544"/>
      <c r="AB876" s="544"/>
      <c r="AC876" s="544"/>
      <c r="AD876" s="544"/>
      <c r="AE876" s="183"/>
      <c r="AF876" s="183"/>
      <c r="AG876" s="183"/>
      <c r="AH876" s="183"/>
      <c r="AI876" s="183"/>
      <c r="AJ876" s="183"/>
      <c r="AK876" s="183"/>
      <c r="AL876" s="183"/>
      <c r="AM876" s="183"/>
    </row>
    <row r="877">
      <c r="D877" s="668"/>
      <c r="E877" s="668"/>
      <c r="F877" s="342"/>
      <c r="G877" s="668"/>
      <c r="H877" s="669"/>
      <c r="I877" s="669"/>
      <c r="J877" s="669"/>
      <c r="K877" s="669"/>
      <c r="L877" s="670"/>
      <c r="M877" s="670"/>
      <c r="N877" s="669"/>
      <c r="O877" s="183"/>
      <c r="P877" s="183"/>
      <c r="Q877" s="183"/>
      <c r="R877" s="544"/>
      <c r="S877" s="544"/>
      <c r="T877" s="544"/>
      <c r="U877" s="544"/>
      <c r="V877" s="544"/>
      <c r="W877" s="544"/>
      <c r="X877" s="544"/>
      <c r="Y877" s="544"/>
      <c r="Z877" s="544"/>
      <c r="AA877" s="544"/>
      <c r="AB877" s="544"/>
      <c r="AC877" s="544"/>
      <c r="AD877" s="544"/>
      <c r="AE877" s="183"/>
      <c r="AF877" s="183"/>
      <c r="AG877" s="183"/>
      <c r="AH877" s="183"/>
      <c r="AI877" s="183"/>
      <c r="AJ877" s="183"/>
      <c r="AK877" s="183"/>
      <c r="AL877" s="183"/>
      <c r="AM877" s="183"/>
    </row>
    <row r="878">
      <c r="D878" s="668"/>
      <c r="E878" s="668"/>
      <c r="F878" s="342"/>
      <c r="G878" s="668"/>
      <c r="H878" s="669"/>
      <c r="I878" s="669"/>
      <c r="J878" s="669"/>
      <c r="K878" s="669"/>
      <c r="L878" s="670"/>
      <c r="M878" s="670"/>
      <c r="N878" s="669"/>
      <c r="O878" s="183"/>
      <c r="P878" s="183"/>
      <c r="Q878" s="183"/>
      <c r="R878" s="544"/>
      <c r="S878" s="544"/>
      <c r="T878" s="544"/>
      <c r="U878" s="544"/>
      <c r="V878" s="544"/>
      <c r="W878" s="544"/>
      <c r="X878" s="544"/>
      <c r="Y878" s="544"/>
      <c r="Z878" s="544"/>
      <c r="AA878" s="544"/>
      <c r="AB878" s="544"/>
      <c r="AC878" s="544"/>
      <c r="AD878" s="544"/>
      <c r="AE878" s="183"/>
      <c r="AF878" s="183"/>
      <c r="AG878" s="183"/>
      <c r="AH878" s="183"/>
      <c r="AI878" s="183"/>
      <c r="AJ878" s="183"/>
      <c r="AK878" s="183"/>
      <c r="AL878" s="183"/>
      <c r="AM878" s="183"/>
    </row>
    <row r="879">
      <c r="D879" s="668"/>
      <c r="E879" s="668"/>
      <c r="F879" s="342"/>
      <c r="G879" s="668"/>
      <c r="H879" s="669"/>
      <c r="I879" s="669"/>
      <c r="J879" s="669"/>
      <c r="K879" s="669"/>
      <c r="L879" s="670"/>
      <c r="M879" s="670"/>
      <c r="N879" s="669"/>
      <c r="O879" s="183"/>
      <c r="P879" s="183"/>
      <c r="Q879" s="183"/>
      <c r="R879" s="544"/>
      <c r="S879" s="544"/>
      <c r="T879" s="544"/>
      <c r="U879" s="544"/>
      <c r="V879" s="544"/>
      <c r="W879" s="544"/>
      <c r="X879" s="544"/>
      <c r="Y879" s="544"/>
      <c r="Z879" s="544"/>
      <c r="AA879" s="544"/>
      <c r="AB879" s="544"/>
      <c r="AC879" s="544"/>
      <c r="AD879" s="544"/>
      <c r="AE879" s="183"/>
      <c r="AF879" s="183"/>
      <c r="AG879" s="183"/>
      <c r="AH879" s="183"/>
      <c r="AI879" s="183"/>
      <c r="AJ879" s="183"/>
      <c r="AK879" s="183"/>
      <c r="AL879" s="183"/>
      <c r="AM879" s="183"/>
    </row>
    <row r="880">
      <c r="D880" s="668"/>
      <c r="E880" s="668"/>
      <c r="F880" s="342"/>
      <c r="G880" s="668"/>
      <c r="H880" s="669"/>
      <c r="I880" s="669"/>
      <c r="J880" s="669"/>
      <c r="K880" s="669"/>
      <c r="L880" s="670"/>
      <c r="M880" s="670"/>
      <c r="N880" s="669"/>
      <c r="O880" s="183"/>
      <c r="P880" s="183"/>
      <c r="Q880" s="183"/>
      <c r="R880" s="544"/>
      <c r="S880" s="544"/>
      <c r="T880" s="544"/>
      <c r="U880" s="544"/>
      <c r="V880" s="544"/>
      <c r="W880" s="544"/>
      <c r="X880" s="544"/>
      <c r="Y880" s="544"/>
      <c r="Z880" s="544"/>
      <c r="AA880" s="544"/>
      <c r="AB880" s="544"/>
      <c r="AC880" s="544"/>
      <c r="AD880" s="544"/>
      <c r="AE880" s="183"/>
      <c r="AF880" s="183"/>
      <c r="AG880" s="183"/>
      <c r="AH880" s="183"/>
      <c r="AI880" s="183"/>
      <c r="AJ880" s="183"/>
      <c r="AK880" s="183"/>
      <c r="AL880" s="183"/>
      <c r="AM880" s="183"/>
    </row>
    <row r="881">
      <c r="D881" s="668"/>
      <c r="E881" s="668"/>
      <c r="F881" s="342"/>
      <c r="G881" s="668"/>
      <c r="H881" s="669"/>
      <c r="I881" s="669"/>
      <c r="J881" s="669"/>
      <c r="K881" s="669"/>
      <c r="L881" s="670"/>
      <c r="M881" s="670"/>
      <c r="N881" s="669"/>
      <c r="O881" s="183"/>
      <c r="P881" s="183"/>
      <c r="Q881" s="183"/>
      <c r="R881" s="544"/>
      <c r="S881" s="544"/>
      <c r="T881" s="544"/>
      <c r="U881" s="544"/>
      <c r="V881" s="544"/>
      <c r="W881" s="544"/>
      <c r="X881" s="544"/>
      <c r="Y881" s="544"/>
      <c r="Z881" s="544"/>
      <c r="AA881" s="544"/>
      <c r="AB881" s="544"/>
      <c r="AC881" s="544"/>
      <c r="AD881" s="544"/>
      <c r="AE881" s="183"/>
      <c r="AF881" s="183"/>
      <c r="AG881" s="183"/>
      <c r="AH881" s="183"/>
      <c r="AI881" s="183"/>
      <c r="AJ881" s="183"/>
      <c r="AK881" s="183"/>
      <c r="AL881" s="183"/>
      <c r="AM881" s="183"/>
    </row>
    <row r="882">
      <c r="D882" s="668"/>
      <c r="E882" s="668"/>
      <c r="F882" s="342"/>
      <c r="G882" s="668"/>
      <c r="H882" s="669"/>
      <c r="I882" s="669"/>
      <c r="J882" s="669"/>
      <c r="K882" s="669"/>
      <c r="L882" s="670"/>
      <c r="M882" s="670"/>
      <c r="N882" s="669"/>
      <c r="O882" s="183"/>
      <c r="P882" s="183"/>
      <c r="Q882" s="183"/>
      <c r="R882" s="544"/>
      <c r="S882" s="544"/>
      <c r="T882" s="544"/>
      <c r="U882" s="544"/>
      <c r="V882" s="544"/>
      <c r="W882" s="544"/>
      <c r="X882" s="544"/>
      <c r="Y882" s="544"/>
      <c r="Z882" s="544"/>
      <c r="AA882" s="544"/>
      <c r="AB882" s="544"/>
      <c r="AC882" s="544"/>
      <c r="AD882" s="544"/>
      <c r="AE882" s="183"/>
      <c r="AF882" s="183"/>
      <c r="AG882" s="183"/>
      <c r="AH882" s="183"/>
      <c r="AI882" s="183"/>
      <c r="AJ882" s="183"/>
      <c r="AK882" s="183"/>
      <c r="AL882" s="183"/>
      <c r="AM882" s="183"/>
    </row>
    <row r="883">
      <c r="D883" s="668"/>
      <c r="E883" s="668"/>
      <c r="F883" s="342"/>
      <c r="G883" s="668"/>
      <c r="H883" s="669"/>
      <c r="I883" s="669"/>
      <c r="J883" s="669"/>
      <c r="K883" s="669"/>
      <c r="L883" s="670"/>
      <c r="M883" s="670"/>
      <c r="N883" s="669"/>
      <c r="O883" s="183"/>
      <c r="P883" s="183"/>
      <c r="Q883" s="183"/>
      <c r="R883" s="544"/>
      <c r="S883" s="544"/>
      <c r="T883" s="544"/>
      <c r="U883" s="544"/>
      <c r="V883" s="544"/>
      <c r="W883" s="544"/>
      <c r="X883" s="544"/>
      <c r="Y883" s="544"/>
      <c r="Z883" s="544"/>
      <c r="AA883" s="544"/>
      <c r="AB883" s="544"/>
      <c r="AC883" s="544"/>
      <c r="AD883" s="544"/>
      <c r="AE883" s="183"/>
      <c r="AF883" s="183"/>
      <c r="AG883" s="183"/>
      <c r="AH883" s="183"/>
      <c r="AI883" s="183"/>
      <c r="AJ883" s="183"/>
      <c r="AK883" s="183"/>
      <c r="AL883" s="183"/>
      <c r="AM883" s="183"/>
    </row>
    <row r="884">
      <c r="D884" s="668"/>
      <c r="E884" s="668"/>
      <c r="F884" s="342"/>
      <c r="G884" s="668"/>
      <c r="H884" s="669"/>
      <c r="I884" s="669"/>
      <c r="J884" s="669"/>
      <c r="K884" s="669"/>
      <c r="L884" s="670"/>
      <c r="M884" s="670"/>
      <c r="N884" s="669"/>
      <c r="O884" s="183"/>
      <c r="P884" s="183"/>
      <c r="Q884" s="183"/>
      <c r="R884" s="544"/>
      <c r="S884" s="544"/>
      <c r="T884" s="544"/>
      <c r="U884" s="544"/>
      <c r="V884" s="544"/>
      <c r="W884" s="544"/>
      <c r="X884" s="544"/>
      <c r="Y884" s="544"/>
      <c r="Z884" s="544"/>
      <c r="AA884" s="544"/>
      <c r="AB884" s="544"/>
      <c r="AC884" s="544"/>
      <c r="AD884" s="544"/>
      <c r="AE884" s="183"/>
      <c r="AF884" s="183"/>
      <c r="AG884" s="183"/>
      <c r="AH884" s="183"/>
      <c r="AI884" s="183"/>
      <c r="AJ884" s="183"/>
      <c r="AK884" s="183"/>
      <c r="AL884" s="183"/>
      <c r="AM884" s="183"/>
    </row>
    <row r="885">
      <c r="D885" s="668"/>
      <c r="E885" s="668"/>
      <c r="F885" s="342"/>
      <c r="G885" s="668"/>
      <c r="H885" s="669"/>
      <c r="I885" s="669"/>
      <c r="J885" s="669"/>
      <c r="K885" s="669"/>
      <c r="L885" s="670"/>
      <c r="M885" s="670"/>
      <c r="N885" s="669"/>
      <c r="O885" s="183"/>
      <c r="P885" s="183"/>
      <c r="Q885" s="183"/>
      <c r="R885" s="544"/>
      <c r="S885" s="544"/>
      <c r="T885" s="544"/>
      <c r="U885" s="544"/>
      <c r="V885" s="544"/>
      <c r="W885" s="544"/>
      <c r="X885" s="544"/>
      <c r="Y885" s="544"/>
      <c r="Z885" s="544"/>
      <c r="AA885" s="544"/>
      <c r="AB885" s="544"/>
      <c r="AC885" s="544"/>
      <c r="AD885" s="544"/>
      <c r="AE885" s="183"/>
      <c r="AF885" s="183"/>
      <c r="AG885" s="183"/>
      <c r="AH885" s="183"/>
      <c r="AI885" s="183"/>
      <c r="AJ885" s="183"/>
      <c r="AK885" s="183"/>
      <c r="AL885" s="183"/>
      <c r="AM885" s="183"/>
    </row>
    <row r="886">
      <c r="D886" s="668"/>
      <c r="E886" s="668"/>
      <c r="F886" s="342"/>
      <c r="G886" s="668"/>
      <c r="H886" s="669"/>
      <c r="I886" s="669"/>
      <c r="J886" s="669"/>
      <c r="K886" s="669"/>
      <c r="L886" s="670"/>
      <c r="M886" s="670"/>
      <c r="N886" s="669"/>
      <c r="O886" s="183"/>
      <c r="P886" s="183"/>
      <c r="Q886" s="183"/>
      <c r="R886" s="544"/>
      <c r="S886" s="544"/>
      <c r="T886" s="544"/>
      <c r="U886" s="544"/>
      <c r="V886" s="544"/>
      <c r="W886" s="544"/>
      <c r="X886" s="544"/>
      <c r="Y886" s="544"/>
      <c r="Z886" s="544"/>
      <c r="AA886" s="544"/>
      <c r="AB886" s="544"/>
      <c r="AC886" s="544"/>
      <c r="AD886" s="544"/>
      <c r="AE886" s="183"/>
      <c r="AF886" s="183"/>
      <c r="AG886" s="183"/>
      <c r="AH886" s="183"/>
      <c r="AI886" s="183"/>
      <c r="AJ886" s="183"/>
      <c r="AK886" s="183"/>
      <c r="AL886" s="183"/>
      <c r="AM886" s="183"/>
    </row>
    <row r="887">
      <c r="D887" s="668"/>
      <c r="E887" s="668"/>
      <c r="F887" s="342"/>
      <c r="G887" s="668"/>
      <c r="H887" s="669"/>
      <c r="I887" s="669"/>
      <c r="J887" s="669"/>
      <c r="K887" s="669"/>
      <c r="L887" s="670"/>
      <c r="M887" s="670"/>
      <c r="N887" s="669"/>
      <c r="O887" s="183"/>
      <c r="P887" s="183"/>
      <c r="Q887" s="183"/>
      <c r="R887" s="544"/>
      <c r="S887" s="544"/>
      <c r="T887" s="544"/>
      <c r="U887" s="544"/>
      <c r="V887" s="544"/>
      <c r="W887" s="544"/>
      <c r="X887" s="544"/>
      <c r="Y887" s="544"/>
      <c r="Z887" s="544"/>
      <c r="AA887" s="544"/>
      <c r="AB887" s="544"/>
      <c r="AC887" s="544"/>
      <c r="AD887" s="544"/>
      <c r="AE887" s="183"/>
      <c r="AF887" s="183"/>
      <c r="AG887" s="183"/>
      <c r="AH887" s="183"/>
      <c r="AI887" s="183"/>
      <c r="AJ887" s="183"/>
      <c r="AK887" s="183"/>
      <c r="AL887" s="183"/>
      <c r="AM887" s="183"/>
    </row>
    <row r="888">
      <c r="D888" s="668"/>
      <c r="E888" s="668"/>
      <c r="F888" s="342"/>
      <c r="G888" s="668"/>
      <c r="H888" s="669"/>
      <c r="I888" s="669"/>
      <c r="J888" s="669"/>
      <c r="K888" s="669"/>
      <c r="L888" s="670"/>
      <c r="M888" s="670"/>
      <c r="N888" s="669"/>
      <c r="O888" s="183"/>
      <c r="P888" s="183"/>
      <c r="Q888" s="183"/>
      <c r="R888" s="544"/>
      <c r="S888" s="544"/>
      <c r="T888" s="544"/>
      <c r="U888" s="544"/>
      <c r="V888" s="544"/>
      <c r="W888" s="544"/>
      <c r="X888" s="544"/>
      <c r="Y888" s="544"/>
      <c r="Z888" s="544"/>
      <c r="AA888" s="544"/>
      <c r="AB888" s="544"/>
      <c r="AC888" s="544"/>
      <c r="AD888" s="544"/>
      <c r="AE888" s="183"/>
      <c r="AF888" s="183"/>
      <c r="AG888" s="183"/>
      <c r="AH888" s="183"/>
      <c r="AI888" s="183"/>
      <c r="AJ888" s="183"/>
      <c r="AK888" s="183"/>
      <c r="AL888" s="183"/>
      <c r="AM888" s="183"/>
    </row>
    <row r="889">
      <c r="D889" s="668"/>
      <c r="E889" s="668"/>
      <c r="F889" s="342"/>
      <c r="G889" s="668"/>
      <c r="H889" s="669"/>
      <c r="I889" s="669"/>
      <c r="J889" s="669"/>
      <c r="K889" s="669"/>
      <c r="L889" s="670"/>
      <c r="M889" s="670"/>
      <c r="N889" s="669"/>
      <c r="O889" s="183"/>
      <c r="P889" s="183"/>
      <c r="Q889" s="183"/>
      <c r="R889" s="544"/>
      <c r="S889" s="544"/>
      <c r="T889" s="544"/>
      <c r="U889" s="544"/>
      <c r="V889" s="544"/>
      <c r="W889" s="544"/>
      <c r="X889" s="544"/>
      <c r="Y889" s="544"/>
      <c r="Z889" s="544"/>
      <c r="AA889" s="544"/>
      <c r="AB889" s="544"/>
      <c r="AC889" s="544"/>
      <c r="AD889" s="544"/>
      <c r="AE889" s="183"/>
      <c r="AF889" s="183"/>
      <c r="AG889" s="183"/>
      <c r="AH889" s="183"/>
      <c r="AI889" s="183"/>
      <c r="AJ889" s="183"/>
      <c r="AK889" s="183"/>
      <c r="AL889" s="183"/>
      <c r="AM889" s="183"/>
    </row>
    <row r="890">
      <c r="D890" s="668"/>
      <c r="E890" s="668"/>
      <c r="F890" s="342"/>
      <c r="G890" s="668"/>
      <c r="H890" s="669"/>
      <c r="I890" s="669"/>
      <c r="J890" s="669"/>
      <c r="K890" s="669"/>
      <c r="L890" s="670"/>
      <c r="M890" s="670"/>
      <c r="N890" s="669"/>
      <c r="O890" s="183"/>
      <c r="P890" s="183"/>
      <c r="Q890" s="183"/>
      <c r="R890" s="544"/>
      <c r="S890" s="544"/>
      <c r="T890" s="544"/>
      <c r="U890" s="544"/>
      <c r="V890" s="544"/>
      <c r="W890" s="544"/>
      <c r="X890" s="544"/>
      <c r="Y890" s="544"/>
      <c r="Z890" s="544"/>
      <c r="AA890" s="544"/>
      <c r="AB890" s="544"/>
      <c r="AC890" s="544"/>
      <c r="AD890" s="544"/>
      <c r="AE890" s="183"/>
      <c r="AF890" s="183"/>
      <c r="AG890" s="183"/>
      <c r="AH890" s="183"/>
      <c r="AI890" s="183"/>
      <c r="AJ890" s="183"/>
      <c r="AK890" s="183"/>
      <c r="AL890" s="183"/>
      <c r="AM890" s="183"/>
    </row>
    <row r="891">
      <c r="D891" s="668"/>
      <c r="E891" s="668"/>
      <c r="F891" s="342"/>
      <c r="G891" s="668"/>
      <c r="H891" s="669"/>
      <c r="I891" s="669"/>
      <c r="J891" s="669"/>
      <c r="K891" s="669"/>
      <c r="L891" s="670"/>
      <c r="M891" s="670"/>
      <c r="N891" s="669"/>
      <c r="O891" s="183"/>
      <c r="P891" s="183"/>
      <c r="Q891" s="183"/>
      <c r="R891" s="544"/>
      <c r="S891" s="544"/>
      <c r="T891" s="544"/>
      <c r="U891" s="544"/>
      <c r="V891" s="544"/>
      <c r="W891" s="544"/>
      <c r="X891" s="544"/>
      <c r="Y891" s="544"/>
      <c r="Z891" s="544"/>
      <c r="AA891" s="544"/>
      <c r="AB891" s="544"/>
      <c r="AC891" s="544"/>
      <c r="AD891" s="544"/>
      <c r="AE891" s="183"/>
      <c r="AF891" s="183"/>
      <c r="AG891" s="183"/>
      <c r="AH891" s="183"/>
      <c r="AI891" s="183"/>
      <c r="AJ891" s="183"/>
      <c r="AK891" s="183"/>
      <c r="AL891" s="183"/>
      <c r="AM891" s="183"/>
    </row>
    <row r="892">
      <c r="D892" s="668"/>
      <c r="E892" s="668"/>
      <c r="F892" s="342"/>
      <c r="G892" s="668"/>
      <c r="H892" s="669"/>
      <c r="I892" s="669"/>
      <c r="J892" s="669"/>
      <c r="K892" s="669"/>
      <c r="L892" s="670"/>
      <c r="M892" s="670"/>
      <c r="N892" s="669"/>
      <c r="O892" s="183"/>
      <c r="P892" s="183"/>
      <c r="Q892" s="183"/>
      <c r="R892" s="544"/>
      <c r="S892" s="544"/>
      <c r="T892" s="544"/>
      <c r="U892" s="544"/>
      <c r="V892" s="544"/>
      <c r="W892" s="544"/>
      <c r="X892" s="544"/>
      <c r="Y892" s="544"/>
      <c r="Z892" s="544"/>
      <c r="AA892" s="544"/>
      <c r="AB892" s="544"/>
      <c r="AC892" s="544"/>
      <c r="AD892" s="544"/>
      <c r="AE892" s="183"/>
      <c r="AF892" s="183"/>
      <c r="AG892" s="183"/>
      <c r="AH892" s="183"/>
      <c r="AI892" s="183"/>
      <c r="AJ892" s="183"/>
      <c r="AK892" s="183"/>
      <c r="AL892" s="183"/>
      <c r="AM892" s="183"/>
    </row>
    <row r="893">
      <c r="D893" s="668"/>
      <c r="E893" s="668"/>
      <c r="F893" s="342"/>
      <c r="G893" s="668"/>
      <c r="H893" s="669"/>
      <c r="I893" s="669"/>
      <c r="J893" s="669"/>
      <c r="K893" s="669"/>
      <c r="L893" s="670"/>
      <c r="M893" s="670"/>
      <c r="N893" s="669"/>
      <c r="O893" s="183"/>
      <c r="P893" s="183"/>
      <c r="Q893" s="183"/>
      <c r="R893" s="544"/>
      <c r="S893" s="544"/>
      <c r="T893" s="544"/>
      <c r="U893" s="544"/>
      <c r="V893" s="544"/>
      <c r="W893" s="544"/>
      <c r="X893" s="544"/>
      <c r="Y893" s="544"/>
      <c r="Z893" s="544"/>
      <c r="AA893" s="544"/>
      <c r="AB893" s="544"/>
      <c r="AC893" s="544"/>
      <c r="AD893" s="544"/>
      <c r="AE893" s="183"/>
      <c r="AF893" s="183"/>
      <c r="AG893" s="183"/>
      <c r="AH893" s="183"/>
      <c r="AI893" s="183"/>
      <c r="AJ893" s="183"/>
      <c r="AK893" s="183"/>
      <c r="AL893" s="183"/>
      <c r="AM893" s="183"/>
    </row>
    <row r="894">
      <c r="D894" s="668"/>
      <c r="E894" s="668"/>
      <c r="F894" s="342"/>
      <c r="G894" s="668"/>
      <c r="H894" s="669"/>
      <c r="I894" s="669"/>
      <c r="J894" s="669"/>
      <c r="K894" s="669"/>
      <c r="L894" s="670"/>
      <c r="M894" s="670"/>
      <c r="N894" s="669"/>
      <c r="O894" s="183"/>
      <c r="P894" s="183"/>
      <c r="Q894" s="183"/>
      <c r="R894" s="544"/>
      <c r="S894" s="544"/>
      <c r="T894" s="544"/>
      <c r="U894" s="544"/>
      <c r="V894" s="544"/>
      <c r="W894" s="544"/>
      <c r="X894" s="544"/>
      <c r="Y894" s="544"/>
      <c r="Z894" s="544"/>
      <c r="AA894" s="544"/>
      <c r="AB894" s="544"/>
      <c r="AC894" s="544"/>
      <c r="AD894" s="544"/>
      <c r="AE894" s="183"/>
      <c r="AF894" s="183"/>
      <c r="AG894" s="183"/>
      <c r="AH894" s="183"/>
      <c r="AI894" s="183"/>
      <c r="AJ894" s="183"/>
      <c r="AK894" s="183"/>
      <c r="AL894" s="183"/>
      <c r="AM894" s="183"/>
    </row>
    <row r="895">
      <c r="D895" s="668"/>
      <c r="E895" s="668"/>
      <c r="F895" s="342"/>
      <c r="G895" s="668"/>
      <c r="H895" s="669"/>
      <c r="I895" s="669"/>
      <c r="J895" s="669"/>
      <c r="K895" s="669"/>
      <c r="L895" s="670"/>
      <c r="M895" s="670"/>
      <c r="N895" s="669"/>
      <c r="O895" s="183"/>
      <c r="P895" s="183"/>
      <c r="Q895" s="183"/>
      <c r="R895" s="544"/>
      <c r="S895" s="544"/>
      <c r="T895" s="544"/>
      <c r="U895" s="544"/>
      <c r="V895" s="544"/>
      <c r="W895" s="544"/>
      <c r="X895" s="544"/>
      <c r="Y895" s="544"/>
      <c r="Z895" s="544"/>
      <c r="AA895" s="544"/>
      <c r="AB895" s="544"/>
      <c r="AC895" s="544"/>
      <c r="AD895" s="544"/>
      <c r="AE895" s="183"/>
      <c r="AF895" s="183"/>
      <c r="AG895" s="183"/>
      <c r="AH895" s="183"/>
      <c r="AI895" s="183"/>
      <c r="AJ895" s="183"/>
      <c r="AK895" s="183"/>
      <c r="AL895" s="183"/>
      <c r="AM895" s="183"/>
    </row>
    <row r="896">
      <c r="D896" s="668"/>
      <c r="E896" s="668"/>
      <c r="F896" s="342"/>
      <c r="G896" s="668"/>
      <c r="H896" s="669"/>
      <c r="I896" s="669"/>
      <c r="J896" s="669"/>
      <c r="K896" s="669"/>
      <c r="L896" s="670"/>
      <c r="M896" s="670"/>
      <c r="N896" s="669"/>
      <c r="O896" s="183"/>
      <c r="P896" s="183"/>
      <c r="Q896" s="183"/>
      <c r="R896" s="544"/>
      <c r="S896" s="544"/>
      <c r="T896" s="544"/>
      <c r="U896" s="544"/>
      <c r="V896" s="544"/>
      <c r="W896" s="544"/>
      <c r="X896" s="544"/>
      <c r="Y896" s="544"/>
      <c r="Z896" s="544"/>
      <c r="AA896" s="544"/>
      <c r="AB896" s="544"/>
      <c r="AC896" s="544"/>
      <c r="AD896" s="544"/>
      <c r="AE896" s="183"/>
      <c r="AF896" s="183"/>
      <c r="AG896" s="183"/>
      <c r="AH896" s="183"/>
      <c r="AI896" s="183"/>
      <c r="AJ896" s="183"/>
      <c r="AK896" s="183"/>
      <c r="AL896" s="183"/>
      <c r="AM896" s="183"/>
    </row>
    <row r="897">
      <c r="D897" s="668"/>
      <c r="E897" s="668"/>
      <c r="F897" s="342"/>
      <c r="G897" s="668"/>
      <c r="H897" s="669"/>
      <c r="I897" s="669"/>
      <c r="J897" s="669"/>
      <c r="K897" s="669"/>
      <c r="L897" s="670"/>
      <c r="M897" s="670"/>
      <c r="N897" s="669"/>
      <c r="O897" s="183"/>
      <c r="P897" s="183"/>
      <c r="Q897" s="183"/>
      <c r="R897" s="544"/>
      <c r="S897" s="544"/>
      <c r="T897" s="544"/>
      <c r="U897" s="544"/>
      <c r="V897" s="544"/>
      <c r="W897" s="544"/>
      <c r="X897" s="544"/>
      <c r="Y897" s="544"/>
      <c r="Z897" s="544"/>
      <c r="AA897" s="544"/>
      <c r="AB897" s="544"/>
      <c r="AC897" s="544"/>
      <c r="AD897" s="544"/>
      <c r="AE897" s="183"/>
      <c r="AF897" s="183"/>
      <c r="AG897" s="183"/>
      <c r="AH897" s="183"/>
      <c r="AI897" s="183"/>
      <c r="AJ897" s="183"/>
      <c r="AK897" s="183"/>
      <c r="AL897" s="183"/>
      <c r="AM897" s="183"/>
    </row>
    <row r="898">
      <c r="D898" s="668"/>
      <c r="E898" s="668"/>
      <c r="F898" s="342"/>
      <c r="G898" s="668"/>
      <c r="H898" s="669"/>
      <c r="I898" s="669"/>
      <c r="J898" s="669"/>
      <c r="K898" s="669"/>
      <c r="L898" s="670"/>
      <c r="M898" s="670"/>
      <c r="N898" s="669"/>
      <c r="O898" s="183"/>
      <c r="P898" s="183"/>
      <c r="Q898" s="183"/>
      <c r="R898" s="544"/>
      <c r="S898" s="544"/>
      <c r="T898" s="544"/>
      <c r="U898" s="544"/>
      <c r="V898" s="544"/>
      <c r="W898" s="544"/>
      <c r="X898" s="544"/>
      <c r="Y898" s="544"/>
      <c r="Z898" s="544"/>
      <c r="AA898" s="544"/>
      <c r="AB898" s="544"/>
      <c r="AC898" s="544"/>
      <c r="AD898" s="544"/>
      <c r="AE898" s="183"/>
      <c r="AF898" s="183"/>
      <c r="AG898" s="183"/>
      <c r="AH898" s="183"/>
      <c r="AI898" s="183"/>
      <c r="AJ898" s="183"/>
      <c r="AK898" s="183"/>
      <c r="AL898" s="183"/>
      <c r="AM898" s="183"/>
    </row>
    <row r="899">
      <c r="D899" s="668"/>
      <c r="E899" s="668"/>
      <c r="F899" s="342"/>
      <c r="G899" s="668"/>
      <c r="H899" s="669"/>
      <c r="I899" s="669"/>
      <c r="J899" s="669"/>
      <c r="K899" s="669"/>
      <c r="L899" s="670"/>
      <c r="M899" s="670"/>
      <c r="N899" s="669"/>
      <c r="O899" s="183"/>
      <c r="P899" s="183"/>
      <c r="Q899" s="183"/>
      <c r="R899" s="544"/>
      <c r="S899" s="544"/>
      <c r="T899" s="544"/>
      <c r="U899" s="544"/>
      <c r="V899" s="544"/>
      <c r="W899" s="544"/>
      <c r="X899" s="544"/>
      <c r="Y899" s="544"/>
      <c r="Z899" s="544"/>
      <c r="AA899" s="544"/>
      <c r="AB899" s="544"/>
      <c r="AC899" s="544"/>
      <c r="AD899" s="544"/>
      <c r="AE899" s="183"/>
      <c r="AF899" s="183"/>
      <c r="AG899" s="183"/>
      <c r="AH899" s="183"/>
      <c r="AI899" s="183"/>
      <c r="AJ899" s="183"/>
      <c r="AK899" s="183"/>
      <c r="AL899" s="183"/>
      <c r="AM899" s="183"/>
    </row>
    <row r="900">
      <c r="D900" s="668"/>
      <c r="E900" s="668"/>
      <c r="F900" s="342"/>
      <c r="G900" s="668"/>
      <c r="H900" s="669"/>
      <c r="I900" s="669"/>
      <c r="J900" s="669"/>
      <c r="K900" s="669"/>
      <c r="L900" s="670"/>
      <c r="M900" s="670"/>
      <c r="N900" s="669"/>
      <c r="O900" s="183"/>
      <c r="P900" s="183"/>
      <c r="Q900" s="183"/>
      <c r="R900" s="544"/>
      <c r="S900" s="544"/>
      <c r="T900" s="544"/>
      <c r="U900" s="544"/>
      <c r="V900" s="544"/>
      <c r="W900" s="544"/>
      <c r="X900" s="544"/>
      <c r="Y900" s="544"/>
      <c r="Z900" s="544"/>
      <c r="AA900" s="544"/>
      <c r="AB900" s="544"/>
      <c r="AC900" s="544"/>
      <c r="AD900" s="544"/>
      <c r="AE900" s="183"/>
      <c r="AF900" s="183"/>
      <c r="AG900" s="183"/>
      <c r="AH900" s="183"/>
      <c r="AI900" s="183"/>
      <c r="AJ900" s="183"/>
      <c r="AK900" s="183"/>
      <c r="AL900" s="183"/>
      <c r="AM900" s="183"/>
    </row>
    <row r="901">
      <c r="D901" s="668"/>
      <c r="E901" s="668"/>
      <c r="F901" s="342"/>
      <c r="G901" s="668"/>
      <c r="H901" s="669"/>
      <c r="I901" s="669"/>
      <c r="J901" s="669"/>
      <c r="K901" s="669"/>
      <c r="L901" s="670"/>
      <c r="M901" s="670"/>
      <c r="N901" s="669"/>
      <c r="O901" s="183"/>
      <c r="P901" s="183"/>
      <c r="Q901" s="183"/>
      <c r="R901" s="544"/>
      <c r="S901" s="544"/>
      <c r="T901" s="544"/>
      <c r="U901" s="544"/>
      <c r="V901" s="544"/>
      <c r="W901" s="544"/>
      <c r="X901" s="544"/>
      <c r="Y901" s="544"/>
      <c r="Z901" s="544"/>
      <c r="AA901" s="544"/>
      <c r="AB901" s="544"/>
      <c r="AC901" s="544"/>
      <c r="AD901" s="544"/>
      <c r="AE901" s="183"/>
      <c r="AF901" s="183"/>
      <c r="AG901" s="183"/>
      <c r="AH901" s="183"/>
      <c r="AI901" s="183"/>
      <c r="AJ901" s="183"/>
      <c r="AK901" s="183"/>
      <c r="AL901" s="183"/>
      <c r="AM901" s="183"/>
    </row>
    <row r="902">
      <c r="D902" s="668"/>
      <c r="E902" s="668"/>
      <c r="F902" s="342"/>
      <c r="G902" s="668"/>
      <c r="H902" s="669"/>
      <c r="I902" s="669"/>
      <c r="J902" s="669"/>
      <c r="K902" s="669"/>
      <c r="L902" s="670"/>
      <c r="M902" s="670"/>
      <c r="N902" s="669"/>
      <c r="O902" s="183"/>
      <c r="P902" s="183"/>
      <c r="Q902" s="183"/>
      <c r="R902" s="544"/>
      <c r="S902" s="544"/>
      <c r="T902" s="544"/>
      <c r="U902" s="544"/>
      <c r="V902" s="544"/>
      <c r="W902" s="544"/>
      <c r="X902" s="544"/>
      <c r="Y902" s="544"/>
      <c r="Z902" s="544"/>
      <c r="AA902" s="544"/>
      <c r="AB902" s="544"/>
      <c r="AC902" s="544"/>
      <c r="AD902" s="544"/>
      <c r="AE902" s="183"/>
      <c r="AF902" s="183"/>
      <c r="AG902" s="183"/>
      <c r="AH902" s="183"/>
      <c r="AI902" s="183"/>
      <c r="AJ902" s="183"/>
      <c r="AK902" s="183"/>
      <c r="AL902" s="183"/>
      <c r="AM902" s="183"/>
    </row>
    <row r="903">
      <c r="D903" s="668"/>
      <c r="E903" s="668"/>
      <c r="F903" s="342"/>
      <c r="G903" s="668"/>
      <c r="H903" s="669"/>
      <c r="I903" s="669"/>
      <c r="J903" s="669"/>
      <c r="K903" s="669"/>
      <c r="L903" s="670"/>
      <c r="M903" s="670"/>
      <c r="N903" s="669"/>
      <c r="O903" s="183"/>
      <c r="P903" s="183"/>
      <c r="Q903" s="183"/>
      <c r="R903" s="544"/>
      <c r="S903" s="544"/>
      <c r="T903" s="544"/>
      <c r="U903" s="544"/>
      <c r="V903" s="544"/>
      <c r="W903" s="544"/>
      <c r="X903" s="544"/>
      <c r="Y903" s="544"/>
      <c r="Z903" s="544"/>
      <c r="AA903" s="544"/>
      <c r="AB903" s="544"/>
      <c r="AC903" s="544"/>
      <c r="AD903" s="544"/>
      <c r="AE903" s="183"/>
      <c r="AF903" s="183"/>
      <c r="AG903" s="183"/>
      <c r="AH903" s="183"/>
      <c r="AI903" s="183"/>
      <c r="AJ903" s="183"/>
      <c r="AK903" s="183"/>
      <c r="AL903" s="183"/>
      <c r="AM903" s="183"/>
    </row>
    <row r="904">
      <c r="D904" s="668"/>
      <c r="E904" s="668"/>
      <c r="F904" s="342"/>
      <c r="G904" s="668"/>
      <c r="H904" s="669"/>
      <c r="I904" s="669"/>
      <c r="J904" s="669"/>
      <c r="K904" s="669"/>
      <c r="L904" s="670"/>
      <c r="M904" s="670"/>
      <c r="N904" s="669"/>
      <c r="O904" s="183"/>
      <c r="P904" s="183"/>
      <c r="Q904" s="183"/>
      <c r="R904" s="544"/>
      <c r="S904" s="544"/>
      <c r="T904" s="544"/>
      <c r="U904" s="544"/>
      <c r="V904" s="544"/>
      <c r="W904" s="544"/>
      <c r="X904" s="544"/>
      <c r="Y904" s="544"/>
      <c r="Z904" s="544"/>
      <c r="AA904" s="544"/>
      <c r="AB904" s="544"/>
      <c r="AC904" s="544"/>
      <c r="AD904" s="544"/>
      <c r="AE904" s="183"/>
      <c r="AF904" s="183"/>
      <c r="AG904" s="183"/>
      <c r="AH904" s="183"/>
      <c r="AI904" s="183"/>
      <c r="AJ904" s="183"/>
      <c r="AK904" s="183"/>
      <c r="AL904" s="183"/>
      <c r="AM904" s="183"/>
    </row>
    <row r="905">
      <c r="D905" s="668"/>
      <c r="E905" s="668"/>
      <c r="F905" s="342"/>
      <c r="G905" s="668"/>
      <c r="H905" s="669"/>
      <c r="I905" s="669"/>
      <c r="J905" s="669"/>
      <c r="K905" s="669"/>
      <c r="L905" s="670"/>
      <c r="M905" s="670"/>
      <c r="N905" s="669"/>
      <c r="O905" s="183"/>
      <c r="P905" s="183"/>
      <c r="Q905" s="183"/>
      <c r="R905" s="544"/>
      <c r="S905" s="544"/>
      <c r="T905" s="544"/>
      <c r="U905" s="544"/>
      <c r="V905" s="544"/>
      <c r="W905" s="544"/>
      <c r="X905" s="544"/>
      <c r="Y905" s="544"/>
      <c r="Z905" s="544"/>
      <c r="AA905" s="544"/>
      <c r="AB905" s="544"/>
      <c r="AC905" s="544"/>
      <c r="AD905" s="544"/>
      <c r="AE905" s="183"/>
      <c r="AF905" s="183"/>
      <c r="AG905" s="183"/>
      <c r="AH905" s="183"/>
      <c r="AI905" s="183"/>
      <c r="AJ905" s="183"/>
      <c r="AK905" s="183"/>
      <c r="AL905" s="183"/>
      <c r="AM905" s="183"/>
    </row>
    <row r="906">
      <c r="D906" s="668"/>
      <c r="E906" s="668"/>
      <c r="F906" s="342"/>
      <c r="G906" s="668"/>
      <c r="H906" s="669"/>
      <c r="I906" s="669"/>
      <c r="J906" s="669"/>
      <c r="K906" s="669"/>
      <c r="L906" s="670"/>
      <c r="M906" s="670"/>
      <c r="N906" s="669"/>
      <c r="O906" s="183"/>
      <c r="P906" s="183"/>
      <c r="Q906" s="183"/>
      <c r="R906" s="544"/>
      <c r="S906" s="544"/>
      <c r="T906" s="544"/>
      <c r="U906" s="544"/>
      <c r="V906" s="544"/>
      <c r="W906" s="544"/>
      <c r="X906" s="544"/>
      <c r="Y906" s="544"/>
      <c r="Z906" s="544"/>
      <c r="AA906" s="544"/>
      <c r="AB906" s="544"/>
      <c r="AC906" s="544"/>
      <c r="AD906" s="544"/>
      <c r="AE906" s="183"/>
      <c r="AF906" s="183"/>
      <c r="AG906" s="183"/>
      <c r="AH906" s="183"/>
      <c r="AI906" s="183"/>
      <c r="AJ906" s="183"/>
      <c r="AK906" s="183"/>
      <c r="AL906" s="183"/>
      <c r="AM906" s="183"/>
    </row>
    <row r="907">
      <c r="D907" s="668"/>
      <c r="E907" s="668"/>
      <c r="F907" s="342"/>
      <c r="G907" s="668"/>
      <c r="H907" s="669"/>
      <c r="I907" s="669"/>
      <c r="J907" s="669"/>
      <c r="K907" s="669"/>
      <c r="L907" s="670"/>
      <c r="M907" s="670"/>
      <c r="N907" s="669"/>
      <c r="O907" s="183"/>
      <c r="P907" s="183"/>
      <c r="Q907" s="183"/>
      <c r="R907" s="544"/>
      <c r="S907" s="544"/>
      <c r="T907" s="544"/>
      <c r="U907" s="544"/>
      <c r="V907" s="544"/>
      <c r="W907" s="544"/>
      <c r="X907" s="544"/>
      <c r="Y907" s="544"/>
      <c r="Z907" s="544"/>
      <c r="AA907" s="544"/>
      <c r="AB907" s="544"/>
      <c r="AC907" s="544"/>
      <c r="AD907" s="544"/>
      <c r="AE907" s="183"/>
      <c r="AF907" s="183"/>
      <c r="AG907" s="183"/>
      <c r="AH907" s="183"/>
      <c r="AI907" s="183"/>
      <c r="AJ907" s="183"/>
      <c r="AK907" s="183"/>
      <c r="AL907" s="183"/>
      <c r="AM907" s="183"/>
    </row>
    <row r="908">
      <c r="D908" s="668"/>
      <c r="E908" s="668"/>
      <c r="F908" s="342"/>
      <c r="G908" s="668"/>
      <c r="H908" s="669"/>
      <c r="I908" s="669"/>
      <c r="J908" s="669"/>
      <c r="K908" s="669"/>
      <c r="L908" s="670"/>
      <c r="M908" s="670"/>
      <c r="N908" s="669"/>
      <c r="O908" s="183"/>
      <c r="P908" s="183"/>
      <c r="Q908" s="183"/>
      <c r="R908" s="544"/>
      <c r="S908" s="544"/>
      <c r="T908" s="544"/>
      <c r="U908" s="544"/>
      <c r="V908" s="544"/>
      <c r="W908" s="544"/>
      <c r="X908" s="544"/>
      <c r="Y908" s="544"/>
      <c r="Z908" s="544"/>
      <c r="AA908" s="544"/>
      <c r="AB908" s="544"/>
      <c r="AC908" s="544"/>
      <c r="AD908" s="544"/>
      <c r="AE908" s="183"/>
      <c r="AF908" s="183"/>
      <c r="AG908" s="183"/>
      <c r="AH908" s="183"/>
      <c r="AI908" s="183"/>
      <c r="AJ908" s="183"/>
      <c r="AK908" s="183"/>
      <c r="AL908" s="183"/>
      <c r="AM908" s="183"/>
    </row>
    <row r="909">
      <c r="D909" s="668"/>
      <c r="E909" s="668"/>
      <c r="F909" s="342"/>
      <c r="G909" s="668"/>
      <c r="H909" s="669"/>
      <c r="I909" s="669"/>
      <c r="J909" s="669"/>
      <c r="K909" s="669"/>
      <c r="L909" s="670"/>
      <c r="M909" s="670"/>
      <c r="N909" s="669"/>
      <c r="O909" s="183"/>
      <c r="P909" s="183"/>
      <c r="Q909" s="183"/>
      <c r="R909" s="544"/>
      <c r="S909" s="544"/>
      <c r="T909" s="544"/>
      <c r="U909" s="544"/>
      <c r="V909" s="544"/>
      <c r="W909" s="544"/>
      <c r="X909" s="544"/>
      <c r="Y909" s="544"/>
      <c r="Z909" s="544"/>
      <c r="AA909" s="544"/>
      <c r="AB909" s="544"/>
      <c r="AC909" s="544"/>
      <c r="AD909" s="544"/>
      <c r="AE909" s="183"/>
      <c r="AF909" s="183"/>
      <c r="AG909" s="183"/>
      <c r="AH909" s="183"/>
      <c r="AI909" s="183"/>
      <c r="AJ909" s="183"/>
      <c r="AK909" s="183"/>
      <c r="AL909" s="183"/>
      <c r="AM909" s="183"/>
    </row>
    <row r="910">
      <c r="D910" s="668"/>
      <c r="E910" s="668"/>
      <c r="F910" s="342"/>
      <c r="G910" s="668"/>
      <c r="H910" s="669"/>
      <c r="I910" s="669"/>
      <c r="J910" s="669"/>
      <c r="K910" s="669"/>
      <c r="L910" s="670"/>
      <c r="M910" s="670"/>
      <c r="N910" s="669"/>
      <c r="O910" s="183"/>
      <c r="P910" s="183"/>
      <c r="Q910" s="183"/>
      <c r="R910" s="544"/>
      <c r="S910" s="544"/>
      <c r="T910" s="544"/>
      <c r="U910" s="544"/>
      <c r="V910" s="544"/>
      <c r="W910" s="544"/>
      <c r="X910" s="544"/>
      <c r="Y910" s="544"/>
      <c r="Z910" s="544"/>
      <c r="AA910" s="544"/>
      <c r="AB910" s="544"/>
      <c r="AC910" s="544"/>
      <c r="AD910" s="544"/>
      <c r="AE910" s="183"/>
      <c r="AF910" s="183"/>
      <c r="AG910" s="183"/>
      <c r="AH910" s="183"/>
      <c r="AI910" s="183"/>
      <c r="AJ910" s="183"/>
      <c r="AK910" s="183"/>
      <c r="AL910" s="183"/>
      <c r="AM910" s="183"/>
    </row>
    <row r="911">
      <c r="D911" s="668"/>
      <c r="E911" s="668"/>
      <c r="F911" s="342"/>
      <c r="G911" s="668"/>
      <c r="H911" s="669"/>
      <c r="I911" s="669"/>
      <c r="J911" s="669"/>
      <c r="K911" s="669"/>
      <c r="L911" s="670"/>
      <c r="M911" s="670"/>
      <c r="N911" s="669"/>
      <c r="O911" s="183"/>
      <c r="P911" s="183"/>
      <c r="Q911" s="183"/>
      <c r="R911" s="544"/>
      <c r="S911" s="544"/>
      <c r="T911" s="544"/>
      <c r="U911" s="544"/>
      <c r="V911" s="544"/>
      <c r="W911" s="544"/>
      <c r="X911" s="544"/>
      <c r="Y911" s="544"/>
      <c r="Z911" s="544"/>
      <c r="AA911" s="544"/>
      <c r="AB911" s="544"/>
      <c r="AC911" s="544"/>
      <c r="AD911" s="544"/>
      <c r="AE911" s="183"/>
      <c r="AF911" s="183"/>
      <c r="AG911" s="183"/>
      <c r="AH911" s="183"/>
      <c r="AI911" s="183"/>
      <c r="AJ911" s="183"/>
      <c r="AK911" s="183"/>
      <c r="AL911" s="183"/>
      <c r="AM911" s="183"/>
    </row>
    <row r="912">
      <c r="D912" s="668"/>
      <c r="E912" s="668"/>
      <c r="F912" s="342"/>
      <c r="G912" s="668"/>
      <c r="H912" s="669"/>
      <c r="I912" s="669"/>
      <c r="J912" s="669"/>
      <c r="K912" s="669"/>
      <c r="L912" s="670"/>
      <c r="M912" s="670"/>
      <c r="N912" s="669"/>
      <c r="O912" s="183"/>
      <c r="P912" s="183"/>
      <c r="Q912" s="183"/>
      <c r="R912" s="544"/>
      <c r="S912" s="544"/>
      <c r="T912" s="544"/>
      <c r="U912" s="544"/>
      <c r="V912" s="544"/>
      <c r="W912" s="544"/>
      <c r="X912" s="544"/>
      <c r="Y912" s="544"/>
      <c r="Z912" s="544"/>
      <c r="AA912" s="544"/>
      <c r="AB912" s="544"/>
      <c r="AC912" s="544"/>
      <c r="AD912" s="544"/>
      <c r="AE912" s="183"/>
      <c r="AF912" s="183"/>
      <c r="AG912" s="183"/>
      <c r="AH912" s="183"/>
      <c r="AI912" s="183"/>
      <c r="AJ912" s="183"/>
      <c r="AK912" s="183"/>
      <c r="AL912" s="183"/>
      <c r="AM912" s="183"/>
    </row>
    <row r="913">
      <c r="D913" s="668"/>
      <c r="E913" s="668"/>
      <c r="F913" s="342"/>
      <c r="G913" s="668"/>
      <c r="H913" s="669"/>
      <c r="I913" s="669"/>
      <c r="J913" s="669"/>
      <c r="K913" s="669"/>
      <c r="L913" s="670"/>
      <c r="M913" s="670"/>
      <c r="N913" s="669"/>
      <c r="O913" s="183"/>
      <c r="P913" s="183"/>
      <c r="Q913" s="183"/>
      <c r="R913" s="544"/>
      <c r="S913" s="544"/>
      <c r="T913" s="544"/>
      <c r="U913" s="544"/>
      <c r="V913" s="544"/>
      <c r="W913" s="544"/>
      <c r="X913" s="544"/>
      <c r="Y913" s="544"/>
      <c r="Z913" s="544"/>
      <c r="AA913" s="544"/>
      <c r="AB913" s="544"/>
      <c r="AC913" s="544"/>
      <c r="AD913" s="544"/>
      <c r="AE913" s="183"/>
      <c r="AF913" s="183"/>
      <c r="AG913" s="183"/>
      <c r="AH913" s="183"/>
      <c r="AI913" s="183"/>
      <c r="AJ913" s="183"/>
      <c r="AK913" s="183"/>
      <c r="AL913" s="183"/>
      <c r="AM913" s="183"/>
    </row>
    <row r="914">
      <c r="D914" s="668"/>
      <c r="E914" s="668"/>
      <c r="F914" s="342"/>
      <c r="G914" s="668"/>
      <c r="H914" s="669"/>
      <c r="I914" s="669"/>
      <c r="J914" s="669"/>
      <c r="K914" s="669"/>
      <c r="L914" s="670"/>
      <c r="M914" s="670"/>
      <c r="N914" s="669"/>
      <c r="O914" s="183"/>
      <c r="P914" s="183"/>
      <c r="Q914" s="183"/>
      <c r="R914" s="544"/>
      <c r="S914" s="544"/>
      <c r="T914" s="544"/>
      <c r="U914" s="544"/>
      <c r="V914" s="544"/>
      <c r="W914" s="544"/>
      <c r="X914" s="544"/>
      <c r="Y914" s="544"/>
      <c r="Z914" s="544"/>
      <c r="AA914" s="544"/>
      <c r="AB914" s="544"/>
      <c r="AC914" s="544"/>
      <c r="AD914" s="544"/>
      <c r="AE914" s="183"/>
      <c r="AF914" s="183"/>
      <c r="AG914" s="183"/>
      <c r="AH914" s="183"/>
      <c r="AI914" s="183"/>
      <c r="AJ914" s="183"/>
      <c r="AK914" s="183"/>
      <c r="AL914" s="183"/>
      <c r="AM914" s="183"/>
    </row>
    <row r="915">
      <c r="D915" s="668"/>
      <c r="E915" s="668"/>
      <c r="F915" s="342"/>
      <c r="G915" s="668"/>
      <c r="H915" s="669"/>
      <c r="I915" s="669"/>
      <c r="J915" s="669"/>
      <c r="K915" s="669"/>
      <c r="L915" s="670"/>
      <c r="M915" s="670"/>
      <c r="N915" s="669"/>
      <c r="O915" s="183"/>
      <c r="P915" s="183"/>
      <c r="Q915" s="183"/>
      <c r="R915" s="544"/>
      <c r="S915" s="544"/>
      <c r="T915" s="544"/>
      <c r="U915" s="544"/>
      <c r="V915" s="544"/>
      <c r="W915" s="544"/>
      <c r="X915" s="544"/>
      <c r="Y915" s="544"/>
      <c r="Z915" s="544"/>
      <c r="AA915" s="544"/>
      <c r="AB915" s="544"/>
      <c r="AC915" s="544"/>
      <c r="AD915" s="544"/>
      <c r="AE915" s="183"/>
      <c r="AF915" s="183"/>
      <c r="AG915" s="183"/>
      <c r="AH915" s="183"/>
      <c r="AI915" s="183"/>
      <c r="AJ915" s="183"/>
      <c r="AK915" s="183"/>
      <c r="AL915" s="183"/>
      <c r="AM915" s="183"/>
    </row>
    <row r="916">
      <c r="D916" s="668"/>
      <c r="E916" s="668"/>
      <c r="F916" s="342"/>
      <c r="G916" s="668"/>
      <c r="H916" s="669"/>
      <c r="I916" s="669"/>
      <c r="J916" s="669"/>
      <c r="K916" s="669"/>
      <c r="L916" s="670"/>
      <c r="M916" s="670"/>
      <c r="N916" s="669"/>
      <c r="O916" s="183"/>
      <c r="P916" s="183"/>
      <c r="Q916" s="183"/>
      <c r="R916" s="544"/>
      <c r="S916" s="544"/>
      <c r="T916" s="544"/>
      <c r="U916" s="544"/>
      <c r="V916" s="544"/>
      <c r="W916" s="544"/>
      <c r="X916" s="544"/>
      <c r="Y916" s="544"/>
      <c r="Z916" s="544"/>
      <c r="AA916" s="544"/>
      <c r="AB916" s="544"/>
      <c r="AC916" s="544"/>
      <c r="AD916" s="544"/>
      <c r="AE916" s="183"/>
      <c r="AF916" s="183"/>
      <c r="AG916" s="183"/>
      <c r="AH916" s="183"/>
      <c r="AI916" s="183"/>
      <c r="AJ916" s="183"/>
      <c r="AK916" s="183"/>
      <c r="AL916" s="183"/>
      <c r="AM916" s="183"/>
    </row>
    <row r="917">
      <c r="D917" s="668"/>
      <c r="E917" s="668"/>
      <c r="F917" s="342"/>
      <c r="G917" s="668"/>
      <c r="H917" s="669"/>
      <c r="I917" s="669"/>
      <c r="J917" s="669"/>
      <c r="K917" s="669"/>
      <c r="L917" s="670"/>
      <c r="M917" s="670"/>
      <c r="N917" s="669"/>
      <c r="O917" s="183"/>
      <c r="P917" s="183"/>
      <c r="Q917" s="183"/>
      <c r="R917" s="544"/>
      <c r="S917" s="544"/>
      <c r="T917" s="544"/>
      <c r="U917" s="544"/>
      <c r="V917" s="544"/>
      <c r="W917" s="544"/>
      <c r="X917" s="544"/>
      <c r="Y917" s="544"/>
      <c r="Z917" s="544"/>
      <c r="AA917" s="544"/>
      <c r="AB917" s="544"/>
      <c r="AC917" s="544"/>
      <c r="AD917" s="544"/>
      <c r="AE917" s="183"/>
      <c r="AF917" s="183"/>
      <c r="AG917" s="183"/>
      <c r="AH917" s="183"/>
      <c r="AI917" s="183"/>
      <c r="AJ917" s="183"/>
      <c r="AK917" s="183"/>
      <c r="AL917" s="183"/>
      <c r="AM917" s="183"/>
    </row>
    <row r="918">
      <c r="D918" s="668"/>
      <c r="E918" s="668"/>
      <c r="F918" s="342"/>
      <c r="G918" s="668"/>
      <c r="H918" s="669"/>
      <c r="I918" s="669"/>
      <c r="J918" s="669"/>
      <c r="K918" s="669"/>
      <c r="L918" s="670"/>
      <c r="M918" s="670"/>
      <c r="N918" s="669"/>
      <c r="O918" s="183"/>
      <c r="P918" s="183"/>
      <c r="Q918" s="183"/>
      <c r="R918" s="544"/>
      <c r="S918" s="544"/>
      <c r="T918" s="544"/>
      <c r="U918" s="544"/>
      <c r="V918" s="544"/>
      <c r="W918" s="544"/>
      <c r="X918" s="544"/>
      <c r="Y918" s="544"/>
      <c r="Z918" s="544"/>
      <c r="AA918" s="544"/>
      <c r="AB918" s="544"/>
      <c r="AC918" s="544"/>
      <c r="AD918" s="544"/>
      <c r="AE918" s="183"/>
      <c r="AF918" s="183"/>
      <c r="AG918" s="183"/>
      <c r="AH918" s="183"/>
      <c r="AI918" s="183"/>
      <c r="AJ918" s="183"/>
      <c r="AK918" s="183"/>
      <c r="AL918" s="183"/>
      <c r="AM918" s="183"/>
    </row>
    <row r="919">
      <c r="D919" s="668"/>
      <c r="E919" s="668"/>
      <c r="F919" s="342"/>
      <c r="G919" s="668"/>
      <c r="H919" s="669"/>
      <c r="I919" s="669"/>
      <c r="J919" s="669"/>
      <c r="K919" s="669"/>
      <c r="L919" s="670"/>
      <c r="M919" s="670"/>
      <c r="N919" s="669"/>
      <c r="O919" s="183"/>
      <c r="P919" s="183"/>
      <c r="Q919" s="183"/>
      <c r="R919" s="544"/>
      <c r="S919" s="544"/>
      <c r="T919" s="544"/>
      <c r="U919" s="544"/>
      <c r="V919" s="544"/>
      <c r="W919" s="544"/>
      <c r="X919" s="544"/>
      <c r="Y919" s="544"/>
      <c r="Z919" s="544"/>
      <c r="AA919" s="544"/>
      <c r="AB919" s="544"/>
      <c r="AC919" s="544"/>
      <c r="AD919" s="544"/>
      <c r="AE919" s="183"/>
      <c r="AF919" s="183"/>
      <c r="AG919" s="183"/>
      <c r="AH919" s="183"/>
      <c r="AI919" s="183"/>
      <c r="AJ919" s="183"/>
      <c r="AK919" s="183"/>
      <c r="AL919" s="183"/>
      <c r="AM919" s="183"/>
    </row>
    <row r="920">
      <c r="D920" s="668"/>
      <c r="E920" s="668"/>
      <c r="F920" s="342"/>
      <c r="G920" s="668"/>
      <c r="H920" s="669"/>
      <c r="I920" s="669"/>
      <c r="J920" s="669"/>
      <c r="K920" s="669"/>
      <c r="L920" s="670"/>
      <c r="M920" s="670"/>
      <c r="N920" s="669"/>
      <c r="O920" s="183"/>
      <c r="P920" s="183"/>
      <c r="Q920" s="183"/>
      <c r="R920" s="544"/>
      <c r="S920" s="544"/>
      <c r="T920" s="544"/>
      <c r="U920" s="544"/>
      <c r="V920" s="544"/>
      <c r="W920" s="544"/>
      <c r="X920" s="544"/>
      <c r="Y920" s="544"/>
      <c r="Z920" s="544"/>
      <c r="AA920" s="544"/>
      <c r="AB920" s="544"/>
      <c r="AC920" s="544"/>
      <c r="AD920" s="544"/>
      <c r="AE920" s="183"/>
      <c r="AF920" s="183"/>
      <c r="AG920" s="183"/>
      <c r="AH920" s="183"/>
      <c r="AI920" s="183"/>
      <c r="AJ920" s="183"/>
      <c r="AK920" s="183"/>
      <c r="AL920" s="183"/>
      <c r="AM920" s="183"/>
    </row>
    <row r="921">
      <c r="D921" s="668"/>
      <c r="E921" s="668"/>
      <c r="F921" s="342"/>
      <c r="G921" s="668"/>
      <c r="H921" s="669"/>
      <c r="I921" s="669"/>
      <c r="J921" s="669"/>
      <c r="K921" s="669"/>
      <c r="L921" s="670"/>
      <c r="M921" s="670"/>
      <c r="N921" s="669"/>
      <c r="O921" s="183"/>
      <c r="P921" s="183"/>
      <c r="Q921" s="183"/>
      <c r="R921" s="544"/>
      <c r="S921" s="544"/>
      <c r="T921" s="544"/>
      <c r="U921" s="544"/>
      <c r="V921" s="544"/>
      <c r="W921" s="544"/>
      <c r="X921" s="544"/>
      <c r="Y921" s="544"/>
      <c r="Z921" s="544"/>
      <c r="AA921" s="544"/>
      <c r="AB921" s="544"/>
      <c r="AC921" s="544"/>
      <c r="AD921" s="544"/>
      <c r="AE921" s="183"/>
      <c r="AF921" s="183"/>
      <c r="AG921" s="183"/>
      <c r="AH921" s="183"/>
      <c r="AI921" s="183"/>
      <c r="AJ921" s="183"/>
      <c r="AK921" s="183"/>
      <c r="AL921" s="183"/>
      <c r="AM921" s="183"/>
    </row>
    <row r="922">
      <c r="D922" s="668"/>
      <c r="E922" s="668"/>
      <c r="F922" s="342"/>
      <c r="G922" s="668"/>
      <c r="H922" s="669"/>
      <c r="I922" s="669"/>
      <c r="J922" s="669"/>
      <c r="K922" s="669"/>
      <c r="L922" s="670"/>
      <c r="M922" s="670"/>
      <c r="N922" s="669"/>
      <c r="O922" s="183"/>
      <c r="P922" s="183"/>
      <c r="Q922" s="183"/>
      <c r="R922" s="544"/>
      <c r="S922" s="544"/>
      <c r="T922" s="544"/>
      <c r="U922" s="544"/>
      <c r="V922" s="544"/>
      <c r="W922" s="544"/>
      <c r="X922" s="544"/>
      <c r="Y922" s="544"/>
      <c r="Z922" s="544"/>
      <c r="AA922" s="544"/>
      <c r="AB922" s="544"/>
      <c r="AC922" s="544"/>
      <c r="AD922" s="544"/>
      <c r="AE922" s="183"/>
      <c r="AF922" s="183"/>
      <c r="AG922" s="183"/>
      <c r="AH922" s="183"/>
      <c r="AI922" s="183"/>
      <c r="AJ922" s="183"/>
      <c r="AK922" s="183"/>
      <c r="AL922" s="183"/>
      <c r="AM922" s="183"/>
    </row>
    <row r="923">
      <c r="D923" s="668"/>
      <c r="E923" s="668"/>
      <c r="F923" s="342"/>
      <c r="G923" s="668"/>
      <c r="H923" s="669"/>
      <c r="I923" s="669"/>
      <c r="J923" s="669"/>
      <c r="K923" s="669"/>
      <c r="L923" s="670"/>
      <c r="M923" s="670"/>
      <c r="N923" s="669"/>
      <c r="O923" s="183"/>
      <c r="P923" s="183"/>
      <c r="Q923" s="183"/>
      <c r="R923" s="544"/>
      <c r="S923" s="544"/>
      <c r="T923" s="544"/>
      <c r="U923" s="544"/>
      <c r="V923" s="544"/>
      <c r="W923" s="544"/>
      <c r="X923" s="544"/>
      <c r="Y923" s="544"/>
      <c r="Z923" s="544"/>
      <c r="AA923" s="544"/>
      <c r="AB923" s="544"/>
      <c r="AC923" s="544"/>
      <c r="AD923" s="544"/>
      <c r="AE923" s="183"/>
      <c r="AF923" s="183"/>
      <c r="AG923" s="183"/>
      <c r="AH923" s="183"/>
      <c r="AI923" s="183"/>
      <c r="AJ923" s="183"/>
      <c r="AK923" s="183"/>
      <c r="AL923" s="183"/>
      <c r="AM923" s="183"/>
    </row>
    <row r="924">
      <c r="D924" s="668"/>
      <c r="E924" s="668"/>
      <c r="F924" s="342"/>
      <c r="G924" s="668"/>
      <c r="H924" s="669"/>
      <c r="I924" s="669"/>
      <c r="J924" s="669"/>
      <c r="K924" s="669"/>
      <c r="L924" s="670"/>
      <c r="M924" s="670"/>
      <c r="N924" s="669"/>
      <c r="O924" s="183"/>
      <c r="P924" s="183"/>
      <c r="Q924" s="183"/>
      <c r="R924" s="544"/>
      <c r="S924" s="544"/>
      <c r="T924" s="544"/>
      <c r="U924" s="544"/>
      <c r="V924" s="544"/>
      <c r="W924" s="544"/>
      <c r="X924" s="544"/>
      <c r="Y924" s="544"/>
      <c r="Z924" s="544"/>
      <c r="AA924" s="544"/>
      <c r="AB924" s="544"/>
      <c r="AC924" s="544"/>
      <c r="AD924" s="544"/>
      <c r="AE924" s="183"/>
      <c r="AF924" s="183"/>
      <c r="AG924" s="183"/>
      <c r="AH924" s="183"/>
      <c r="AI924" s="183"/>
      <c r="AJ924" s="183"/>
      <c r="AK924" s="183"/>
      <c r="AL924" s="183"/>
      <c r="AM924" s="183"/>
    </row>
    <row r="925">
      <c r="D925" s="668"/>
      <c r="E925" s="668"/>
      <c r="F925" s="342"/>
      <c r="G925" s="668"/>
      <c r="H925" s="669"/>
      <c r="I925" s="669"/>
      <c r="J925" s="669"/>
      <c r="K925" s="669"/>
      <c r="L925" s="670"/>
      <c r="M925" s="670"/>
      <c r="N925" s="669"/>
      <c r="O925" s="183"/>
      <c r="P925" s="183"/>
      <c r="Q925" s="183"/>
      <c r="R925" s="544"/>
      <c r="S925" s="544"/>
      <c r="T925" s="544"/>
      <c r="U925" s="544"/>
      <c r="V925" s="544"/>
      <c r="W925" s="544"/>
      <c r="X925" s="544"/>
      <c r="Y925" s="544"/>
      <c r="Z925" s="544"/>
      <c r="AA925" s="544"/>
      <c r="AB925" s="544"/>
      <c r="AC925" s="544"/>
      <c r="AD925" s="544"/>
      <c r="AE925" s="183"/>
      <c r="AF925" s="183"/>
      <c r="AG925" s="183"/>
      <c r="AH925" s="183"/>
      <c r="AI925" s="183"/>
      <c r="AJ925" s="183"/>
      <c r="AK925" s="183"/>
      <c r="AL925" s="183"/>
      <c r="AM925" s="183"/>
    </row>
    <row r="926">
      <c r="D926" s="668"/>
      <c r="E926" s="668"/>
      <c r="F926" s="342"/>
      <c r="G926" s="668"/>
      <c r="H926" s="669"/>
      <c r="I926" s="669"/>
      <c r="J926" s="669"/>
      <c r="K926" s="669"/>
      <c r="L926" s="670"/>
      <c r="M926" s="670"/>
      <c r="N926" s="669"/>
      <c r="O926" s="183"/>
      <c r="P926" s="183"/>
      <c r="Q926" s="183"/>
      <c r="R926" s="544"/>
      <c r="S926" s="544"/>
      <c r="T926" s="544"/>
      <c r="U926" s="544"/>
      <c r="V926" s="544"/>
      <c r="W926" s="544"/>
      <c r="X926" s="544"/>
      <c r="Y926" s="544"/>
      <c r="Z926" s="544"/>
      <c r="AA926" s="544"/>
      <c r="AB926" s="544"/>
      <c r="AC926" s="544"/>
      <c r="AD926" s="544"/>
      <c r="AE926" s="183"/>
      <c r="AF926" s="183"/>
      <c r="AG926" s="183"/>
      <c r="AH926" s="183"/>
      <c r="AI926" s="183"/>
      <c r="AJ926" s="183"/>
      <c r="AK926" s="183"/>
      <c r="AL926" s="183"/>
      <c r="AM926" s="183"/>
    </row>
    <row r="927">
      <c r="D927" s="668"/>
      <c r="E927" s="668"/>
      <c r="F927" s="342"/>
      <c r="G927" s="668"/>
      <c r="H927" s="669"/>
      <c r="I927" s="669"/>
      <c r="J927" s="669"/>
      <c r="K927" s="669"/>
      <c r="L927" s="670"/>
      <c r="M927" s="670"/>
      <c r="N927" s="669"/>
      <c r="O927" s="183"/>
      <c r="P927" s="183"/>
      <c r="Q927" s="183"/>
      <c r="R927" s="544"/>
      <c r="S927" s="544"/>
      <c r="T927" s="544"/>
      <c r="U927" s="544"/>
      <c r="V927" s="544"/>
      <c r="W927" s="544"/>
      <c r="X927" s="544"/>
      <c r="Y927" s="544"/>
      <c r="Z927" s="544"/>
      <c r="AA927" s="544"/>
      <c r="AB927" s="544"/>
      <c r="AC927" s="544"/>
      <c r="AD927" s="544"/>
      <c r="AE927" s="183"/>
      <c r="AF927" s="183"/>
      <c r="AG927" s="183"/>
      <c r="AH927" s="183"/>
      <c r="AI927" s="183"/>
      <c r="AJ927" s="183"/>
      <c r="AK927" s="183"/>
      <c r="AL927" s="183"/>
      <c r="AM927" s="183"/>
    </row>
    <row r="928">
      <c r="D928" s="668"/>
      <c r="E928" s="668"/>
      <c r="F928" s="342"/>
      <c r="G928" s="668"/>
      <c r="H928" s="669"/>
      <c r="I928" s="669"/>
      <c r="J928" s="669"/>
      <c r="K928" s="669"/>
      <c r="L928" s="670"/>
      <c r="M928" s="670"/>
      <c r="N928" s="669"/>
      <c r="O928" s="183"/>
      <c r="P928" s="183"/>
      <c r="Q928" s="183"/>
      <c r="R928" s="544"/>
      <c r="S928" s="544"/>
      <c r="T928" s="544"/>
      <c r="U928" s="544"/>
      <c r="V928" s="544"/>
      <c r="W928" s="544"/>
      <c r="X928" s="544"/>
      <c r="Y928" s="544"/>
      <c r="Z928" s="544"/>
      <c r="AA928" s="544"/>
      <c r="AB928" s="544"/>
      <c r="AC928" s="544"/>
      <c r="AD928" s="544"/>
      <c r="AE928" s="183"/>
      <c r="AF928" s="183"/>
      <c r="AG928" s="183"/>
      <c r="AH928" s="183"/>
      <c r="AI928" s="183"/>
      <c r="AJ928" s="183"/>
      <c r="AK928" s="183"/>
      <c r="AL928" s="183"/>
      <c r="AM928" s="183"/>
    </row>
    <row r="929">
      <c r="D929" s="668"/>
      <c r="E929" s="668"/>
      <c r="F929" s="342"/>
      <c r="G929" s="668"/>
      <c r="H929" s="669"/>
      <c r="I929" s="669"/>
      <c r="J929" s="669"/>
      <c r="K929" s="669"/>
      <c r="L929" s="670"/>
      <c r="M929" s="670"/>
      <c r="N929" s="669"/>
      <c r="O929" s="183"/>
      <c r="P929" s="183"/>
      <c r="Q929" s="183"/>
      <c r="R929" s="544"/>
      <c r="S929" s="544"/>
      <c r="T929" s="544"/>
      <c r="U929" s="544"/>
      <c r="V929" s="544"/>
      <c r="W929" s="544"/>
      <c r="X929" s="544"/>
      <c r="Y929" s="544"/>
      <c r="Z929" s="544"/>
      <c r="AA929" s="544"/>
      <c r="AB929" s="544"/>
      <c r="AC929" s="544"/>
      <c r="AD929" s="544"/>
      <c r="AE929" s="183"/>
      <c r="AF929" s="183"/>
      <c r="AG929" s="183"/>
      <c r="AH929" s="183"/>
      <c r="AI929" s="183"/>
      <c r="AJ929" s="183"/>
      <c r="AK929" s="183"/>
      <c r="AL929" s="183"/>
      <c r="AM929" s="183"/>
    </row>
    <row r="930">
      <c r="D930" s="668"/>
      <c r="E930" s="668"/>
      <c r="F930" s="342"/>
      <c r="G930" s="668"/>
      <c r="H930" s="669"/>
      <c r="I930" s="669"/>
      <c r="J930" s="669"/>
      <c r="K930" s="669"/>
      <c r="L930" s="670"/>
      <c r="M930" s="670"/>
      <c r="N930" s="669"/>
      <c r="O930" s="183"/>
      <c r="P930" s="183"/>
      <c r="Q930" s="183"/>
      <c r="R930" s="544"/>
      <c r="S930" s="544"/>
      <c r="T930" s="544"/>
      <c r="U930" s="544"/>
      <c r="V930" s="544"/>
      <c r="W930" s="544"/>
      <c r="X930" s="544"/>
      <c r="Y930" s="544"/>
      <c r="Z930" s="544"/>
      <c r="AA930" s="544"/>
      <c r="AB930" s="544"/>
      <c r="AC930" s="544"/>
      <c r="AD930" s="544"/>
      <c r="AE930" s="183"/>
      <c r="AF930" s="183"/>
      <c r="AG930" s="183"/>
      <c r="AH930" s="183"/>
      <c r="AI930" s="183"/>
      <c r="AJ930" s="183"/>
      <c r="AK930" s="183"/>
      <c r="AL930" s="183"/>
      <c r="AM930" s="183"/>
    </row>
    <row r="931">
      <c r="D931" s="668"/>
      <c r="E931" s="668"/>
      <c r="F931" s="342"/>
      <c r="G931" s="668"/>
      <c r="H931" s="669"/>
      <c r="I931" s="669"/>
      <c r="J931" s="669"/>
      <c r="K931" s="669"/>
      <c r="L931" s="670"/>
      <c r="M931" s="670"/>
      <c r="N931" s="669"/>
      <c r="O931" s="183"/>
      <c r="P931" s="183"/>
      <c r="Q931" s="183"/>
      <c r="R931" s="544"/>
      <c r="S931" s="544"/>
      <c r="T931" s="544"/>
      <c r="U931" s="544"/>
      <c r="V931" s="544"/>
      <c r="W931" s="544"/>
      <c r="X931" s="544"/>
      <c r="Y931" s="544"/>
      <c r="Z931" s="544"/>
      <c r="AA931" s="544"/>
      <c r="AB931" s="544"/>
      <c r="AC931" s="544"/>
      <c r="AD931" s="544"/>
      <c r="AE931" s="183"/>
      <c r="AF931" s="183"/>
      <c r="AG931" s="183"/>
      <c r="AH931" s="183"/>
      <c r="AI931" s="183"/>
      <c r="AJ931" s="183"/>
      <c r="AK931" s="183"/>
      <c r="AL931" s="183"/>
      <c r="AM931" s="183"/>
    </row>
    <row r="932">
      <c r="D932" s="668"/>
      <c r="E932" s="668"/>
      <c r="F932" s="342"/>
      <c r="G932" s="668"/>
      <c r="H932" s="669"/>
      <c r="I932" s="669"/>
      <c r="J932" s="669"/>
      <c r="K932" s="669"/>
      <c r="L932" s="670"/>
      <c r="M932" s="670"/>
      <c r="N932" s="669"/>
      <c r="O932" s="183"/>
      <c r="P932" s="183"/>
      <c r="Q932" s="183"/>
      <c r="R932" s="544"/>
      <c r="S932" s="544"/>
      <c r="T932" s="544"/>
      <c r="U932" s="544"/>
      <c r="V932" s="544"/>
      <c r="W932" s="544"/>
      <c r="X932" s="544"/>
      <c r="Y932" s="544"/>
      <c r="Z932" s="544"/>
      <c r="AA932" s="544"/>
      <c r="AB932" s="544"/>
      <c r="AC932" s="544"/>
      <c r="AD932" s="544"/>
      <c r="AE932" s="183"/>
      <c r="AF932" s="183"/>
      <c r="AG932" s="183"/>
      <c r="AH932" s="183"/>
      <c r="AI932" s="183"/>
      <c r="AJ932" s="183"/>
      <c r="AK932" s="183"/>
      <c r="AL932" s="183"/>
      <c r="AM932" s="183"/>
    </row>
    <row r="933">
      <c r="D933" s="668"/>
      <c r="E933" s="668"/>
      <c r="F933" s="342"/>
      <c r="G933" s="668"/>
      <c r="H933" s="669"/>
      <c r="I933" s="669"/>
      <c r="J933" s="669"/>
      <c r="K933" s="669"/>
      <c r="L933" s="670"/>
      <c r="M933" s="670"/>
      <c r="N933" s="669"/>
      <c r="O933" s="183"/>
      <c r="P933" s="183"/>
      <c r="Q933" s="183"/>
      <c r="R933" s="544"/>
      <c r="S933" s="544"/>
      <c r="T933" s="544"/>
      <c r="U933" s="544"/>
      <c r="V933" s="544"/>
      <c r="W933" s="544"/>
      <c r="X933" s="544"/>
      <c r="Y933" s="544"/>
      <c r="Z933" s="544"/>
      <c r="AA933" s="544"/>
      <c r="AB933" s="544"/>
      <c r="AC933" s="544"/>
      <c r="AD933" s="544"/>
      <c r="AE933" s="183"/>
      <c r="AF933" s="183"/>
      <c r="AG933" s="183"/>
      <c r="AH933" s="183"/>
      <c r="AI933" s="183"/>
      <c r="AJ933" s="183"/>
      <c r="AK933" s="183"/>
      <c r="AL933" s="183"/>
      <c r="AM933" s="183"/>
    </row>
    <row r="934">
      <c r="D934" s="668"/>
      <c r="E934" s="668"/>
      <c r="F934" s="342"/>
      <c r="G934" s="668"/>
      <c r="H934" s="669"/>
      <c r="I934" s="669"/>
      <c r="J934" s="669"/>
      <c r="K934" s="669"/>
      <c r="L934" s="670"/>
      <c r="M934" s="670"/>
      <c r="N934" s="669"/>
      <c r="O934" s="183"/>
      <c r="P934" s="183"/>
      <c r="Q934" s="183"/>
      <c r="R934" s="544"/>
      <c r="S934" s="544"/>
      <c r="T934" s="544"/>
      <c r="U934" s="544"/>
      <c r="V934" s="544"/>
      <c r="W934" s="544"/>
      <c r="X934" s="544"/>
      <c r="Y934" s="544"/>
      <c r="Z934" s="544"/>
      <c r="AA934" s="544"/>
      <c r="AB934" s="544"/>
      <c r="AC934" s="544"/>
      <c r="AD934" s="544"/>
      <c r="AE934" s="183"/>
      <c r="AF934" s="183"/>
      <c r="AG934" s="183"/>
      <c r="AH934" s="183"/>
      <c r="AI934" s="183"/>
      <c r="AJ934" s="183"/>
      <c r="AK934" s="183"/>
      <c r="AL934" s="183"/>
      <c r="AM934" s="183"/>
    </row>
    <row r="935">
      <c r="D935" s="668"/>
      <c r="E935" s="668"/>
      <c r="F935" s="342"/>
      <c r="G935" s="668"/>
      <c r="H935" s="669"/>
      <c r="I935" s="669"/>
      <c r="J935" s="669"/>
      <c r="K935" s="669"/>
      <c r="L935" s="670"/>
      <c r="M935" s="670"/>
      <c r="N935" s="669"/>
      <c r="O935" s="183"/>
      <c r="P935" s="183"/>
      <c r="Q935" s="183"/>
      <c r="R935" s="544"/>
      <c r="S935" s="544"/>
      <c r="T935" s="544"/>
      <c r="U935" s="544"/>
      <c r="V935" s="544"/>
      <c r="W935" s="544"/>
      <c r="X935" s="544"/>
      <c r="Y935" s="544"/>
      <c r="Z935" s="544"/>
      <c r="AA935" s="544"/>
      <c r="AB935" s="544"/>
      <c r="AC935" s="544"/>
      <c r="AD935" s="544"/>
      <c r="AE935" s="183"/>
      <c r="AF935" s="183"/>
      <c r="AG935" s="183"/>
      <c r="AH935" s="183"/>
      <c r="AI935" s="183"/>
      <c r="AJ935" s="183"/>
      <c r="AK935" s="183"/>
      <c r="AL935" s="183"/>
      <c r="AM935" s="183"/>
    </row>
    <row r="936">
      <c r="D936" s="668"/>
      <c r="E936" s="668"/>
      <c r="F936" s="342"/>
      <c r="G936" s="668"/>
      <c r="H936" s="669"/>
      <c r="I936" s="669"/>
      <c r="J936" s="669"/>
      <c r="K936" s="669"/>
      <c r="L936" s="670"/>
      <c r="M936" s="670"/>
      <c r="N936" s="669"/>
      <c r="O936" s="183"/>
      <c r="P936" s="183"/>
      <c r="Q936" s="183"/>
      <c r="R936" s="544"/>
      <c r="S936" s="544"/>
      <c r="T936" s="544"/>
      <c r="U936" s="544"/>
      <c r="V936" s="544"/>
      <c r="W936" s="544"/>
      <c r="X936" s="544"/>
      <c r="Y936" s="544"/>
      <c r="Z936" s="544"/>
      <c r="AA936" s="544"/>
      <c r="AB936" s="544"/>
      <c r="AC936" s="544"/>
      <c r="AD936" s="544"/>
      <c r="AE936" s="183"/>
      <c r="AF936" s="183"/>
      <c r="AG936" s="183"/>
      <c r="AH936" s="183"/>
      <c r="AI936" s="183"/>
      <c r="AJ936" s="183"/>
      <c r="AK936" s="183"/>
      <c r="AL936" s="183"/>
      <c r="AM936" s="183"/>
    </row>
    <row r="937">
      <c r="D937" s="668"/>
      <c r="E937" s="668"/>
      <c r="F937" s="342"/>
      <c r="G937" s="668"/>
      <c r="H937" s="669"/>
      <c r="I937" s="669"/>
      <c r="J937" s="669"/>
      <c r="K937" s="669"/>
      <c r="L937" s="670"/>
      <c r="M937" s="670"/>
      <c r="N937" s="669"/>
      <c r="O937" s="183"/>
      <c r="P937" s="183"/>
      <c r="Q937" s="183"/>
      <c r="R937" s="544"/>
      <c r="S937" s="544"/>
      <c r="T937" s="544"/>
      <c r="U937" s="544"/>
      <c r="V937" s="544"/>
      <c r="W937" s="544"/>
      <c r="X937" s="544"/>
      <c r="Y937" s="544"/>
      <c r="Z937" s="544"/>
      <c r="AA937" s="544"/>
      <c r="AB937" s="544"/>
      <c r="AC937" s="544"/>
      <c r="AD937" s="544"/>
      <c r="AE937" s="183"/>
      <c r="AF937" s="183"/>
      <c r="AG937" s="183"/>
      <c r="AH937" s="183"/>
      <c r="AI937" s="183"/>
      <c r="AJ937" s="183"/>
      <c r="AK937" s="183"/>
      <c r="AL937" s="183"/>
      <c r="AM937" s="183"/>
    </row>
    <row r="938">
      <c r="D938" s="668"/>
      <c r="E938" s="668"/>
      <c r="F938" s="342"/>
      <c r="G938" s="668"/>
      <c r="H938" s="669"/>
      <c r="I938" s="669"/>
      <c r="J938" s="669"/>
      <c r="K938" s="669"/>
      <c r="L938" s="670"/>
      <c r="M938" s="670"/>
      <c r="N938" s="669"/>
      <c r="O938" s="183"/>
      <c r="P938" s="183"/>
      <c r="Q938" s="183"/>
      <c r="R938" s="544"/>
      <c r="S938" s="544"/>
      <c r="T938" s="544"/>
      <c r="U938" s="544"/>
      <c r="V938" s="544"/>
      <c r="W938" s="544"/>
      <c r="X938" s="544"/>
      <c r="Y938" s="544"/>
      <c r="Z938" s="544"/>
      <c r="AA938" s="544"/>
      <c r="AB938" s="544"/>
      <c r="AC938" s="544"/>
      <c r="AD938" s="544"/>
      <c r="AE938" s="183"/>
      <c r="AF938" s="183"/>
      <c r="AG938" s="183"/>
      <c r="AH938" s="183"/>
      <c r="AI938" s="183"/>
      <c r="AJ938" s="183"/>
      <c r="AK938" s="183"/>
      <c r="AL938" s="183"/>
      <c r="AM938" s="183"/>
    </row>
    <row r="939">
      <c r="D939" s="668"/>
      <c r="E939" s="668"/>
      <c r="F939" s="342"/>
      <c r="G939" s="668"/>
      <c r="H939" s="669"/>
      <c r="I939" s="669"/>
      <c r="J939" s="669"/>
      <c r="K939" s="669"/>
      <c r="L939" s="670"/>
      <c r="M939" s="670"/>
      <c r="N939" s="669"/>
      <c r="O939" s="183"/>
      <c r="P939" s="183"/>
      <c r="Q939" s="183"/>
      <c r="R939" s="544"/>
      <c r="S939" s="544"/>
      <c r="T939" s="544"/>
      <c r="U939" s="544"/>
      <c r="V939" s="544"/>
      <c r="W939" s="544"/>
      <c r="X939" s="544"/>
      <c r="Y939" s="544"/>
      <c r="Z939" s="544"/>
      <c r="AA939" s="544"/>
      <c r="AB939" s="544"/>
      <c r="AC939" s="544"/>
      <c r="AD939" s="544"/>
      <c r="AE939" s="183"/>
      <c r="AF939" s="183"/>
      <c r="AG939" s="183"/>
      <c r="AH939" s="183"/>
      <c r="AI939" s="183"/>
      <c r="AJ939" s="183"/>
      <c r="AK939" s="183"/>
      <c r="AL939" s="183"/>
      <c r="AM939" s="183"/>
    </row>
    <row r="940">
      <c r="D940" s="668"/>
      <c r="E940" s="668"/>
      <c r="F940" s="342"/>
      <c r="G940" s="668"/>
      <c r="H940" s="669"/>
      <c r="I940" s="669"/>
      <c r="J940" s="669"/>
      <c r="K940" s="669"/>
      <c r="L940" s="670"/>
      <c r="M940" s="670"/>
      <c r="N940" s="669"/>
      <c r="O940" s="183"/>
      <c r="P940" s="183"/>
      <c r="Q940" s="183"/>
      <c r="R940" s="544"/>
      <c r="S940" s="544"/>
      <c r="T940" s="544"/>
      <c r="U940" s="544"/>
      <c r="V940" s="544"/>
      <c r="W940" s="544"/>
      <c r="X940" s="544"/>
      <c r="Y940" s="544"/>
      <c r="Z940" s="544"/>
      <c r="AA940" s="544"/>
      <c r="AB940" s="544"/>
      <c r="AC940" s="544"/>
      <c r="AD940" s="544"/>
      <c r="AE940" s="183"/>
      <c r="AF940" s="183"/>
      <c r="AG940" s="183"/>
      <c r="AH940" s="183"/>
      <c r="AI940" s="183"/>
      <c r="AJ940" s="183"/>
      <c r="AK940" s="183"/>
      <c r="AL940" s="183"/>
      <c r="AM940" s="183"/>
    </row>
    <row r="941">
      <c r="D941" s="668"/>
      <c r="E941" s="668"/>
      <c r="F941" s="342"/>
      <c r="G941" s="668"/>
      <c r="H941" s="669"/>
      <c r="I941" s="669"/>
      <c r="J941" s="669"/>
      <c r="K941" s="669"/>
      <c r="L941" s="670"/>
      <c r="M941" s="670"/>
      <c r="N941" s="669"/>
      <c r="O941" s="183"/>
      <c r="P941" s="183"/>
      <c r="Q941" s="183"/>
      <c r="R941" s="544"/>
      <c r="S941" s="544"/>
      <c r="T941" s="544"/>
      <c r="U941" s="544"/>
      <c r="V941" s="544"/>
      <c r="W941" s="544"/>
      <c r="X941" s="544"/>
      <c r="Y941" s="544"/>
      <c r="Z941" s="544"/>
      <c r="AA941" s="544"/>
      <c r="AB941" s="544"/>
      <c r="AC941" s="544"/>
      <c r="AD941" s="544"/>
      <c r="AE941" s="183"/>
      <c r="AF941" s="183"/>
      <c r="AG941" s="183"/>
      <c r="AH941" s="183"/>
      <c r="AI941" s="183"/>
      <c r="AJ941" s="183"/>
      <c r="AK941" s="183"/>
      <c r="AL941" s="183"/>
      <c r="AM941" s="183"/>
    </row>
    <row r="942">
      <c r="D942" s="668"/>
      <c r="E942" s="668"/>
      <c r="F942" s="342"/>
      <c r="G942" s="668"/>
      <c r="H942" s="669"/>
      <c r="I942" s="669"/>
      <c r="J942" s="669"/>
      <c r="K942" s="669"/>
      <c r="L942" s="670"/>
      <c r="M942" s="670"/>
      <c r="N942" s="669"/>
      <c r="O942" s="183"/>
      <c r="P942" s="183"/>
      <c r="Q942" s="183"/>
      <c r="R942" s="544"/>
      <c r="S942" s="544"/>
      <c r="T942" s="544"/>
      <c r="U942" s="544"/>
      <c r="V942" s="544"/>
      <c r="W942" s="544"/>
      <c r="X942" s="544"/>
      <c r="Y942" s="544"/>
      <c r="Z942" s="544"/>
      <c r="AA942" s="544"/>
      <c r="AB942" s="544"/>
      <c r="AC942" s="544"/>
      <c r="AD942" s="544"/>
      <c r="AE942" s="183"/>
      <c r="AF942" s="183"/>
      <c r="AG942" s="183"/>
      <c r="AH942" s="183"/>
      <c r="AI942" s="183"/>
      <c r="AJ942" s="183"/>
      <c r="AK942" s="183"/>
      <c r="AL942" s="183"/>
      <c r="AM942" s="183"/>
    </row>
    <row r="943">
      <c r="D943" s="668"/>
      <c r="E943" s="668"/>
      <c r="F943" s="342"/>
      <c r="G943" s="668"/>
      <c r="H943" s="669"/>
      <c r="I943" s="669"/>
      <c r="J943" s="669"/>
      <c r="K943" s="669"/>
      <c r="L943" s="670"/>
      <c r="M943" s="670"/>
      <c r="N943" s="669"/>
      <c r="O943" s="183"/>
      <c r="P943" s="183"/>
      <c r="Q943" s="183"/>
      <c r="R943" s="544"/>
      <c r="S943" s="544"/>
      <c r="T943" s="544"/>
      <c r="U943" s="544"/>
      <c r="V943" s="544"/>
      <c r="W943" s="544"/>
      <c r="X943" s="544"/>
      <c r="Y943" s="544"/>
      <c r="Z943" s="544"/>
      <c r="AA943" s="544"/>
      <c r="AB943" s="544"/>
      <c r="AC943" s="544"/>
      <c r="AD943" s="544"/>
      <c r="AE943" s="183"/>
      <c r="AF943" s="183"/>
      <c r="AG943" s="183"/>
      <c r="AH943" s="183"/>
      <c r="AI943" s="183"/>
      <c r="AJ943" s="183"/>
      <c r="AK943" s="183"/>
      <c r="AL943" s="183"/>
      <c r="AM943" s="183"/>
    </row>
    <row r="944">
      <c r="D944" s="668"/>
      <c r="E944" s="668"/>
      <c r="F944" s="342"/>
      <c r="G944" s="668"/>
      <c r="H944" s="669"/>
      <c r="I944" s="669"/>
      <c r="J944" s="669"/>
      <c r="K944" s="669"/>
      <c r="L944" s="670"/>
      <c r="M944" s="670"/>
      <c r="N944" s="669"/>
      <c r="O944" s="183"/>
      <c r="P944" s="183"/>
      <c r="Q944" s="183"/>
      <c r="R944" s="544"/>
      <c r="S944" s="544"/>
      <c r="T944" s="544"/>
      <c r="U944" s="544"/>
      <c r="V944" s="544"/>
      <c r="W944" s="544"/>
      <c r="X944" s="544"/>
      <c r="Y944" s="544"/>
      <c r="Z944" s="544"/>
      <c r="AA944" s="544"/>
      <c r="AB944" s="544"/>
      <c r="AC944" s="544"/>
      <c r="AD944" s="544"/>
      <c r="AE944" s="183"/>
      <c r="AF944" s="183"/>
      <c r="AG944" s="183"/>
      <c r="AH944" s="183"/>
      <c r="AI944" s="183"/>
      <c r="AJ944" s="183"/>
      <c r="AK944" s="183"/>
      <c r="AL944" s="183"/>
      <c r="AM944" s="183"/>
    </row>
    <row r="945">
      <c r="D945" s="668"/>
      <c r="E945" s="668"/>
      <c r="F945" s="342"/>
      <c r="G945" s="668"/>
      <c r="H945" s="669"/>
      <c r="I945" s="669"/>
      <c r="J945" s="669"/>
      <c r="K945" s="669"/>
      <c r="L945" s="670"/>
      <c r="M945" s="670"/>
      <c r="N945" s="669"/>
      <c r="O945" s="183"/>
      <c r="P945" s="183"/>
      <c r="Q945" s="183"/>
      <c r="R945" s="544"/>
      <c r="S945" s="544"/>
      <c r="T945" s="544"/>
      <c r="U945" s="544"/>
      <c r="V945" s="544"/>
      <c r="W945" s="544"/>
      <c r="X945" s="544"/>
      <c r="Y945" s="544"/>
      <c r="Z945" s="544"/>
      <c r="AA945" s="544"/>
      <c r="AB945" s="544"/>
      <c r="AC945" s="544"/>
      <c r="AD945" s="544"/>
      <c r="AE945" s="183"/>
      <c r="AF945" s="183"/>
      <c r="AG945" s="183"/>
      <c r="AH945" s="183"/>
      <c r="AI945" s="183"/>
      <c r="AJ945" s="183"/>
      <c r="AK945" s="183"/>
      <c r="AL945" s="183"/>
      <c r="AM945" s="183"/>
    </row>
    <row r="946">
      <c r="D946" s="668"/>
      <c r="E946" s="668"/>
      <c r="F946" s="342"/>
      <c r="G946" s="668"/>
      <c r="H946" s="669"/>
      <c r="I946" s="669"/>
      <c r="J946" s="669"/>
      <c r="K946" s="669"/>
      <c r="L946" s="670"/>
      <c r="M946" s="670"/>
      <c r="N946" s="669"/>
      <c r="O946" s="183"/>
      <c r="P946" s="183"/>
      <c r="Q946" s="183"/>
      <c r="R946" s="544"/>
      <c r="S946" s="544"/>
      <c r="T946" s="544"/>
      <c r="U946" s="544"/>
      <c r="V946" s="544"/>
      <c r="W946" s="544"/>
      <c r="X946" s="544"/>
      <c r="Y946" s="544"/>
      <c r="Z946" s="544"/>
      <c r="AA946" s="544"/>
      <c r="AB946" s="544"/>
      <c r="AC946" s="544"/>
      <c r="AD946" s="544"/>
      <c r="AE946" s="183"/>
      <c r="AF946" s="183"/>
      <c r="AG946" s="183"/>
      <c r="AH946" s="183"/>
      <c r="AI946" s="183"/>
      <c r="AJ946" s="183"/>
      <c r="AK946" s="183"/>
      <c r="AL946" s="183"/>
      <c r="AM946" s="183"/>
    </row>
    <row r="947">
      <c r="D947" s="668"/>
      <c r="E947" s="668"/>
      <c r="F947" s="342"/>
      <c r="G947" s="668"/>
      <c r="H947" s="669"/>
      <c r="I947" s="669"/>
      <c r="J947" s="669"/>
      <c r="K947" s="669"/>
      <c r="L947" s="670"/>
      <c r="M947" s="670"/>
      <c r="N947" s="669"/>
      <c r="O947" s="183"/>
      <c r="P947" s="183"/>
      <c r="Q947" s="183"/>
      <c r="R947" s="544"/>
      <c r="S947" s="544"/>
      <c r="T947" s="544"/>
      <c r="U947" s="544"/>
      <c r="V947" s="544"/>
      <c r="W947" s="544"/>
      <c r="X947" s="544"/>
      <c r="Y947" s="544"/>
      <c r="Z947" s="544"/>
      <c r="AA947" s="544"/>
      <c r="AB947" s="544"/>
      <c r="AC947" s="544"/>
      <c r="AD947" s="544"/>
      <c r="AE947" s="183"/>
      <c r="AF947" s="183"/>
      <c r="AG947" s="183"/>
      <c r="AH947" s="183"/>
      <c r="AI947" s="183"/>
      <c r="AJ947" s="183"/>
      <c r="AK947" s="183"/>
      <c r="AL947" s="183"/>
      <c r="AM947" s="183"/>
    </row>
    <row r="948">
      <c r="D948" s="668"/>
      <c r="E948" s="668"/>
      <c r="F948" s="342"/>
      <c r="G948" s="668"/>
      <c r="H948" s="669"/>
      <c r="I948" s="669"/>
      <c r="J948" s="669"/>
      <c r="K948" s="669"/>
      <c r="L948" s="670"/>
      <c r="M948" s="670"/>
      <c r="N948" s="669"/>
      <c r="O948" s="183"/>
      <c r="P948" s="183"/>
      <c r="Q948" s="183"/>
      <c r="R948" s="544"/>
      <c r="S948" s="544"/>
      <c r="T948" s="544"/>
      <c r="U948" s="544"/>
      <c r="V948" s="544"/>
      <c r="W948" s="544"/>
      <c r="X948" s="544"/>
      <c r="Y948" s="544"/>
      <c r="Z948" s="544"/>
      <c r="AA948" s="544"/>
      <c r="AB948" s="544"/>
      <c r="AC948" s="544"/>
      <c r="AD948" s="544"/>
      <c r="AE948" s="183"/>
      <c r="AF948" s="183"/>
      <c r="AG948" s="183"/>
      <c r="AH948" s="183"/>
      <c r="AI948" s="183"/>
      <c r="AJ948" s="183"/>
      <c r="AK948" s="183"/>
      <c r="AL948" s="183"/>
      <c r="AM948" s="183"/>
    </row>
    <row r="949">
      <c r="D949" s="668"/>
      <c r="E949" s="668"/>
      <c r="F949" s="342"/>
      <c r="G949" s="668"/>
      <c r="H949" s="669"/>
      <c r="I949" s="669"/>
      <c r="J949" s="669"/>
      <c r="K949" s="669"/>
      <c r="L949" s="670"/>
      <c r="M949" s="670"/>
      <c r="N949" s="669"/>
      <c r="O949" s="183"/>
      <c r="P949" s="183"/>
      <c r="Q949" s="183"/>
      <c r="R949" s="544"/>
      <c r="S949" s="544"/>
      <c r="T949" s="544"/>
      <c r="U949" s="544"/>
      <c r="V949" s="544"/>
      <c r="W949" s="544"/>
      <c r="X949" s="544"/>
      <c r="Y949" s="544"/>
      <c r="Z949" s="544"/>
      <c r="AA949" s="544"/>
      <c r="AB949" s="544"/>
      <c r="AC949" s="544"/>
      <c r="AD949" s="544"/>
      <c r="AE949" s="183"/>
      <c r="AF949" s="183"/>
      <c r="AG949" s="183"/>
      <c r="AH949" s="183"/>
      <c r="AI949" s="183"/>
      <c r="AJ949" s="183"/>
      <c r="AK949" s="183"/>
      <c r="AL949" s="183"/>
      <c r="AM949" s="183"/>
    </row>
    <row r="950">
      <c r="D950" s="668"/>
      <c r="E950" s="668"/>
      <c r="F950" s="342"/>
      <c r="G950" s="668"/>
      <c r="H950" s="669"/>
      <c r="I950" s="669"/>
      <c r="J950" s="669"/>
      <c r="K950" s="669"/>
      <c r="L950" s="670"/>
      <c r="M950" s="670"/>
      <c r="N950" s="669"/>
      <c r="O950" s="183"/>
      <c r="P950" s="183"/>
      <c r="Q950" s="183"/>
      <c r="R950" s="544"/>
      <c r="S950" s="544"/>
      <c r="T950" s="544"/>
      <c r="U950" s="544"/>
      <c r="V950" s="544"/>
      <c r="W950" s="544"/>
      <c r="X950" s="544"/>
      <c r="Y950" s="544"/>
      <c r="Z950" s="544"/>
      <c r="AA950" s="544"/>
      <c r="AB950" s="544"/>
      <c r="AC950" s="544"/>
      <c r="AD950" s="544"/>
      <c r="AE950" s="183"/>
      <c r="AF950" s="183"/>
      <c r="AG950" s="183"/>
      <c r="AH950" s="183"/>
      <c r="AI950" s="183"/>
      <c r="AJ950" s="183"/>
      <c r="AK950" s="183"/>
      <c r="AL950" s="183"/>
      <c r="AM950" s="183"/>
    </row>
    <row r="951">
      <c r="D951" s="668"/>
      <c r="E951" s="668"/>
      <c r="F951" s="342"/>
      <c r="G951" s="668"/>
      <c r="H951" s="669"/>
      <c r="I951" s="669"/>
      <c r="J951" s="669"/>
      <c r="K951" s="669"/>
      <c r="L951" s="670"/>
      <c r="M951" s="670"/>
      <c r="N951" s="669"/>
      <c r="O951" s="183"/>
      <c r="P951" s="183"/>
      <c r="Q951" s="183"/>
      <c r="R951" s="544"/>
      <c r="S951" s="544"/>
      <c r="T951" s="544"/>
      <c r="U951" s="544"/>
      <c r="V951" s="544"/>
      <c r="W951" s="544"/>
      <c r="X951" s="544"/>
      <c r="Y951" s="544"/>
      <c r="Z951" s="544"/>
      <c r="AA951" s="544"/>
      <c r="AB951" s="544"/>
      <c r="AC951" s="544"/>
      <c r="AD951" s="544"/>
      <c r="AE951" s="183"/>
      <c r="AF951" s="183"/>
      <c r="AG951" s="183"/>
      <c r="AH951" s="183"/>
      <c r="AI951" s="183"/>
      <c r="AJ951" s="183"/>
      <c r="AK951" s="183"/>
      <c r="AL951" s="183"/>
      <c r="AM951" s="183"/>
    </row>
    <row r="952">
      <c r="D952" s="668"/>
      <c r="E952" s="668"/>
      <c r="F952" s="342"/>
      <c r="G952" s="668"/>
      <c r="H952" s="669"/>
      <c r="I952" s="669"/>
      <c r="J952" s="669"/>
      <c r="K952" s="669"/>
      <c r="L952" s="670"/>
      <c r="M952" s="670"/>
      <c r="N952" s="669"/>
      <c r="O952" s="183"/>
      <c r="P952" s="183"/>
      <c r="Q952" s="183"/>
      <c r="R952" s="544"/>
      <c r="S952" s="544"/>
      <c r="T952" s="544"/>
      <c r="U952" s="544"/>
      <c r="V952" s="544"/>
      <c r="W952" s="544"/>
      <c r="X952" s="544"/>
      <c r="Y952" s="544"/>
      <c r="Z952" s="544"/>
      <c r="AA952" s="544"/>
      <c r="AB952" s="544"/>
      <c r="AC952" s="544"/>
      <c r="AD952" s="544"/>
      <c r="AE952" s="183"/>
      <c r="AF952" s="183"/>
      <c r="AG952" s="183"/>
      <c r="AH952" s="183"/>
      <c r="AI952" s="183"/>
      <c r="AJ952" s="183"/>
      <c r="AK952" s="183"/>
      <c r="AL952" s="183"/>
      <c r="AM952" s="183"/>
    </row>
    <row r="953">
      <c r="D953" s="668"/>
      <c r="E953" s="668"/>
      <c r="F953" s="342"/>
      <c r="G953" s="668"/>
      <c r="H953" s="669"/>
      <c r="I953" s="669"/>
      <c r="J953" s="669"/>
      <c r="K953" s="669"/>
      <c r="L953" s="670"/>
      <c r="M953" s="670"/>
      <c r="N953" s="669"/>
      <c r="O953" s="183"/>
      <c r="P953" s="183"/>
      <c r="Q953" s="183"/>
      <c r="R953" s="544"/>
      <c r="S953" s="544"/>
      <c r="T953" s="544"/>
      <c r="U953" s="544"/>
      <c r="V953" s="544"/>
      <c r="W953" s="544"/>
      <c r="X953" s="544"/>
      <c r="Y953" s="544"/>
      <c r="Z953" s="544"/>
      <c r="AA953" s="544"/>
      <c r="AB953" s="544"/>
      <c r="AC953" s="544"/>
      <c r="AD953" s="544"/>
      <c r="AE953" s="183"/>
      <c r="AF953" s="183"/>
      <c r="AG953" s="183"/>
      <c r="AH953" s="183"/>
      <c r="AI953" s="183"/>
      <c r="AJ953" s="183"/>
      <c r="AK953" s="183"/>
      <c r="AL953" s="183"/>
      <c r="AM953" s="183"/>
    </row>
    <row r="954">
      <c r="D954" s="668"/>
      <c r="E954" s="668"/>
      <c r="F954" s="342"/>
      <c r="G954" s="668"/>
      <c r="H954" s="669"/>
      <c r="I954" s="669"/>
      <c r="J954" s="669"/>
      <c r="K954" s="669"/>
      <c r="L954" s="670"/>
      <c r="M954" s="670"/>
      <c r="N954" s="669"/>
      <c r="O954" s="183"/>
      <c r="P954" s="183"/>
      <c r="Q954" s="183"/>
      <c r="R954" s="544"/>
      <c r="S954" s="544"/>
      <c r="T954" s="544"/>
      <c r="U954" s="544"/>
      <c r="V954" s="544"/>
      <c r="W954" s="544"/>
      <c r="X954" s="544"/>
      <c r="Y954" s="544"/>
      <c r="Z954" s="544"/>
      <c r="AA954" s="544"/>
      <c r="AB954" s="544"/>
      <c r="AC954" s="544"/>
      <c r="AD954" s="544"/>
      <c r="AE954" s="183"/>
      <c r="AF954" s="183"/>
      <c r="AG954" s="183"/>
      <c r="AH954" s="183"/>
      <c r="AI954" s="183"/>
      <c r="AJ954" s="183"/>
      <c r="AK954" s="183"/>
      <c r="AL954" s="183"/>
      <c r="AM954" s="183"/>
    </row>
    <row r="955">
      <c r="D955" s="668"/>
      <c r="E955" s="668"/>
      <c r="F955" s="342"/>
      <c r="G955" s="668"/>
      <c r="H955" s="669"/>
      <c r="I955" s="669"/>
      <c r="J955" s="669"/>
      <c r="K955" s="669"/>
      <c r="L955" s="670"/>
      <c r="M955" s="670"/>
      <c r="N955" s="669"/>
      <c r="O955" s="183"/>
      <c r="P955" s="183"/>
      <c r="Q955" s="183"/>
      <c r="R955" s="544"/>
      <c r="S955" s="544"/>
      <c r="T955" s="544"/>
      <c r="U955" s="544"/>
      <c r="V955" s="544"/>
      <c r="W955" s="544"/>
      <c r="X955" s="544"/>
      <c r="Y955" s="544"/>
      <c r="Z955" s="544"/>
      <c r="AA955" s="544"/>
      <c r="AB955" s="544"/>
      <c r="AC955" s="544"/>
      <c r="AD955" s="544"/>
      <c r="AE955" s="183"/>
      <c r="AF955" s="183"/>
      <c r="AG955" s="183"/>
      <c r="AH955" s="183"/>
      <c r="AI955" s="183"/>
      <c r="AJ955" s="183"/>
      <c r="AK955" s="183"/>
      <c r="AL955" s="183"/>
      <c r="AM955" s="183"/>
    </row>
    <row r="956">
      <c r="D956" s="668"/>
      <c r="E956" s="668"/>
      <c r="F956" s="342"/>
      <c r="G956" s="668"/>
      <c r="H956" s="669"/>
      <c r="I956" s="669"/>
      <c r="J956" s="669"/>
      <c r="K956" s="669"/>
      <c r="L956" s="670"/>
      <c r="M956" s="670"/>
      <c r="N956" s="669"/>
      <c r="O956" s="183"/>
      <c r="P956" s="183"/>
      <c r="Q956" s="183"/>
      <c r="R956" s="544"/>
      <c r="S956" s="544"/>
      <c r="T956" s="544"/>
      <c r="U956" s="544"/>
      <c r="V956" s="544"/>
      <c r="W956" s="544"/>
      <c r="X956" s="544"/>
      <c r="Y956" s="544"/>
      <c r="Z956" s="544"/>
      <c r="AA956" s="544"/>
      <c r="AB956" s="544"/>
      <c r="AC956" s="544"/>
      <c r="AD956" s="544"/>
      <c r="AE956" s="183"/>
      <c r="AF956" s="183"/>
      <c r="AG956" s="183"/>
      <c r="AH956" s="183"/>
      <c r="AI956" s="183"/>
      <c r="AJ956" s="183"/>
      <c r="AK956" s="183"/>
      <c r="AL956" s="183"/>
      <c r="AM956" s="183"/>
    </row>
    <row r="957">
      <c r="D957" s="668"/>
      <c r="E957" s="668"/>
      <c r="F957" s="342"/>
      <c r="G957" s="668"/>
      <c r="H957" s="669"/>
      <c r="I957" s="669"/>
      <c r="J957" s="669"/>
      <c r="K957" s="669"/>
      <c r="L957" s="670"/>
      <c r="M957" s="670"/>
      <c r="N957" s="669"/>
      <c r="O957" s="183"/>
      <c r="P957" s="183"/>
      <c r="Q957" s="183"/>
      <c r="R957" s="544"/>
      <c r="S957" s="544"/>
      <c r="T957" s="544"/>
      <c r="U957" s="544"/>
      <c r="V957" s="544"/>
      <c r="W957" s="544"/>
      <c r="X957" s="544"/>
      <c r="Y957" s="544"/>
      <c r="Z957" s="544"/>
      <c r="AA957" s="544"/>
      <c r="AB957" s="544"/>
      <c r="AC957" s="544"/>
      <c r="AD957" s="544"/>
      <c r="AE957" s="183"/>
      <c r="AF957" s="183"/>
      <c r="AG957" s="183"/>
      <c r="AH957" s="183"/>
      <c r="AI957" s="183"/>
      <c r="AJ957" s="183"/>
      <c r="AK957" s="183"/>
      <c r="AL957" s="183"/>
      <c r="AM957" s="183"/>
    </row>
    <row r="958">
      <c r="D958" s="668"/>
      <c r="E958" s="668"/>
      <c r="F958" s="342"/>
      <c r="G958" s="668"/>
      <c r="H958" s="669"/>
      <c r="I958" s="669"/>
      <c r="J958" s="669"/>
      <c r="K958" s="669"/>
      <c r="L958" s="670"/>
      <c r="M958" s="670"/>
      <c r="N958" s="669"/>
      <c r="O958" s="183"/>
      <c r="P958" s="183"/>
      <c r="Q958" s="183"/>
      <c r="R958" s="544"/>
      <c r="S958" s="544"/>
      <c r="T958" s="544"/>
      <c r="U958" s="544"/>
      <c r="V958" s="544"/>
      <c r="W958" s="544"/>
      <c r="X958" s="544"/>
      <c r="Y958" s="544"/>
      <c r="Z958" s="544"/>
      <c r="AA958" s="544"/>
      <c r="AB958" s="544"/>
      <c r="AC958" s="544"/>
      <c r="AD958" s="544"/>
      <c r="AE958" s="183"/>
      <c r="AF958" s="183"/>
      <c r="AG958" s="183"/>
      <c r="AH958" s="183"/>
      <c r="AI958" s="183"/>
      <c r="AJ958" s="183"/>
      <c r="AK958" s="183"/>
      <c r="AL958" s="183"/>
      <c r="AM958" s="183"/>
    </row>
    <row r="959">
      <c r="D959" s="668"/>
      <c r="E959" s="668"/>
      <c r="F959" s="342"/>
      <c r="G959" s="668"/>
      <c r="H959" s="669"/>
      <c r="I959" s="669"/>
      <c r="J959" s="669"/>
      <c r="K959" s="669"/>
      <c r="L959" s="670"/>
      <c r="M959" s="670"/>
      <c r="N959" s="669"/>
      <c r="O959" s="183"/>
      <c r="P959" s="183"/>
      <c r="Q959" s="183"/>
      <c r="R959" s="544"/>
      <c r="S959" s="544"/>
      <c r="T959" s="544"/>
      <c r="U959" s="544"/>
      <c r="V959" s="544"/>
      <c r="W959" s="544"/>
      <c r="X959" s="544"/>
      <c r="Y959" s="544"/>
      <c r="Z959" s="544"/>
      <c r="AA959" s="544"/>
      <c r="AB959" s="544"/>
      <c r="AC959" s="544"/>
      <c r="AD959" s="544"/>
      <c r="AE959" s="183"/>
      <c r="AF959" s="183"/>
      <c r="AG959" s="183"/>
      <c r="AH959" s="183"/>
      <c r="AI959" s="183"/>
      <c r="AJ959" s="183"/>
      <c r="AK959" s="183"/>
      <c r="AL959" s="183"/>
      <c r="AM959" s="183"/>
    </row>
    <row r="960">
      <c r="D960" s="668"/>
      <c r="E960" s="668"/>
      <c r="F960" s="342"/>
      <c r="G960" s="668"/>
      <c r="H960" s="669"/>
      <c r="I960" s="669"/>
      <c r="J960" s="669"/>
      <c r="K960" s="669"/>
      <c r="L960" s="670"/>
      <c r="M960" s="670"/>
      <c r="N960" s="669"/>
      <c r="O960" s="183"/>
      <c r="P960" s="183"/>
      <c r="Q960" s="183"/>
      <c r="R960" s="544"/>
      <c r="S960" s="544"/>
      <c r="T960" s="544"/>
      <c r="U960" s="544"/>
      <c r="V960" s="544"/>
      <c r="W960" s="544"/>
      <c r="X960" s="544"/>
      <c r="Y960" s="544"/>
      <c r="Z960" s="544"/>
      <c r="AA960" s="544"/>
      <c r="AB960" s="544"/>
      <c r="AC960" s="544"/>
      <c r="AD960" s="544"/>
      <c r="AE960" s="183"/>
      <c r="AF960" s="183"/>
      <c r="AG960" s="183"/>
      <c r="AH960" s="183"/>
      <c r="AI960" s="183"/>
      <c r="AJ960" s="183"/>
      <c r="AK960" s="183"/>
      <c r="AL960" s="183"/>
      <c r="AM960" s="183"/>
    </row>
    <row r="961">
      <c r="D961" s="668"/>
      <c r="E961" s="668"/>
      <c r="F961" s="342"/>
      <c r="G961" s="668"/>
      <c r="H961" s="669"/>
      <c r="I961" s="669"/>
      <c r="J961" s="669"/>
      <c r="K961" s="669"/>
      <c r="L961" s="670"/>
      <c r="M961" s="670"/>
      <c r="N961" s="669"/>
      <c r="O961" s="183"/>
      <c r="P961" s="183"/>
      <c r="Q961" s="183"/>
      <c r="R961" s="544"/>
      <c r="S961" s="544"/>
      <c r="T961" s="544"/>
      <c r="U961" s="544"/>
      <c r="V961" s="544"/>
      <c r="W961" s="544"/>
      <c r="X961" s="544"/>
      <c r="Y961" s="544"/>
      <c r="Z961" s="544"/>
      <c r="AA961" s="544"/>
      <c r="AB961" s="544"/>
      <c r="AC961" s="544"/>
      <c r="AD961" s="544"/>
      <c r="AE961" s="183"/>
      <c r="AF961" s="183"/>
      <c r="AG961" s="183"/>
      <c r="AH961" s="183"/>
      <c r="AI961" s="183"/>
      <c r="AJ961" s="183"/>
      <c r="AK961" s="183"/>
      <c r="AL961" s="183"/>
      <c r="AM961" s="183"/>
    </row>
    <row r="962">
      <c r="D962" s="668"/>
      <c r="E962" s="668"/>
      <c r="F962" s="342"/>
      <c r="G962" s="668"/>
      <c r="H962" s="669"/>
      <c r="I962" s="669"/>
      <c r="J962" s="669"/>
      <c r="K962" s="669"/>
      <c r="L962" s="670"/>
      <c r="M962" s="670"/>
      <c r="N962" s="669"/>
      <c r="O962" s="183"/>
      <c r="P962" s="183"/>
      <c r="Q962" s="183"/>
      <c r="R962" s="544"/>
      <c r="S962" s="544"/>
      <c r="T962" s="544"/>
      <c r="U962" s="544"/>
      <c r="V962" s="544"/>
      <c r="W962" s="544"/>
      <c r="X962" s="544"/>
      <c r="Y962" s="544"/>
      <c r="Z962" s="544"/>
      <c r="AA962" s="544"/>
      <c r="AB962" s="544"/>
      <c r="AC962" s="544"/>
      <c r="AD962" s="544"/>
      <c r="AE962" s="183"/>
      <c r="AF962" s="183"/>
      <c r="AG962" s="183"/>
      <c r="AH962" s="183"/>
      <c r="AI962" s="183"/>
      <c r="AJ962" s="183"/>
      <c r="AK962" s="183"/>
      <c r="AL962" s="183"/>
      <c r="AM962" s="183"/>
    </row>
    <row r="963">
      <c r="D963" s="668"/>
      <c r="E963" s="668"/>
      <c r="F963" s="342"/>
      <c r="G963" s="668"/>
      <c r="H963" s="669"/>
      <c r="I963" s="669"/>
      <c r="J963" s="669"/>
      <c r="K963" s="669"/>
      <c r="L963" s="670"/>
      <c r="M963" s="670"/>
      <c r="N963" s="669"/>
      <c r="O963" s="183"/>
      <c r="P963" s="183"/>
      <c r="Q963" s="183"/>
      <c r="R963" s="544"/>
      <c r="S963" s="544"/>
      <c r="T963" s="544"/>
      <c r="U963" s="544"/>
      <c r="V963" s="544"/>
      <c r="W963" s="544"/>
      <c r="X963" s="544"/>
      <c r="Y963" s="544"/>
      <c r="Z963" s="544"/>
      <c r="AA963" s="544"/>
      <c r="AB963" s="544"/>
      <c r="AC963" s="544"/>
      <c r="AD963" s="544"/>
      <c r="AE963" s="183"/>
      <c r="AF963" s="183"/>
      <c r="AG963" s="183"/>
      <c r="AH963" s="183"/>
      <c r="AI963" s="183"/>
      <c r="AJ963" s="183"/>
      <c r="AK963" s="183"/>
      <c r="AL963" s="183"/>
      <c r="AM963" s="183"/>
    </row>
    <row r="964">
      <c r="D964" s="668"/>
      <c r="E964" s="668"/>
      <c r="F964" s="342"/>
      <c r="G964" s="668"/>
      <c r="H964" s="669"/>
      <c r="I964" s="669"/>
      <c r="J964" s="669"/>
      <c r="K964" s="669"/>
      <c r="L964" s="670"/>
      <c r="M964" s="670"/>
      <c r="N964" s="669"/>
      <c r="O964" s="183"/>
      <c r="P964" s="183"/>
      <c r="Q964" s="183"/>
      <c r="R964" s="544"/>
      <c r="S964" s="544"/>
      <c r="T964" s="544"/>
      <c r="U964" s="544"/>
      <c r="V964" s="544"/>
      <c r="W964" s="544"/>
      <c r="X964" s="544"/>
      <c r="Y964" s="544"/>
      <c r="Z964" s="544"/>
      <c r="AA964" s="544"/>
      <c r="AB964" s="544"/>
      <c r="AC964" s="544"/>
      <c r="AD964" s="544"/>
      <c r="AE964" s="183"/>
      <c r="AF964" s="183"/>
      <c r="AG964" s="183"/>
      <c r="AH964" s="183"/>
      <c r="AI964" s="183"/>
      <c r="AJ964" s="183"/>
      <c r="AK964" s="183"/>
      <c r="AL964" s="183"/>
      <c r="AM964" s="183"/>
    </row>
    <row r="965">
      <c r="D965" s="668"/>
      <c r="E965" s="668"/>
      <c r="F965" s="342"/>
      <c r="G965" s="668"/>
      <c r="H965" s="669"/>
      <c r="I965" s="669"/>
      <c r="J965" s="669"/>
      <c r="K965" s="669"/>
      <c r="L965" s="670"/>
      <c r="M965" s="670"/>
      <c r="N965" s="669"/>
      <c r="O965" s="183"/>
      <c r="P965" s="183"/>
      <c r="Q965" s="183"/>
      <c r="R965" s="544"/>
      <c r="S965" s="544"/>
      <c r="T965" s="544"/>
      <c r="U965" s="544"/>
      <c r="V965" s="544"/>
      <c r="W965" s="544"/>
      <c r="X965" s="544"/>
      <c r="Y965" s="544"/>
      <c r="Z965" s="544"/>
      <c r="AA965" s="544"/>
      <c r="AB965" s="544"/>
      <c r="AC965" s="544"/>
      <c r="AD965" s="544"/>
      <c r="AE965" s="183"/>
      <c r="AF965" s="183"/>
      <c r="AG965" s="183"/>
      <c r="AH965" s="183"/>
      <c r="AI965" s="183"/>
      <c r="AJ965" s="183"/>
      <c r="AK965" s="183"/>
      <c r="AL965" s="183"/>
      <c r="AM965" s="183"/>
    </row>
    <row r="966">
      <c r="D966" s="668"/>
      <c r="E966" s="668"/>
      <c r="F966" s="342"/>
      <c r="G966" s="668"/>
      <c r="H966" s="669"/>
      <c r="I966" s="669"/>
      <c r="J966" s="669"/>
      <c r="K966" s="669"/>
      <c r="L966" s="670"/>
      <c r="M966" s="670"/>
      <c r="N966" s="669"/>
      <c r="O966" s="183"/>
      <c r="P966" s="183"/>
      <c r="Q966" s="183"/>
      <c r="R966" s="544"/>
      <c r="S966" s="544"/>
      <c r="T966" s="544"/>
      <c r="U966" s="544"/>
      <c r="V966" s="544"/>
      <c r="W966" s="544"/>
      <c r="X966" s="544"/>
      <c r="Y966" s="544"/>
      <c r="Z966" s="544"/>
      <c r="AA966" s="544"/>
      <c r="AB966" s="544"/>
      <c r="AC966" s="544"/>
      <c r="AD966" s="544"/>
      <c r="AE966" s="183"/>
      <c r="AF966" s="183"/>
      <c r="AG966" s="183"/>
      <c r="AH966" s="183"/>
      <c r="AI966" s="183"/>
      <c r="AJ966" s="183"/>
      <c r="AK966" s="183"/>
      <c r="AL966" s="183"/>
      <c r="AM966" s="183"/>
    </row>
    <row r="967">
      <c r="D967" s="668"/>
      <c r="E967" s="668"/>
      <c r="F967" s="342"/>
      <c r="G967" s="668"/>
      <c r="H967" s="669"/>
      <c r="I967" s="669"/>
      <c r="J967" s="669"/>
      <c r="K967" s="669"/>
      <c r="L967" s="670"/>
      <c r="M967" s="670"/>
      <c r="N967" s="669"/>
      <c r="O967" s="183"/>
      <c r="P967" s="183"/>
      <c r="Q967" s="183"/>
      <c r="R967" s="544"/>
      <c r="S967" s="544"/>
      <c r="T967" s="544"/>
      <c r="U967" s="544"/>
      <c r="V967" s="544"/>
      <c r="W967" s="544"/>
      <c r="X967" s="544"/>
      <c r="Y967" s="544"/>
      <c r="Z967" s="544"/>
      <c r="AA967" s="544"/>
      <c r="AB967" s="544"/>
      <c r="AC967" s="544"/>
      <c r="AD967" s="544"/>
      <c r="AE967" s="183"/>
      <c r="AF967" s="183"/>
      <c r="AG967" s="183"/>
      <c r="AH967" s="183"/>
      <c r="AI967" s="183"/>
      <c r="AJ967" s="183"/>
      <c r="AK967" s="183"/>
      <c r="AL967" s="183"/>
      <c r="AM967" s="183"/>
    </row>
    <row r="968">
      <c r="D968" s="668"/>
      <c r="E968" s="668"/>
      <c r="F968" s="342"/>
      <c r="G968" s="668"/>
      <c r="H968" s="669"/>
      <c r="I968" s="669"/>
      <c r="J968" s="669"/>
      <c r="K968" s="669"/>
      <c r="L968" s="670"/>
      <c r="M968" s="670"/>
      <c r="N968" s="669"/>
      <c r="O968" s="183"/>
      <c r="P968" s="183"/>
      <c r="Q968" s="183"/>
      <c r="R968" s="544"/>
      <c r="S968" s="544"/>
      <c r="T968" s="544"/>
      <c r="U968" s="544"/>
      <c r="V968" s="544"/>
      <c r="W968" s="544"/>
      <c r="X968" s="544"/>
      <c r="Y968" s="544"/>
      <c r="Z968" s="544"/>
      <c r="AA968" s="544"/>
      <c r="AB968" s="544"/>
      <c r="AC968" s="544"/>
      <c r="AD968" s="544"/>
      <c r="AE968" s="183"/>
      <c r="AF968" s="183"/>
      <c r="AG968" s="183"/>
      <c r="AH968" s="183"/>
      <c r="AI968" s="183"/>
      <c r="AJ968" s="183"/>
      <c r="AK968" s="183"/>
      <c r="AL968" s="183"/>
      <c r="AM968" s="183"/>
    </row>
    <row r="969">
      <c r="D969" s="668"/>
      <c r="E969" s="668"/>
      <c r="F969" s="342"/>
      <c r="G969" s="668"/>
      <c r="H969" s="669"/>
      <c r="I969" s="669"/>
      <c r="J969" s="669"/>
      <c r="K969" s="669"/>
      <c r="L969" s="670"/>
      <c r="M969" s="670"/>
      <c r="N969" s="669"/>
      <c r="O969" s="183"/>
      <c r="P969" s="183"/>
      <c r="Q969" s="183"/>
      <c r="R969" s="544"/>
      <c r="S969" s="544"/>
      <c r="T969" s="544"/>
      <c r="U969" s="544"/>
      <c r="V969" s="544"/>
      <c r="W969" s="544"/>
      <c r="X969" s="544"/>
      <c r="Y969" s="544"/>
      <c r="Z969" s="544"/>
      <c r="AA969" s="544"/>
      <c r="AB969" s="544"/>
      <c r="AC969" s="544"/>
      <c r="AD969" s="544"/>
      <c r="AE969" s="183"/>
      <c r="AF969" s="183"/>
      <c r="AG969" s="183"/>
      <c r="AH969" s="183"/>
      <c r="AI969" s="183"/>
      <c r="AJ969" s="183"/>
      <c r="AK969" s="183"/>
      <c r="AL969" s="183"/>
      <c r="AM969" s="183"/>
    </row>
    <row r="970">
      <c r="D970" s="668"/>
      <c r="E970" s="668"/>
      <c r="F970" s="342"/>
      <c r="G970" s="668"/>
      <c r="H970" s="669"/>
      <c r="I970" s="669"/>
      <c r="J970" s="669"/>
      <c r="K970" s="669"/>
      <c r="L970" s="670"/>
      <c r="M970" s="670"/>
      <c r="N970" s="669"/>
      <c r="O970" s="183"/>
      <c r="P970" s="183"/>
      <c r="Q970" s="183"/>
      <c r="R970" s="544"/>
      <c r="S970" s="544"/>
      <c r="T970" s="544"/>
      <c r="U970" s="544"/>
      <c r="V970" s="544"/>
      <c r="W970" s="544"/>
      <c r="X970" s="544"/>
      <c r="Y970" s="544"/>
      <c r="Z970" s="544"/>
      <c r="AA970" s="544"/>
      <c r="AB970" s="544"/>
      <c r="AC970" s="544"/>
      <c r="AD970" s="544"/>
      <c r="AE970" s="183"/>
      <c r="AF970" s="183"/>
      <c r="AG970" s="183"/>
      <c r="AH970" s="183"/>
      <c r="AI970" s="183"/>
      <c r="AJ970" s="183"/>
      <c r="AK970" s="183"/>
      <c r="AL970" s="183"/>
      <c r="AM970" s="183"/>
    </row>
    <row r="971">
      <c r="D971" s="668"/>
      <c r="E971" s="668"/>
      <c r="F971" s="342"/>
      <c r="G971" s="668"/>
      <c r="H971" s="669"/>
      <c r="I971" s="669"/>
      <c r="J971" s="669"/>
      <c r="K971" s="669"/>
      <c r="L971" s="670"/>
      <c r="M971" s="670"/>
      <c r="N971" s="669"/>
      <c r="O971" s="183"/>
      <c r="P971" s="183"/>
      <c r="Q971" s="183"/>
      <c r="R971" s="544"/>
      <c r="S971" s="544"/>
      <c r="T971" s="544"/>
      <c r="U971" s="544"/>
      <c r="V971" s="544"/>
      <c r="W971" s="544"/>
      <c r="X971" s="544"/>
      <c r="Y971" s="544"/>
      <c r="Z971" s="544"/>
      <c r="AA971" s="544"/>
      <c r="AB971" s="544"/>
      <c r="AC971" s="544"/>
      <c r="AD971" s="544"/>
      <c r="AE971" s="183"/>
      <c r="AF971" s="183"/>
      <c r="AG971" s="183"/>
      <c r="AH971" s="183"/>
      <c r="AI971" s="183"/>
      <c r="AJ971" s="183"/>
      <c r="AK971" s="183"/>
      <c r="AL971" s="183"/>
      <c r="AM971" s="183"/>
    </row>
    <row r="972">
      <c r="D972" s="668"/>
      <c r="E972" s="668"/>
      <c r="F972" s="342"/>
      <c r="G972" s="668"/>
      <c r="H972" s="669"/>
      <c r="I972" s="669"/>
      <c r="J972" s="669"/>
      <c r="K972" s="669"/>
      <c r="L972" s="670"/>
      <c r="M972" s="670"/>
      <c r="N972" s="669"/>
      <c r="O972" s="183"/>
      <c r="P972" s="183"/>
      <c r="Q972" s="183"/>
      <c r="R972" s="544"/>
      <c r="S972" s="544"/>
      <c r="T972" s="544"/>
      <c r="U972" s="544"/>
      <c r="V972" s="544"/>
      <c r="W972" s="544"/>
      <c r="X972" s="544"/>
      <c r="Y972" s="544"/>
      <c r="Z972" s="544"/>
      <c r="AA972" s="544"/>
      <c r="AB972" s="544"/>
      <c r="AC972" s="544"/>
      <c r="AD972" s="544"/>
      <c r="AE972" s="183"/>
      <c r="AF972" s="183"/>
      <c r="AG972" s="183"/>
      <c r="AH972" s="183"/>
      <c r="AI972" s="183"/>
      <c r="AJ972" s="183"/>
      <c r="AK972" s="183"/>
      <c r="AL972" s="183"/>
      <c r="AM972" s="183"/>
    </row>
    <row r="973">
      <c r="D973" s="668"/>
      <c r="E973" s="668"/>
      <c r="F973" s="342"/>
      <c r="G973" s="668"/>
      <c r="H973" s="669"/>
      <c r="I973" s="669"/>
      <c r="J973" s="669"/>
      <c r="K973" s="669"/>
      <c r="L973" s="670"/>
      <c r="M973" s="670"/>
      <c r="N973" s="669"/>
      <c r="O973" s="183"/>
      <c r="P973" s="183"/>
      <c r="Q973" s="183"/>
      <c r="R973" s="544"/>
      <c r="S973" s="544"/>
      <c r="T973" s="544"/>
      <c r="U973" s="544"/>
      <c r="V973" s="544"/>
      <c r="W973" s="544"/>
      <c r="X973" s="544"/>
      <c r="Y973" s="544"/>
      <c r="Z973" s="544"/>
      <c r="AA973" s="544"/>
      <c r="AB973" s="544"/>
      <c r="AC973" s="544"/>
      <c r="AD973" s="544"/>
      <c r="AE973" s="183"/>
      <c r="AF973" s="183"/>
      <c r="AG973" s="183"/>
      <c r="AH973" s="183"/>
      <c r="AI973" s="183"/>
      <c r="AJ973" s="183"/>
      <c r="AK973" s="183"/>
      <c r="AL973" s="183"/>
      <c r="AM973" s="183"/>
    </row>
    <row r="974">
      <c r="D974" s="668"/>
      <c r="E974" s="668"/>
      <c r="F974" s="342"/>
      <c r="G974" s="668"/>
      <c r="H974" s="669"/>
      <c r="I974" s="669"/>
      <c r="J974" s="669"/>
      <c r="K974" s="669"/>
      <c r="L974" s="670"/>
      <c r="M974" s="670"/>
      <c r="N974" s="669"/>
      <c r="O974" s="183"/>
      <c r="P974" s="183"/>
      <c r="Q974" s="183"/>
      <c r="R974" s="544"/>
      <c r="S974" s="544"/>
      <c r="T974" s="544"/>
      <c r="U974" s="544"/>
      <c r="V974" s="544"/>
      <c r="W974" s="544"/>
      <c r="X974" s="544"/>
      <c r="Y974" s="544"/>
      <c r="Z974" s="544"/>
      <c r="AA974" s="544"/>
      <c r="AB974" s="544"/>
      <c r="AC974" s="544"/>
      <c r="AD974" s="544"/>
      <c r="AE974" s="183"/>
      <c r="AF974" s="183"/>
      <c r="AG974" s="183"/>
      <c r="AH974" s="183"/>
      <c r="AI974" s="183"/>
      <c r="AJ974" s="183"/>
      <c r="AK974" s="183"/>
      <c r="AL974" s="183"/>
      <c r="AM974" s="183"/>
    </row>
    <row r="975">
      <c r="D975" s="668"/>
      <c r="E975" s="668"/>
      <c r="F975" s="342"/>
      <c r="G975" s="668"/>
      <c r="H975" s="669"/>
      <c r="I975" s="669"/>
      <c r="J975" s="669"/>
      <c r="K975" s="669"/>
      <c r="L975" s="670"/>
      <c r="M975" s="670"/>
      <c r="N975" s="669"/>
      <c r="O975" s="183"/>
      <c r="P975" s="183"/>
      <c r="Q975" s="183"/>
      <c r="R975" s="544"/>
      <c r="S975" s="544"/>
      <c r="T975" s="544"/>
      <c r="U975" s="544"/>
      <c r="V975" s="544"/>
      <c r="W975" s="544"/>
      <c r="X975" s="544"/>
      <c r="Y975" s="544"/>
      <c r="Z975" s="544"/>
      <c r="AA975" s="544"/>
      <c r="AB975" s="544"/>
      <c r="AC975" s="544"/>
      <c r="AD975" s="544"/>
      <c r="AE975" s="183"/>
      <c r="AF975" s="183"/>
      <c r="AG975" s="183"/>
      <c r="AH975" s="183"/>
      <c r="AI975" s="183"/>
      <c r="AJ975" s="183"/>
      <c r="AK975" s="183"/>
      <c r="AL975" s="183"/>
      <c r="AM975" s="183"/>
    </row>
    <row r="976">
      <c r="D976" s="668"/>
      <c r="E976" s="668"/>
      <c r="F976" s="342"/>
      <c r="G976" s="668"/>
      <c r="H976" s="669"/>
      <c r="I976" s="669"/>
      <c r="J976" s="669"/>
      <c r="K976" s="669"/>
      <c r="L976" s="670"/>
      <c r="M976" s="670"/>
      <c r="N976" s="669"/>
      <c r="O976" s="183"/>
      <c r="P976" s="183"/>
      <c r="Q976" s="183"/>
      <c r="R976" s="544"/>
      <c r="S976" s="544"/>
      <c r="T976" s="544"/>
      <c r="U976" s="544"/>
      <c r="V976" s="544"/>
      <c r="W976" s="544"/>
      <c r="X976" s="544"/>
      <c r="Y976" s="544"/>
      <c r="Z976" s="544"/>
      <c r="AA976" s="544"/>
      <c r="AB976" s="544"/>
      <c r="AC976" s="544"/>
      <c r="AD976" s="544"/>
      <c r="AE976" s="183"/>
      <c r="AF976" s="183"/>
      <c r="AG976" s="183"/>
      <c r="AH976" s="183"/>
      <c r="AI976" s="183"/>
      <c r="AJ976" s="183"/>
      <c r="AK976" s="183"/>
      <c r="AL976" s="183"/>
      <c r="AM976" s="183"/>
    </row>
    <row r="977">
      <c r="D977" s="668"/>
      <c r="E977" s="668"/>
      <c r="F977" s="342"/>
      <c r="G977" s="668"/>
      <c r="H977" s="669"/>
      <c r="I977" s="669"/>
      <c r="J977" s="669"/>
      <c r="K977" s="669"/>
      <c r="L977" s="670"/>
      <c r="M977" s="670"/>
      <c r="N977" s="669"/>
      <c r="O977" s="183"/>
      <c r="P977" s="183"/>
      <c r="Q977" s="183"/>
      <c r="R977" s="544"/>
      <c r="S977" s="544"/>
      <c r="T977" s="544"/>
      <c r="U977" s="544"/>
      <c r="V977" s="544"/>
      <c r="W977" s="544"/>
      <c r="X977" s="544"/>
      <c r="Y977" s="544"/>
      <c r="Z977" s="544"/>
      <c r="AA977" s="544"/>
      <c r="AB977" s="544"/>
      <c r="AC977" s="544"/>
      <c r="AD977" s="544"/>
      <c r="AE977" s="183"/>
      <c r="AF977" s="183"/>
      <c r="AG977" s="183"/>
      <c r="AH977" s="183"/>
      <c r="AI977" s="183"/>
      <c r="AJ977" s="183"/>
      <c r="AK977" s="183"/>
      <c r="AL977" s="183"/>
      <c r="AM977" s="183"/>
    </row>
    <row r="978">
      <c r="D978" s="668"/>
      <c r="E978" s="668"/>
      <c r="F978" s="342"/>
      <c r="G978" s="668"/>
      <c r="H978" s="669"/>
      <c r="I978" s="669"/>
      <c r="J978" s="669"/>
      <c r="K978" s="669"/>
      <c r="L978" s="670"/>
      <c r="M978" s="670"/>
      <c r="N978" s="669"/>
      <c r="O978" s="183"/>
      <c r="P978" s="183"/>
      <c r="Q978" s="183"/>
      <c r="R978" s="544"/>
      <c r="S978" s="544"/>
      <c r="T978" s="544"/>
      <c r="U978" s="544"/>
      <c r="V978" s="544"/>
      <c r="W978" s="544"/>
      <c r="X978" s="544"/>
      <c r="Y978" s="544"/>
      <c r="Z978" s="544"/>
      <c r="AA978" s="544"/>
      <c r="AB978" s="544"/>
      <c r="AC978" s="544"/>
      <c r="AD978" s="544"/>
      <c r="AE978" s="183"/>
      <c r="AF978" s="183"/>
      <c r="AG978" s="183"/>
      <c r="AH978" s="183"/>
      <c r="AI978" s="183"/>
      <c r="AJ978" s="183"/>
      <c r="AK978" s="183"/>
      <c r="AL978" s="183"/>
      <c r="AM978" s="183"/>
    </row>
    <row r="979">
      <c r="D979" s="668"/>
      <c r="E979" s="668"/>
      <c r="F979" s="342"/>
      <c r="G979" s="668"/>
      <c r="H979" s="669"/>
      <c r="I979" s="669"/>
      <c r="J979" s="669"/>
      <c r="K979" s="669"/>
      <c r="L979" s="670"/>
      <c r="M979" s="670"/>
      <c r="N979" s="669"/>
      <c r="O979" s="183"/>
      <c r="P979" s="183"/>
      <c r="Q979" s="183"/>
      <c r="R979" s="544"/>
      <c r="S979" s="544"/>
      <c r="T979" s="544"/>
      <c r="U979" s="544"/>
      <c r="V979" s="544"/>
      <c r="W979" s="544"/>
      <c r="X979" s="544"/>
      <c r="Y979" s="544"/>
      <c r="Z979" s="544"/>
      <c r="AA979" s="544"/>
      <c r="AB979" s="544"/>
      <c r="AC979" s="544"/>
      <c r="AD979" s="544"/>
      <c r="AE979" s="183"/>
      <c r="AF979" s="183"/>
      <c r="AG979" s="183"/>
      <c r="AH979" s="183"/>
      <c r="AI979" s="183"/>
      <c r="AJ979" s="183"/>
      <c r="AK979" s="183"/>
      <c r="AL979" s="183"/>
      <c r="AM979" s="183"/>
    </row>
    <row r="980">
      <c r="D980" s="668"/>
      <c r="E980" s="668"/>
      <c r="F980" s="342"/>
      <c r="G980" s="668"/>
      <c r="H980" s="669"/>
      <c r="I980" s="669"/>
      <c r="J980" s="669"/>
      <c r="K980" s="669"/>
      <c r="L980" s="670"/>
      <c r="M980" s="670"/>
      <c r="N980" s="669"/>
      <c r="O980" s="183"/>
      <c r="P980" s="183"/>
      <c r="Q980" s="183"/>
      <c r="R980" s="544"/>
      <c r="S980" s="544"/>
      <c r="T980" s="544"/>
      <c r="U980" s="544"/>
      <c r="V980" s="544"/>
      <c r="W980" s="544"/>
      <c r="X980" s="544"/>
      <c r="Y980" s="544"/>
      <c r="Z980" s="544"/>
      <c r="AA980" s="544"/>
      <c r="AB980" s="544"/>
      <c r="AC980" s="544"/>
      <c r="AD980" s="544"/>
      <c r="AE980" s="183"/>
      <c r="AF980" s="183"/>
      <c r="AG980" s="183"/>
      <c r="AH980" s="183"/>
      <c r="AI980" s="183"/>
      <c r="AJ980" s="183"/>
      <c r="AK980" s="183"/>
      <c r="AL980" s="183"/>
      <c r="AM980" s="183"/>
    </row>
    <row r="981">
      <c r="D981" s="668"/>
      <c r="E981" s="668"/>
      <c r="F981" s="342"/>
      <c r="G981" s="668"/>
      <c r="H981" s="669"/>
      <c r="I981" s="669"/>
      <c r="J981" s="669"/>
      <c r="K981" s="669"/>
      <c r="L981" s="670"/>
      <c r="M981" s="670"/>
      <c r="N981" s="669"/>
      <c r="O981" s="183"/>
      <c r="P981" s="183"/>
      <c r="Q981" s="183"/>
      <c r="R981" s="544"/>
      <c r="S981" s="544"/>
      <c r="T981" s="544"/>
      <c r="U981" s="544"/>
      <c r="V981" s="544"/>
      <c r="W981" s="544"/>
      <c r="X981" s="544"/>
      <c r="Y981" s="544"/>
      <c r="Z981" s="544"/>
      <c r="AA981" s="544"/>
      <c r="AB981" s="544"/>
      <c r="AC981" s="544"/>
      <c r="AD981" s="544"/>
      <c r="AE981" s="183"/>
      <c r="AF981" s="183"/>
      <c r="AG981" s="183"/>
      <c r="AH981" s="183"/>
      <c r="AI981" s="183"/>
      <c r="AJ981" s="183"/>
      <c r="AK981" s="183"/>
      <c r="AL981" s="183"/>
      <c r="AM981" s="183"/>
    </row>
    <row r="982">
      <c r="D982" s="668"/>
      <c r="E982" s="668"/>
      <c r="F982" s="342"/>
      <c r="G982" s="668"/>
      <c r="H982" s="669"/>
      <c r="I982" s="669"/>
      <c r="J982" s="669"/>
      <c r="K982" s="669"/>
      <c r="L982" s="670"/>
      <c r="M982" s="670"/>
      <c r="N982" s="669"/>
      <c r="O982" s="183"/>
      <c r="P982" s="183"/>
      <c r="Q982" s="183"/>
      <c r="R982" s="544"/>
      <c r="S982" s="544"/>
      <c r="T982" s="544"/>
      <c r="U982" s="544"/>
      <c r="V982" s="544"/>
      <c r="W982" s="544"/>
      <c r="X982" s="544"/>
      <c r="Y982" s="544"/>
      <c r="Z982" s="544"/>
      <c r="AA982" s="544"/>
      <c r="AB982" s="544"/>
      <c r="AC982" s="544"/>
      <c r="AD982" s="544"/>
      <c r="AE982" s="183"/>
      <c r="AF982" s="183"/>
      <c r="AG982" s="183"/>
      <c r="AH982" s="183"/>
      <c r="AI982" s="183"/>
      <c r="AJ982" s="183"/>
      <c r="AK982" s="183"/>
      <c r="AL982" s="183"/>
      <c r="AM982" s="183"/>
    </row>
    <row r="983">
      <c r="D983" s="668"/>
      <c r="E983" s="668"/>
      <c r="F983" s="342"/>
      <c r="G983" s="668"/>
      <c r="H983" s="669"/>
      <c r="I983" s="669"/>
      <c r="J983" s="669"/>
      <c r="K983" s="669"/>
      <c r="L983" s="670"/>
      <c r="M983" s="670"/>
      <c r="N983" s="669"/>
      <c r="O983" s="183"/>
      <c r="P983" s="183"/>
      <c r="Q983" s="183"/>
      <c r="R983" s="544"/>
      <c r="S983" s="544"/>
      <c r="T983" s="544"/>
      <c r="U983" s="544"/>
      <c r="V983" s="544"/>
      <c r="W983" s="544"/>
      <c r="X983" s="544"/>
      <c r="Y983" s="544"/>
      <c r="Z983" s="544"/>
      <c r="AA983" s="544"/>
      <c r="AB983" s="544"/>
      <c r="AC983" s="544"/>
      <c r="AD983" s="544"/>
      <c r="AE983" s="183"/>
      <c r="AF983" s="183"/>
      <c r="AG983" s="183"/>
      <c r="AH983" s="183"/>
      <c r="AI983" s="183"/>
      <c r="AJ983" s="183"/>
      <c r="AK983" s="183"/>
      <c r="AL983" s="183"/>
      <c r="AM983" s="183"/>
    </row>
    <row r="984">
      <c r="D984" s="668"/>
      <c r="E984" s="668"/>
      <c r="F984" s="342"/>
      <c r="G984" s="668"/>
      <c r="H984" s="669"/>
      <c r="I984" s="669"/>
      <c r="J984" s="669"/>
      <c r="K984" s="669"/>
      <c r="L984" s="670"/>
      <c r="M984" s="670"/>
      <c r="N984" s="669"/>
      <c r="O984" s="183"/>
      <c r="P984" s="183"/>
      <c r="Q984" s="183"/>
      <c r="R984" s="544"/>
      <c r="S984" s="544"/>
      <c r="T984" s="544"/>
      <c r="U984" s="544"/>
      <c r="V984" s="544"/>
      <c r="W984" s="544"/>
      <c r="X984" s="544"/>
      <c r="Y984" s="544"/>
      <c r="Z984" s="544"/>
      <c r="AA984" s="544"/>
      <c r="AB984" s="544"/>
      <c r="AC984" s="544"/>
      <c r="AD984" s="544"/>
      <c r="AE984" s="183"/>
      <c r="AF984" s="183"/>
      <c r="AG984" s="183"/>
      <c r="AH984" s="183"/>
      <c r="AI984" s="183"/>
      <c r="AJ984" s="183"/>
      <c r="AK984" s="183"/>
      <c r="AL984" s="183"/>
      <c r="AM984" s="183"/>
    </row>
    <row r="985">
      <c r="D985" s="668"/>
      <c r="E985" s="668"/>
      <c r="F985" s="342"/>
      <c r="G985" s="668"/>
      <c r="H985" s="669"/>
      <c r="I985" s="669"/>
      <c r="J985" s="669"/>
      <c r="K985" s="669"/>
      <c r="L985" s="670"/>
      <c r="M985" s="670"/>
      <c r="N985" s="669"/>
      <c r="O985" s="183"/>
      <c r="P985" s="183"/>
      <c r="Q985" s="183"/>
      <c r="R985" s="544"/>
      <c r="S985" s="544"/>
      <c r="T985" s="544"/>
      <c r="U985" s="544"/>
      <c r="V985" s="544"/>
      <c r="W985" s="544"/>
      <c r="X985" s="544"/>
      <c r="Y985" s="544"/>
      <c r="Z985" s="544"/>
      <c r="AA985" s="544"/>
      <c r="AB985" s="544"/>
      <c r="AC985" s="544"/>
      <c r="AD985" s="544"/>
      <c r="AE985" s="183"/>
      <c r="AF985" s="183"/>
      <c r="AG985" s="183"/>
      <c r="AH985" s="183"/>
      <c r="AI985" s="183"/>
      <c r="AJ985" s="183"/>
      <c r="AK985" s="183"/>
      <c r="AL985" s="183"/>
      <c r="AM985" s="183"/>
    </row>
    <row r="986">
      <c r="D986" s="668"/>
      <c r="E986" s="668"/>
      <c r="F986" s="342"/>
      <c r="G986" s="668"/>
      <c r="H986" s="669"/>
      <c r="I986" s="669"/>
      <c r="J986" s="669"/>
      <c r="K986" s="669"/>
      <c r="L986" s="670"/>
      <c r="M986" s="670"/>
      <c r="N986" s="669"/>
      <c r="O986" s="183"/>
      <c r="P986" s="183"/>
      <c r="Q986" s="183"/>
      <c r="R986" s="544"/>
      <c r="S986" s="544"/>
      <c r="T986" s="544"/>
      <c r="U986" s="544"/>
      <c r="V986" s="544"/>
      <c r="W986" s="544"/>
      <c r="X986" s="544"/>
      <c r="Y986" s="544"/>
      <c r="Z986" s="544"/>
      <c r="AA986" s="544"/>
      <c r="AB986" s="544"/>
      <c r="AC986" s="544"/>
      <c r="AD986" s="544"/>
      <c r="AE986" s="183"/>
      <c r="AF986" s="183"/>
      <c r="AG986" s="183"/>
      <c r="AH986" s="183"/>
      <c r="AI986" s="183"/>
      <c r="AJ986" s="183"/>
      <c r="AK986" s="183"/>
      <c r="AL986" s="183"/>
      <c r="AM986" s="183"/>
    </row>
    <row r="987">
      <c r="D987" s="668"/>
      <c r="E987" s="668"/>
      <c r="F987" s="342"/>
      <c r="G987" s="668"/>
      <c r="H987" s="669"/>
      <c r="I987" s="669"/>
      <c r="J987" s="669"/>
      <c r="K987" s="669"/>
      <c r="L987" s="670"/>
      <c r="M987" s="670"/>
      <c r="N987" s="669"/>
      <c r="O987" s="183"/>
      <c r="P987" s="183"/>
      <c r="Q987" s="183"/>
      <c r="R987" s="544"/>
      <c r="S987" s="544"/>
      <c r="T987" s="544"/>
      <c r="U987" s="544"/>
      <c r="V987" s="544"/>
      <c r="W987" s="544"/>
      <c r="X987" s="544"/>
      <c r="Y987" s="544"/>
      <c r="Z987" s="544"/>
      <c r="AA987" s="544"/>
      <c r="AB987" s="544"/>
      <c r="AC987" s="544"/>
      <c r="AD987" s="544"/>
      <c r="AE987" s="183"/>
      <c r="AF987" s="183"/>
      <c r="AG987" s="183"/>
      <c r="AH987" s="183"/>
      <c r="AI987" s="183"/>
      <c r="AJ987" s="183"/>
      <c r="AK987" s="183"/>
      <c r="AL987" s="183"/>
      <c r="AM987" s="183"/>
    </row>
    <row r="988">
      <c r="D988" s="668"/>
      <c r="E988" s="668"/>
      <c r="F988" s="342"/>
      <c r="G988" s="668"/>
      <c r="H988" s="669"/>
      <c r="I988" s="669"/>
      <c r="J988" s="669"/>
      <c r="K988" s="669"/>
      <c r="L988" s="670"/>
      <c r="M988" s="670"/>
      <c r="N988" s="669"/>
      <c r="O988" s="183"/>
      <c r="P988" s="183"/>
      <c r="Q988" s="183"/>
      <c r="R988" s="544"/>
      <c r="S988" s="544"/>
      <c r="T988" s="544"/>
      <c r="U988" s="544"/>
      <c r="V988" s="544"/>
      <c r="W988" s="544"/>
      <c r="X988" s="544"/>
      <c r="Y988" s="544"/>
      <c r="Z988" s="544"/>
      <c r="AA988" s="544"/>
      <c r="AB988" s="544"/>
      <c r="AC988" s="544"/>
      <c r="AD988" s="544"/>
      <c r="AE988" s="183"/>
      <c r="AF988" s="183"/>
      <c r="AG988" s="183"/>
      <c r="AH988" s="183"/>
      <c r="AI988" s="183"/>
      <c r="AJ988" s="183"/>
      <c r="AK988" s="183"/>
      <c r="AL988" s="183"/>
      <c r="AM988" s="183"/>
    </row>
    <row r="989">
      <c r="D989" s="668"/>
      <c r="E989" s="668"/>
      <c r="F989" s="342"/>
      <c r="G989" s="668"/>
      <c r="H989" s="669"/>
      <c r="I989" s="669"/>
      <c r="J989" s="669"/>
      <c r="K989" s="669"/>
      <c r="L989" s="670"/>
      <c r="M989" s="670"/>
      <c r="N989" s="669"/>
      <c r="O989" s="183"/>
      <c r="P989" s="183"/>
      <c r="Q989" s="183"/>
      <c r="R989" s="544"/>
      <c r="S989" s="544"/>
      <c r="T989" s="544"/>
      <c r="U989" s="544"/>
      <c r="V989" s="544"/>
      <c r="W989" s="544"/>
      <c r="X989" s="544"/>
      <c r="Y989" s="544"/>
      <c r="Z989" s="544"/>
      <c r="AA989" s="544"/>
      <c r="AB989" s="544"/>
      <c r="AC989" s="544"/>
      <c r="AD989" s="544"/>
      <c r="AE989" s="183"/>
      <c r="AF989" s="183"/>
      <c r="AG989" s="183"/>
      <c r="AH989" s="183"/>
      <c r="AI989" s="183"/>
      <c r="AJ989" s="183"/>
      <c r="AK989" s="183"/>
      <c r="AL989" s="183"/>
      <c r="AM989" s="183"/>
    </row>
    <row r="990">
      <c r="D990" s="668"/>
      <c r="E990" s="668"/>
      <c r="F990" s="342"/>
      <c r="G990" s="668"/>
      <c r="H990" s="669"/>
      <c r="I990" s="669"/>
      <c r="J990" s="669"/>
      <c r="K990" s="669"/>
      <c r="L990" s="670"/>
      <c r="M990" s="670"/>
      <c r="N990" s="669"/>
      <c r="O990" s="183"/>
      <c r="P990" s="183"/>
      <c r="Q990" s="183"/>
      <c r="R990" s="544"/>
      <c r="S990" s="544"/>
      <c r="T990" s="544"/>
      <c r="U990" s="544"/>
      <c r="V990" s="544"/>
      <c r="W990" s="544"/>
      <c r="X990" s="544"/>
      <c r="Y990" s="544"/>
      <c r="Z990" s="544"/>
      <c r="AA990" s="544"/>
      <c r="AB990" s="544"/>
      <c r="AC990" s="544"/>
      <c r="AD990" s="544"/>
      <c r="AE990" s="183"/>
      <c r="AF990" s="183"/>
      <c r="AG990" s="183"/>
      <c r="AH990" s="183"/>
      <c r="AI990" s="183"/>
      <c r="AJ990" s="183"/>
      <c r="AK990" s="183"/>
      <c r="AL990" s="183"/>
      <c r="AM990" s="183"/>
    </row>
    <row r="991">
      <c r="D991" s="668"/>
      <c r="E991" s="668"/>
      <c r="F991" s="342"/>
      <c r="G991" s="668"/>
      <c r="H991" s="669"/>
      <c r="I991" s="669"/>
      <c r="J991" s="669"/>
      <c r="K991" s="669"/>
      <c r="L991" s="670"/>
      <c r="M991" s="670"/>
      <c r="N991" s="669"/>
      <c r="O991" s="183"/>
      <c r="P991" s="183"/>
      <c r="Q991" s="183"/>
      <c r="R991" s="544"/>
      <c r="S991" s="544"/>
      <c r="T991" s="544"/>
      <c r="U991" s="544"/>
      <c r="V991" s="544"/>
      <c r="W991" s="544"/>
      <c r="X991" s="544"/>
      <c r="Y991" s="544"/>
      <c r="Z991" s="544"/>
      <c r="AA991" s="544"/>
      <c r="AB991" s="544"/>
      <c r="AC991" s="544"/>
      <c r="AD991" s="544"/>
      <c r="AE991" s="183"/>
      <c r="AF991" s="183"/>
      <c r="AG991" s="183"/>
      <c r="AH991" s="183"/>
      <c r="AI991" s="183"/>
      <c r="AJ991" s="183"/>
      <c r="AK991" s="183"/>
      <c r="AL991" s="183"/>
      <c r="AM991" s="183"/>
    </row>
    <row r="992">
      <c r="D992" s="668"/>
      <c r="E992" s="668"/>
      <c r="F992" s="342"/>
      <c r="G992" s="668"/>
      <c r="H992" s="669"/>
      <c r="I992" s="669"/>
      <c r="J992" s="669"/>
      <c r="K992" s="669"/>
      <c r="L992" s="670"/>
      <c r="M992" s="670"/>
      <c r="N992" s="669"/>
      <c r="O992" s="183"/>
      <c r="P992" s="183"/>
      <c r="Q992" s="183"/>
      <c r="R992" s="544"/>
      <c r="S992" s="544"/>
      <c r="T992" s="544"/>
      <c r="U992" s="544"/>
      <c r="V992" s="544"/>
      <c r="W992" s="544"/>
      <c r="X992" s="544"/>
      <c r="Y992" s="544"/>
      <c r="Z992" s="544"/>
      <c r="AA992" s="544"/>
      <c r="AB992" s="544"/>
      <c r="AC992" s="544"/>
      <c r="AD992" s="544"/>
      <c r="AE992" s="183"/>
      <c r="AF992" s="183"/>
      <c r="AG992" s="183"/>
      <c r="AH992" s="183"/>
      <c r="AI992" s="183"/>
      <c r="AJ992" s="183"/>
      <c r="AK992" s="183"/>
      <c r="AL992" s="183"/>
      <c r="AM992" s="183"/>
    </row>
    <row r="993">
      <c r="D993" s="668"/>
      <c r="E993" s="668"/>
      <c r="F993" s="342"/>
      <c r="G993" s="668"/>
      <c r="H993" s="669"/>
      <c r="I993" s="669"/>
      <c r="J993" s="669"/>
      <c r="K993" s="669"/>
      <c r="L993" s="670"/>
      <c r="M993" s="670"/>
      <c r="N993" s="669"/>
      <c r="O993" s="183"/>
      <c r="P993" s="183"/>
      <c r="Q993" s="183"/>
      <c r="R993" s="544"/>
      <c r="S993" s="544"/>
      <c r="T993" s="544"/>
      <c r="U993" s="544"/>
      <c r="V993" s="544"/>
      <c r="W993" s="544"/>
      <c r="X993" s="544"/>
      <c r="Y993" s="544"/>
      <c r="Z993" s="544"/>
      <c r="AA993" s="544"/>
      <c r="AB993" s="544"/>
      <c r="AC993" s="544"/>
      <c r="AD993" s="544"/>
      <c r="AE993" s="183"/>
      <c r="AF993" s="183"/>
      <c r="AG993" s="183"/>
      <c r="AH993" s="183"/>
      <c r="AI993" s="183"/>
      <c r="AJ993" s="183"/>
      <c r="AK993" s="183"/>
      <c r="AL993" s="183"/>
      <c r="AM993" s="183"/>
    </row>
    <row r="994">
      <c r="D994" s="668"/>
      <c r="E994" s="668"/>
      <c r="F994" s="342"/>
      <c r="G994" s="668"/>
      <c r="H994" s="669"/>
      <c r="I994" s="669"/>
      <c r="J994" s="669"/>
      <c r="K994" s="669"/>
      <c r="L994" s="670"/>
      <c r="M994" s="670"/>
      <c r="N994" s="669"/>
      <c r="O994" s="183"/>
      <c r="P994" s="183"/>
      <c r="Q994" s="183"/>
      <c r="R994" s="544"/>
      <c r="S994" s="544"/>
      <c r="T994" s="544"/>
      <c r="U994" s="544"/>
      <c r="V994" s="544"/>
      <c r="W994" s="544"/>
      <c r="X994" s="544"/>
      <c r="Y994" s="544"/>
      <c r="Z994" s="544"/>
      <c r="AA994" s="544"/>
      <c r="AB994" s="544"/>
      <c r="AC994" s="544"/>
      <c r="AD994" s="544"/>
      <c r="AE994" s="183"/>
      <c r="AF994" s="183"/>
      <c r="AG994" s="183"/>
      <c r="AH994" s="183"/>
      <c r="AI994" s="183"/>
      <c r="AJ994" s="183"/>
      <c r="AK994" s="183"/>
      <c r="AL994" s="183"/>
      <c r="AM994" s="183"/>
    </row>
    <row r="995">
      <c r="D995" s="668"/>
      <c r="E995" s="668"/>
      <c r="F995" s="342"/>
      <c r="G995" s="668"/>
      <c r="H995" s="669"/>
      <c r="I995" s="669"/>
      <c r="J995" s="669"/>
      <c r="K995" s="669"/>
      <c r="L995" s="670"/>
      <c r="M995" s="670"/>
      <c r="N995" s="669"/>
      <c r="O995" s="183"/>
      <c r="P995" s="183"/>
      <c r="Q995" s="183"/>
      <c r="R995" s="544"/>
      <c r="S995" s="544"/>
      <c r="T995" s="544"/>
      <c r="U995" s="544"/>
      <c r="V995" s="544"/>
      <c r="W995" s="544"/>
      <c r="X995" s="544"/>
      <c r="Y995" s="544"/>
      <c r="Z995" s="544"/>
      <c r="AA995" s="544"/>
      <c r="AB995" s="544"/>
      <c r="AC995" s="544"/>
      <c r="AD995" s="544"/>
      <c r="AE995" s="183"/>
      <c r="AF995" s="183"/>
      <c r="AG995" s="183"/>
      <c r="AH995" s="183"/>
      <c r="AI995" s="183"/>
      <c r="AJ995" s="183"/>
      <c r="AK995" s="183"/>
      <c r="AL995" s="183"/>
      <c r="AM995" s="183"/>
    </row>
    <row r="996">
      <c r="D996" s="668"/>
      <c r="E996" s="668"/>
      <c r="F996" s="342"/>
      <c r="G996" s="668"/>
      <c r="H996" s="669"/>
      <c r="I996" s="669"/>
      <c r="J996" s="669"/>
      <c r="K996" s="669"/>
      <c r="L996" s="670"/>
      <c r="M996" s="670"/>
      <c r="N996" s="669"/>
      <c r="O996" s="183"/>
      <c r="P996" s="183"/>
      <c r="Q996" s="183"/>
      <c r="R996" s="544"/>
      <c r="S996" s="544"/>
      <c r="T996" s="544"/>
      <c r="U996" s="544"/>
      <c r="V996" s="544"/>
      <c r="W996" s="544"/>
      <c r="X996" s="544"/>
      <c r="Y996" s="544"/>
      <c r="Z996" s="544"/>
      <c r="AA996" s="544"/>
      <c r="AB996" s="544"/>
      <c r="AC996" s="544"/>
      <c r="AD996" s="544"/>
      <c r="AE996" s="183"/>
      <c r="AF996" s="183"/>
      <c r="AG996" s="183"/>
      <c r="AH996" s="183"/>
      <c r="AI996" s="183"/>
      <c r="AJ996" s="183"/>
      <c r="AK996" s="183"/>
      <c r="AL996" s="183"/>
      <c r="AM996" s="183"/>
    </row>
    <row r="997">
      <c r="D997" s="668"/>
      <c r="E997" s="668"/>
      <c r="F997" s="342"/>
      <c r="G997" s="668"/>
      <c r="H997" s="669"/>
      <c r="I997" s="669"/>
      <c r="J997" s="669"/>
      <c r="K997" s="669"/>
      <c r="L997" s="670"/>
      <c r="M997" s="670"/>
      <c r="N997" s="669"/>
      <c r="O997" s="183"/>
      <c r="P997" s="183"/>
      <c r="Q997" s="183"/>
      <c r="R997" s="544"/>
      <c r="S997" s="544"/>
      <c r="T997" s="544"/>
      <c r="U997" s="544"/>
      <c r="V997" s="544"/>
      <c r="W997" s="544"/>
      <c r="X997" s="544"/>
      <c r="Y997" s="544"/>
      <c r="Z997" s="544"/>
      <c r="AA997" s="544"/>
      <c r="AB997" s="544"/>
      <c r="AC997" s="544"/>
      <c r="AD997" s="544"/>
      <c r="AE997" s="183"/>
      <c r="AF997" s="183"/>
      <c r="AG997" s="183"/>
      <c r="AH997" s="183"/>
      <c r="AI997" s="183"/>
      <c r="AJ997" s="183"/>
      <c r="AK997" s="183"/>
      <c r="AL997" s="183"/>
      <c r="AM997" s="183"/>
    </row>
    <row r="998">
      <c r="D998" s="668"/>
      <c r="E998" s="668"/>
      <c r="F998" s="342"/>
      <c r="G998" s="668"/>
      <c r="H998" s="669"/>
      <c r="I998" s="669"/>
      <c r="J998" s="669"/>
      <c r="K998" s="669"/>
      <c r="L998" s="670"/>
      <c r="M998" s="670"/>
      <c r="N998" s="669"/>
      <c r="O998" s="183"/>
      <c r="P998" s="183"/>
      <c r="Q998" s="183"/>
      <c r="R998" s="544"/>
      <c r="S998" s="544"/>
      <c r="T998" s="544"/>
      <c r="U998" s="544"/>
      <c r="V998" s="544"/>
      <c r="W998" s="544"/>
      <c r="X998" s="544"/>
      <c r="Y998" s="544"/>
      <c r="Z998" s="544"/>
      <c r="AA998" s="544"/>
      <c r="AB998" s="544"/>
      <c r="AC998" s="544"/>
      <c r="AD998" s="544"/>
      <c r="AE998" s="183"/>
      <c r="AF998" s="183"/>
      <c r="AG998" s="183"/>
      <c r="AH998" s="183"/>
      <c r="AI998" s="183"/>
      <c r="AJ998" s="183"/>
      <c r="AK998" s="183"/>
      <c r="AL998" s="183"/>
      <c r="AM998" s="183"/>
    </row>
    <row r="999">
      <c r="D999" s="668"/>
      <c r="E999" s="668"/>
      <c r="F999" s="342"/>
      <c r="G999" s="668"/>
      <c r="H999" s="669"/>
      <c r="I999" s="669"/>
      <c r="J999" s="669"/>
      <c r="K999" s="669"/>
      <c r="L999" s="670"/>
      <c r="M999" s="670"/>
      <c r="N999" s="669"/>
      <c r="O999" s="183"/>
      <c r="P999" s="183"/>
      <c r="Q999" s="183"/>
      <c r="R999" s="544"/>
      <c r="S999" s="544"/>
      <c r="T999" s="544"/>
      <c r="U999" s="544"/>
      <c r="V999" s="544"/>
      <c r="W999" s="544"/>
      <c r="X999" s="544"/>
      <c r="Y999" s="544"/>
      <c r="Z999" s="544"/>
      <c r="AA999" s="544"/>
      <c r="AB999" s="544"/>
      <c r="AC999" s="544"/>
      <c r="AD999" s="544"/>
      <c r="AE999" s="183"/>
      <c r="AF999" s="183"/>
      <c r="AG999" s="183"/>
      <c r="AH999" s="183"/>
      <c r="AI999" s="183"/>
      <c r="AJ999" s="183"/>
      <c r="AK999" s="183"/>
      <c r="AL999" s="183"/>
      <c r="AM999" s="183"/>
    </row>
    <row r="1000">
      <c r="D1000" s="668"/>
      <c r="E1000" s="668"/>
      <c r="F1000" s="342"/>
      <c r="G1000" s="668"/>
      <c r="H1000" s="669"/>
      <c r="I1000" s="669"/>
      <c r="J1000" s="669"/>
      <c r="K1000" s="669"/>
      <c r="L1000" s="670"/>
      <c r="M1000" s="670"/>
      <c r="N1000" s="669"/>
      <c r="O1000" s="183"/>
      <c r="P1000" s="183"/>
      <c r="Q1000" s="183"/>
      <c r="R1000" s="544"/>
      <c r="S1000" s="544"/>
      <c r="T1000" s="544"/>
      <c r="U1000" s="544"/>
      <c r="V1000" s="544"/>
      <c r="W1000" s="544"/>
      <c r="X1000" s="544"/>
      <c r="Y1000" s="544"/>
      <c r="Z1000" s="544"/>
      <c r="AA1000" s="544"/>
      <c r="AB1000" s="544"/>
      <c r="AC1000" s="544"/>
      <c r="AD1000" s="544"/>
      <c r="AE1000" s="183"/>
      <c r="AF1000" s="183"/>
      <c r="AG1000" s="183"/>
      <c r="AH1000" s="183"/>
      <c r="AI1000" s="183"/>
      <c r="AJ1000" s="183"/>
      <c r="AK1000" s="183"/>
      <c r="AL1000" s="183"/>
      <c r="AM1000" s="183"/>
    </row>
    <row r="1001">
      <c r="D1001" s="668"/>
      <c r="E1001" s="668"/>
      <c r="F1001" s="342"/>
      <c r="G1001" s="668"/>
      <c r="H1001" s="669"/>
      <c r="I1001" s="669"/>
      <c r="J1001" s="669"/>
      <c r="K1001" s="669"/>
      <c r="L1001" s="670"/>
      <c r="M1001" s="670"/>
      <c r="N1001" s="669"/>
      <c r="O1001" s="183"/>
      <c r="P1001" s="183"/>
      <c r="Q1001" s="183"/>
      <c r="R1001" s="544"/>
      <c r="S1001" s="544"/>
      <c r="T1001" s="544"/>
      <c r="U1001" s="544"/>
      <c r="V1001" s="544"/>
      <c r="W1001" s="544"/>
      <c r="X1001" s="544"/>
      <c r="Y1001" s="544"/>
      <c r="Z1001" s="544"/>
      <c r="AA1001" s="544"/>
      <c r="AB1001" s="544"/>
      <c r="AC1001" s="544"/>
      <c r="AD1001" s="544"/>
      <c r="AE1001" s="183"/>
      <c r="AF1001" s="183"/>
      <c r="AG1001" s="183"/>
      <c r="AH1001" s="183"/>
      <c r="AI1001" s="183"/>
      <c r="AJ1001" s="183"/>
      <c r="AK1001" s="183"/>
      <c r="AL1001" s="183"/>
      <c r="AM1001" s="183"/>
    </row>
    <row r="1002">
      <c r="D1002" s="668"/>
      <c r="E1002" s="668"/>
      <c r="F1002" s="342"/>
      <c r="G1002" s="668"/>
      <c r="H1002" s="669"/>
      <c r="I1002" s="669"/>
      <c r="J1002" s="669"/>
      <c r="K1002" s="669"/>
      <c r="L1002" s="670"/>
      <c r="M1002" s="670"/>
      <c r="N1002" s="669"/>
      <c r="O1002" s="183"/>
      <c r="P1002" s="183"/>
      <c r="Q1002" s="183"/>
      <c r="R1002" s="544"/>
      <c r="S1002" s="544"/>
      <c r="T1002" s="544"/>
      <c r="U1002" s="544"/>
      <c r="V1002" s="544"/>
      <c r="W1002" s="544"/>
      <c r="X1002" s="544"/>
      <c r="Y1002" s="544"/>
      <c r="Z1002" s="544"/>
      <c r="AA1002" s="544"/>
      <c r="AB1002" s="544"/>
      <c r="AC1002" s="544"/>
      <c r="AD1002" s="544"/>
      <c r="AE1002" s="183"/>
      <c r="AF1002" s="183"/>
      <c r="AG1002" s="183"/>
      <c r="AH1002" s="183"/>
      <c r="AI1002" s="183"/>
      <c r="AJ1002" s="183"/>
      <c r="AK1002" s="183"/>
      <c r="AL1002" s="183"/>
      <c r="AM1002" s="183"/>
    </row>
    <row r="1003">
      <c r="D1003" s="668"/>
      <c r="E1003" s="668"/>
      <c r="F1003" s="342"/>
      <c r="G1003" s="668"/>
      <c r="H1003" s="669"/>
      <c r="I1003" s="669"/>
      <c r="J1003" s="669"/>
      <c r="K1003" s="669"/>
      <c r="L1003" s="670"/>
      <c r="M1003" s="670"/>
      <c r="N1003" s="669"/>
      <c r="O1003" s="183"/>
      <c r="P1003" s="183"/>
      <c r="Q1003" s="183"/>
      <c r="R1003" s="544"/>
      <c r="S1003" s="544"/>
      <c r="T1003" s="544"/>
      <c r="U1003" s="544"/>
      <c r="V1003" s="544"/>
      <c r="W1003" s="544"/>
      <c r="X1003" s="544"/>
      <c r="Y1003" s="544"/>
      <c r="Z1003" s="544"/>
      <c r="AA1003" s="544"/>
      <c r="AB1003" s="544"/>
      <c r="AC1003" s="544"/>
      <c r="AD1003" s="544"/>
      <c r="AE1003" s="183"/>
      <c r="AF1003" s="183"/>
      <c r="AG1003" s="183"/>
      <c r="AH1003" s="183"/>
      <c r="AI1003" s="183"/>
      <c r="AJ1003" s="183"/>
      <c r="AK1003" s="183"/>
      <c r="AL1003" s="183"/>
      <c r="AM1003" s="183"/>
    </row>
    <row r="1004">
      <c r="D1004" s="668"/>
      <c r="E1004" s="668"/>
      <c r="F1004" s="342"/>
      <c r="G1004" s="668"/>
      <c r="H1004" s="669"/>
      <c r="I1004" s="669"/>
      <c r="J1004" s="669"/>
      <c r="K1004" s="669"/>
      <c r="L1004" s="670"/>
      <c r="M1004" s="670"/>
      <c r="N1004" s="669"/>
      <c r="O1004" s="183"/>
      <c r="P1004" s="183"/>
      <c r="Q1004" s="183"/>
      <c r="R1004" s="544"/>
      <c r="S1004" s="544"/>
      <c r="T1004" s="544"/>
      <c r="U1004" s="544"/>
      <c r="V1004" s="544"/>
      <c r="W1004" s="544"/>
      <c r="X1004" s="544"/>
      <c r="Y1004" s="544"/>
      <c r="Z1004" s="544"/>
      <c r="AA1004" s="544"/>
      <c r="AB1004" s="544"/>
      <c r="AC1004" s="544"/>
      <c r="AD1004" s="544"/>
      <c r="AE1004" s="183"/>
      <c r="AF1004" s="183"/>
      <c r="AG1004" s="183"/>
      <c r="AH1004" s="183"/>
      <c r="AI1004" s="183"/>
      <c r="AJ1004" s="183"/>
      <c r="AK1004" s="183"/>
      <c r="AL1004" s="183"/>
      <c r="AM1004" s="183"/>
    </row>
    <row r="1005">
      <c r="D1005" s="668"/>
      <c r="E1005" s="668"/>
      <c r="F1005" s="342"/>
      <c r="G1005" s="668"/>
      <c r="H1005" s="669"/>
      <c r="I1005" s="669"/>
      <c r="J1005" s="669"/>
      <c r="K1005" s="669"/>
      <c r="L1005" s="670"/>
      <c r="M1005" s="670"/>
      <c r="N1005" s="669"/>
      <c r="O1005" s="183"/>
      <c r="P1005" s="183"/>
      <c r="Q1005" s="183"/>
      <c r="R1005" s="544"/>
      <c r="S1005" s="544"/>
      <c r="T1005" s="544"/>
      <c r="U1005" s="544"/>
      <c r="V1005" s="544"/>
      <c r="W1005" s="544"/>
      <c r="X1005" s="544"/>
      <c r="Y1005" s="544"/>
      <c r="Z1005" s="544"/>
      <c r="AA1005" s="544"/>
      <c r="AB1005" s="544"/>
      <c r="AC1005" s="544"/>
      <c r="AD1005" s="544"/>
      <c r="AE1005" s="183"/>
      <c r="AF1005" s="183"/>
      <c r="AG1005" s="183"/>
      <c r="AH1005" s="183"/>
      <c r="AI1005" s="183"/>
      <c r="AJ1005" s="183"/>
      <c r="AK1005" s="183"/>
      <c r="AL1005" s="183"/>
      <c r="AM1005" s="183"/>
    </row>
    <row r="1006">
      <c r="D1006" s="668"/>
      <c r="E1006" s="668"/>
      <c r="F1006" s="342"/>
      <c r="G1006" s="668"/>
      <c r="H1006" s="669"/>
      <c r="I1006" s="669"/>
      <c r="J1006" s="669"/>
      <c r="K1006" s="669"/>
      <c r="L1006" s="670"/>
      <c r="M1006" s="670"/>
      <c r="N1006" s="669"/>
      <c r="O1006" s="183"/>
      <c r="P1006" s="183"/>
      <c r="Q1006" s="183"/>
      <c r="R1006" s="544"/>
      <c r="S1006" s="544"/>
      <c r="T1006" s="544"/>
      <c r="U1006" s="544"/>
      <c r="V1006" s="544"/>
      <c r="W1006" s="544"/>
      <c r="X1006" s="544"/>
      <c r="Y1006" s="544"/>
      <c r="Z1006" s="544"/>
      <c r="AA1006" s="544"/>
      <c r="AB1006" s="544"/>
      <c r="AC1006" s="544"/>
      <c r="AD1006" s="544"/>
      <c r="AE1006" s="183"/>
      <c r="AF1006" s="183"/>
      <c r="AG1006" s="183"/>
      <c r="AH1006" s="183"/>
      <c r="AI1006" s="183"/>
      <c r="AJ1006" s="183"/>
      <c r="AK1006" s="183"/>
      <c r="AL1006" s="183"/>
      <c r="AM1006" s="183"/>
    </row>
    <row r="1007">
      <c r="D1007" s="668"/>
      <c r="E1007" s="668"/>
      <c r="F1007" s="342"/>
      <c r="G1007" s="668"/>
      <c r="H1007" s="669"/>
      <c r="I1007" s="669"/>
      <c r="J1007" s="669"/>
      <c r="K1007" s="669"/>
      <c r="L1007" s="670"/>
      <c r="M1007" s="670"/>
      <c r="N1007" s="669"/>
      <c r="O1007" s="183"/>
      <c r="P1007" s="183"/>
      <c r="Q1007" s="183"/>
      <c r="R1007" s="544"/>
      <c r="S1007" s="544"/>
      <c r="T1007" s="544"/>
      <c r="U1007" s="544"/>
      <c r="V1007" s="544"/>
      <c r="W1007" s="544"/>
      <c r="X1007" s="544"/>
      <c r="Y1007" s="544"/>
      <c r="Z1007" s="544"/>
      <c r="AA1007" s="544"/>
      <c r="AB1007" s="544"/>
      <c r="AC1007" s="544"/>
      <c r="AD1007" s="544"/>
      <c r="AE1007" s="183"/>
      <c r="AF1007" s="183"/>
      <c r="AG1007" s="183"/>
      <c r="AH1007" s="183"/>
      <c r="AI1007" s="183"/>
      <c r="AJ1007" s="183"/>
      <c r="AK1007" s="183"/>
      <c r="AL1007" s="183"/>
      <c r="AM1007" s="183"/>
    </row>
    <row r="1008">
      <c r="D1008" s="668"/>
      <c r="E1008" s="668"/>
      <c r="F1008" s="342"/>
      <c r="G1008" s="668"/>
      <c r="H1008" s="669"/>
      <c r="I1008" s="669"/>
      <c r="J1008" s="669"/>
      <c r="K1008" s="669"/>
      <c r="L1008" s="670"/>
      <c r="M1008" s="670"/>
      <c r="N1008" s="669"/>
      <c r="O1008" s="183"/>
      <c r="P1008" s="183"/>
      <c r="Q1008" s="183"/>
      <c r="R1008" s="544"/>
      <c r="S1008" s="544"/>
      <c r="T1008" s="544"/>
      <c r="U1008" s="544"/>
      <c r="V1008" s="544"/>
      <c r="W1008" s="544"/>
      <c r="X1008" s="544"/>
      <c r="Y1008" s="544"/>
      <c r="Z1008" s="544"/>
      <c r="AA1008" s="544"/>
      <c r="AB1008" s="544"/>
      <c r="AC1008" s="544"/>
      <c r="AD1008" s="544"/>
      <c r="AE1008" s="183"/>
      <c r="AF1008" s="183"/>
      <c r="AG1008" s="183"/>
      <c r="AH1008" s="183"/>
      <c r="AI1008" s="183"/>
      <c r="AJ1008" s="183"/>
      <c r="AK1008" s="183"/>
      <c r="AL1008" s="183"/>
      <c r="AM1008" s="183"/>
    </row>
    <row r="1009">
      <c r="D1009" s="668"/>
      <c r="E1009" s="668"/>
      <c r="F1009" s="342"/>
      <c r="G1009" s="668"/>
      <c r="H1009" s="669"/>
      <c r="I1009" s="669"/>
      <c r="J1009" s="669"/>
      <c r="K1009" s="669"/>
      <c r="L1009" s="670"/>
      <c r="M1009" s="670"/>
      <c r="N1009" s="669"/>
      <c r="O1009" s="183"/>
      <c r="P1009" s="183"/>
      <c r="Q1009" s="183"/>
      <c r="R1009" s="544"/>
      <c r="S1009" s="544"/>
      <c r="T1009" s="544"/>
      <c r="U1009" s="544"/>
      <c r="V1009" s="544"/>
      <c r="W1009" s="544"/>
      <c r="X1009" s="544"/>
      <c r="Y1009" s="544"/>
      <c r="Z1009" s="544"/>
      <c r="AA1009" s="544"/>
      <c r="AB1009" s="544"/>
      <c r="AC1009" s="544"/>
      <c r="AD1009" s="544"/>
      <c r="AE1009" s="183"/>
      <c r="AF1009" s="183"/>
      <c r="AG1009" s="183"/>
      <c r="AH1009" s="183"/>
      <c r="AI1009" s="183"/>
      <c r="AJ1009" s="183"/>
      <c r="AK1009" s="183"/>
      <c r="AL1009" s="183"/>
      <c r="AM1009" s="183"/>
    </row>
    <row r="1010">
      <c r="D1010" s="668"/>
      <c r="E1010" s="668"/>
      <c r="F1010" s="342"/>
      <c r="G1010" s="668"/>
      <c r="H1010" s="669"/>
      <c r="I1010" s="669"/>
      <c r="J1010" s="669"/>
      <c r="K1010" s="669"/>
      <c r="L1010" s="670"/>
      <c r="M1010" s="670"/>
      <c r="N1010" s="669"/>
      <c r="O1010" s="183"/>
      <c r="P1010" s="183"/>
      <c r="Q1010" s="183"/>
      <c r="R1010" s="544"/>
      <c r="S1010" s="544"/>
      <c r="T1010" s="544"/>
      <c r="U1010" s="544"/>
      <c r="V1010" s="544"/>
      <c r="W1010" s="544"/>
      <c r="X1010" s="544"/>
      <c r="Y1010" s="544"/>
      <c r="Z1010" s="544"/>
      <c r="AA1010" s="544"/>
      <c r="AB1010" s="544"/>
      <c r="AC1010" s="544"/>
      <c r="AD1010" s="544"/>
      <c r="AE1010" s="183"/>
      <c r="AF1010" s="183"/>
      <c r="AG1010" s="183"/>
      <c r="AH1010" s="183"/>
      <c r="AI1010" s="183"/>
      <c r="AJ1010" s="183"/>
      <c r="AK1010" s="183"/>
      <c r="AL1010" s="183"/>
      <c r="AM1010" s="183"/>
    </row>
    <row r="1011">
      <c r="D1011" s="668"/>
      <c r="E1011" s="668"/>
      <c r="F1011" s="342"/>
      <c r="G1011" s="668"/>
      <c r="H1011" s="669"/>
      <c r="I1011" s="669"/>
      <c r="J1011" s="669"/>
      <c r="K1011" s="669"/>
      <c r="L1011" s="670"/>
      <c r="M1011" s="670"/>
      <c r="N1011" s="669"/>
      <c r="O1011" s="183"/>
      <c r="P1011" s="183"/>
      <c r="Q1011" s="183"/>
      <c r="R1011" s="544"/>
      <c r="S1011" s="544"/>
      <c r="T1011" s="544"/>
      <c r="U1011" s="544"/>
      <c r="V1011" s="544"/>
      <c r="W1011" s="544"/>
      <c r="X1011" s="544"/>
      <c r="Y1011" s="544"/>
      <c r="Z1011" s="544"/>
      <c r="AA1011" s="544"/>
      <c r="AB1011" s="544"/>
      <c r="AC1011" s="544"/>
      <c r="AD1011" s="544"/>
      <c r="AE1011" s="183"/>
      <c r="AF1011" s="183"/>
      <c r="AG1011" s="183"/>
      <c r="AH1011" s="183"/>
      <c r="AI1011" s="183"/>
      <c r="AJ1011" s="183"/>
      <c r="AK1011" s="183"/>
      <c r="AL1011" s="183"/>
      <c r="AM1011" s="183"/>
    </row>
    <row r="1012">
      <c r="D1012" s="668"/>
      <c r="E1012" s="668"/>
      <c r="F1012" s="342"/>
      <c r="G1012" s="668"/>
      <c r="H1012" s="669"/>
      <c r="I1012" s="669"/>
      <c r="J1012" s="669"/>
      <c r="K1012" s="669"/>
      <c r="L1012" s="670"/>
      <c r="M1012" s="670"/>
      <c r="N1012" s="669"/>
      <c r="O1012" s="183"/>
      <c r="P1012" s="183"/>
      <c r="Q1012" s="183"/>
      <c r="R1012" s="544"/>
      <c r="S1012" s="544"/>
      <c r="T1012" s="544"/>
      <c r="U1012" s="544"/>
      <c r="V1012" s="544"/>
      <c r="W1012" s="544"/>
      <c r="X1012" s="544"/>
      <c r="Y1012" s="544"/>
      <c r="Z1012" s="544"/>
      <c r="AA1012" s="544"/>
      <c r="AB1012" s="544"/>
      <c r="AC1012" s="544"/>
      <c r="AD1012" s="544"/>
      <c r="AE1012" s="183"/>
      <c r="AF1012" s="183"/>
      <c r="AG1012" s="183"/>
      <c r="AH1012" s="183"/>
      <c r="AI1012" s="183"/>
      <c r="AJ1012" s="183"/>
      <c r="AK1012" s="183"/>
      <c r="AL1012" s="183"/>
      <c r="AM1012" s="183"/>
    </row>
    <row r="1013">
      <c r="D1013" s="668"/>
      <c r="E1013" s="668"/>
      <c r="F1013" s="342"/>
      <c r="G1013" s="668"/>
      <c r="H1013" s="669"/>
      <c r="I1013" s="669"/>
      <c r="J1013" s="669"/>
      <c r="K1013" s="669"/>
      <c r="L1013" s="670"/>
      <c r="M1013" s="670"/>
      <c r="N1013" s="669"/>
      <c r="O1013" s="183"/>
      <c r="P1013" s="183"/>
      <c r="Q1013" s="183"/>
      <c r="R1013" s="544"/>
      <c r="S1013" s="544"/>
      <c r="T1013" s="544"/>
      <c r="U1013" s="544"/>
      <c r="V1013" s="544"/>
      <c r="W1013" s="544"/>
      <c r="X1013" s="544"/>
      <c r="Y1013" s="544"/>
      <c r="Z1013" s="544"/>
      <c r="AA1013" s="544"/>
      <c r="AB1013" s="544"/>
      <c r="AC1013" s="544"/>
      <c r="AD1013" s="544"/>
      <c r="AE1013" s="183"/>
      <c r="AF1013" s="183"/>
      <c r="AG1013" s="183"/>
      <c r="AH1013" s="183"/>
      <c r="AI1013" s="183"/>
      <c r="AJ1013" s="183"/>
      <c r="AK1013" s="183"/>
      <c r="AL1013" s="183"/>
      <c r="AM1013" s="183"/>
    </row>
    <row r="1014">
      <c r="D1014" s="668"/>
      <c r="E1014" s="668"/>
      <c r="F1014" s="342"/>
      <c r="G1014" s="668"/>
      <c r="H1014" s="669"/>
      <c r="I1014" s="669"/>
      <c r="J1014" s="669"/>
      <c r="K1014" s="669"/>
      <c r="L1014" s="670"/>
      <c r="M1014" s="670"/>
      <c r="N1014" s="669"/>
      <c r="O1014" s="183"/>
      <c r="P1014" s="183"/>
      <c r="Q1014" s="183"/>
      <c r="R1014" s="544"/>
      <c r="S1014" s="544"/>
      <c r="T1014" s="544"/>
      <c r="U1014" s="544"/>
      <c r="V1014" s="544"/>
      <c r="W1014" s="544"/>
      <c r="X1014" s="544"/>
      <c r="Y1014" s="544"/>
      <c r="Z1014" s="544"/>
      <c r="AA1014" s="544"/>
      <c r="AB1014" s="544"/>
      <c r="AC1014" s="544"/>
      <c r="AD1014" s="544"/>
      <c r="AE1014" s="183"/>
      <c r="AF1014" s="183"/>
      <c r="AG1014" s="183"/>
      <c r="AH1014" s="183"/>
      <c r="AI1014" s="183"/>
      <c r="AJ1014" s="183"/>
      <c r="AK1014" s="183"/>
      <c r="AL1014" s="183"/>
      <c r="AM1014" s="183"/>
    </row>
    <row r="1015">
      <c r="D1015" s="668"/>
      <c r="E1015" s="668"/>
      <c r="F1015" s="342"/>
      <c r="G1015" s="668"/>
      <c r="H1015" s="669"/>
      <c r="I1015" s="669"/>
      <c r="J1015" s="669"/>
      <c r="K1015" s="669"/>
      <c r="L1015" s="670"/>
      <c r="M1015" s="670"/>
      <c r="N1015" s="669"/>
      <c r="O1015" s="183"/>
      <c r="P1015" s="183"/>
      <c r="Q1015" s="183"/>
      <c r="R1015" s="544"/>
      <c r="S1015" s="544"/>
      <c r="T1015" s="544"/>
      <c r="U1015" s="544"/>
      <c r="V1015" s="544"/>
      <c r="W1015" s="544"/>
      <c r="X1015" s="544"/>
      <c r="Y1015" s="544"/>
      <c r="Z1015" s="544"/>
      <c r="AA1015" s="544"/>
      <c r="AB1015" s="544"/>
      <c r="AC1015" s="544"/>
      <c r="AD1015" s="544"/>
      <c r="AE1015" s="183"/>
      <c r="AF1015" s="183"/>
      <c r="AG1015" s="183"/>
      <c r="AH1015" s="183"/>
      <c r="AI1015" s="183"/>
      <c r="AJ1015" s="183"/>
      <c r="AK1015" s="183"/>
      <c r="AL1015" s="183"/>
      <c r="AM1015" s="183"/>
    </row>
    <row r="1016">
      <c r="D1016" s="668"/>
      <c r="E1016" s="668"/>
      <c r="F1016" s="342"/>
      <c r="G1016" s="668"/>
      <c r="H1016" s="669"/>
      <c r="I1016" s="669"/>
      <c r="J1016" s="669"/>
      <c r="K1016" s="669"/>
      <c r="L1016" s="670"/>
      <c r="M1016" s="670"/>
      <c r="N1016" s="669"/>
      <c r="O1016" s="183"/>
      <c r="P1016" s="183"/>
      <c r="Q1016" s="183"/>
      <c r="R1016" s="544"/>
      <c r="S1016" s="544"/>
      <c r="T1016" s="544"/>
      <c r="U1016" s="544"/>
      <c r="V1016" s="544"/>
      <c r="W1016" s="544"/>
      <c r="X1016" s="544"/>
      <c r="Y1016" s="544"/>
      <c r="Z1016" s="544"/>
      <c r="AA1016" s="544"/>
      <c r="AB1016" s="544"/>
      <c r="AC1016" s="544"/>
      <c r="AD1016" s="544"/>
      <c r="AE1016" s="183"/>
      <c r="AF1016" s="183"/>
      <c r="AG1016" s="183"/>
      <c r="AH1016" s="183"/>
      <c r="AI1016" s="183"/>
      <c r="AJ1016" s="183"/>
      <c r="AK1016" s="183"/>
      <c r="AL1016" s="183"/>
      <c r="AM1016" s="183"/>
    </row>
    <row r="1017">
      <c r="D1017" s="668"/>
      <c r="E1017" s="668"/>
      <c r="F1017" s="342"/>
      <c r="G1017" s="668"/>
      <c r="H1017" s="669"/>
      <c r="I1017" s="669"/>
      <c r="J1017" s="669"/>
      <c r="K1017" s="669"/>
      <c r="L1017" s="670"/>
      <c r="M1017" s="670"/>
      <c r="N1017" s="669"/>
      <c r="O1017" s="183"/>
      <c r="P1017" s="183"/>
      <c r="Q1017" s="183"/>
      <c r="R1017" s="544"/>
      <c r="S1017" s="544"/>
      <c r="T1017" s="544"/>
      <c r="U1017" s="544"/>
      <c r="V1017" s="544"/>
      <c r="W1017" s="544"/>
      <c r="X1017" s="544"/>
      <c r="Y1017" s="544"/>
      <c r="Z1017" s="544"/>
      <c r="AA1017" s="544"/>
      <c r="AB1017" s="544"/>
      <c r="AC1017" s="544"/>
      <c r="AD1017" s="544"/>
      <c r="AE1017" s="183"/>
      <c r="AF1017" s="183"/>
      <c r="AG1017" s="183"/>
      <c r="AH1017" s="183"/>
      <c r="AI1017" s="183"/>
      <c r="AJ1017" s="183"/>
      <c r="AK1017" s="183"/>
      <c r="AL1017" s="183"/>
      <c r="AM1017" s="183"/>
    </row>
    <row r="1018">
      <c r="D1018" s="668"/>
      <c r="E1018" s="668"/>
      <c r="F1018" s="342"/>
      <c r="G1018" s="668"/>
      <c r="H1018" s="669"/>
      <c r="I1018" s="669"/>
      <c r="J1018" s="669"/>
      <c r="K1018" s="669"/>
      <c r="L1018" s="670"/>
      <c r="M1018" s="670"/>
      <c r="N1018" s="669"/>
      <c r="O1018" s="183"/>
      <c r="P1018" s="183"/>
      <c r="Q1018" s="183"/>
      <c r="R1018" s="544"/>
      <c r="S1018" s="544"/>
      <c r="T1018" s="544"/>
      <c r="U1018" s="544"/>
      <c r="V1018" s="544"/>
      <c r="W1018" s="544"/>
      <c r="X1018" s="544"/>
      <c r="Y1018" s="544"/>
      <c r="Z1018" s="544"/>
      <c r="AA1018" s="544"/>
      <c r="AB1018" s="544"/>
      <c r="AC1018" s="544"/>
      <c r="AD1018" s="544"/>
      <c r="AE1018" s="183"/>
      <c r="AF1018" s="183"/>
      <c r="AG1018" s="183"/>
      <c r="AH1018" s="183"/>
      <c r="AI1018" s="183"/>
      <c r="AJ1018" s="183"/>
      <c r="AK1018" s="183"/>
      <c r="AL1018" s="183"/>
      <c r="AM1018" s="183"/>
    </row>
    <row r="1019">
      <c r="D1019" s="668"/>
      <c r="E1019" s="668"/>
      <c r="F1019" s="342"/>
      <c r="G1019" s="668"/>
      <c r="H1019" s="669"/>
      <c r="I1019" s="669"/>
      <c r="J1019" s="669"/>
      <c r="K1019" s="669"/>
      <c r="L1019" s="670"/>
      <c r="M1019" s="670"/>
      <c r="N1019" s="669"/>
      <c r="O1019" s="183"/>
      <c r="P1019" s="183"/>
      <c r="Q1019" s="183"/>
      <c r="R1019" s="544"/>
      <c r="S1019" s="544"/>
      <c r="T1019" s="544"/>
      <c r="U1019" s="544"/>
      <c r="V1019" s="544"/>
      <c r="W1019" s="544"/>
      <c r="X1019" s="544"/>
      <c r="Y1019" s="544"/>
      <c r="Z1019" s="544"/>
      <c r="AA1019" s="544"/>
      <c r="AB1019" s="544"/>
      <c r="AC1019" s="544"/>
      <c r="AD1019" s="544"/>
      <c r="AE1019" s="183"/>
      <c r="AF1019" s="183"/>
      <c r="AG1019" s="183"/>
      <c r="AH1019" s="183"/>
      <c r="AI1019" s="183"/>
      <c r="AJ1019" s="183"/>
      <c r="AK1019" s="183"/>
      <c r="AL1019" s="183"/>
      <c r="AM1019" s="183"/>
    </row>
    <row r="1020">
      <c r="D1020" s="668"/>
      <c r="E1020" s="668"/>
      <c r="F1020" s="342"/>
      <c r="G1020" s="668"/>
      <c r="H1020" s="669"/>
      <c r="I1020" s="669"/>
      <c r="J1020" s="669"/>
      <c r="K1020" s="669"/>
      <c r="L1020" s="670"/>
      <c r="M1020" s="670"/>
      <c r="N1020" s="669"/>
      <c r="O1020" s="183"/>
      <c r="P1020" s="183"/>
      <c r="Q1020" s="183"/>
      <c r="R1020" s="544"/>
      <c r="S1020" s="544"/>
      <c r="T1020" s="544"/>
      <c r="U1020" s="544"/>
      <c r="V1020" s="544"/>
      <c r="W1020" s="544"/>
      <c r="X1020" s="544"/>
      <c r="Y1020" s="544"/>
      <c r="Z1020" s="544"/>
      <c r="AA1020" s="544"/>
      <c r="AB1020" s="544"/>
      <c r="AC1020" s="544"/>
      <c r="AD1020" s="544"/>
      <c r="AE1020" s="183"/>
      <c r="AF1020" s="183"/>
      <c r="AG1020" s="183"/>
      <c r="AH1020" s="183"/>
      <c r="AI1020" s="183"/>
      <c r="AJ1020" s="183"/>
      <c r="AK1020" s="183"/>
      <c r="AL1020" s="183"/>
      <c r="AM1020" s="183"/>
    </row>
    <row r="1021">
      <c r="D1021" s="668"/>
      <c r="E1021" s="668"/>
      <c r="F1021" s="342"/>
      <c r="G1021" s="668"/>
      <c r="H1021" s="669"/>
      <c r="I1021" s="669"/>
      <c r="J1021" s="669"/>
      <c r="K1021" s="669"/>
      <c r="L1021" s="670"/>
      <c r="M1021" s="670"/>
      <c r="N1021" s="669"/>
      <c r="O1021" s="183"/>
      <c r="P1021" s="183"/>
      <c r="Q1021" s="183"/>
      <c r="R1021" s="544"/>
      <c r="S1021" s="544"/>
      <c r="T1021" s="544"/>
      <c r="U1021" s="544"/>
      <c r="V1021" s="544"/>
      <c r="W1021" s="544"/>
      <c r="X1021" s="544"/>
      <c r="Y1021" s="544"/>
      <c r="Z1021" s="544"/>
      <c r="AA1021" s="544"/>
      <c r="AB1021" s="544"/>
      <c r="AC1021" s="544"/>
      <c r="AD1021" s="544"/>
      <c r="AE1021" s="183"/>
      <c r="AF1021" s="183"/>
      <c r="AG1021" s="183"/>
      <c r="AH1021" s="183"/>
      <c r="AI1021" s="183"/>
      <c r="AJ1021" s="183"/>
      <c r="AK1021" s="183"/>
      <c r="AL1021" s="183"/>
      <c r="AM1021" s="183"/>
    </row>
    <row r="1022">
      <c r="D1022" s="668"/>
      <c r="E1022" s="668"/>
      <c r="F1022" s="342"/>
      <c r="G1022" s="668"/>
      <c r="H1022" s="669"/>
      <c r="I1022" s="669"/>
      <c r="J1022" s="669"/>
      <c r="K1022" s="669"/>
      <c r="L1022" s="670"/>
      <c r="M1022" s="670"/>
      <c r="N1022" s="669"/>
      <c r="O1022" s="183"/>
      <c r="P1022" s="183"/>
      <c r="Q1022" s="183"/>
      <c r="R1022" s="544"/>
      <c r="S1022" s="544"/>
      <c r="T1022" s="544"/>
      <c r="U1022" s="544"/>
      <c r="V1022" s="544"/>
      <c r="W1022" s="544"/>
      <c r="X1022" s="544"/>
      <c r="Y1022" s="544"/>
      <c r="Z1022" s="544"/>
      <c r="AA1022" s="544"/>
      <c r="AB1022" s="544"/>
      <c r="AC1022" s="544"/>
      <c r="AD1022" s="544"/>
      <c r="AE1022" s="183"/>
      <c r="AF1022" s="183"/>
      <c r="AG1022" s="183"/>
      <c r="AH1022" s="183"/>
      <c r="AI1022" s="183"/>
      <c r="AJ1022" s="183"/>
      <c r="AK1022" s="183"/>
      <c r="AL1022" s="183"/>
      <c r="AM1022" s="183"/>
    </row>
    <row r="1023">
      <c r="D1023" s="668"/>
      <c r="E1023" s="668"/>
      <c r="F1023" s="342"/>
      <c r="G1023" s="668"/>
      <c r="H1023" s="669"/>
      <c r="I1023" s="669"/>
      <c r="J1023" s="669"/>
      <c r="K1023" s="669"/>
      <c r="L1023" s="670"/>
      <c r="M1023" s="670"/>
      <c r="N1023" s="669"/>
      <c r="O1023" s="183"/>
      <c r="P1023" s="183"/>
      <c r="Q1023" s="183"/>
      <c r="R1023" s="544"/>
      <c r="S1023" s="544"/>
      <c r="T1023" s="544"/>
      <c r="U1023" s="544"/>
      <c r="V1023" s="544"/>
      <c r="W1023" s="544"/>
      <c r="X1023" s="544"/>
      <c r="Y1023" s="544"/>
      <c r="Z1023" s="544"/>
      <c r="AA1023" s="544"/>
      <c r="AB1023" s="544"/>
      <c r="AC1023" s="544"/>
      <c r="AD1023" s="544"/>
      <c r="AE1023" s="183"/>
      <c r="AF1023" s="183"/>
      <c r="AG1023" s="183"/>
      <c r="AH1023" s="183"/>
      <c r="AI1023" s="183"/>
      <c r="AJ1023" s="183"/>
      <c r="AK1023" s="183"/>
      <c r="AL1023" s="183"/>
      <c r="AM1023" s="183"/>
    </row>
    <row r="1024">
      <c r="D1024" s="668"/>
      <c r="E1024" s="668"/>
      <c r="F1024" s="342"/>
      <c r="G1024" s="668"/>
      <c r="H1024" s="669"/>
      <c r="I1024" s="669"/>
      <c r="J1024" s="669"/>
      <c r="K1024" s="669"/>
      <c r="L1024" s="670"/>
      <c r="M1024" s="670"/>
      <c r="N1024" s="669"/>
      <c r="O1024" s="183"/>
      <c r="P1024" s="183"/>
      <c r="Q1024" s="183"/>
      <c r="R1024" s="544"/>
      <c r="S1024" s="544"/>
      <c r="T1024" s="544"/>
      <c r="U1024" s="544"/>
      <c r="V1024" s="544"/>
      <c r="W1024" s="544"/>
      <c r="X1024" s="544"/>
      <c r="Y1024" s="544"/>
      <c r="Z1024" s="544"/>
      <c r="AA1024" s="544"/>
      <c r="AB1024" s="544"/>
      <c r="AC1024" s="544"/>
      <c r="AD1024" s="544"/>
      <c r="AE1024" s="183"/>
      <c r="AF1024" s="183"/>
      <c r="AG1024" s="183"/>
      <c r="AH1024" s="183"/>
      <c r="AI1024" s="183"/>
      <c r="AJ1024" s="183"/>
      <c r="AK1024" s="183"/>
      <c r="AL1024" s="183"/>
      <c r="AM1024" s="183"/>
    </row>
  </sheetData>
  <autoFilter ref="$A$1:$N$493">
    <filterColumn colId="0">
      <filters>
        <filter val="サイズ - ウィメンズ"/>
      </filters>
    </filterColumn>
  </autoFilter>
  <mergeCells count="1">
    <mergeCell ref="Z2:AB2"/>
  </mergeCells>
  <dataValidations>
    <dataValidation type="list" allowBlank="1" showDropDown="1" sqref="O18:P18">
      <formula1>"ジャケット / ジャコット,スラックス / カジュアルパンツ,ベスト,チノパン,シャツ (フォーマル / タックアウト),ポロシャツ,アルスターコート,ステンカラーコート,チェスターコート,トレンチコート,フーデッドコート,ショートステンカラーコート"</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0" width="4.13"/>
    <col customWidth="1" min="11" max="11" width="13.13"/>
    <col customWidth="1" min="12" max="17" width="4.13"/>
    <col customWidth="1" min="18" max="18" width="8.13"/>
    <col customWidth="1" min="19" max="38" width="4.13"/>
  </cols>
  <sheetData>
    <row r="1" ht="45.75" customHeight="1">
      <c r="A1" s="679" t="b">
        <v>1</v>
      </c>
      <c r="C1" s="680"/>
      <c r="D1" s="681"/>
      <c r="E1" s="681"/>
      <c r="F1" s="681"/>
      <c r="G1" s="681"/>
      <c r="H1" s="681"/>
      <c r="I1" s="681"/>
      <c r="J1" s="681"/>
      <c r="K1" s="680"/>
      <c r="L1" s="680" t="s">
        <v>273</v>
      </c>
      <c r="M1" s="681"/>
      <c r="N1" s="681"/>
      <c r="O1" s="681"/>
      <c r="P1" s="681"/>
      <c r="Q1" s="681"/>
      <c r="R1" s="681"/>
      <c r="S1" s="681"/>
      <c r="T1" s="681"/>
      <c r="U1" s="681"/>
      <c r="V1" s="681"/>
      <c r="W1" s="681"/>
      <c r="X1" s="681"/>
      <c r="Y1" s="681"/>
      <c r="Z1" s="681"/>
      <c r="AA1" s="681"/>
      <c r="AB1" s="681"/>
      <c r="AC1" s="681"/>
      <c r="AD1" s="681"/>
      <c r="AE1" s="681"/>
      <c r="AF1" s="681"/>
      <c r="AG1" s="681"/>
      <c r="AH1" s="681"/>
      <c r="AI1" s="681"/>
      <c r="AJ1" s="681"/>
      <c r="AK1" s="681"/>
      <c r="AL1" s="681"/>
    </row>
    <row r="2">
      <c r="A2" s="682"/>
      <c r="B2" s="683"/>
      <c r="C2" s="682"/>
      <c r="D2" s="683"/>
      <c r="E2" s="683"/>
      <c r="F2" s="683"/>
      <c r="G2" s="683"/>
      <c r="H2" s="683"/>
      <c r="I2" s="683"/>
      <c r="J2" s="683"/>
      <c r="K2" s="683"/>
      <c r="L2" s="683"/>
      <c r="M2" s="683"/>
      <c r="N2" s="683"/>
      <c r="O2" s="683"/>
      <c r="P2" s="683"/>
      <c r="Q2" s="683"/>
      <c r="S2" s="683"/>
      <c r="T2" s="683"/>
      <c r="U2" s="683"/>
      <c r="V2" s="683"/>
      <c r="W2" s="683"/>
      <c r="X2" s="683"/>
      <c r="Y2" s="683"/>
      <c r="Z2" s="683"/>
      <c r="AA2" s="684"/>
      <c r="AB2" s="684"/>
      <c r="AC2" s="684"/>
      <c r="AD2" s="684"/>
      <c r="AE2" s="684"/>
      <c r="AF2" s="684"/>
      <c r="AG2" s="684"/>
      <c r="AH2" s="684"/>
      <c r="AI2" s="684"/>
      <c r="AJ2" s="684"/>
      <c r="AK2" s="684"/>
      <c r="AL2" s="684"/>
    </row>
    <row r="3" ht="30.0" customHeight="1">
      <c r="B3" s="685" t="s">
        <v>274</v>
      </c>
      <c r="E3" s="686"/>
      <c r="F3" s="687"/>
      <c r="G3" s="688"/>
      <c r="H3" s="688"/>
      <c r="I3" s="688"/>
      <c r="J3" s="688"/>
      <c r="K3" s="688"/>
      <c r="L3" s="689"/>
      <c r="M3" s="690" t="s">
        <v>275</v>
      </c>
      <c r="O3" s="691" t="s">
        <v>276</v>
      </c>
      <c r="P3" s="692"/>
      <c r="Q3" s="692"/>
      <c r="R3" s="688"/>
      <c r="S3" s="693"/>
      <c r="T3" s="693"/>
      <c r="U3" s="693"/>
      <c r="V3" s="693"/>
      <c r="W3" s="693"/>
      <c r="AA3" s="694"/>
      <c r="AB3" s="695"/>
      <c r="AC3" s="695"/>
      <c r="AD3" s="695"/>
      <c r="AE3" s="695"/>
      <c r="AF3" s="695"/>
      <c r="AG3" s="695"/>
      <c r="AH3" s="695"/>
      <c r="AI3" s="695"/>
      <c r="AJ3" s="695"/>
      <c r="AK3" s="695"/>
      <c r="AL3" s="695"/>
    </row>
    <row r="4" ht="30.0" customHeight="1">
      <c r="B4" s="696" t="s">
        <v>277</v>
      </c>
      <c r="E4" s="697"/>
      <c r="F4" s="697"/>
      <c r="G4" s="688"/>
      <c r="H4" s="688"/>
      <c r="I4" s="688"/>
      <c r="J4" s="688"/>
      <c r="K4" s="688"/>
      <c r="L4" s="689"/>
      <c r="M4" s="690" t="s">
        <v>278</v>
      </c>
      <c r="O4" s="698"/>
      <c r="P4" s="692"/>
      <c r="Q4" s="692"/>
      <c r="R4" s="697"/>
      <c r="S4" s="693"/>
      <c r="T4" s="693"/>
      <c r="U4" s="693"/>
      <c r="V4" s="693"/>
      <c r="W4" s="693"/>
      <c r="AA4" s="694"/>
      <c r="AB4" s="695"/>
      <c r="AC4" s="695"/>
      <c r="AD4" s="695"/>
      <c r="AE4" s="695"/>
      <c r="AF4" s="695"/>
      <c r="AG4" s="695"/>
      <c r="AH4" s="695"/>
      <c r="AI4" s="695"/>
      <c r="AJ4" s="695"/>
      <c r="AK4" s="695"/>
      <c r="AL4" s="695"/>
    </row>
    <row r="5" ht="42.75" customHeight="1">
      <c r="A5" s="699"/>
      <c r="B5" s="700" t="s">
        <v>279</v>
      </c>
      <c r="C5" s="700"/>
      <c r="D5" s="701"/>
      <c r="E5" s="702"/>
      <c r="F5" s="702"/>
      <c r="G5" s="702"/>
      <c r="H5" s="702"/>
      <c r="I5" s="702"/>
      <c r="J5" s="702"/>
      <c r="K5" s="702"/>
      <c r="L5" s="702"/>
      <c r="M5" s="702"/>
      <c r="N5" s="703" t="b">
        <v>0</v>
      </c>
      <c r="O5" s="704" t="s">
        <v>280</v>
      </c>
      <c r="P5" s="705"/>
      <c r="Q5" s="705"/>
      <c r="R5" s="706"/>
      <c r="S5" s="706"/>
      <c r="T5" s="706"/>
      <c r="U5" s="706"/>
      <c r="V5" s="706"/>
      <c r="W5" s="706"/>
      <c r="AA5" s="694"/>
      <c r="AB5" s="695"/>
      <c r="AC5" s="695"/>
      <c r="AD5" s="695"/>
      <c r="AE5" s="695"/>
      <c r="AF5" s="695"/>
      <c r="AG5" s="695"/>
      <c r="AH5" s="695"/>
      <c r="AI5" s="695"/>
      <c r="AJ5" s="695"/>
      <c r="AK5" s="695"/>
      <c r="AL5" s="695"/>
    </row>
    <row r="6" ht="15.75" customHeight="1">
      <c r="A6" s="699"/>
      <c r="B6" s="707"/>
      <c r="C6" s="707"/>
      <c r="D6" s="708"/>
      <c r="E6" s="708"/>
      <c r="F6" s="708"/>
      <c r="G6" s="708"/>
      <c r="H6" s="708"/>
      <c r="I6" s="708"/>
      <c r="J6" s="708"/>
      <c r="K6" s="708"/>
      <c r="L6" s="708"/>
      <c r="M6" s="702"/>
      <c r="N6" s="709"/>
      <c r="O6" s="682"/>
      <c r="P6" s="682"/>
      <c r="V6" s="710"/>
      <c r="AA6" s="711"/>
      <c r="AB6" s="695"/>
      <c r="AC6" s="695"/>
      <c r="AD6" s="695"/>
      <c r="AE6" s="695"/>
      <c r="AF6" s="695"/>
      <c r="AG6" s="695"/>
      <c r="AH6" s="695"/>
      <c r="AI6" s="711"/>
    </row>
    <row r="7" ht="15.75" customHeight="1">
      <c r="A7" s="699"/>
      <c r="B7" s="712" t="s">
        <v>281</v>
      </c>
      <c r="C7" s="713"/>
      <c r="D7" s="713"/>
      <c r="E7" s="713"/>
      <c r="F7" s="713"/>
      <c r="G7" s="713"/>
      <c r="H7" s="713"/>
      <c r="I7" s="713"/>
      <c r="J7" s="713"/>
      <c r="K7" s="713"/>
      <c r="L7" s="713"/>
      <c r="M7" s="714"/>
      <c r="N7" s="714"/>
      <c r="O7" s="715" t="s">
        <v>282</v>
      </c>
      <c r="P7" s="713"/>
      <c r="Q7" s="713"/>
      <c r="R7" s="713"/>
      <c r="S7" s="713"/>
      <c r="T7" s="713"/>
      <c r="U7" s="713"/>
      <c r="V7" s="713"/>
      <c r="W7" s="713"/>
      <c r="AA7" s="716"/>
      <c r="AB7" s="695"/>
      <c r="AC7" s="695"/>
      <c r="AD7" s="695"/>
      <c r="AE7" s="695"/>
      <c r="AF7" s="695"/>
      <c r="AG7" s="695"/>
      <c r="AH7" s="695"/>
    </row>
    <row r="8" ht="15.75" customHeight="1">
      <c r="A8" s="699"/>
      <c r="B8" s="717"/>
      <c r="C8" s="718"/>
      <c r="D8" s="717"/>
      <c r="E8" s="717"/>
      <c r="F8" s="688"/>
      <c r="G8" s="717"/>
      <c r="H8" s="717"/>
      <c r="I8" s="717"/>
      <c r="J8" s="717"/>
      <c r="K8" s="717"/>
      <c r="L8" s="717"/>
      <c r="M8" s="684"/>
      <c r="N8" s="684"/>
      <c r="O8" s="717"/>
      <c r="P8" s="717"/>
      <c r="Q8" s="717"/>
      <c r="R8" s="717"/>
      <c r="S8" s="717"/>
      <c r="T8" s="717"/>
      <c r="U8" s="717"/>
      <c r="V8" s="717"/>
      <c r="W8" s="717"/>
      <c r="X8" s="719"/>
      <c r="Y8" s="719"/>
      <c r="Z8" s="719"/>
      <c r="AA8" s="716"/>
      <c r="AB8" s="716"/>
      <c r="AC8" s="716"/>
      <c r="AD8" s="716"/>
      <c r="AE8" s="716"/>
      <c r="AF8" s="716"/>
      <c r="AG8" s="716"/>
      <c r="AH8" s="716"/>
      <c r="AI8" s="711"/>
      <c r="AJ8" s="695"/>
      <c r="AK8" s="716"/>
      <c r="AL8" s="716"/>
    </row>
    <row r="9" ht="15.75" customHeight="1">
      <c r="B9" s="720"/>
      <c r="C9" s="721"/>
      <c r="D9" s="720"/>
      <c r="E9" s="721"/>
      <c r="F9" s="688"/>
      <c r="G9" s="721"/>
      <c r="H9" s="721"/>
      <c r="I9" s="688"/>
      <c r="J9" s="720"/>
      <c r="K9" s="721"/>
      <c r="L9" s="721"/>
      <c r="M9" s="722"/>
      <c r="N9" s="682"/>
      <c r="O9" s="721"/>
      <c r="P9" s="721"/>
      <c r="Q9" s="720"/>
      <c r="R9" s="721"/>
      <c r="S9" s="721"/>
      <c r="T9" s="720"/>
      <c r="U9" s="721"/>
      <c r="V9" s="721"/>
      <c r="W9" s="721"/>
      <c r="Z9" s="710"/>
      <c r="AA9" s="723"/>
      <c r="AB9" s="723"/>
      <c r="AD9" s="723"/>
      <c r="AE9" s="723"/>
      <c r="AG9" s="723"/>
      <c r="AH9" s="723"/>
      <c r="AI9" s="723"/>
      <c r="AJ9" s="723"/>
      <c r="AK9" s="724"/>
      <c r="AL9" s="724"/>
    </row>
    <row r="10" ht="15.75" customHeight="1">
      <c r="B10" s="720"/>
      <c r="C10" s="721"/>
      <c r="D10" s="720"/>
      <c r="E10" s="721"/>
      <c r="F10" s="688"/>
      <c r="G10" s="721"/>
      <c r="H10" s="721"/>
      <c r="I10" s="688"/>
      <c r="J10" s="720"/>
      <c r="K10" s="721"/>
      <c r="L10" s="721"/>
      <c r="M10" s="722"/>
      <c r="N10" s="682"/>
      <c r="O10" s="721"/>
      <c r="P10" s="721"/>
      <c r="Q10" s="720"/>
      <c r="R10" s="721"/>
      <c r="S10" s="721"/>
      <c r="T10" s="720"/>
      <c r="U10" s="721"/>
      <c r="V10" s="721"/>
      <c r="W10" s="721"/>
      <c r="Z10" s="710"/>
      <c r="AA10" s="684"/>
      <c r="AB10" s="684"/>
      <c r="AC10" s="684"/>
      <c r="AD10" s="684"/>
      <c r="AE10" s="684"/>
      <c r="AF10" s="684"/>
      <c r="AG10" s="716"/>
      <c r="AH10" s="716"/>
    </row>
    <row r="11" ht="15.75" customHeight="1">
      <c r="B11" s="720"/>
      <c r="C11" s="721"/>
      <c r="D11" s="720"/>
      <c r="E11" s="721"/>
      <c r="F11" s="688"/>
      <c r="G11" s="721"/>
      <c r="H11" s="721"/>
      <c r="I11" s="688"/>
      <c r="J11" s="720"/>
      <c r="K11" s="721"/>
      <c r="L11" s="721"/>
      <c r="M11" s="722"/>
      <c r="N11" s="682"/>
      <c r="O11" s="721"/>
      <c r="P11" s="721"/>
      <c r="Q11" s="720"/>
      <c r="R11" s="721"/>
      <c r="S11" s="721"/>
      <c r="T11" s="720"/>
      <c r="U11" s="721"/>
      <c r="V11" s="721"/>
      <c r="W11" s="721"/>
      <c r="Z11" s="710"/>
      <c r="AA11" s="725"/>
      <c r="AB11" s="683"/>
      <c r="AC11" s="683"/>
      <c r="AD11" s="683"/>
      <c r="AE11" s="683"/>
      <c r="AF11" s="683"/>
      <c r="AH11" s="716"/>
      <c r="AI11" s="716"/>
      <c r="AJ11" s="716"/>
    </row>
    <row r="12" ht="15.75" customHeight="1">
      <c r="B12" s="720"/>
      <c r="C12" s="726"/>
      <c r="D12" s="720"/>
      <c r="E12" s="721"/>
      <c r="F12" s="688"/>
      <c r="G12" s="721"/>
      <c r="H12" s="721"/>
      <c r="I12" s="688"/>
      <c r="J12" s="720"/>
      <c r="K12" s="721"/>
      <c r="L12" s="688"/>
      <c r="M12" s="722"/>
      <c r="N12" s="682"/>
      <c r="O12" s="688"/>
      <c r="P12" s="688"/>
      <c r="Q12" s="720"/>
      <c r="R12" s="721"/>
      <c r="S12" s="688"/>
      <c r="T12" s="720"/>
      <c r="U12" s="721"/>
      <c r="V12" s="688"/>
      <c r="W12" s="688"/>
      <c r="Z12" s="710"/>
      <c r="AA12" s="684"/>
      <c r="AB12" s="684"/>
      <c r="AC12" s="684"/>
      <c r="AD12" s="684"/>
      <c r="AE12" s="684"/>
      <c r="AF12" s="684"/>
      <c r="AG12" s="684"/>
      <c r="AH12" s="716"/>
      <c r="AI12" s="716"/>
      <c r="AJ12" s="716"/>
    </row>
    <row r="13" ht="15.75" hidden="1" customHeight="1">
      <c r="B13" s="722"/>
      <c r="C13" s="727"/>
      <c r="D13" s="722"/>
      <c r="E13" s="682"/>
      <c r="G13" s="682"/>
      <c r="H13" s="682"/>
      <c r="J13" s="728"/>
      <c r="K13" s="682"/>
      <c r="M13" s="728"/>
      <c r="N13" s="682"/>
      <c r="Q13" s="722"/>
      <c r="R13" s="682"/>
      <c r="T13" s="728"/>
      <c r="U13" s="682"/>
      <c r="Z13" s="710"/>
      <c r="AA13" s="725"/>
      <c r="AB13" s="683"/>
      <c r="AC13" s="683"/>
      <c r="AD13" s="683"/>
      <c r="AE13" s="683"/>
      <c r="AF13" s="683"/>
      <c r="AG13" s="683"/>
      <c r="AH13" s="716"/>
      <c r="AI13" s="716"/>
      <c r="AJ13" s="716"/>
    </row>
    <row r="14" ht="15.75" hidden="1" customHeight="1">
      <c r="B14" s="728"/>
      <c r="C14" s="727"/>
      <c r="D14" s="722"/>
      <c r="E14" s="682"/>
      <c r="G14" s="682"/>
      <c r="H14" s="682"/>
      <c r="J14" s="728"/>
      <c r="K14" s="682"/>
      <c r="M14" s="728"/>
      <c r="N14" s="682"/>
      <c r="Q14" s="728"/>
      <c r="R14" s="682"/>
      <c r="T14" s="728"/>
      <c r="U14" s="682"/>
      <c r="Z14" s="710"/>
      <c r="AA14" s="684"/>
      <c r="AB14" s="684"/>
      <c r="AC14" s="684"/>
      <c r="AD14" s="684"/>
      <c r="AE14" s="684"/>
      <c r="AF14" s="684"/>
      <c r="AG14" s="684"/>
      <c r="AH14" s="716"/>
      <c r="AI14" s="716"/>
    </row>
    <row r="15" ht="15.75" hidden="1" customHeight="1">
      <c r="B15" s="728"/>
      <c r="C15" s="682"/>
      <c r="D15" s="728"/>
      <c r="E15" s="682"/>
      <c r="G15" s="682"/>
      <c r="H15" s="682"/>
      <c r="J15" s="728"/>
      <c r="K15" s="682"/>
      <c r="M15" s="728"/>
      <c r="N15" s="682"/>
      <c r="Q15" s="728"/>
      <c r="R15" s="682"/>
      <c r="T15" s="728"/>
      <c r="U15" s="682"/>
      <c r="Z15" s="710"/>
      <c r="AA15" s="725"/>
      <c r="AB15" s="683"/>
      <c r="AC15" s="683"/>
      <c r="AD15" s="683"/>
      <c r="AE15" s="683"/>
      <c r="AF15" s="683"/>
      <c r="AG15" s="683"/>
    </row>
    <row r="16" ht="15.75" hidden="1" customHeight="1">
      <c r="B16" s="728"/>
      <c r="C16" s="682"/>
      <c r="D16" s="728"/>
      <c r="E16" s="682"/>
      <c r="G16" s="682"/>
      <c r="H16" s="682"/>
      <c r="J16" s="722"/>
      <c r="K16" s="682"/>
      <c r="M16" s="728"/>
      <c r="N16" s="682"/>
      <c r="Q16" s="728"/>
      <c r="R16" s="682"/>
      <c r="T16" s="728"/>
      <c r="U16" s="682"/>
      <c r="Z16" s="710"/>
      <c r="AA16" s="684"/>
      <c r="AB16" s="684"/>
      <c r="AC16" s="684"/>
      <c r="AD16" s="684"/>
      <c r="AE16" s="684"/>
      <c r="AF16" s="684"/>
      <c r="AG16" s="684"/>
      <c r="AH16" s="684"/>
      <c r="AI16" s="684"/>
      <c r="AJ16" s="723"/>
    </row>
    <row r="17" ht="15.75" hidden="1" customHeight="1">
      <c r="B17" s="728"/>
      <c r="C17" s="682"/>
      <c r="D17" s="682"/>
      <c r="E17" s="728"/>
      <c r="F17" s="682"/>
      <c r="G17" s="682"/>
      <c r="J17" s="722"/>
      <c r="K17" s="682"/>
      <c r="M17" s="722"/>
      <c r="N17" s="682"/>
      <c r="Q17" s="722"/>
      <c r="R17" s="682"/>
      <c r="T17" s="722"/>
      <c r="U17" s="682"/>
      <c r="Z17" s="710"/>
      <c r="AA17" s="725"/>
      <c r="AB17" s="683"/>
      <c r="AC17" s="683"/>
      <c r="AD17" s="683"/>
      <c r="AE17" s="683"/>
      <c r="AF17" s="683"/>
      <c r="AG17" s="683"/>
      <c r="AH17" s="683"/>
      <c r="AI17" s="683"/>
      <c r="AJ17" s="723"/>
      <c r="AK17" s="723"/>
      <c r="AL17" s="723"/>
    </row>
    <row r="18" ht="15.75" hidden="1" customHeight="1">
      <c r="B18" s="728"/>
      <c r="C18" s="682"/>
      <c r="D18" s="682"/>
      <c r="E18" s="728"/>
      <c r="F18" s="682"/>
      <c r="G18" s="682"/>
      <c r="J18" s="722"/>
      <c r="K18" s="682"/>
      <c r="M18" s="722"/>
      <c r="N18" s="682"/>
      <c r="Q18" s="728"/>
      <c r="R18" s="682"/>
      <c r="T18" s="728"/>
      <c r="U18" s="682"/>
      <c r="Z18" s="710"/>
      <c r="AA18" s="684"/>
      <c r="AB18" s="684"/>
      <c r="AC18" s="684"/>
      <c r="AD18" s="684"/>
      <c r="AE18" s="684"/>
      <c r="AF18" s="684"/>
      <c r="AG18" s="684"/>
      <c r="AH18" s="684"/>
      <c r="AI18" s="684"/>
      <c r="AJ18" s="716"/>
      <c r="AK18" s="716"/>
      <c r="AL18" s="716"/>
    </row>
    <row r="19" ht="15.75" hidden="1" customHeight="1">
      <c r="B19" s="729"/>
      <c r="C19" s="722"/>
      <c r="D19" s="722"/>
      <c r="E19" s="722"/>
      <c r="F19" s="722"/>
      <c r="G19" s="722"/>
      <c r="H19" s="722"/>
      <c r="I19" s="722"/>
      <c r="J19" s="722"/>
      <c r="K19" s="682"/>
      <c r="M19" s="722"/>
      <c r="N19" s="722"/>
      <c r="O19" s="722"/>
      <c r="P19" s="722"/>
      <c r="Q19" s="722"/>
      <c r="R19" s="722"/>
      <c r="S19" s="722"/>
      <c r="T19" s="722"/>
      <c r="U19" s="722"/>
      <c r="V19" s="722"/>
      <c r="W19" s="722"/>
      <c r="Z19" s="710"/>
      <c r="AA19" s="725"/>
      <c r="AB19" s="683"/>
      <c r="AC19" s="683"/>
      <c r="AD19" s="683"/>
      <c r="AE19" s="683"/>
      <c r="AF19" s="683"/>
      <c r="AG19" s="683"/>
      <c r="AH19" s="683"/>
      <c r="AI19" s="683"/>
      <c r="AJ19" s="716"/>
      <c r="AK19" s="716"/>
      <c r="AL19" s="716"/>
    </row>
    <row r="20" ht="15.75" hidden="1" customHeight="1">
      <c r="J20" s="722"/>
      <c r="K20" s="682"/>
      <c r="Z20" s="710"/>
      <c r="AA20" s="684"/>
      <c r="AB20" s="684"/>
      <c r="AC20" s="684"/>
      <c r="AD20" s="684"/>
      <c r="AE20" s="684"/>
      <c r="AF20" s="684"/>
      <c r="AG20" s="684"/>
      <c r="AH20" s="684"/>
      <c r="AI20" s="684"/>
      <c r="AJ20" s="716"/>
      <c r="AK20" s="716"/>
      <c r="AL20" s="716"/>
    </row>
    <row r="21" hidden="1">
      <c r="N21" s="682"/>
      <c r="O21" s="682"/>
      <c r="P21" s="682"/>
      <c r="Z21" s="710"/>
      <c r="AA21" s="725"/>
      <c r="AB21" s="725"/>
      <c r="AC21" s="725"/>
      <c r="AD21" s="725"/>
      <c r="AE21" s="725"/>
      <c r="AF21" s="725"/>
      <c r="AG21" s="683"/>
      <c r="AH21" s="683"/>
      <c r="AI21" s="683"/>
      <c r="AJ21" s="716"/>
      <c r="AK21" s="716"/>
      <c r="AL21" s="716"/>
    </row>
    <row r="22" hidden="1">
      <c r="B22" s="730"/>
      <c r="C22" s="722"/>
      <c r="D22" s="722"/>
      <c r="E22" s="722"/>
      <c r="F22" s="722"/>
      <c r="G22" s="722"/>
      <c r="H22" s="722"/>
      <c r="I22" s="722"/>
      <c r="J22" s="722"/>
      <c r="K22" s="722"/>
      <c r="L22" s="722"/>
      <c r="M22" s="722"/>
      <c r="N22" s="722"/>
      <c r="O22" s="722"/>
      <c r="P22" s="722"/>
      <c r="Q22" s="722"/>
      <c r="R22" s="722"/>
      <c r="S22" s="722"/>
      <c r="W22" s="722"/>
      <c r="AF22" s="725"/>
      <c r="AG22" s="725"/>
      <c r="AH22" s="725"/>
      <c r="AI22" s="684"/>
      <c r="AJ22" s="684"/>
      <c r="AK22" s="716"/>
      <c r="AL22" s="716"/>
    </row>
    <row r="23" ht="15.75" hidden="1" customHeight="1">
      <c r="B23" s="714"/>
      <c r="C23" s="731"/>
      <c r="D23" s="731"/>
      <c r="E23" s="731"/>
      <c r="F23" s="731"/>
      <c r="G23" s="731"/>
      <c r="H23" s="731"/>
      <c r="I23" s="731"/>
      <c r="J23" s="731"/>
      <c r="K23" s="731"/>
      <c r="L23" s="731"/>
      <c r="M23" s="731"/>
      <c r="N23" s="714"/>
      <c r="O23" s="731"/>
      <c r="P23" s="731"/>
      <c r="Q23" s="731"/>
      <c r="R23" s="731"/>
      <c r="S23" s="731"/>
      <c r="W23" s="731"/>
      <c r="Y23" s="710"/>
      <c r="Z23" s="710"/>
      <c r="AA23" s="682"/>
      <c r="AD23" s="683"/>
      <c r="AE23" s="682"/>
      <c r="AF23" s="682"/>
      <c r="AG23" s="682"/>
      <c r="AH23" s="682"/>
      <c r="AI23" s="683"/>
      <c r="AJ23" s="683"/>
      <c r="AK23" s="683"/>
      <c r="AL23" s="683"/>
    </row>
    <row r="24" ht="15.75" hidden="1" customHeight="1">
      <c r="B24" s="732"/>
      <c r="M24" s="732"/>
      <c r="N24" s="716"/>
      <c r="T24" s="272"/>
      <c r="W24" s="716"/>
      <c r="Y24" s="710"/>
      <c r="Z24" s="710"/>
      <c r="AA24" s="682"/>
      <c r="AD24" s="683"/>
      <c r="AE24" s="682"/>
      <c r="AF24" s="682"/>
      <c r="AG24" s="682"/>
      <c r="AH24" s="682"/>
      <c r="AI24" s="683"/>
      <c r="AJ24" s="683"/>
      <c r="AK24" s="683"/>
      <c r="AL24" s="683"/>
    </row>
    <row r="25" hidden="1">
      <c r="B25" s="733"/>
      <c r="C25" s="733"/>
      <c r="D25" s="733"/>
      <c r="E25" s="733"/>
      <c r="F25" s="733"/>
      <c r="G25" s="733"/>
      <c r="H25" s="733"/>
      <c r="I25" s="733"/>
      <c r="J25" s="733"/>
      <c r="K25" s="733"/>
      <c r="L25" s="733"/>
      <c r="M25" s="733"/>
      <c r="N25" s="733"/>
      <c r="O25" s="733"/>
      <c r="P25" s="683"/>
      <c r="Q25" s="683"/>
      <c r="AE25" s="683"/>
      <c r="AF25" s="682"/>
      <c r="AG25" s="682"/>
      <c r="AH25" s="682"/>
      <c r="AI25" s="682"/>
      <c r="AJ25" s="683"/>
      <c r="AK25" s="683"/>
      <c r="AL25" s="683"/>
    </row>
    <row r="26" ht="15.75" hidden="1" customHeight="1">
      <c r="A26" s="683"/>
      <c r="B26" s="731"/>
      <c r="C26" s="731"/>
      <c r="D26" s="731"/>
      <c r="E26" s="731"/>
      <c r="F26" s="731"/>
      <c r="G26" s="731"/>
      <c r="H26" s="731"/>
      <c r="I26" s="731"/>
      <c r="J26" s="731"/>
      <c r="K26" s="731"/>
      <c r="L26" s="731"/>
      <c r="M26" s="731"/>
      <c r="N26" s="731"/>
      <c r="O26" s="731"/>
      <c r="P26" s="683"/>
      <c r="Q26" s="683"/>
      <c r="AE26" s="683"/>
      <c r="AF26" s="682"/>
      <c r="AG26" s="682"/>
      <c r="AH26" s="682"/>
      <c r="AI26" s="682"/>
      <c r="AJ26" s="683"/>
      <c r="AK26" s="683"/>
      <c r="AL26" s="683"/>
    </row>
    <row r="27" ht="15.75" hidden="1" customHeight="1">
      <c r="A27" s="725"/>
      <c r="B27" s="734"/>
      <c r="C27" s="734"/>
      <c r="D27" s="734"/>
      <c r="E27" s="734"/>
      <c r="F27" s="734"/>
      <c r="G27" s="734"/>
      <c r="H27" s="734"/>
      <c r="I27" s="734"/>
      <c r="J27" s="734"/>
      <c r="K27" s="734"/>
      <c r="L27" s="734"/>
      <c r="M27" s="734"/>
      <c r="N27" s="734"/>
      <c r="O27" s="734"/>
      <c r="P27" s="683"/>
      <c r="Q27" s="683"/>
      <c r="AE27" s="683"/>
      <c r="AF27" s="682"/>
      <c r="AG27" s="682"/>
      <c r="AH27" s="682"/>
      <c r="AI27" s="682"/>
      <c r="AJ27" s="683"/>
      <c r="AK27" s="683"/>
      <c r="AL27" s="683"/>
    </row>
    <row r="28" ht="15.75" hidden="1" customHeight="1">
      <c r="A28" s="725"/>
      <c r="B28" s="722"/>
      <c r="C28" s="682"/>
      <c r="D28" s="682"/>
      <c r="E28" s="682"/>
      <c r="G28" s="722"/>
      <c r="H28" s="682"/>
      <c r="I28" s="682"/>
      <c r="J28" s="682"/>
      <c r="L28" s="722"/>
      <c r="M28" s="682"/>
      <c r="N28" s="682"/>
      <c r="O28" s="682"/>
      <c r="P28" s="683"/>
      <c r="Q28" s="683"/>
      <c r="AE28" s="683"/>
      <c r="AF28" s="682"/>
      <c r="AG28" s="682"/>
      <c r="AH28" s="682"/>
      <c r="AI28" s="682"/>
      <c r="AJ28" s="683"/>
      <c r="AK28" s="683"/>
      <c r="AL28" s="683"/>
    </row>
    <row r="29" ht="15.75" hidden="1" customHeight="1">
      <c r="A29" s="725"/>
      <c r="B29" s="722"/>
      <c r="C29" s="682"/>
      <c r="D29" s="682"/>
      <c r="E29" s="682"/>
      <c r="G29" s="722"/>
      <c r="H29" s="682"/>
      <c r="I29" s="682"/>
      <c r="J29" s="682"/>
      <c r="L29" s="722"/>
      <c r="M29" s="682"/>
      <c r="N29" s="682"/>
      <c r="O29" s="682"/>
      <c r="P29" s="683"/>
      <c r="Q29" s="683"/>
      <c r="AE29" s="683"/>
      <c r="AF29" s="682"/>
      <c r="AG29" s="682"/>
      <c r="AH29" s="682"/>
      <c r="AI29" s="682"/>
      <c r="AJ29" s="683"/>
      <c r="AK29" s="683"/>
      <c r="AL29" s="683"/>
    </row>
    <row r="30" ht="15.75" hidden="1" customHeight="1">
      <c r="A30" s="683"/>
      <c r="B30" s="722"/>
      <c r="C30" s="682"/>
      <c r="D30" s="682"/>
      <c r="E30" s="682"/>
      <c r="G30" s="722"/>
      <c r="H30" s="682"/>
      <c r="I30" s="682"/>
      <c r="J30" s="682"/>
      <c r="L30" s="722"/>
      <c r="M30" s="682"/>
      <c r="N30" s="682"/>
      <c r="O30" s="682"/>
      <c r="P30" s="683"/>
      <c r="Q30" s="683"/>
      <c r="R30" s="683"/>
      <c r="S30" s="683"/>
      <c r="T30" s="683"/>
      <c r="U30" s="683"/>
      <c r="V30" s="683"/>
      <c r="W30" s="683"/>
      <c r="X30" s="683"/>
      <c r="Y30" s="683"/>
      <c r="Z30" s="683"/>
      <c r="AA30" s="683"/>
      <c r="AB30" s="683"/>
      <c r="AC30" s="683"/>
      <c r="AD30" s="683"/>
      <c r="AE30" s="683"/>
      <c r="AF30" s="682"/>
      <c r="AG30" s="682"/>
      <c r="AH30" s="682"/>
      <c r="AI30" s="682"/>
      <c r="AJ30" s="683"/>
      <c r="AK30" s="683"/>
      <c r="AL30" s="683"/>
    </row>
    <row r="31" ht="15.75" hidden="1" customHeight="1">
      <c r="A31" s="722"/>
      <c r="B31" s="722"/>
      <c r="C31" s="727"/>
      <c r="D31" s="682"/>
      <c r="E31" s="682"/>
      <c r="G31" s="722"/>
      <c r="H31" s="727"/>
      <c r="I31" s="682"/>
      <c r="J31" s="682"/>
      <c r="P31" s="722"/>
      <c r="Q31" s="722"/>
      <c r="R31" s="722"/>
      <c r="S31" s="722"/>
      <c r="T31" s="722"/>
      <c r="U31" s="722"/>
      <c r="V31" s="722"/>
      <c r="W31" s="722"/>
      <c r="X31" s="722"/>
      <c r="Y31" s="722"/>
      <c r="Z31" s="722"/>
      <c r="AA31" s="722"/>
      <c r="AB31" s="722"/>
      <c r="AC31" s="722"/>
      <c r="AD31" s="722"/>
      <c r="AE31" s="722"/>
      <c r="AF31" s="682"/>
      <c r="AG31" s="682"/>
      <c r="AH31" s="682"/>
      <c r="AI31" s="682"/>
      <c r="AJ31" s="722"/>
      <c r="AK31" s="722"/>
      <c r="AL31" s="722"/>
    </row>
    <row r="32" ht="15.75" hidden="1" customHeight="1">
      <c r="A32" s="722"/>
      <c r="B32" s="722"/>
      <c r="C32" s="727"/>
      <c r="D32" s="682"/>
      <c r="E32" s="682"/>
      <c r="G32" s="722"/>
      <c r="H32" s="727"/>
      <c r="I32" s="682"/>
      <c r="J32" s="682"/>
      <c r="P32" s="722"/>
      <c r="Q32" s="722"/>
      <c r="R32" s="722"/>
      <c r="S32" s="722"/>
      <c r="T32" s="722"/>
      <c r="U32" s="722"/>
      <c r="V32" s="722"/>
      <c r="W32" s="722"/>
      <c r="X32" s="722"/>
      <c r="Y32" s="722"/>
      <c r="Z32" s="722"/>
      <c r="AA32" s="722"/>
      <c r="AB32" s="722"/>
      <c r="AC32" s="722"/>
      <c r="AD32" s="722"/>
      <c r="AE32" s="722"/>
      <c r="AF32" s="682"/>
      <c r="AG32" s="682"/>
      <c r="AH32" s="682"/>
      <c r="AI32" s="682"/>
      <c r="AJ32" s="722"/>
      <c r="AK32" s="722"/>
      <c r="AL32" s="722"/>
    </row>
    <row r="33" ht="15.75" hidden="1" customHeight="1">
      <c r="A33" s="722"/>
      <c r="B33" s="728"/>
      <c r="C33" s="727"/>
      <c r="D33" s="682"/>
      <c r="E33" s="682"/>
      <c r="G33" s="722"/>
      <c r="H33" s="727"/>
      <c r="I33" s="682"/>
      <c r="J33" s="682"/>
      <c r="P33" s="722"/>
      <c r="Q33" s="722"/>
      <c r="R33" s="722"/>
      <c r="S33" s="722"/>
      <c r="T33" s="722"/>
      <c r="U33" s="722"/>
      <c r="V33" s="722"/>
      <c r="W33" s="722"/>
      <c r="X33" s="722"/>
      <c r="Y33" s="722"/>
      <c r="Z33" s="722"/>
      <c r="AA33" s="722"/>
      <c r="AB33" s="722"/>
      <c r="AC33" s="722"/>
      <c r="AD33" s="722"/>
      <c r="AE33" s="722"/>
      <c r="AF33" s="682"/>
      <c r="AG33" s="682"/>
      <c r="AH33" s="682"/>
      <c r="AI33" s="682"/>
      <c r="AJ33" s="722"/>
      <c r="AK33" s="722"/>
      <c r="AL33" s="722"/>
    </row>
    <row r="34" ht="15.75" hidden="1" customHeight="1">
      <c r="A34" s="722"/>
      <c r="B34" s="728"/>
      <c r="C34" s="682"/>
      <c r="D34" s="682"/>
      <c r="E34" s="682"/>
      <c r="G34" s="728"/>
      <c r="H34" s="727"/>
      <c r="I34" s="682"/>
      <c r="J34" s="682"/>
      <c r="P34" s="722"/>
      <c r="Q34" s="722"/>
      <c r="R34" s="722"/>
      <c r="S34" s="722"/>
      <c r="T34" s="722"/>
      <c r="U34" s="722"/>
      <c r="V34" s="722"/>
      <c r="W34" s="722"/>
      <c r="X34" s="722"/>
      <c r="Y34" s="722"/>
      <c r="Z34" s="722"/>
      <c r="AA34" s="722"/>
      <c r="AB34" s="722"/>
      <c r="AC34" s="722"/>
      <c r="AD34" s="722"/>
      <c r="AE34" s="722"/>
      <c r="AF34" s="722"/>
      <c r="AG34" s="722"/>
      <c r="AH34" s="722"/>
      <c r="AI34" s="722"/>
      <c r="AJ34" s="722"/>
      <c r="AK34" s="722"/>
      <c r="AL34" s="722"/>
    </row>
    <row r="35" ht="15.75" hidden="1" customHeight="1">
      <c r="A35" s="722"/>
      <c r="B35" s="728"/>
      <c r="C35" s="682"/>
      <c r="D35" s="682"/>
      <c r="E35" s="682"/>
      <c r="G35" s="728"/>
      <c r="H35" s="682"/>
      <c r="I35" s="682"/>
      <c r="J35" s="682"/>
      <c r="P35" s="722"/>
      <c r="Q35" s="722"/>
      <c r="R35" s="722"/>
      <c r="S35" s="722"/>
      <c r="T35" s="722"/>
      <c r="U35" s="722"/>
      <c r="V35" s="722"/>
      <c r="W35" s="722"/>
      <c r="X35" s="722"/>
      <c r="Y35" s="722"/>
      <c r="Z35" s="722"/>
      <c r="AA35" s="722"/>
      <c r="AB35" s="722"/>
      <c r="AC35" s="722"/>
      <c r="AD35" s="722"/>
      <c r="AE35" s="722"/>
      <c r="AF35" s="722"/>
      <c r="AG35" s="722"/>
      <c r="AH35" s="722"/>
      <c r="AI35" s="722"/>
      <c r="AJ35" s="722"/>
      <c r="AK35" s="722"/>
      <c r="AL35" s="722"/>
    </row>
    <row r="36" ht="15.75" hidden="1" customHeight="1">
      <c r="A36" s="722"/>
      <c r="B36" s="728"/>
      <c r="C36" s="682"/>
      <c r="D36" s="682"/>
      <c r="E36" s="682"/>
      <c r="G36" s="728"/>
      <c r="H36" s="682"/>
      <c r="I36" s="682"/>
      <c r="P36" s="722"/>
      <c r="Q36" s="722"/>
      <c r="R36" s="722"/>
      <c r="S36" s="722"/>
      <c r="T36" s="722"/>
      <c r="U36" s="722"/>
      <c r="V36" s="722"/>
      <c r="W36" s="722"/>
      <c r="X36" s="722"/>
      <c r="Y36" s="722"/>
      <c r="Z36" s="722"/>
      <c r="AA36" s="722"/>
      <c r="AB36" s="722"/>
      <c r="AC36" s="722"/>
      <c r="AD36" s="722"/>
      <c r="AE36" s="722"/>
      <c r="AF36" s="722"/>
      <c r="AG36" s="722"/>
      <c r="AH36" s="722"/>
      <c r="AI36" s="722"/>
      <c r="AJ36" s="722"/>
      <c r="AK36" s="722"/>
      <c r="AL36" s="722"/>
    </row>
    <row r="37" ht="15.75" hidden="1" customHeight="1">
      <c r="A37" s="722"/>
      <c r="B37" s="729"/>
      <c r="C37" s="722"/>
      <c r="D37" s="722"/>
      <c r="E37" s="722"/>
      <c r="P37" s="722"/>
      <c r="Q37" s="722"/>
      <c r="R37" s="722"/>
      <c r="S37" s="722"/>
      <c r="T37" s="722"/>
      <c r="U37" s="722"/>
      <c r="V37" s="722"/>
      <c r="W37" s="722"/>
      <c r="X37" s="722"/>
      <c r="Y37" s="722"/>
      <c r="Z37" s="722"/>
      <c r="AA37" s="722"/>
      <c r="AB37" s="722"/>
      <c r="AC37" s="722"/>
      <c r="AD37" s="722"/>
      <c r="AE37" s="722"/>
      <c r="AF37" s="722"/>
      <c r="AG37" s="722"/>
      <c r="AH37" s="722"/>
      <c r="AI37" s="722"/>
      <c r="AJ37" s="722"/>
      <c r="AK37" s="722"/>
      <c r="AL37" s="722"/>
    </row>
    <row r="38" ht="15.75" hidden="1" customHeight="1">
      <c r="A38" s="722"/>
      <c r="B38" s="729"/>
      <c r="C38" s="722"/>
      <c r="D38" s="722"/>
      <c r="E38" s="722"/>
      <c r="F38" s="722"/>
      <c r="G38" s="722"/>
      <c r="H38" s="722"/>
      <c r="I38" s="722"/>
      <c r="J38" s="722"/>
      <c r="K38" s="722"/>
      <c r="L38" s="722"/>
      <c r="M38" s="722"/>
      <c r="N38" s="722"/>
      <c r="O38" s="722"/>
      <c r="P38" s="722"/>
      <c r="Q38" s="722"/>
      <c r="R38" s="722"/>
      <c r="S38" s="722"/>
      <c r="T38" s="722"/>
      <c r="U38" s="722"/>
      <c r="V38" s="722"/>
      <c r="W38" s="722"/>
      <c r="X38" s="722"/>
      <c r="Y38" s="722"/>
      <c r="Z38" s="722"/>
      <c r="AA38" s="722"/>
      <c r="AB38" s="722"/>
      <c r="AC38" s="722"/>
      <c r="AD38" s="722"/>
      <c r="AE38" s="722"/>
      <c r="AF38" s="722"/>
      <c r="AG38" s="722"/>
      <c r="AH38" s="722"/>
      <c r="AI38" s="722"/>
      <c r="AJ38" s="722"/>
      <c r="AK38" s="722"/>
      <c r="AL38" s="722"/>
    </row>
    <row r="39" ht="15.75" hidden="1" customHeight="1">
      <c r="A39" s="722"/>
      <c r="B39" s="731"/>
      <c r="C39" s="731"/>
      <c r="D39" s="731"/>
      <c r="E39" s="731"/>
      <c r="F39" s="731"/>
      <c r="G39" s="731"/>
      <c r="H39" s="731"/>
      <c r="I39" s="731"/>
      <c r="J39" s="731"/>
      <c r="K39" s="731"/>
      <c r="L39" s="731"/>
      <c r="M39" s="731"/>
      <c r="N39" s="731"/>
      <c r="O39" s="731"/>
      <c r="P39" s="731"/>
      <c r="Q39" s="731"/>
      <c r="R39" s="731"/>
      <c r="S39" s="731"/>
      <c r="T39" s="731"/>
      <c r="U39" s="731"/>
      <c r="V39" s="722"/>
      <c r="W39" s="731"/>
      <c r="X39" s="731"/>
      <c r="Y39" s="731"/>
      <c r="Z39" s="731"/>
      <c r="AA39" s="731"/>
      <c r="AB39" s="731"/>
      <c r="AC39" s="731"/>
      <c r="AD39" s="731"/>
      <c r="AE39" s="722"/>
      <c r="AF39" s="722"/>
      <c r="AG39" s="722"/>
      <c r="AH39" s="722"/>
      <c r="AI39" s="722"/>
      <c r="AJ39" s="722"/>
      <c r="AK39" s="722"/>
      <c r="AL39" s="722"/>
    </row>
    <row r="40" ht="15.75" hidden="1" customHeight="1">
      <c r="A40" s="722"/>
      <c r="B40" s="724"/>
      <c r="C40" s="724"/>
      <c r="D40" s="724"/>
      <c r="E40" s="724"/>
      <c r="F40" s="724"/>
      <c r="G40" s="724"/>
      <c r="H40" s="724"/>
      <c r="I40" s="724"/>
      <c r="J40" s="724"/>
      <c r="K40" s="724"/>
      <c r="L40" s="724"/>
      <c r="M40" s="724"/>
      <c r="N40" s="724"/>
      <c r="O40" s="724"/>
      <c r="P40" s="724"/>
      <c r="Q40" s="724"/>
      <c r="R40" s="724"/>
      <c r="S40" s="724"/>
      <c r="T40" s="724"/>
      <c r="U40" s="724"/>
      <c r="V40" s="722"/>
      <c r="W40" s="716"/>
      <c r="X40" s="716"/>
      <c r="Y40" s="716"/>
      <c r="Z40" s="716"/>
      <c r="AA40" s="716"/>
      <c r="AB40" s="716"/>
      <c r="AC40" s="716"/>
      <c r="AD40" s="716"/>
      <c r="AE40" s="722"/>
      <c r="AF40" s="722"/>
      <c r="AG40" s="722"/>
      <c r="AH40" s="722"/>
      <c r="AI40" s="722"/>
      <c r="AJ40" s="722"/>
      <c r="AK40" s="722"/>
      <c r="AL40" s="722"/>
    </row>
    <row r="41" hidden="1">
      <c r="A41" s="722"/>
      <c r="B41" s="722"/>
      <c r="C41" s="722"/>
      <c r="D41" s="722"/>
      <c r="E41" s="722"/>
      <c r="F41" s="722"/>
      <c r="G41" s="722"/>
      <c r="H41" s="722"/>
      <c r="I41" s="722"/>
      <c r="J41" s="722"/>
      <c r="K41" s="722"/>
      <c r="L41" s="722"/>
      <c r="M41" s="722"/>
      <c r="N41" s="722"/>
      <c r="O41" s="722"/>
      <c r="P41" s="722"/>
      <c r="Q41" s="722"/>
      <c r="R41" s="722"/>
      <c r="S41" s="722"/>
      <c r="T41" s="722"/>
      <c r="U41" s="722"/>
      <c r="V41" s="722"/>
      <c r="W41" s="722"/>
      <c r="X41" s="722"/>
      <c r="Y41" s="722"/>
      <c r="Z41" s="722"/>
      <c r="AA41" s="722"/>
      <c r="AB41" s="722"/>
      <c r="AC41" s="722"/>
      <c r="AD41" s="722"/>
      <c r="AE41" s="722"/>
      <c r="AF41" s="722"/>
      <c r="AG41" s="722"/>
      <c r="AH41" s="722"/>
      <c r="AI41" s="722"/>
      <c r="AJ41" s="722"/>
      <c r="AK41" s="722"/>
      <c r="AL41" s="722"/>
    </row>
    <row r="42" hidden="1">
      <c r="A42" s="722"/>
      <c r="B42" s="722"/>
      <c r="C42" s="722"/>
      <c r="D42" s="722"/>
      <c r="E42" s="722"/>
      <c r="F42" s="722"/>
      <c r="G42" s="722"/>
      <c r="H42" s="722"/>
      <c r="I42" s="722"/>
      <c r="J42" s="722"/>
      <c r="K42" s="722"/>
      <c r="L42" s="722"/>
      <c r="M42" s="722"/>
      <c r="N42" s="722"/>
      <c r="O42" s="722"/>
      <c r="P42" s="722"/>
      <c r="Q42" s="722"/>
      <c r="R42" s="722"/>
      <c r="S42" s="722"/>
      <c r="T42" s="722"/>
      <c r="U42" s="722"/>
      <c r="V42" s="722"/>
      <c r="W42" s="722"/>
      <c r="X42" s="722"/>
      <c r="Y42" s="722"/>
      <c r="Z42" s="722"/>
      <c r="AA42" s="722"/>
      <c r="AB42" s="722"/>
      <c r="AC42" s="722"/>
      <c r="AD42" s="722"/>
      <c r="AE42" s="722"/>
      <c r="AF42" s="722"/>
      <c r="AG42" s="722"/>
      <c r="AH42" s="722"/>
      <c r="AI42" s="722"/>
      <c r="AJ42" s="722"/>
      <c r="AK42" s="722"/>
      <c r="AL42" s="722"/>
    </row>
    <row r="43" hidden="1">
      <c r="A43" s="735"/>
      <c r="B43" s="735" t="s">
        <v>283</v>
      </c>
      <c r="H43" s="735"/>
      <c r="I43" s="735"/>
      <c r="J43" s="683"/>
      <c r="K43" s="683"/>
      <c r="L43" s="683"/>
      <c r="M43" s="683"/>
      <c r="N43" s="683"/>
      <c r="O43" s="683"/>
      <c r="P43" s="683"/>
      <c r="Q43" s="683"/>
      <c r="R43" s="683"/>
      <c r="S43" s="683"/>
      <c r="T43" s="683"/>
      <c r="U43" s="683"/>
      <c r="V43" s="683"/>
      <c r="W43" s="683"/>
      <c r="X43" s="683"/>
      <c r="Y43" s="683"/>
      <c r="Z43" s="683"/>
      <c r="AA43" s="683"/>
      <c r="AB43" s="683"/>
      <c r="AC43" s="683"/>
      <c r="AD43" s="683"/>
      <c r="AE43" s="683"/>
      <c r="AF43" s="683"/>
      <c r="AG43" s="683"/>
      <c r="AH43" s="683"/>
      <c r="AI43" s="683"/>
      <c r="AJ43" s="683"/>
      <c r="AK43" s="683"/>
      <c r="AL43" s="683"/>
    </row>
    <row r="44" hidden="1">
      <c r="A44" s="735"/>
      <c r="H44" s="735"/>
      <c r="I44" s="735"/>
      <c r="J44" s="683"/>
      <c r="K44" s="683"/>
      <c r="L44" s="682" t="b">
        <v>0</v>
      </c>
      <c r="M44" s="682" t="s">
        <v>284</v>
      </c>
      <c r="N44" s="683"/>
      <c r="O44" s="683"/>
      <c r="P44" s="683"/>
      <c r="Q44" s="682" t="b">
        <v>0</v>
      </c>
      <c r="R44" s="682" t="s">
        <v>285</v>
      </c>
      <c r="S44" s="683"/>
      <c r="T44" s="683"/>
      <c r="U44" s="683"/>
      <c r="V44" s="682" t="b">
        <v>0</v>
      </c>
      <c r="W44" s="682" t="s">
        <v>286</v>
      </c>
      <c r="X44" s="683"/>
      <c r="Y44" s="683"/>
      <c r="Z44" s="683"/>
      <c r="AA44" s="683"/>
      <c r="AB44" s="683"/>
      <c r="AC44" s="683"/>
      <c r="AD44" s="683"/>
      <c r="AE44" s="683"/>
      <c r="AF44" s="683"/>
      <c r="AG44" s="683"/>
      <c r="AH44" s="683"/>
      <c r="AI44" s="683"/>
      <c r="AJ44" s="683"/>
      <c r="AK44" s="683"/>
      <c r="AL44" s="683"/>
    </row>
    <row r="45" hidden="1">
      <c r="A45" s="683"/>
      <c r="B45" s="683"/>
      <c r="C45" s="683"/>
      <c r="D45" s="683"/>
      <c r="E45" s="683"/>
      <c r="F45" s="683"/>
      <c r="G45" s="683"/>
      <c r="H45" s="683"/>
      <c r="I45" s="683"/>
      <c r="J45" s="683"/>
      <c r="K45" s="683"/>
      <c r="L45" s="683"/>
      <c r="M45" s="683"/>
      <c r="N45" s="683"/>
      <c r="O45" s="683"/>
      <c r="P45" s="683"/>
      <c r="Q45" s="683"/>
      <c r="R45" s="683"/>
      <c r="S45" s="683"/>
      <c r="T45" s="683"/>
      <c r="U45" s="683"/>
      <c r="V45" s="683"/>
      <c r="W45" s="683"/>
      <c r="X45" s="683"/>
      <c r="Y45" s="683"/>
      <c r="Z45" s="683"/>
      <c r="AA45" s="683"/>
      <c r="AB45" s="683"/>
      <c r="AC45" s="683"/>
      <c r="AD45" s="683"/>
      <c r="AE45" s="683"/>
      <c r="AF45" s="683"/>
      <c r="AG45" s="683"/>
      <c r="AH45" s="683"/>
      <c r="AI45" s="683"/>
      <c r="AJ45" s="683"/>
      <c r="AK45" s="683"/>
      <c r="AL45" s="683"/>
    </row>
    <row r="46" hidden="1">
      <c r="A46" s="736"/>
      <c r="B46" s="737" t="s">
        <v>287</v>
      </c>
      <c r="C46" s="25"/>
      <c r="D46" s="25"/>
      <c r="E46" s="25"/>
      <c r="F46" s="25"/>
      <c r="G46" s="25"/>
      <c r="H46" s="26"/>
      <c r="I46" s="737" t="s">
        <v>53</v>
      </c>
      <c r="J46" s="25"/>
      <c r="K46" s="25"/>
      <c r="L46" s="25"/>
      <c r="M46" s="25"/>
      <c r="N46" s="25"/>
      <c r="O46" s="26"/>
      <c r="P46" s="738" t="s">
        <v>288</v>
      </c>
      <c r="Q46" s="21"/>
      <c r="R46" s="21"/>
      <c r="S46" s="21"/>
      <c r="T46" s="21"/>
      <c r="U46" s="21"/>
      <c r="V46" s="22"/>
      <c r="W46" s="737" t="s">
        <v>289</v>
      </c>
      <c r="X46" s="25"/>
      <c r="Y46" s="25"/>
      <c r="Z46" s="25"/>
      <c r="AA46" s="25"/>
      <c r="AB46" s="25"/>
      <c r="AC46" s="26"/>
      <c r="AD46" s="737" t="s">
        <v>290</v>
      </c>
      <c r="AE46" s="25"/>
      <c r="AF46" s="25"/>
      <c r="AG46" s="25"/>
      <c r="AH46" s="25"/>
      <c r="AI46" s="25"/>
      <c r="AJ46" s="26"/>
      <c r="AK46" s="739"/>
      <c r="AL46" s="739"/>
    </row>
    <row r="47" ht="40.5" hidden="1" customHeight="1">
      <c r="A47" s="669"/>
      <c r="B47" s="740"/>
      <c r="C47" s="25"/>
      <c r="D47" s="25"/>
      <c r="E47" s="25"/>
      <c r="F47" s="25"/>
      <c r="G47" s="25"/>
      <c r="H47" s="741" t="s">
        <v>291</v>
      </c>
      <c r="I47" s="740"/>
      <c r="J47" s="25"/>
      <c r="K47" s="25"/>
      <c r="L47" s="25"/>
      <c r="M47" s="25"/>
      <c r="N47" s="25"/>
      <c r="O47" s="741" t="s">
        <v>291</v>
      </c>
      <c r="P47" s="740"/>
      <c r="Q47" s="25"/>
      <c r="R47" s="25"/>
      <c r="S47" s="25"/>
      <c r="T47" s="25"/>
      <c r="U47" s="25"/>
      <c r="V47" s="741" t="s">
        <v>291</v>
      </c>
      <c r="W47" s="740"/>
      <c r="X47" s="25"/>
      <c r="Y47" s="25"/>
      <c r="Z47" s="25"/>
      <c r="AA47" s="25"/>
      <c r="AB47" s="25"/>
      <c r="AC47" s="741" t="s">
        <v>291</v>
      </c>
      <c r="AD47" s="740"/>
      <c r="AE47" s="25"/>
      <c r="AF47" s="25"/>
      <c r="AG47" s="25"/>
      <c r="AH47" s="25"/>
      <c r="AI47" s="25"/>
      <c r="AJ47" s="741" t="s">
        <v>291</v>
      </c>
      <c r="AK47" s="742"/>
      <c r="AL47" s="742"/>
    </row>
    <row r="48" hidden="1">
      <c r="A48" s="736"/>
      <c r="B48" s="737" t="s">
        <v>292</v>
      </c>
      <c r="C48" s="25"/>
      <c r="D48" s="25"/>
      <c r="E48" s="25"/>
      <c r="F48" s="25"/>
      <c r="G48" s="25"/>
      <c r="H48" s="26"/>
      <c r="I48" s="737" t="s">
        <v>293</v>
      </c>
      <c r="J48" s="25"/>
      <c r="K48" s="25"/>
      <c r="L48" s="25"/>
      <c r="M48" s="25"/>
      <c r="N48" s="25"/>
      <c r="O48" s="26"/>
      <c r="P48" s="743" t="s">
        <v>55</v>
      </c>
      <c r="Q48" s="33"/>
      <c r="R48" s="33"/>
      <c r="S48" s="33"/>
      <c r="T48" s="33"/>
      <c r="U48" s="33"/>
      <c r="V48" s="34"/>
      <c r="W48" s="737" t="s">
        <v>57</v>
      </c>
      <c r="X48" s="25"/>
      <c r="Y48" s="25"/>
      <c r="Z48" s="25"/>
      <c r="AA48" s="25"/>
      <c r="AB48" s="25"/>
      <c r="AC48" s="26"/>
      <c r="AD48" s="737" t="s">
        <v>294</v>
      </c>
      <c r="AE48" s="25"/>
      <c r="AF48" s="25"/>
      <c r="AG48" s="25"/>
      <c r="AH48" s="25"/>
      <c r="AI48" s="25"/>
      <c r="AJ48" s="26"/>
      <c r="AK48" s="739"/>
      <c r="AL48" s="739"/>
    </row>
    <row r="49" ht="40.5" hidden="1" customHeight="1">
      <c r="A49" s="669"/>
      <c r="B49" s="740"/>
      <c r="C49" s="25"/>
      <c r="D49" s="25"/>
      <c r="E49" s="25"/>
      <c r="F49" s="25"/>
      <c r="G49" s="25"/>
      <c r="H49" s="741" t="s">
        <v>291</v>
      </c>
      <c r="I49" s="740"/>
      <c r="J49" s="25"/>
      <c r="K49" s="25"/>
      <c r="L49" s="25"/>
      <c r="M49" s="25"/>
      <c r="N49" s="25"/>
      <c r="O49" s="741" t="s">
        <v>291</v>
      </c>
      <c r="P49" s="740"/>
      <c r="Q49" s="25"/>
      <c r="R49" s="25"/>
      <c r="S49" s="25"/>
      <c r="T49" s="25"/>
      <c r="U49" s="25"/>
      <c r="V49" s="741" t="s">
        <v>291</v>
      </c>
      <c r="W49" s="740"/>
      <c r="X49" s="25"/>
      <c r="Y49" s="25"/>
      <c r="Z49" s="25"/>
      <c r="AA49" s="25"/>
      <c r="AB49" s="25"/>
      <c r="AC49" s="741" t="s">
        <v>291</v>
      </c>
      <c r="AD49" s="740"/>
      <c r="AE49" s="25"/>
      <c r="AF49" s="25"/>
      <c r="AG49" s="25"/>
      <c r="AH49" s="25"/>
      <c r="AI49" s="25"/>
      <c r="AJ49" s="741" t="s">
        <v>291</v>
      </c>
      <c r="AK49" s="742"/>
      <c r="AL49" s="742"/>
    </row>
    <row r="50" hidden="1">
      <c r="A50" s="736"/>
      <c r="B50" s="744" t="s">
        <v>54</v>
      </c>
      <c r="C50" s="25"/>
      <c r="D50" s="25"/>
      <c r="E50" s="25"/>
      <c r="F50" s="25"/>
      <c r="G50" s="25"/>
      <c r="H50" s="26"/>
      <c r="I50" s="744" t="s">
        <v>295</v>
      </c>
      <c r="J50" s="25"/>
      <c r="K50" s="25"/>
      <c r="L50" s="25"/>
      <c r="M50" s="25"/>
      <c r="N50" s="25"/>
      <c r="O50" s="26"/>
      <c r="P50" s="744" t="s">
        <v>296</v>
      </c>
      <c r="Q50" s="25"/>
      <c r="R50" s="25"/>
      <c r="S50" s="25"/>
      <c r="T50" s="25"/>
      <c r="U50" s="25"/>
      <c r="V50" s="26"/>
      <c r="W50" s="744" t="s">
        <v>297</v>
      </c>
      <c r="X50" s="25"/>
      <c r="Y50" s="25"/>
      <c r="Z50" s="25"/>
      <c r="AA50" s="25"/>
      <c r="AB50" s="25"/>
      <c r="AC50" s="26"/>
      <c r="AD50" s="744" t="s">
        <v>298</v>
      </c>
      <c r="AE50" s="25"/>
      <c r="AF50" s="25"/>
      <c r="AG50" s="25"/>
      <c r="AH50" s="25"/>
      <c r="AI50" s="25"/>
      <c r="AJ50" s="26"/>
      <c r="AK50" s="739"/>
      <c r="AL50" s="739"/>
    </row>
    <row r="51" ht="40.5" hidden="1" customHeight="1">
      <c r="A51" s="669"/>
      <c r="B51" s="740"/>
      <c r="C51" s="25"/>
      <c r="D51" s="25"/>
      <c r="E51" s="25"/>
      <c r="F51" s="25"/>
      <c r="G51" s="25"/>
      <c r="H51" s="741" t="s">
        <v>291</v>
      </c>
      <c r="I51" s="740"/>
      <c r="J51" s="25"/>
      <c r="K51" s="25"/>
      <c r="L51" s="25"/>
      <c r="M51" s="25"/>
      <c r="N51" s="25"/>
      <c r="O51" s="741" t="s">
        <v>291</v>
      </c>
      <c r="P51" s="740"/>
      <c r="Q51" s="25"/>
      <c r="R51" s="25"/>
      <c r="S51" s="25"/>
      <c r="T51" s="25"/>
      <c r="U51" s="25"/>
      <c r="V51" s="741" t="s">
        <v>291</v>
      </c>
      <c r="W51" s="740"/>
      <c r="X51" s="25"/>
      <c r="Y51" s="25"/>
      <c r="Z51" s="25"/>
      <c r="AA51" s="25"/>
      <c r="AB51" s="25"/>
      <c r="AC51" s="741" t="s">
        <v>291</v>
      </c>
      <c r="AD51" s="740"/>
      <c r="AE51" s="25"/>
      <c r="AF51" s="25"/>
      <c r="AG51" s="25"/>
      <c r="AH51" s="25"/>
      <c r="AI51" s="25"/>
      <c r="AJ51" s="741" t="s">
        <v>291</v>
      </c>
      <c r="AK51" s="742"/>
      <c r="AL51" s="742"/>
    </row>
    <row r="52">
      <c r="A52" s="683"/>
      <c r="B52" s="683"/>
      <c r="C52" s="683"/>
      <c r="D52" s="683"/>
      <c r="E52" s="683"/>
      <c r="F52" s="683"/>
      <c r="G52" s="683"/>
      <c r="H52" s="683"/>
      <c r="I52" s="683"/>
      <c r="J52" s="683"/>
      <c r="K52" s="683"/>
      <c r="L52" s="683"/>
      <c r="M52" s="683"/>
      <c r="N52" s="683"/>
      <c r="O52" s="683"/>
      <c r="P52" s="683"/>
      <c r="Q52" s="683"/>
      <c r="R52" s="683"/>
      <c r="S52" s="683"/>
      <c r="T52" s="683"/>
      <c r="U52" s="683"/>
      <c r="V52" s="683"/>
      <c r="W52" s="745"/>
      <c r="X52" s="745"/>
      <c r="Y52" s="683"/>
      <c r="Z52" s="683"/>
      <c r="AA52" s="683"/>
      <c r="AB52" s="683"/>
      <c r="AC52" s="683"/>
      <c r="AD52" s="746"/>
      <c r="AE52" s="746"/>
      <c r="AF52" s="746"/>
      <c r="AG52" s="746"/>
      <c r="AH52" s="746"/>
      <c r="AI52" s="746"/>
      <c r="AJ52" s="746"/>
      <c r="AK52" s="683"/>
      <c r="AL52" s="683"/>
    </row>
    <row r="53">
      <c r="A53" s="682" t="s">
        <v>299</v>
      </c>
      <c r="B53" s="682"/>
      <c r="C53" s="682"/>
      <c r="D53" s="682"/>
      <c r="E53" s="682"/>
      <c r="F53" s="682"/>
      <c r="G53" s="682"/>
      <c r="H53" s="682"/>
      <c r="I53" s="682"/>
      <c r="J53" s="682"/>
      <c r="K53" s="682"/>
      <c r="L53" s="682"/>
      <c r="M53" s="682"/>
      <c r="N53" s="682"/>
      <c r="O53" s="682"/>
      <c r="P53" s="682"/>
      <c r="Q53" s="682"/>
      <c r="R53" s="682"/>
      <c r="S53" s="682"/>
      <c r="T53" s="682"/>
      <c r="U53" s="682"/>
      <c r="V53" s="682"/>
      <c r="W53" s="682"/>
      <c r="X53" s="682"/>
      <c r="Y53" s="682"/>
      <c r="Z53" s="682"/>
      <c r="AA53" s="682"/>
      <c r="AB53" s="682"/>
      <c r="AC53" s="682"/>
      <c r="AD53" s="682"/>
      <c r="AE53" s="682"/>
      <c r="AF53" s="682"/>
      <c r="AG53" s="682"/>
      <c r="AH53" s="682"/>
      <c r="AI53" s="682"/>
      <c r="AJ53" s="682"/>
      <c r="AK53" s="682"/>
      <c r="AL53" s="682"/>
    </row>
    <row r="54">
      <c r="B54" s="735" t="s">
        <v>300</v>
      </c>
      <c r="C54" s="735"/>
      <c r="D54" s="735"/>
      <c r="E54" s="735"/>
      <c r="F54" s="683"/>
      <c r="G54" s="683"/>
      <c r="H54" s="683"/>
      <c r="I54" s="683"/>
      <c r="J54" s="683"/>
      <c r="K54" s="683"/>
      <c r="L54" s="683"/>
      <c r="M54" s="683"/>
      <c r="N54" s="683"/>
      <c r="O54" s="683"/>
      <c r="P54" s="683"/>
      <c r="Q54" s="683"/>
      <c r="R54" s="683"/>
      <c r="S54" s="683"/>
      <c r="T54" s="683"/>
      <c r="U54" s="682"/>
      <c r="V54" s="683"/>
      <c r="W54" s="683"/>
      <c r="Y54" s="682"/>
      <c r="Z54" s="682"/>
      <c r="AA54" s="682"/>
      <c r="AB54" s="682"/>
      <c r="AC54" s="682"/>
      <c r="AD54" s="682"/>
      <c r="AE54" s="682"/>
      <c r="AF54" s="682"/>
      <c r="AG54" s="682"/>
      <c r="AH54" s="682"/>
      <c r="AI54" s="682"/>
      <c r="AJ54" s="682"/>
      <c r="AK54" s="682"/>
      <c r="AL54" s="682"/>
    </row>
    <row r="55">
      <c r="A55" s="735"/>
      <c r="B55" s="735"/>
      <c r="C55" s="735"/>
      <c r="D55" s="735"/>
      <c r="E55" s="735"/>
      <c r="F55" s="747" t="b">
        <v>0</v>
      </c>
      <c r="G55" s="682" t="s">
        <v>301</v>
      </c>
      <c r="H55" s="683"/>
      <c r="I55" s="683"/>
      <c r="J55" s="683"/>
      <c r="K55" s="747" t="b">
        <v>0</v>
      </c>
      <c r="L55" s="682" t="s">
        <v>302</v>
      </c>
      <c r="M55" s="683"/>
      <c r="N55" s="683"/>
      <c r="O55" s="683"/>
      <c r="P55" s="747" t="b">
        <v>0</v>
      </c>
      <c r="Q55" s="722" t="s">
        <v>303</v>
      </c>
      <c r="R55" s="683"/>
      <c r="S55" s="683"/>
      <c r="T55" s="747" t="b">
        <v>0</v>
      </c>
      <c r="U55" s="682" t="s">
        <v>304</v>
      </c>
      <c r="V55" s="683"/>
      <c r="W55" s="683"/>
      <c r="X55" s="748" t="s">
        <v>305</v>
      </c>
      <c r="Y55" s="682"/>
      <c r="Z55" s="716"/>
      <c r="AA55" s="716"/>
      <c r="AB55" s="716"/>
      <c r="AC55" s="716"/>
      <c r="AD55" s="716"/>
      <c r="AE55" s="716"/>
      <c r="AF55" s="716"/>
      <c r="AG55" s="716"/>
      <c r="AH55" s="716"/>
      <c r="AI55" s="716"/>
      <c r="AJ55" s="716"/>
      <c r="AK55" s="716"/>
      <c r="AL55" s="716"/>
    </row>
    <row r="56" ht="11.25" customHeight="1">
      <c r="A56" s="683"/>
      <c r="B56" s="683"/>
      <c r="C56" s="683"/>
      <c r="D56" s="683"/>
      <c r="E56" s="683"/>
      <c r="F56" s="683"/>
      <c r="G56" s="683"/>
      <c r="H56" s="683"/>
      <c r="I56" s="683"/>
      <c r="J56" s="683"/>
      <c r="K56" s="683"/>
      <c r="L56" s="683"/>
      <c r="M56" s="683"/>
      <c r="N56" s="683"/>
      <c r="O56" s="683"/>
      <c r="P56" s="683"/>
      <c r="Q56" s="683"/>
      <c r="R56" s="683"/>
      <c r="S56" s="683"/>
      <c r="T56" s="683"/>
      <c r="U56" s="683"/>
      <c r="V56" s="683"/>
      <c r="W56" s="683"/>
      <c r="Y56" s="682"/>
      <c r="Z56" s="716"/>
      <c r="AA56" s="716"/>
      <c r="AB56" s="716"/>
      <c r="AC56" s="716"/>
      <c r="AD56" s="716"/>
      <c r="AE56" s="716"/>
      <c r="AF56" s="716"/>
      <c r="AG56" s="716"/>
      <c r="AH56" s="716"/>
      <c r="AI56" s="716"/>
      <c r="AJ56" s="716"/>
      <c r="AK56" s="716"/>
      <c r="AL56" s="716"/>
    </row>
    <row r="57" ht="29.25" customHeight="1">
      <c r="A57" s="683"/>
      <c r="B57" s="749" t="s">
        <v>306</v>
      </c>
      <c r="C57" s="25"/>
      <c r="D57" s="25"/>
      <c r="E57" s="25"/>
      <c r="F57" s="25"/>
      <c r="G57" s="25"/>
      <c r="H57" s="25"/>
      <c r="I57" s="25"/>
      <c r="J57" s="25"/>
      <c r="K57" s="25"/>
      <c r="L57" s="25"/>
      <c r="M57" s="26"/>
      <c r="N57" s="749" t="s">
        <v>307</v>
      </c>
      <c r="O57" s="25"/>
      <c r="P57" s="25"/>
      <c r="Q57" s="25"/>
      <c r="R57" s="25"/>
      <c r="S57" s="25"/>
      <c r="T57" s="25"/>
      <c r="U57" s="25"/>
      <c r="V57" s="25"/>
      <c r="W57" s="25"/>
      <c r="X57" s="25"/>
      <c r="Y57" s="26"/>
      <c r="Z57" s="749" t="s">
        <v>37</v>
      </c>
      <c r="AA57" s="25"/>
      <c r="AB57" s="25"/>
      <c r="AC57" s="25"/>
      <c r="AD57" s="25"/>
      <c r="AE57" s="25"/>
      <c r="AF57" s="25"/>
      <c r="AG57" s="25"/>
      <c r="AH57" s="25"/>
      <c r="AI57" s="25"/>
      <c r="AJ57" s="25"/>
      <c r="AK57" s="26"/>
      <c r="AL57" s="750"/>
    </row>
    <row r="58">
      <c r="A58" s="683"/>
      <c r="B58" s="751" t="s">
        <v>308</v>
      </c>
      <c r="C58" s="25"/>
      <c r="D58" s="25"/>
      <c r="E58" s="25"/>
      <c r="F58" s="26"/>
      <c r="G58" s="751" t="s">
        <v>309</v>
      </c>
      <c r="H58" s="25"/>
      <c r="I58" s="26"/>
      <c r="J58" s="751" t="s">
        <v>310</v>
      </c>
      <c r="K58" s="25"/>
      <c r="L58" s="25"/>
      <c r="M58" s="26"/>
      <c r="N58" s="751" t="s">
        <v>308</v>
      </c>
      <c r="O58" s="25"/>
      <c r="P58" s="25"/>
      <c r="Q58" s="25"/>
      <c r="R58" s="26"/>
      <c r="S58" s="751" t="s">
        <v>309</v>
      </c>
      <c r="T58" s="25"/>
      <c r="U58" s="26"/>
      <c r="V58" s="751" t="s">
        <v>310</v>
      </c>
      <c r="W58" s="25"/>
      <c r="X58" s="25"/>
      <c r="Y58" s="26"/>
      <c r="Z58" s="751" t="s">
        <v>308</v>
      </c>
      <c r="AA58" s="25"/>
      <c r="AB58" s="25"/>
      <c r="AC58" s="25"/>
      <c r="AD58" s="26"/>
      <c r="AE58" s="751" t="s">
        <v>309</v>
      </c>
      <c r="AF58" s="25"/>
      <c r="AG58" s="26"/>
      <c r="AH58" s="751" t="s">
        <v>310</v>
      </c>
      <c r="AI58" s="25"/>
      <c r="AJ58" s="25"/>
      <c r="AK58" s="26"/>
      <c r="AL58" s="682"/>
    </row>
    <row r="59" ht="27.75" customHeight="1">
      <c r="A59" s="683"/>
      <c r="B59" s="752"/>
      <c r="C59" s="25"/>
      <c r="D59" s="25"/>
      <c r="E59" s="25"/>
      <c r="F59" s="26"/>
      <c r="G59" s="753"/>
      <c r="H59" s="25"/>
      <c r="I59" s="754" t="s">
        <v>291</v>
      </c>
      <c r="J59" s="755"/>
      <c r="K59" s="25"/>
      <c r="L59" s="25"/>
      <c r="M59" s="756" t="s">
        <v>291</v>
      </c>
      <c r="N59" s="752"/>
      <c r="O59" s="25"/>
      <c r="P59" s="25"/>
      <c r="Q59" s="25"/>
      <c r="R59" s="26"/>
      <c r="S59" s="753"/>
      <c r="T59" s="25"/>
      <c r="U59" s="754" t="s">
        <v>291</v>
      </c>
      <c r="V59" s="755"/>
      <c r="W59" s="25"/>
      <c r="X59" s="25"/>
      <c r="Y59" s="756" t="s">
        <v>291</v>
      </c>
      <c r="Z59" s="752"/>
      <c r="AA59" s="25"/>
      <c r="AB59" s="25"/>
      <c r="AC59" s="25"/>
      <c r="AD59" s="26"/>
      <c r="AE59" s="753"/>
      <c r="AF59" s="25"/>
      <c r="AG59" s="754" t="s">
        <v>291</v>
      </c>
      <c r="AH59" s="755"/>
      <c r="AI59" s="25"/>
      <c r="AJ59" s="25"/>
      <c r="AK59" s="756" t="s">
        <v>291</v>
      </c>
      <c r="AL59" s="747"/>
    </row>
    <row r="60" ht="27.75" customHeight="1">
      <c r="A60" s="683"/>
      <c r="B60" s="752"/>
      <c r="C60" s="25"/>
      <c r="D60" s="25"/>
      <c r="E60" s="25"/>
      <c r="F60" s="26"/>
      <c r="G60" s="753"/>
      <c r="H60" s="25"/>
      <c r="I60" s="754" t="s">
        <v>291</v>
      </c>
      <c r="J60" s="757"/>
      <c r="K60" s="21"/>
      <c r="L60" s="21"/>
      <c r="M60" s="756" t="s">
        <v>291</v>
      </c>
      <c r="N60" s="752"/>
      <c r="O60" s="25"/>
      <c r="P60" s="25"/>
      <c r="Q60" s="25"/>
      <c r="R60" s="26"/>
      <c r="S60" s="753"/>
      <c r="T60" s="25"/>
      <c r="U60" s="754" t="s">
        <v>291</v>
      </c>
      <c r="V60" s="757"/>
      <c r="W60" s="21"/>
      <c r="X60" s="21"/>
      <c r="Y60" s="756" t="s">
        <v>291</v>
      </c>
      <c r="Z60" s="752"/>
      <c r="AA60" s="25"/>
      <c r="AB60" s="25"/>
      <c r="AC60" s="25"/>
      <c r="AD60" s="26"/>
      <c r="AE60" s="753"/>
      <c r="AF60" s="25"/>
      <c r="AG60" s="754" t="s">
        <v>291</v>
      </c>
      <c r="AH60" s="757"/>
      <c r="AI60" s="21"/>
      <c r="AJ60" s="21"/>
      <c r="AK60" s="756" t="s">
        <v>291</v>
      </c>
      <c r="AL60" s="747"/>
    </row>
    <row r="61" ht="27.75" customHeight="1">
      <c r="A61" s="683"/>
      <c r="B61" s="752"/>
      <c r="C61" s="25"/>
      <c r="D61" s="25"/>
      <c r="E61" s="25"/>
      <c r="F61" s="26"/>
      <c r="G61" s="753"/>
      <c r="H61" s="25"/>
      <c r="I61" s="754" t="s">
        <v>291</v>
      </c>
      <c r="J61" s="755"/>
      <c r="K61" s="25"/>
      <c r="L61" s="25"/>
      <c r="M61" s="756" t="s">
        <v>291</v>
      </c>
      <c r="N61" s="752"/>
      <c r="O61" s="25"/>
      <c r="P61" s="25"/>
      <c r="Q61" s="25"/>
      <c r="R61" s="26"/>
      <c r="S61" s="753"/>
      <c r="T61" s="25"/>
      <c r="U61" s="754" t="s">
        <v>291</v>
      </c>
      <c r="V61" s="755"/>
      <c r="W61" s="25"/>
      <c r="X61" s="25"/>
      <c r="Y61" s="756" t="s">
        <v>291</v>
      </c>
      <c r="Z61" s="752"/>
      <c r="AA61" s="25"/>
      <c r="AB61" s="25"/>
      <c r="AC61" s="25"/>
      <c r="AD61" s="26"/>
      <c r="AE61" s="753"/>
      <c r="AF61" s="25"/>
      <c r="AG61" s="754" t="s">
        <v>291</v>
      </c>
      <c r="AH61" s="755"/>
      <c r="AI61" s="25"/>
      <c r="AJ61" s="25"/>
      <c r="AK61" s="756" t="s">
        <v>291</v>
      </c>
      <c r="AL61" s="747"/>
    </row>
    <row r="62" ht="27.75" customHeight="1">
      <c r="A62" s="683"/>
      <c r="B62" s="752"/>
      <c r="C62" s="25"/>
      <c r="D62" s="25"/>
      <c r="E62" s="25"/>
      <c r="F62" s="26"/>
      <c r="G62" s="753"/>
      <c r="H62" s="25"/>
      <c r="I62" s="754" t="s">
        <v>291</v>
      </c>
      <c r="J62" s="755"/>
      <c r="K62" s="25"/>
      <c r="L62" s="25"/>
      <c r="M62" s="756" t="s">
        <v>291</v>
      </c>
      <c r="N62" s="752"/>
      <c r="O62" s="25"/>
      <c r="P62" s="25"/>
      <c r="Q62" s="25"/>
      <c r="R62" s="26"/>
      <c r="S62" s="753"/>
      <c r="T62" s="25"/>
      <c r="U62" s="754" t="s">
        <v>291</v>
      </c>
      <c r="V62" s="755"/>
      <c r="W62" s="25"/>
      <c r="X62" s="25"/>
      <c r="Y62" s="756" t="s">
        <v>291</v>
      </c>
      <c r="Z62" s="752"/>
      <c r="AA62" s="25"/>
      <c r="AB62" s="25"/>
      <c r="AC62" s="25"/>
      <c r="AD62" s="26"/>
      <c r="AE62" s="753"/>
      <c r="AF62" s="25"/>
      <c r="AG62" s="754" t="s">
        <v>291</v>
      </c>
      <c r="AH62" s="755"/>
      <c r="AI62" s="25"/>
      <c r="AJ62" s="25"/>
      <c r="AK62" s="756" t="s">
        <v>291</v>
      </c>
      <c r="AL62" s="747"/>
    </row>
    <row r="63" ht="27.75" customHeight="1">
      <c r="A63" s="683"/>
      <c r="B63" s="752"/>
      <c r="C63" s="25"/>
      <c r="D63" s="25"/>
      <c r="E63" s="25"/>
      <c r="F63" s="26"/>
      <c r="G63" s="753"/>
      <c r="H63" s="25"/>
      <c r="I63" s="754" t="s">
        <v>291</v>
      </c>
      <c r="J63" s="755"/>
      <c r="K63" s="25"/>
      <c r="L63" s="25"/>
      <c r="M63" s="756" t="s">
        <v>291</v>
      </c>
      <c r="N63" s="752"/>
      <c r="O63" s="25"/>
      <c r="P63" s="25"/>
      <c r="Q63" s="25"/>
      <c r="R63" s="26"/>
      <c r="S63" s="753"/>
      <c r="T63" s="25"/>
      <c r="U63" s="754" t="s">
        <v>291</v>
      </c>
      <c r="V63" s="755"/>
      <c r="W63" s="25"/>
      <c r="X63" s="25"/>
      <c r="Y63" s="756" t="s">
        <v>291</v>
      </c>
      <c r="Z63" s="752"/>
      <c r="AA63" s="25"/>
      <c r="AB63" s="25"/>
      <c r="AC63" s="25"/>
      <c r="AD63" s="26"/>
      <c r="AE63" s="753"/>
      <c r="AF63" s="25"/>
      <c r="AG63" s="754" t="s">
        <v>291</v>
      </c>
      <c r="AH63" s="755"/>
      <c r="AI63" s="25"/>
      <c r="AJ63" s="25"/>
      <c r="AK63" s="756" t="s">
        <v>291</v>
      </c>
      <c r="AL63" s="747"/>
    </row>
    <row r="64" ht="27.75" customHeight="1">
      <c r="A64" s="683"/>
      <c r="B64" s="752"/>
      <c r="C64" s="25"/>
      <c r="D64" s="25"/>
      <c r="E64" s="25"/>
      <c r="F64" s="26"/>
      <c r="G64" s="753"/>
      <c r="H64" s="25"/>
      <c r="I64" s="754" t="s">
        <v>291</v>
      </c>
      <c r="J64" s="755"/>
      <c r="K64" s="25"/>
      <c r="L64" s="25"/>
      <c r="M64" s="756" t="s">
        <v>291</v>
      </c>
      <c r="N64" s="752"/>
      <c r="O64" s="25"/>
      <c r="P64" s="25"/>
      <c r="Q64" s="25"/>
      <c r="R64" s="26"/>
      <c r="S64" s="753"/>
      <c r="T64" s="25"/>
      <c r="U64" s="754" t="s">
        <v>291</v>
      </c>
      <c r="V64" s="755"/>
      <c r="W64" s="25"/>
      <c r="X64" s="25"/>
      <c r="Y64" s="756" t="s">
        <v>291</v>
      </c>
      <c r="Z64" s="752"/>
      <c r="AA64" s="25"/>
      <c r="AB64" s="25"/>
      <c r="AC64" s="25"/>
      <c r="AD64" s="26"/>
      <c r="AE64" s="753"/>
      <c r="AF64" s="25"/>
      <c r="AG64" s="754" t="s">
        <v>291</v>
      </c>
      <c r="AH64" s="755"/>
      <c r="AI64" s="25"/>
      <c r="AJ64" s="25"/>
      <c r="AK64" s="756" t="s">
        <v>291</v>
      </c>
      <c r="AL64" s="747"/>
    </row>
    <row r="65" ht="27.75" customHeight="1">
      <c r="A65" s="683"/>
      <c r="B65" s="752"/>
      <c r="C65" s="25"/>
      <c r="D65" s="25"/>
      <c r="E65" s="25"/>
      <c r="F65" s="26"/>
      <c r="G65" s="753"/>
      <c r="H65" s="25"/>
      <c r="I65" s="754" t="s">
        <v>291</v>
      </c>
      <c r="J65" s="755"/>
      <c r="K65" s="25"/>
      <c r="L65" s="25"/>
      <c r="M65" s="756" t="s">
        <v>291</v>
      </c>
      <c r="N65" s="752"/>
      <c r="O65" s="25"/>
      <c r="P65" s="25"/>
      <c r="Q65" s="25"/>
      <c r="R65" s="26"/>
      <c r="S65" s="753"/>
      <c r="T65" s="25"/>
      <c r="U65" s="754" t="s">
        <v>291</v>
      </c>
      <c r="V65" s="755"/>
      <c r="W65" s="25"/>
      <c r="X65" s="25"/>
      <c r="Y65" s="756" t="s">
        <v>291</v>
      </c>
      <c r="Z65" s="752"/>
      <c r="AA65" s="25"/>
      <c r="AB65" s="25"/>
      <c r="AC65" s="25"/>
      <c r="AD65" s="26"/>
      <c r="AE65" s="753"/>
      <c r="AF65" s="25"/>
      <c r="AG65" s="754" t="s">
        <v>291</v>
      </c>
      <c r="AH65" s="755"/>
      <c r="AI65" s="25"/>
      <c r="AJ65" s="25"/>
      <c r="AK65" s="756" t="s">
        <v>291</v>
      </c>
      <c r="AL65" s="747"/>
    </row>
    <row r="66">
      <c r="A66" s="683"/>
      <c r="B66" s="758" t="s">
        <v>311</v>
      </c>
      <c r="C66" s="759"/>
      <c r="D66" s="760"/>
      <c r="E66" s="760"/>
      <c r="F66" s="760"/>
      <c r="G66" s="761"/>
      <c r="H66" s="760"/>
      <c r="I66" s="762" t="s">
        <v>291</v>
      </c>
      <c r="J66" s="763"/>
      <c r="K66" s="763"/>
      <c r="L66" s="763"/>
      <c r="M66" s="764"/>
      <c r="N66" s="758" t="s">
        <v>311</v>
      </c>
      <c r="O66" s="759"/>
      <c r="P66" s="760"/>
      <c r="Q66" s="760"/>
      <c r="R66" s="760"/>
      <c r="S66" s="765"/>
      <c r="T66" s="760"/>
      <c r="U66" s="762" t="s">
        <v>291</v>
      </c>
      <c r="V66" s="763"/>
      <c r="W66" s="763"/>
      <c r="X66" s="763"/>
      <c r="Y66" s="764"/>
      <c r="Z66" s="758" t="s">
        <v>311</v>
      </c>
      <c r="AA66" s="759"/>
      <c r="AB66" s="760"/>
      <c r="AC66" s="760"/>
      <c r="AD66" s="760"/>
      <c r="AE66" s="765"/>
      <c r="AF66" s="760"/>
      <c r="AG66" s="762" t="s">
        <v>291</v>
      </c>
      <c r="AH66" s="763"/>
      <c r="AI66" s="763"/>
      <c r="AJ66" s="763"/>
      <c r="AK66" s="764"/>
      <c r="AL66" s="683"/>
    </row>
    <row r="67">
      <c r="A67" s="683"/>
      <c r="B67" s="94"/>
      <c r="C67" s="766"/>
      <c r="D67" s="767"/>
      <c r="E67" s="767"/>
      <c r="F67" s="767"/>
      <c r="G67" s="768"/>
      <c r="H67" s="767"/>
      <c r="I67" s="769" t="s">
        <v>291</v>
      </c>
      <c r="J67" s="770"/>
      <c r="K67" s="770"/>
      <c r="L67" s="770"/>
      <c r="M67" s="771"/>
      <c r="N67" s="94"/>
      <c r="O67" s="766"/>
      <c r="P67" s="767"/>
      <c r="Q67" s="767"/>
      <c r="R67" s="767"/>
      <c r="S67" s="768"/>
      <c r="T67" s="767"/>
      <c r="U67" s="769" t="s">
        <v>291</v>
      </c>
      <c r="V67" s="770"/>
      <c r="W67" s="770"/>
      <c r="X67" s="770"/>
      <c r="Y67" s="771"/>
      <c r="Z67" s="94"/>
      <c r="AA67" s="766"/>
      <c r="AB67" s="767"/>
      <c r="AC67" s="767"/>
      <c r="AD67" s="767"/>
      <c r="AE67" s="768"/>
      <c r="AF67" s="767"/>
      <c r="AG67" s="769" t="s">
        <v>291</v>
      </c>
      <c r="AH67" s="770"/>
      <c r="AI67" s="770"/>
      <c r="AJ67" s="770"/>
      <c r="AK67" s="771"/>
      <c r="AL67" s="683"/>
    </row>
    <row r="68">
      <c r="A68" s="683"/>
      <c r="B68" s="94"/>
      <c r="C68" s="766"/>
      <c r="D68" s="767"/>
      <c r="E68" s="767"/>
      <c r="F68" s="767"/>
      <c r="G68" s="772"/>
      <c r="H68" s="767"/>
      <c r="I68" s="769" t="s">
        <v>291</v>
      </c>
      <c r="J68" s="773"/>
      <c r="K68" s="770"/>
      <c r="L68" s="770"/>
      <c r="M68" s="771"/>
      <c r="N68" s="94"/>
      <c r="O68" s="766"/>
      <c r="P68" s="767"/>
      <c r="Q68" s="767"/>
      <c r="R68" s="767"/>
      <c r="S68" s="768"/>
      <c r="T68" s="767"/>
      <c r="U68" s="769" t="s">
        <v>291</v>
      </c>
      <c r="V68" s="770"/>
      <c r="W68" s="770"/>
      <c r="X68" s="770"/>
      <c r="Y68" s="771"/>
      <c r="Z68" s="94"/>
      <c r="AA68" s="766"/>
      <c r="AB68" s="767"/>
      <c r="AC68" s="767"/>
      <c r="AD68" s="767"/>
      <c r="AE68" s="768"/>
      <c r="AF68" s="767"/>
      <c r="AG68" s="769" t="s">
        <v>291</v>
      </c>
      <c r="AH68" s="770"/>
      <c r="AI68" s="770"/>
      <c r="AJ68" s="770"/>
      <c r="AK68" s="771"/>
      <c r="AL68" s="683"/>
    </row>
    <row r="69">
      <c r="A69" s="683"/>
      <c r="B69" s="96"/>
      <c r="C69" s="774"/>
      <c r="D69" s="33"/>
      <c r="E69" s="33"/>
      <c r="F69" s="33"/>
      <c r="G69" s="775"/>
      <c r="H69" s="33"/>
      <c r="I69" s="776" t="s">
        <v>291</v>
      </c>
      <c r="J69" s="777"/>
      <c r="K69" s="777"/>
      <c r="L69" s="777"/>
      <c r="M69" s="778"/>
      <c r="N69" s="96"/>
      <c r="O69" s="779"/>
      <c r="P69" s="33"/>
      <c r="Q69" s="33"/>
      <c r="R69" s="33"/>
      <c r="S69" s="775"/>
      <c r="T69" s="33"/>
      <c r="U69" s="776" t="s">
        <v>291</v>
      </c>
      <c r="V69" s="777"/>
      <c r="W69" s="777"/>
      <c r="X69" s="777"/>
      <c r="Y69" s="778"/>
      <c r="Z69" s="96"/>
      <c r="AA69" s="779"/>
      <c r="AB69" s="33"/>
      <c r="AC69" s="33"/>
      <c r="AD69" s="33"/>
      <c r="AE69" s="775"/>
      <c r="AF69" s="33"/>
      <c r="AG69" s="776" t="s">
        <v>291</v>
      </c>
      <c r="AH69" s="777"/>
      <c r="AI69" s="777"/>
      <c r="AJ69" s="777"/>
      <c r="AK69" s="778"/>
      <c r="AL69" s="683"/>
    </row>
    <row r="70">
      <c r="A70" s="683"/>
      <c r="B70" s="758" t="s">
        <v>312</v>
      </c>
      <c r="C70" s="759"/>
      <c r="D70" s="760"/>
      <c r="E70" s="760"/>
      <c r="F70" s="760"/>
      <c r="G70" s="765"/>
      <c r="H70" s="760"/>
      <c r="I70" s="762" t="s">
        <v>291</v>
      </c>
      <c r="J70" s="763"/>
      <c r="K70" s="763"/>
      <c r="L70" s="763"/>
      <c r="M70" s="764"/>
      <c r="N70" s="758" t="s">
        <v>312</v>
      </c>
      <c r="O70" s="759"/>
      <c r="P70" s="760"/>
      <c r="Q70" s="760"/>
      <c r="R70" s="760"/>
      <c r="S70" s="765"/>
      <c r="T70" s="760"/>
      <c r="U70" s="762" t="s">
        <v>291</v>
      </c>
      <c r="V70" s="763"/>
      <c r="W70" s="763"/>
      <c r="X70" s="763"/>
      <c r="Y70" s="764"/>
      <c r="Z70" s="758" t="s">
        <v>312</v>
      </c>
      <c r="AA70" s="759"/>
      <c r="AB70" s="760"/>
      <c r="AC70" s="760"/>
      <c r="AD70" s="760"/>
      <c r="AE70" s="761"/>
      <c r="AF70" s="760"/>
      <c r="AG70" s="762" t="s">
        <v>291</v>
      </c>
      <c r="AH70" s="763"/>
      <c r="AI70" s="763"/>
      <c r="AJ70" s="763"/>
      <c r="AK70" s="764"/>
      <c r="AL70" s="683"/>
    </row>
    <row r="71">
      <c r="A71" s="683"/>
      <c r="B71" s="94"/>
      <c r="C71" s="766"/>
      <c r="D71" s="767"/>
      <c r="E71" s="767"/>
      <c r="F71" s="767"/>
      <c r="G71" s="768"/>
      <c r="H71" s="767"/>
      <c r="I71" s="769" t="s">
        <v>291</v>
      </c>
      <c r="J71" s="770"/>
      <c r="K71" s="770"/>
      <c r="L71" s="770"/>
      <c r="M71" s="771"/>
      <c r="N71" s="94"/>
      <c r="O71" s="766"/>
      <c r="P71" s="767"/>
      <c r="Q71" s="767"/>
      <c r="R71" s="767"/>
      <c r="S71" s="768"/>
      <c r="T71" s="767"/>
      <c r="U71" s="769" t="s">
        <v>291</v>
      </c>
      <c r="V71" s="770"/>
      <c r="W71" s="770"/>
      <c r="X71" s="770"/>
      <c r="Y71" s="771"/>
      <c r="Z71" s="94"/>
      <c r="AA71" s="766"/>
      <c r="AB71" s="767"/>
      <c r="AC71" s="767"/>
      <c r="AD71" s="767"/>
      <c r="AE71" s="768"/>
      <c r="AF71" s="767"/>
      <c r="AG71" s="769" t="s">
        <v>291</v>
      </c>
      <c r="AH71" s="770"/>
      <c r="AI71" s="770"/>
      <c r="AJ71" s="770"/>
      <c r="AK71" s="771"/>
      <c r="AL71" s="683"/>
    </row>
    <row r="72">
      <c r="A72" s="683"/>
      <c r="B72" s="94"/>
      <c r="C72" s="780"/>
      <c r="D72" s="767"/>
      <c r="E72" s="767"/>
      <c r="F72" s="767"/>
      <c r="G72" s="768"/>
      <c r="H72" s="767"/>
      <c r="I72" s="769" t="s">
        <v>291</v>
      </c>
      <c r="J72" s="770"/>
      <c r="K72" s="770"/>
      <c r="L72" s="770"/>
      <c r="M72" s="771"/>
      <c r="N72" s="94"/>
      <c r="O72" s="780"/>
      <c r="P72" s="767"/>
      <c r="Q72" s="767"/>
      <c r="R72" s="767"/>
      <c r="S72" s="768"/>
      <c r="T72" s="767"/>
      <c r="U72" s="769" t="s">
        <v>291</v>
      </c>
      <c r="V72" s="770"/>
      <c r="W72" s="770"/>
      <c r="X72" s="770"/>
      <c r="Y72" s="771"/>
      <c r="Z72" s="94"/>
      <c r="AA72" s="780"/>
      <c r="AB72" s="767"/>
      <c r="AC72" s="767"/>
      <c r="AD72" s="767"/>
      <c r="AE72" s="772"/>
      <c r="AF72" s="767"/>
      <c r="AG72" s="769" t="s">
        <v>291</v>
      </c>
      <c r="AH72" s="770"/>
      <c r="AI72" s="770"/>
      <c r="AJ72" s="770"/>
      <c r="AK72" s="771"/>
      <c r="AL72" s="683"/>
    </row>
    <row r="73">
      <c r="A73" s="683"/>
      <c r="B73" s="96"/>
      <c r="C73" s="774"/>
      <c r="D73" s="33"/>
      <c r="E73" s="33"/>
      <c r="F73" s="33"/>
      <c r="G73" s="775"/>
      <c r="H73" s="33"/>
      <c r="I73" s="776" t="s">
        <v>291</v>
      </c>
      <c r="J73" s="777"/>
      <c r="K73" s="777"/>
      <c r="L73" s="777"/>
      <c r="M73" s="778"/>
      <c r="N73" s="96"/>
      <c r="O73" s="779"/>
      <c r="P73" s="33"/>
      <c r="Q73" s="33"/>
      <c r="R73" s="33"/>
      <c r="S73" s="775"/>
      <c r="T73" s="33"/>
      <c r="U73" s="776" t="s">
        <v>291</v>
      </c>
      <c r="V73" s="777"/>
      <c r="W73" s="777"/>
      <c r="X73" s="777"/>
      <c r="Y73" s="778"/>
      <c r="Z73" s="96"/>
      <c r="AA73" s="779"/>
      <c r="AB73" s="33"/>
      <c r="AC73" s="33"/>
      <c r="AD73" s="33"/>
      <c r="AE73" s="775"/>
      <c r="AF73" s="33"/>
      <c r="AG73" s="776" t="s">
        <v>291</v>
      </c>
      <c r="AH73" s="777"/>
      <c r="AI73" s="777"/>
      <c r="AJ73" s="777"/>
      <c r="AK73" s="778"/>
      <c r="AL73" s="683"/>
    </row>
    <row r="74">
      <c r="A74" s="683"/>
      <c r="B74" s="758" t="s">
        <v>313</v>
      </c>
      <c r="C74" s="781"/>
      <c r="D74" s="21"/>
      <c r="E74" s="21"/>
      <c r="F74" s="21"/>
      <c r="G74" s="21"/>
      <c r="H74" s="21"/>
      <c r="I74" s="21"/>
      <c r="J74" s="21"/>
      <c r="K74" s="21"/>
      <c r="L74" s="21"/>
      <c r="M74" s="22"/>
      <c r="N74" s="758" t="s">
        <v>313</v>
      </c>
      <c r="O74" s="781"/>
      <c r="P74" s="21"/>
      <c r="Q74" s="21"/>
      <c r="R74" s="21"/>
      <c r="S74" s="21"/>
      <c r="T74" s="21"/>
      <c r="U74" s="21"/>
      <c r="V74" s="21"/>
      <c r="W74" s="21"/>
      <c r="X74" s="21"/>
      <c r="Y74" s="22"/>
      <c r="Z74" s="758" t="s">
        <v>313</v>
      </c>
      <c r="AA74" s="781"/>
      <c r="AB74" s="21"/>
      <c r="AC74" s="21"/>
      <c r="AD74" s="21"/>
      <c r="AE74" s="21"/>
      <c r="AF74" s="21"/>
      <c r="AG74" s="21"/>
      <c r="AH74" s="21"/>
      <c r="AI74" s="21"/>
      <c r="AJ74" s="21"/>
      <c r="AK74" s="22"/>
      <c r="AL74" s="782"/>
    </row>
    <row r="75">
      <c r="A75" s="683"/>
      <c r="B75" s="94"/>
      <c r="C75" s="783"/>
      <c r="M75" s="784"/>
      <c r="N75" s="94"/>
      <c r="O75" s="783"/>
      <c r="Y75" s="784"/>
      <c r="Z75" s="94"/>
      <c r="AA75" s="783"/>
      <c r="AK75" s="784"/>
      <c r="AL75" s="782"/>
    </row>
    <row r="76">
      <c r="A76" s="683"/>
      <c r="B76" s="94"/>
      <c r="C76" s="783"/>
      <c r="M76" s="784"/>
      <c r="N76" s="94"/>
      <c r="O76" s="783"/>
      <c r="Y76" s="784"/>
      <c r="Z76" s="94"/>
      <c r="AA76" s="783"/>
      <c r="AK76" s="784"/>
      <c r="AL76" s="782"/>
    </row>
    <row r="77">
      <c r="A77" s="683"/>
      <c r="B77" s="96"/>
      <c r="C77" s="785"/>
      <c r="D77" s="33"/>
      <c r="E77" s="33"/>
      <c r="F77" s="33"/>
      <c r="G77" s="33"/>
      <c r="H77" s="33"/>
      <c r="I77" s="33"/>
      <c r="J77" s="33"/>
      <c r="K77" s="33"/>
      <c r="L77" s="33"/>
      <c r="M77" s="34"/>
      <c r="N77" s="96"/>
      <c r="O77" s="785"/>
      <c r="P77" s="33"/>
      <c r="Q77" s="33"/>
      <c r="R77" s="33"/>
      <c r="S77" s="33"/>
      <c r="T77" s="33"/>
      <c r="U77" s="33"/>
      <c r="V77" s="33"/>
      <c r="W77" s="33"/>
      <c r="X77" s="33"/>
      <c r="Y77" s="34"/>
      <c r="Z77" s="96"/>
      <c r="AA77" s="785"/>
      <c r="AB77" s="33"/>
      <c r="AC77" s="33"/>
      <c r="AD77" s="33"/>
      <c r="AE77" s="33"/>
      <c r="AF77" s="33"/>
      <c r="AG77" s="33"/>
      <c r="AH77" s="33"/>
      <c r="AI77" s="33"/>
      <c r="AJ77" s="33"/>
      <c r="AK77" s="34"/>
      <c r="AL77" s="782"/>
    </row>
    <row r="78">
      <c r="A78" s="683"/>
      <c r="B78" s="683"/>
      <c r="C78" s="683"/>
      <c r="D78" s="683"/>
      <c r="E78" s="683"/>
      <c r="F78" s="683"/>
      <c r="G78" s="683"/>
      <c r="H78" s="683"/>
      <c r="I78" s="683"/>
      <c r="J78" s="683"/>
      <c r="K78" s="683"/>
      <c r="L78" s="683"/>
      <c r="M78" s="683"/>
      <c r="N78" s="683"/>
      <c r="O78" s="683"/>
      <c r="P78" s="683"/>
      <c r="Q78" s="683"/>
      <c r="R78" s="683"/>
      <c r="S78" s="683"/>
      <c r="AI78" s="683"/>
      <c r="AJ78" s="683"/>
      <c r="AK78" s="683"/>
      <c r="AL78" s="683"/>
    </row>
    <row r="79">
      <c r="A79" s="683"/>
      <c r="B79" s="682"/>
      <c r="C79" s="683"/>
      <c r="D79" s="683"/>
      <c r="E79" s="683"/>
      <c r="F79" s="683"/>
      <c r="G79" s="683"/>
      <c r="H79" s="683"/>
      <c r="I79" s="683"/>
      <c r="J79" s="683"/>
      <c r="K79" s="683"/>
      <c r="L79" s="683"/>
      <c r="M79" s="683"/>
      <c r="N79" s="683"/>
      <c r="O79" s="683"/>
      <c r="P79" s="683"/>
      <c r="Q79" s="683"/>
      <c r="R79" s="683"/>
      <c r="S79" s="683"/>
      <c r="AI79" s="683"/>
      <c r="AJ79" s="683"/>
      <c r="AK79" s="683"/>
      <c r="AL79" s="683"/>
    </row>
    <row r="80">
      <c r="A80" s="683"/>
      <c r="B80" s="683"/>
      <c r="C80" s="683"/>
      <c r="D80" s="683"/>
      <c r="E80" s="683"/>
      <c r="F80" s="683"/>
      <c r="G80" s="683"/>
      <c r="H80" s="683"/>
      <c r="I80" s="683"/>
      <c r="J80" s="683"/>
      <c r="K80" s="683"/>
      <c r="L80" s="683"/>
      <c r="M80" s="683"/>
      <c r="N80" s="683"/>
      <c r="O80" s="683"/>
      <c r="P80" s="683"/>
      <c r="Q80" s="683"/>
      <c r="R80" s="683"/>
      <c r="S80" s="683"/>
      <c r="AI80" s="683"/>
      <c r="AJ80" s="683"/>
      <c r="AK80" s="683"/>
      <c r="AL80" s="683"/>
    </row>
  </sheetData>
  <mergeCells count="173">
    <mergeCell ref="B49:G49"/>
    <mergeCell ref="B50:H50"/>
    <mergeCell ref="I50:O50"/>
    <mergeCell ref="P50:V50"/>
    <mergeCell ref="W50:AC50"/>
    <mergeCell ref="AD50:AJ50"/>
    <mergeCell ref="B51:G51"/>
    <mergeCell ref="Z58:AD58"/>
    <mergeCell ref="AE58:AG58"/>
    <mergeCell ref="I51:N51"/>
    <mergeCell ref="P51:U51"/>
    <mergeCell ref="B57:M57"/>
    <mergeCell ref="N57:Y57"/>
    <mergeCell ref="Z57:AK57"/>
    <mergeCell ref="B58:F58"/>
    <mergeCell ref="G58:I58"/>
    <mergeCell ref="AH58:AK58"/>
    <mergeCell ref="A1:B1"/>
    <mergeCell ref="B3:D3"/>
    <mergeCell ref="M3:N3"/>
    <mergeCell ref="B4:D4"/>
    <mergeCell ref="M4:N4"/>
    <mergeCell ref="B24:L24"/>
    <mergeCell ref="N24:S24"/>
    <mergeCell ref="W47:AB47"/>
    <mergeCell ref="AD47:AI47"/>
    <mergeCell ref="W48:AC48"/>
    <mergeCell ref="AD48:AJ48"/>
    <mergeCell ref="W49:AB49"/>
    <mergeCell ref="AD49:AI49"/>
    <mergeCell ref="B43:G44"/>
    <mergeCell ref="B46:H46"/>
    <mergeCell ref="I46:O46"/>
    <mergeCell ref="P46:V46"/>
    <mergeCell ref="W46:AC46"/>
    <mergeCell ref="AD46:AJ46"/>
    <mergeCell ref="B47:G47"/>
    <mergeCell ref="I47:N47"/>
    <mergeCell ref="P47:U47"/>
    <mergeCell ref="B48:H48"/>
    <mergeCell ref="I48:O48"/>
    <mergeCell ref="P48:V48"/>
    <mergeCell ref="I49:N49"/>
    <mergeCell ref="P49:U49"/>
    <mergeCell ref="W51:AB51"/>
    <mergeCell ref="AD51:AI51"/>
    <mergeCell ref="S58:U58"/>
    <mergeCell ref="V58:Y58"/>
    <mergeCell ref="V59:X59"/>
    <mergeCell ref="Z59:AD59"/>
    <mergeCell ref="AE59:AF59"/>
    <mergeCell ref="AH59:AJ59"/>
    <mergeCell ref="J58:M58"/>
    <mergeCell ref="N58:R58"/>
    <mergeCell ref="B59:F59"/>
    <mergeCell ref="G59:H59"/>
    <mergeCell ref="J59:L59"/>
    <mergeCell ref="N59:R59"/>
    <mergeCell ref="S59:T59"/>
    <mergeCell ref="AE63:AF63"/>
    <mergeCell ref="AH63:AJ63"/>
    <mergeCell ref="B63:F63"/>
    <mergeCell ref="G63:H63"/>
    <mergeCell ref="J63:L63"/>
    <mergeCell ref="N63:R63"/>
    <mergeCell ref="S63:T63"/>
    <mergeCell ref="V63:X63"/>
    <mergeCell ref="Z63:AD63"/>
    <mergeCell ref="AE64:AF64"/>
    <mergeCell ref="AH64:AJ64"/>
    <mergeCell ref="B64:F64"/>
    <mergeCell ref="G64:H64"/>
    <mergeCell ref="J64:L64"/>
    <mergeCell ref="N64:R64"/>
    <mergeCell ref="S64:T64"/>
    <mergeCell ref="V64:X64"/>
    <mergeCell ref="Z64:AD64"/>
    <mergeCell ref="AE60:AF60"/>
    <mergeCell ref="AH60:AJ60"/>
    <mergeCell ref="B60:F60"/>
    <mergeCell ref="G60:H60"/>
    <mergeCell ref="J60:L60"/>
    <mergeCell ref="N60:R60"/>
    <mergeCell ref="S60:T60"/>
    <mergeCell ref="V60:X60"/>
    <mergeCell ref="Z60:AD60"/>
    <mergeCell ref="AE61:AF61"/>
    <mergeCell ref="AH61:AJ61"/>
    <mergeCell ref="B61:F61"/>
    <mergeCell ref="G61:H61"/>
    <mergeCell ref="J61:L61"/>
    <mergeCell ref="N61:R61"/>
    <mergeCell ref="S61:T61"/>
    <mergeCell ref="V61:X61"/>
    <mergeCell ref="Z61:AD61"/>
    <mergeCell ref="AE62:AF62"/>
    <mergeCell ref="AH62:AJ62"/>
    <mergeCell ref="B62:F62"/>
    <mergeCell ref="G62:H62"/>
    <mergeCell ref="J62:L62"/>
    <mergeCell ref="N62:R62"/>
    <mergeCell ref="S62:T62"/>
    <mergeCell ref="V62:X62"/>
    <mergeCell ref="Z62:AD62"/>
    <mergeCell ref="AE65:AF65"/>
    <mergeCell ref="AH65:AJ65"/>
    <mergeCell ref="O69:R69"/>
    <mergeCell ref="O70:R70"/>
    <mergeCell ref="S70:T70"/>
    <mergeCell ref="O71:R71"/>
    <mergeCell ref="S71:T71"/>
    <mergeCell ref="O72:R72"/>
    <mergeCell ref="S72:T72"/>
    <mergeCell ref="O73:R73"/>
    <mergeCell ref="S73:T73"/>
    <mergeCell ref="N65:R65"/>
    <mergeCell ref="N66:N69"/>
    <mergeCell ref="O66:R66"/>
    <mergeCell ref="O67:R67"/>
    <mergeCell ref="O68:R68"/>
    <mergeCell ref="S69:T69"/>
    <mergeCell ref="N70:N73"/>
    <mergeCell ref="G66:H66"/>
    <mergeCell ref="C68:F68"/>
    <mergeCell ref="G68:H68"/>
    <mergeCell ref="G69:H69"/>
    <mergeCell ref="G70:H70"/>
    <mergeCell ref="G71:H71"/>
    <mergeCell ref="G72:H72"/>
    <mergeCell ref="G73:H73"/>
    <mergeCell ref="B66:B69"/>
    <mergeCell ref="C69:F69"/>
    <mergeCell ref="B70:B73"/>
    <mergeCell ref="C70:F70"/>
    <mergeCell ref="C71:F71"/>
    <mergeCell ref="C72:F72"/>
    <mergeCell ref="C73:F73"/>
    <mergeCell ref="B65:F65"/>
    <mergeCell ref="C66:F66"/>
    <mergeCell ref="C67:F67"/>
    <mergeCell ref="G67:H67"/>
    <mergeCell ref="G65:H65"/>
    <mergeCell ref="J65:L65"/>
    <mergeCell ref="S65:T65"/>
    <mergeCell ref="V65:X65"/>
    <mergeCell ref="S66:T66"/>
    <mergeCell ref="S67:T67"/>
    <mergeCell ref="S68:T68"/>
    <mergeCell ref="AA68:AD68"/>
    <mergeCell ref="AA69:AD69"/>
    <mergeCell ref="Z70:Z73"/>
    <mergeCell ref="AA70:AD70"/>
    <mergeCell ref="AA71:AD71"/>
    <mergeCell ref="AA72:AD72"/>
    <mergeCell ref="AA73:AD73"/>
    <mergeCell ref="AE69:AF69"/>
    <mergeCell ref="AE70:AF70"/>
    <mergeCell ref="AE71:AF71"/>
    <mergeCell ref="AE72:AF72"/>
    <mergeCell ref="AE73:AF73"/>
    <mergeCell ref="Z65:AD65"/>
    <mergeCell ref="Z66:Z69"/>
    <mergeCell ref="AA66:AD66"/>
    <mergeCell ref="AE66:AF66"/>
    <mergeCell ref="AA67:AD67"/>
    <mergeCell ref="AE67:AF67"/>
    <mergeCell ref="AE68:AF68"/>
    <mergeCell ref="B74:B77"/>
    <mergeCell ref="C74:M77"/>
    <mergeCell ref="N74:N77"/>
    <mergeCell ref="O74:Y77"/>
    <mergeCell ref="Z74:Z77"/>
    <mergeCell ref="AA74:AK77"/>
  </mergeCells>
  <dataValidations>
    <dataValidation type="custom" allowBlank="1" showDropDown="1" sqref="D5:M6">
      <formula1>OR(NOT(ISERROR(DATEVALUE(D5))), AND(ISNUMBER(D5), LEFT(CELL("format", D5))="D"))</formula1>
    </dataValidation>
  </dataValidations>
  <printOptions gridLines="1" horizontalCentered="1"/>
  <pageMargins bottom="0.19685039370078738" footer="0.0" header="0.0" left="0.0" right="0.0" top="0.19685039370078738"/>
  <pageSetup paperSize="9" cellComments="atEnd" orientation="landscape"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2" width="4.13"/>
    <col customWidth="1" min="3" max="3" width="8.13"/>
    <col customWidth="1" min="4" max="5" width="4.13"/>
    <col customWidth="1" min="6" max="6" width="25.38"/>
    <col customWidth="1" min="7" max="7" width="4.13"/>
    <col customWidth="1" min="8" max="8" width="3.13"/>
    <col customWidth="1" min="9" max="9" width="16.5"/>
    <col customWidth="1" min="10" max="10" width="3.13"/>
    <col customWidth="1" min="11" max="11" width="4.13"/>
    <col customWidth="1" min="12" max="12" width="3.13"/>
    <col customWidth="1" min="13" max="13" width="4.13"/>
    <col customWidth="1" min="14" max="14" width="3.13"/>
    <col customWidth="1" min="15" max="20" width="4.13"/>
  </cols>
  <sheetData>
    <row r="1" ht="45.75" customHeight="1">
      <c r="A1" s="679" t="b">
        <v>1</v>
      </c>
      <c r="C1" s="680" t="s">
        <v>314</v>
      </c>
      <c r="D1" s="681"/>
      <c r="E1" s="681"/>
      <c r="F1" s="681"/>
      <c r="G1" s="681"/>
      <c r="H1" s="681"/>
      <c r="I1" s="681"/>
      <c r="J1" s="681"/>
      <c r="K1" s="681"/>
      <c r="L1" s="681"/>
      <c r="M1" s="681"/>
      <c r="N1" s="681"/>
      <c r="O1" s="681"/>
      <c r="P1" s="681"/>
      <c r="Q1" s="681"/>
      <c r="R1" s="681"/>
      <c r="S1" s="681"/>
      <c r="T1" s="681"/>
    </row>
    <row r="2">
      <c r="A2" s="682"/>
      <c r="B2" s="786"/>
      <c r="C2" s="786"/>
      <c r="D2" s="786"/>
      <c r="E2" s="786"/>
      <c r="F2" s="786"/>
      <c r="G2" s="786"/>
      <c r="H2" s="786"/>
      <c r="I2" s="786"/>
      <c r="J2" s="786"/>
      <c r="K2" s="786"/>
      <c r="L2" s="786"/>
      <c r="M2" s="786"/>
      <c r="N2" s="786"/>
      <c r="O2" s="786"/>
      <c r="P2" s="786"/>
      <c r="Q2" s="786"/>
      <c r="R2" s="786"/>
      <c r="S2" s="786"/>
      <c r="T2" s="786"/>
    </row>
    <row r="3" ht="30.0" customHeight="1">
      <c r="B3" s="685" t="s">
        <v>274</v>
      </c>
      <c r="D3" s="686"/>
      <c r="E3" s="686"/>
      <c r="F3" s="687"/>
      <c r="G3" s="685" t="s">
        <v>275</v>
      </c>
      <c r="I3" s="787" t="s">
        <v>276</v>
      </c>
      <c r="J3" s="688"/>
      <c r="K3" s="688"/>
      <c r="L3" s="688"/>
      <c r="M3" s="688"/>
      <c r="R3" s="788"/>
    </row>
    <row r="4" ht="30.0" customHeight="1">
      <c r="B4" s="696" t="s">
        <v>277</v>
      </c>
      <c r="D4" s="789"/>
      <c r="E4" s="697"/>
      <c r="F4" s="697"/>
      <c r="G4" s="685" t="s">
        <v>278</v>
      </c>
      <c r="I4" s="697"/>
      <c r="J4" s="688"/>
      <c r="K4" s="688"/>
      <c r="L4" s="688"/>
      <c r="M4" s="697"/>
      <c r="N4" s="790"/>
      <c r="O4" s="682"/>
    </row>
    <row r="5" ht="36.0" customHeight="1">
      <c r="A5" s="699"/>
      <c r="B5" s="791" t="s">
        <v>279</v>
      </c>
      <c r="C5" s="791"/>
      <c r="D5" s="792"/>
      <c r="E5" s="33"/>
      <c r="F5" s="33"/>
      <c r="G5" s="703"/>
      <c r="H5" s="704" t="s">
        <v>280</v>
      </c>
      <c r="I5" s="705"/>
      <c r="J5" s="705"/>
      <c r="K5" s="793"/>
      <c r="L5" s="793"/>
      <c r="M5" s="793"/>
      <c r="N5" s="786"/>
      <c r="O5" s="786"/>
    </row>
    <row r="6" ht="15.75" customHeight="1">
      <c r="A6" s="699"/>
      <c r="B6" s="700"/>
      <c r="C6" s="700"/>
      <c r="D6" s="794"/>
      <c r="E6" s="794"/>
      <c r="F6" s="794"/>
      <c r="G6" s="794"/>
      <c r="H6" s="794"/>
      <c r="I6" s="794"/>
      <c r="J6" s="794"/>
      <c r="K6" s="794"/>
      <c r="L6" s="794"/>
      <c r="M6" s="709"/>
      <c r="N6" s="709"/>
      <c r="O6" s="709"/>
      <c r="S6" s="795"/>
    </row>
    <row r="7" ht="15.75" customHeight="1">
      <c r="A7" s="699"/>
      <c r="B7" s="796" t="s">
        <v>281</v>
      </c>
      <c r="C7" s="797"/>
      <c r="D7" s="688"/>
      <c r="E7" s="798"/>
      <c r="F7" s="797"/>
      <c r="H7" s="796" t="s">
        <v>282</v>
      </c>
      <c r="I7" s="797"/>
      <c r="J7" s="797"/>
      <c r="K7" s="797"/>
      <c r="L7" s="797"/>
      <c r="M7" s="797"/>
      <c r="O7" s="682"/>
      <c r="P7" s="799"/>
      <c r="Q7" s="719"/>
      <c r="R7" s="719"/>
      <c r="S7" s="719"/>
      <c r="T7" s="719"/>
    </row>
    <row r="8" ht="15.75" customHeight="1">
      <c r="B8" s="800"/>
      <c r="C8" s="199"/>
      <c r="D8" s="688"/>
      <c r="E8" s="801"/>
      <c r="F8" s="199"/>
      <c r="H8" s="801"/>
      <c r="I8" s="199"/>
      <c r="J8" s="797"/>
      <c r="K8" s="802"/>
      <c r="L8" s="797"/>
      <c r="M8" s="797"/>
      <c r="O8" s="682"/>
    </row>
    <row r="9" ht="15.75" customHeight="1">
      <c r="B9" s="800"/>
      <c r="C9" s="199"/>
      <c r="D9" s="688"/>
      <c r="E9" s="800"/>
      <c r="F9" s="199"/>
      <c r="H9" s="800"/>
      <c r="I9" s="199"/>
      <c r="J9" s="797"/>
      <c r="K9" s="802"/>
      <c r="L9" s="797"/>
      <c r="M9" s="797"/>
      <c r="O9" s="682"/>
    </row>
    <row r="10" ht="15.75" customHeight="1">
      <c r="B10" s="688"/>
      <c r="C10" s="688"/>
      <c r="D10" s="688"/>
      <c r="E10" s="800"/>
      <c r="F10" s="199"/>
      <c r="H10" s="800"/>
      <c r="I10" s="199"/>
      <c r="J10" s="800"/>
      <c r="K10" s="803"/>
      <c r="L10" s="800"/>
      <c r="M10" s="803"/>
      <c r="O10" s="682"/>
    </row>
    <row r="11" ht="15.75" customHeight="1">
      <c r="B11" s="688"/>
      <c r="C11" s="688"/>
      <c r="D11" s="688"/>
      <c r="E11" s="800"/>
      <c r="F11" s="199"/>
      <c r="H11" s="800"/>
      <c r="I11" s="199"/>
      <c r="J11" s="801"/>
      <c r="K11" s="803"/>
      <c r="L11" s="800"/>
      <c r="M11" s="803"/>
    </row>
    <row r="12" ht="15.75" customHeight="1">
      <c r="B12" s="688"/>
      <c r="C12" s="688"/>
      <c r="D12" s="688"/>
      <c r="E12" s="800"/>
      <c r="F12" s="199"/>
      <c r="H12" s="800"/>
      <c r="I12" s="199"/>
      <c r="J12" s="797"/>
      <c r="K12" s="802"/>
      <c r="L12" s="797"/>
      <c r="M12" s="802"/>
    </row>
    <row r="13" ht="15.75" customHeight="1">
      <c r="B13" s="688"/>
      <c r="C13" s="688"/>
      <c r="D13" s="688"/>
      <c r="E13" s="800"/>
      <c r="F13" s="199"/>
      <c r="H13" s="800"/>
      <c r="I13" s="199"/>
      <c r="J13" s="797"/>
      <c r="K13" s="802"/>
      <c r="L13" s="797"/>
      <c r="M13" s="802"/>
    </row>
    <row r="14" ht="15.75" customHeight="1">
      <c r="B14" s="688"/>
      <c r="C14" s="688"/>
      <c r="D14" s="688"/>
      <c r="E14" s="800"/>
      <c r="F14" s="199"/>
      <c r="H14" s="800"/>
      <c r="I14" s="199"/>
      <c r="J14" s="800"/>
      <c r="K14" s="803"/>
      <c r="L14" s="804"/>
      <c r="M14" s="803"/>
    </row>
    <row r="15" ht="15.75" customHeight="1">
      <c r="E15" s="805"/>
      <c r="F15" s="12"/>
      <c r="H15" s="805"/>
      <c r="I15" s="12"/>
      <c r="J15" s="806"/>
      <c r="K15" s="807"/>
      <c r="L15" s="806"/>
      <c r="M15" s="807"/>
    </row>
    <row r="16" ht="15.75" hidden="1" customHeight="1">
      <c r="E16" s="806"/>
      <c r="F16" s="806"/>
      <c r="H16" s="805"/>
      <c r="I16" s="12"/>
      <c r="J16" s="806"/>
      <c r="K16" s="807"/>
      <c r="L16" s="806"/>
      <c r="M16" s="807"/>
    </row>
    <row r="17" ht="15.75" hidden="1" customHeight="1">
      <c r="E17" s="806"/>
      <c r="F17" s="806"/>
      <c r="H17" s="805"/>
      <c r="I17" s="12"/>
      <c r="J17" s="806"/>
      <c r="K17" s="807"/>
      <c r="L17" s="806"/>
      <c r="M17" s="807"/>
    </row>
    <row r="18" ht="15.75" hidden="1" customHeight="1">
      <c r="E18" s="806"/>
      <c r="F18" s="806"/>
      <c r="H18" s="805"/>
      <c r="I18" s="12"/>
      <c r="J18" s="806"/>
      <c r="K18" s="807"/>
      <c r="L18" s="806"/>
      <c r="M18" s="807"/>
    </row>
    <row r="19" ht="15.75" hidden="1" customHeight="1">
      <c r="E19" s="806"/>
      <c r="F19" s="806"/>
      <c r="H19" s="808"/>
      <c r="I19" s="806"/>
      <c r="J19" s="806"/>
      <c r="K19" s="807"/>
      <c r="L19" s="806"/>
      <c r="M19" s="807"/>
    </row>
    <row r="20" ht="15.75" hidden="1" customHeight="1">
      <c r="E20" s="806"/>
      <c r="F20" s="806"/>
      <c r="H20" s="805"/>
      <c r="I20" s="806"/>
      <c r="J20" s="806"/>
      <c r="K20" s="807"/>
      <c r="L20" s="806"/>
      <c r="M20" s="807"/>
    </row>
    <row r="21" ht="15.75" hidden="1" customHeight="1">
      <c r="A21" s="725"/>
      <c r="B21" s="682"/>
      <c r="C21" s="682"/>
      <c r="K21" s="682"/>
      <c r="O21" s="682"/>
      <c r="P21" s="682"/>
      <c r="Q21" s="682"/>
      <c r="R21" s="682"/>
      <c r="S21" s="682"/>
    </row>
    <row r="22" ht="15.75" hidden="1" customHeight="1">
      <c r="A22" s="725"/>
      <c r="B22" s="714"/>
      <c r="C22" s="731"/>
      <c r="D22" s="731"/>
      <c r="E22" s="731"/>
      <c r="F22" s="731"/>
      <c r="G22" s="731"/>
      <c r="H22" s="809"/>
      <c r="I22" s="810"/>
      <c r="J22" s="810"/>
      <c r="K22" s="810"/>
      <c r="O22" s="811"/>
      <c r="P22" s="811"/>
    </row>
    <row r="23" ht="15.75" hidden="1" customHeight="1">
      <c r="A23" s="725"/>
      <c r="B23" s="716"/>
      <c r="G23" s="716"/>
      <c r="H23" s="812"/>
      <c r="O23" s="812"/>
      <c r="P23" s="812"/>
    </row>
    <row r="24" ht="15.75" hidden="1" customHeight="1"/>
    <row r="25" ht="15.75" hidden="1" customHeight="1"/>
    <row r="26" hidden="1"/>
    <row r="27" hidden="1"/>
    <row r="28" ht="15.75" hidden="1" customHeight="1">
      <c r="A28" s="683"/>
      <c r="O28" s="683"/>
      <c r="P28" s="683"/>
    </row>
    <row r="29" ht="15.75" hidden="1" customHeight="1">
      <c r="A29" s="683"/>
      <c r="B29" s="716"/>
      <c r="C29" s="716"/>
      <c r="D29" s="716"/>
      <c r="E29" s="716"/>
      <c r="F29" s="716"/>
      <c r="G29" s="716"/>
      <c r="H29" s="716"/>
      <c r="I29" s="716"/>
      <c r="J29" s="716"/>
      <c r="K29" s="716"/>
      <c r="L29" s="716"/>
      <c r="M29" s="716"/>
      <c r="N29" s="812"/>
      <c r="O29" s="812"/>
      <c r="P29" s="812"/>
      <c r="Q29" s="812"/>
      <c r="R29" s="812"/>
      <c r="S29" s="812"/>
      <c r="T29" s="683"/>
    </row>
    <row r="30" ht="15.75" hidden="1" customHeight="1">
      <c r="A30" s="722"/>
      <c r="B30" s="716"/>
      <c r="C30" s="716"/>
      <c r="D30" s="716"/>
      <c r="E30" s="716"/>
      <c r="F30" s="716"/>
      <c r="G30" s="716"/>
      <c r="H30" s="716"/>
      <c r="I30" s="716"/>
      <c r="J30" s="716"/>
      <c r="K30" s="716"/>
      <c r="L30" s="716"/>
      <c r="M30" s="716"/>
      <c r="N30" s="812"/>
      <c r="O30" s="812"/>
      <c r="P30" s="812"/>
      <c r="Q30" s="812"/>
      <c r="R30" s="812"/>
      <c r="S30" s="812"/>
      <c r="T30" s="722"/>
    </row>
    <row r="31" ht="15.75" hidden="1" customHeight="1">
      <c r="A31" s="722"/>
      <c r="B31" s="716"/>
      <c r="C31" s="716"/>
      <c r="D31" s="716"/>
      <c r="E31" s="716"/>
      <c r="F31" s="716"/>
      <c r="G31" s="716"/>
      <c r="H31" s="716"/>
      <c r="I31" s="716"/>
      <c r="J31" s="716"/>
      <c r="K31" s="716"/>
      <c r="L31" s="716"/>
      <c r="M31" s="716"/>
      <c r="N31" s="812"/>
      <c r="O31" s="812"/>
      <c r="P31" s="812"/>
      <c r="Q31" s="812"/>
      <c r="R31" s="812"/>
      <c r="S31" s="812"/>
      <c r="T31" s="722"/>
    </row>
    <row r="32" ht="15.75" hidden="1" customHeight="1">
      <c r="A32" s="722"/>
      <c r="B32" s="716"/>
      <c r="C32" s="716"/>
      <c r="D32" s="716"/>
      <c r="E32" s="716"/>
      <c r="F32" s="716"/>
      <c r="G32" s="716"/>
      <c r="H32" s="716"/>
      <c r="I32" s="716"/>
      <c r="J32" s="716"/>
      <c r="K32" s="716"/>
      <c r="L32" s="716"/>
      <c r="M32" s="716"/>
      <c r="N32" s="812"/>
      <c r="O32" s="812"/>
      <c r="P32" s="812"/>
      <c r="Q32" s="812"/>
      <c r="R32" s="812"/>
      <c r="S32" s="812"/>
      <c r="T32" s="722"/>
    </row>
    <row r="33" ht="15.75" hidden="1" customHeight="1">
      <c r="A33" s="722"/>
      <c r="B33" s="716"/>
      <c r="C33" s="716"/>
      <c r="D33" s="716"/>
      <c r="E33" s="716"/>
      <c r="F33" s="716"/>
      <c r="G33" s="716"/>
      <c r="H33" s="716"/>
      <c r="I33" s="716"/>
      <c r="J33" s="716"/>
      <c r="K33" s="716"/>
      <c r="L33" s="716"/>
      <c r="M33" s="716"/>
      <c r="N33" s="812"/>
      <c r="O33" s="812"/>
      <c r="P33" s="812"/>
      <c r="Q33" s="812"/>
      <c r="R33" s="812"/>
      <c r="S33" s="812"/>
      <c r="T33" s="722"/>
    </row>
    <row r="34" ht="15.75" hidden="1" customHeight="1">
      <c r="A34" s="722"/>
      <c r="B34" s="716"/>
      <c r="C34" s="716"/>
      <c r="D34" s="716"/>
      <c r="E34" s="716"/>
      <c r="F34" s="716"/>
      <c r="G34" s="716"/>
      <c r="H34" s="716"/>
      <c r="I34" s="716"/>
      <c r="J34" s="716"/>
      <c r="K34" s="716"/>
      <c r="L34" s="716"/>
      <c r="M34" s="716"/>
      <c r="N34" s="812"/>
      <c r="O34" s="812"/>
      <c r="P34" s="812"/>
      <c r="Q34" s="812"/>
      <c r="R34" s="812"/>
      <c r="S34" s="812"/>
      <c r="T34" s="722"/>
    </row>
    <row r="35" ht="15.75" hidden="1" customHeight="1">
      <c r="A35" s="722"/>
      <c r="B35" s="716"/>
      <c r="C35" s="716"/>
      <c r="D35" s="716"/>
      <c r="E35" s="716"/>
      <c r="F35" s="716"/>
      <c r="G35" s="716"/>
      <c r="H35" s="716"/>
      <c r="I35" s="716"/>
      <c r="J35" s="716"/>
      <c r="K35" s="716"/>
      <c r="L35" s="716"/>
      <c r="M35" s="716"/>
      <c r="N35" s="812"/>
      <c r="O35" s="812"/>
      <c r="P35" s="812"/>
      <c r="Q35" s="812"/>
      <c r="R35" s="812"/>
      <c r="S35" s="812"/>
      <c r="T35" s="722"/>
    </row>
    <row r="36" ht="15.75" hidden="1" customHeight="1">
      <c r="A36" s="722"/>
      <c r="B36" s="716"/>
      <c r="C36" s="716"/>
      <c r="D36" s="716"/>
      <c r="E36" s="716"/>
      <c r="F36" s="716"/>
      <c r="G36" s="716"/>
      <c r="H36" s="716"/>
      <c r="I36" s="716"/>
      <c r="J36" s="716"/>
      <c r="K36" s="716"/>
      <c r="L36" s="716"/>
      <c r="M36" s="716"/>
      <c r="N36" s="812"/>
      <c r="O36" s="812"/>
      <c r="P36" s="812"/>
      <c r="Q36" s="812"/>
      <c r="R36" s="812"/>
      <c r="S36" s="812"/>
      <c r="T36" s="722"/>
    </row>
    <row r="37" ht="22.5" hidden="1" customHeight="1">
      <c r="A37" s="722"/>
      <c r="B37" s="716"/>
      <c r="C37" s="716"/>
      <c r="D37" s="716"/>
      <c r="E37" s="716"/>
      <c r="F37" s="716"/>
      <c r="G37" s="716"/>
      <c r="H37" s="716"/>
      <c r="I37" s="716"/>
      <c r="J37" s="716"/>
      <c r="K37" s="716"/>
      <c r="L37" s="716"/>
      <c r="M37" s="716"/>
      <c r="N37" s="812"/>
      <c r="O37" s="812"/>
      <c r="P37" s="812"/>
      <c r="Q37" s="812"/>
      <c r="R37" s="812"/>
      <c r="S37" s="812"/>
      <c r="T37" s="722"/>
    </row>
    <row r="38" ht="25.5" hidden="1" customHeight="1">
      <c r="A38" s="722"/>
      <c r="B38" s="716"/>
      <c r="C38" s="716"/>
      <c r="D38" s="716"/>
      <c r="E38" s="716"/>
      <c r="F38" s="716"/>
      <c r="G38" s="716"/>
      <c r="H38" s="716"/>
      <c r="I38" s="716"/>
      <c r="J38" s="716"/>
      <c r="K38" s="716"/>
      <c r="L38" s="716"/>
      <c r="M38" s="716"/>
      <c r="N38" s="812"/>
      <c r="O38" s="812"/>
      <c r="P38" s="812"/>
      <c r="Q38" s="812"/>
      <c r="R38" s="812"/>
      <c r="S38" s="812"/>
      <c r="T38" s="731"/>
    </row>
    <row r="39" ht="15.75" hidden="1" customHeight="1">
      <c r="A39" s="722"/>
      <c r="B39" s="716"/>
      <c r="C39" s="716"/>
      <c r="D39" s="716"/>
      <c r="E39" s="716"/>
      <c r="F39" s="716"/>
      <c r="G39" s="716"/>
      <c r="H39" s="716"/>
      <c r="I39" s="716"/>
      <c r="J39" s="716"/>
      <c r="K39" s="716"/>
      <c r="L39" s="716"/>
      <c r="M39" s="716"/>
      <c r="N39" s="812"/>
      <c r="O39" s="812"/>
      <c r="P39" s="812"/>
      <c r="Q39" s="812"/>
      <c r="R39" s="812"/>
      <c r="S39" s="812"/>
      <c r="T39" s="724"/>
    </row>
    <row r="40" hidden="1">
      <c r="A40" s="722"/>
      <c r="B40" s="722"/>
      <c r="C40" s="722"/>
      <c r="D40" s="722"/>
      <c r="E40" s="722"/>
      <c r="F40" s="722"/>
      <c r="G40" s="722"/>
      <c r="H40" s="722"/>
      <c r="I40" s="722"/>
      <c r="J40" s="722"/>
      <c r="K40" s="722"/>
      <c r="L40" s="722"/>
      <c r="M40" s="722"/>
      <c r="N40" s="722"/>
      <c r="O40" s="722"/>
      <c r="P40" s="722"/>
      <c r="Q40" s="722"/>
      <c r="R40" s="722"/>
      <c r="S40" s="722"/>
      <c r="T40" s="722"/>
    </row>
    <row r="41" hidden="1">
      <c r="A41" s="722"/>
      <c r="B41" s="722"/>
      <c r="C41" s="722"/>
      <c r="D41" s="722"/>
      <c r="E41" s="722"/>
      <c r="F41" s="722"/>
      <c r="G41" s="722"/>
      <c r="H41" s="722"/>
      <c r="I41" s="722"/>
      <c r="J41" s="722"/>
      <c r="K41" s="722"/>
      <c r="L41" s="722"/>
      <c r="M41" s="722"/>
      <c r="N41" s="722"/>
      <c r="O41" s="722"/>
      <c r="P41" s="722"/>
      <c r="Q41" s="722"/>
      <c r="R41" s="722"/>
      <c r="S41" s="722"/>
      <c r="T41" s="722"/>
    </row>
    <row r="42" hidden="1">
      <c r="A42" s="735"/>
      <c r="B42" s="735" t="s">
        <v>283</v>
      </c>
      <c r="G42" s="735"/>
      <c r="H42" s="735"/>
      <c r="I42" s="683"/>
      <c r="J42" s="683"/>
      <c r="K42" s="683"/>
      <c r="L42" s="683"/>
      <c r="M42" s="683"/>
      <c r="N42" s="683"/>
      <c r="O42" s="683"/>
      <c r="P42" s="683"/>
      <c r="Q42" s="683"/>
      <c r="R42" s="683"/>
      <c r="S42" s="683"/>
      <c r="T42" s="683"/>
    </row>
    <row r="43" hidden="1">
      <c r="A43" s="735"/>
      <c r="G43" s="735"/>
      <c r="H43" s="735"/>
      <c r="I43" s="683"/>
      <c r="J43" s="683"/>
      <c r="K43" s="682" t="b">
        <v>0</v>
      </c>
      <c r="L43" s="682" t="s">
        <v>284</v>
      </c>
      <c r="M43" s="683"/>
      <c r="N43" s="683"/>
      <c r="O43" s="683"/>
      <c r="P43" s="682" t="b">
        <v>0</v>
      </c>
      <c r="Q43" s="682" t="s">
        <v>285</v>
      </c>
      <c r="R43" s="683"/>
      <c r="S43" s="683"/>
      <c r="T43" s="683"/>
    </row>
    <row r="44" hidden="1">
      <c r="A44" s="683"/>
      <c r="B44" s="683"/>
      <c r="C44" s="683"/>
      <c r="D44" s="683"/>
      <c r="E44" s="683"/>
      <c r="F44" s="683"/>
      <c r="G44" s="683"/>
      <c r="H44" s="683"/>
      <c r="I44" s="683"/>
      <c r="J44" s="683"/>
      <c r="K44" s="683"/>
      <c r="L44" s="683"/>
      <c r="M44" s="683"/>
      <c r="N44" s="683"/>
      <c r="O44" s="683"/>
      <c r="P44" s="683"/>
      <c r="Q44" s="683"/>
      <c r="R44" s="683"/>
      <c r="S44" s="683"/>
      <c r="T44" s="683"/>
    </row>
    <row r="45" hidden="1">
      <c r="A45" s="736"/>
      <c r="B45" s="737" t="s">
        <v>287</v>
      </c>
      <c r="C45" s="25"/>
      <c r="D45" s="25"/>
      <c r="E45" s="25"/>
      <c r="F45" s="25"/>
      <c r="G45" s="26"/>
      <c r="H45" s="737" t="s">
        <v>53</v>
      </c>
      <c r="I45" s="25"/>
      <c r="J45" s="25"/>
      <c r="K45" s="25"/>
      <c r="L45" s="25"/>
      <c r="M45" s="25"/>
      <c r="N45" s="26"/>
      <c r="O45" s="738" t="s">
        <v>288</v>
      </c>
      <c r="P45" s="21"/>
      <c r="Q45" s="21"/>
      <c r="R45" s="21"/>
      <c r="S45" s="21"/>
      <c r="T45" s="22"/>
    </row>
    <row r="46" ht="40.5" hidden="1" customHeight="1">
      <c r="A46" s="669"/>
      <c r="B46" s="740"/>
      <c r="C46" s="25"/>
      <c r="D46" s="25"/>
      <c r="E46" s="25"/>
      <c r="F46" s="25"/>
      <c r="G46" s="741" t="s">
        <v>291</v>
      </c>
      <c r="H46" s="740"/>
      <c r="I46" s="25"/>
      <c r="J46" s="25"/>
      <c r="K46" s="25"/>
      <c r="L46" s="25"/>
      <c r="M46" s="25"/>
      <c r="N46" s="741" t="s">
        <v>291</v>
      </c>
      <c r="O46" s="740"/>
      <c r="P46" s="25"/>
      <c r="Q46" s="25"/>
      <c r="R46" s="25"/>
      <c r="S46" s="25"/>
      <c r="T46" s="25"/>
    </row>
    <row r="47" hidden="1">
      <c r="A47" s="736"/>
      <c r="B47" s="737" t="s">
        <v>292</v>
      </c>
      <c r="C47" s="25"/>
      <c r="D47" s="25"/>
      <c r="E47" s="25"/>
      <c r="F47" s="25"/>
      <c r="G47" s="26"/>
      <c r="H47" s="737" t="s">
        <v>293</v>
      </c>
      <c r="I47" s="25"/>
      <c r="J47" s="25"/>
      <c r="K47" s="25"/>
      <c r="L47" s="25"/>
      <c r="M47" s="25"/>
      <c r="N47" s="26"/>
      <c r="O47" s="743" t="s">
        <v>55</v>
      </c>
      <c r="P47" s="33"/>
      <c r="Q47" s="33"/>
      <c r="R47" s="33"/>
      <c r="S47" s="33"/>
      <c r="T47" s="34"/>
    </row>
    <row r="48" ht="40.5" hidden="1" customHeight="1">
      <c r="A48" s="669"/>
      <c r="B48" s="740"/>
      <c r="C48" s="25"/>
      <c r="D48" s="25"/>
      <c r="E48" s="25"/>
      <c r="F48" s="25"/>
      <c r="G48" s="741" t="s">
        <v>291</v>
      </c>
      <c r="H48" s="740"/>
      <c r="I48" s="25"/>
      <c r="J48" s="25"/>
      <c r="K48" s="25"/>
      <c r="L48" s="25"/>
      <c r="M48" s="25"/>
      <c r="N48" s="741" t="s">
        <v>291</v>
      </c>
      <c r="O48" s="740"/>
      <c r="P48" s="25"/>
      <c r="Q48" s="25"/>
      <c r="R48" s="25"/>
      <c r="S48" s="25"/>
      <c r="T48" s="25"/>
    </row>
    <row r="49" hidden="1">
      <c r="A49" s="736"/>
      <c r="B49" s="744" t="s">
        <v>54</v>
      </c>
      <c r="C49" s="25"/>
      <c r="D49" s="25"/>
      <c r="E49" s="25"/>
      <c r="F49" s="25"/>
      <c r="G49" s="26"/>
      <c r="H49" s="744" t="s">
        <v>295</v>
      </c>
      <c r="I49" s="25"/>
      <c r="J49" s="25"/>
      <c r="K49" s="25"/>
      <c r="L49" s="25"/>
      <c r="M49" s="25"/>
      <c r="N49" s="26"/>
      <c r="O49" s="744" t="s">
        <v>296</v>
      </c>
      <c r="P49" s="25"/>
      <c r="Q49" s="25"/>
      <c r="R49" s="25"/>
      <c r="S49" s="25"/>
      <c r="T49" s="26"/>
    </row>
    <row r="50" ht="40.5" hidden="1" customHeight="1">
      <c r="A50" s="669"/>
      <c r="B50" s="740"/>
      <c r="C50" s="25"/>
      <c r="D50" s="25"/>
      <c r="E50" s="25"/>
      <c r="F50" s="25"/>
      <c r="G50" s="741" t="s">
        <v>291</v>
      </c>
      <c r="H50" s="740"/>
      <c r="I50" s="25"/>
      <c r="J50" s="25"/>
      <c r="K50" s="25"/>
      <c r="L50" s="25"/>
      <c r="M50" s="25"/>
      <c r="N50" s="741" t="s">
        <v>291</v>
      </c>
      <c r="O50" s="740"/>
      <c r="P50" s="25"/>
      <c r="Q50" s="25"/>
      <c r="R50" s="25"/>
      <c r="S50" s="25"/>
      <c r="T50" s="25"/>
    </row>
    <row r="51" hidden="1">
      <c r="A51" s="683"/>
      <c r="B51" s="683"/>
      <c r="C51" s="683"/>
      <c r="D51" s="683"/>
      <c r="E51" s="683"/>
      <c r="F51" s="683"/>
      <c r="G51" s="683"/>
      <c r="H51" s="683"/>
      <c r="I51" s="683"/>
      <c r="J51" s="683"/>
      <c r="K51" s="682" t="b">
        <v>0</v>
      </c>
      <c r="L51" s="683"/>
      <c r="M51" s="683"/>
      <c r="N51" s="683"/>
      <c r="O51" s="683"/>
      <c r="P51" s="682" t="b">
        <v>0</v>
      </c>
      <c r="Q51" s="683"/>
      <c r="R51" s="683"/>
      <c r="S51" s="683"/>
      <c r="T51" s="683"/>
    </row>
    <row r="52">
      <c r="A52" s="722" t="s">
        <v>315</v>
      </c>
    </row>
    <row r="53" hidden="1">
      <c r="A53" s="735"/>
      <c r="B53" s="735"/>
      <c r="C53" s="735"/>
      <c r="D53" s="735"/>
      <c r="E53" s="735"/>
      <c r="F53" s="683"/>
      <c r="G53" s="683"/>
      <c r="H53" s="683"/>
      <c r="I53" s="683"/>
      <c r="J53" s="683"/>
      <c r="K53" s="683"/>
      <c r="L53" s="683"/>
      <c r="M53" s="683"/>
      <c r="N53" s="683"/>
      <c r="O53" s="683"/>
      <c r="P53" s="683"/>
      <c r="Q53" s="683"/>
      <c r="R53" s="683"/>
      <c r="S53" s="683"/>
      <c r="T53" s="682"/>
    </row>
    <row r="54" hidden="1">
      <c r="A54" s="735"/>
      <c r="B54" s="735"/>
      <c r="C54" s="735"/>
      <c r="D54" s="735"/>
      <c r="E54" s="735"/>
      <c r="F54" s="735"/>
      <c r="G54" s="735"/>
      <c r="H54" s="735"/>
      <c r="I54" s="735"/>
      <c r="J54" s="735"/>
      <c r="K54" s="735"/>
      <c r="L54" s="735"/>
      <c r="M54" s="735"/>
      <c r="N54" s="735"/>
      <c r="O54" s="735"/>
      <c r="P54" s="735"/>
      <c r="Q54" s="735"/>
      <c r="R54" s="735"/>
      <c r="S54" s="735"/>
      <c r="T54" s="735"/>
    </row>
    <row r="55" ht="11.25" hidden="1" customHeight="1">
      <c r="A55" s="683"/>
      <c r="B55" s="735"/>
      <c r="C55" s="735"/>
      <c r="D55" s="735"/>
      <c r="E55" s="735"/>
      <c r="F55" s="735"/>
      <c r="G55" s="735"/>
      <c r="H55" s="735"/>
      <c r="I55" s="735"/>
      <c r="J55" s="735"/>
      <c r="K55" s="735"/>
      <c r="L55" s="735"/>
      <c r="M55" s="735"/>
      <c r="N55" s="735"/>
      <c r="O55" s="735"/>
      <c r="P55" s="735"/>
      <c r="Q55" s="735"/>
      <c r="R55" s="735"/>
      <c r="S55" s="735"/>
      <c r="T55" s="735"/>
    </row>
    <row r="56" ht="29.25" hidden="1" customHeight="1">
      <c r="A56" s="683"/>
      <c r="B56" s="735"/>
      <c r="C56" s="735"/>
      <c r="D56" s="735"/>
      <c r="E56" s="735"/>
      <c r="F56" s="735"/>
      <c r="G56" s="735"/>
      <c r="H56" s="735"/>
      <c r="I56" s="735"/>
      <c r="J56" s="735"/>
      <c r="K56" s="735"/>
      <c r="L56" s="735"/>
      <c r="M56" s="735"/>
      <c r="N56" s="735"/>
      <c r="O56" s="735"/>
      <c r="P56" s="735"/>
      <c r="Q56" s="735"/>
      <c r="R56" s="735"/>
      <c r="S56" s="735"/>
      <c r="T56" s="735"/>
    </row>
    <row r="57" hidden="1">
      <c r="A57" s="683"/>
      <c r="B57" s="735"/>
      <c r="C57" s="735"/>
      <c r="D57" s="735"/>
      <c r="E57" s="735"/>
      <c r="F57" s="735"/>
      <c r="G57" s="735"/>
      <c r="H57" s="735"/>
      <c r="I57" s="735"/>
      <c r="J57" s="735"/>
      <c r="K57" s="735"/>
      <c r="L57" s="735"/>
      <c r="M57" s="735"/>
      <c r="N57" s="735"/>
      <c r="O57" s="735"/>
      <c r="P57" s="735"/>
      <c r="Q57" s="735"/>
      <c r="R57" s="735"/>
      <c r="S57" s="735"/>
      <c r="T57" s="735"/>
    </row>
    <row r="58" ht="27.75" hidden="1" customHeight="1">
      <c r="A58" s="683"/>
      <c r="B58" s="735"/>
      <c r="C58" s="735"/>
      <c r="D58" s="735"/>
      <c r="E58" s="735"/>
      <c r="F58" s="735"/>
      <c r="G58" s="735"/>
      <c r="H58" s="735"/>
      <c r="I58" s="735"/>
      <c r="J58" s="735"/>
      <c r="K58" s="735"/>
      <c r="L58" s="735"/>
      <c r="M58" s="735"/>
      <c r="N58" s="735"/>
      <c r="O58" s="735"/>
      <c r="P58" s="735"/>
      <c r="Q58" s="735"/>
      <c r="R58" s="735"/>
      <c r="S58" s="735"/>
      <c r="T58" s="735"/>
    </row>
    <row r="59" ht="27.75" hidden="1" customHeight="1">
      <c r="A59" s="683"/>
      <c r="B59" s="735"/>
      <c r="C59" s="735"/>
      <c r="D59" s="735"/>
      <c r="E59" s="735"/>
      <c r="F59" s="735"/>
      <c r="G59" s="735"/>
      <c r="H59" s="735"/>
      <c r="I59" s="735"/>
      <c r="J59" s="735"/>
      <c r="K59" s="735"/>
      <c r="L59" s="735"/>
      <c r="M59" s="735"/>
      <c r="N59" s="735"/>
      <c r="O59" s="735"/>
      <c r="P59" s="735"/>
      <c r="Q59" s="735"/>
      <c r="R59" s="735"/>
      <c r="S59" s="735"/>
      <c r="T59" s="735"/>
    </row>
    <row r="60">
      <c r="B60" s="735" t="s">
        <v>300</v>
      </c>
      <c r="C60" s="735"/>
      <c r="D60" s="735"/>
      <c r="E60" s="735"/>
      <c r="F60" s="735"/>
      <c r="G60" s="735"/>
      <c r="H60" s="735"/>
      <c r="I60" s="683"/>
      <c r="J60" s="683"/>
      <c r="K60" s="683"/>
      <c r="L60" s="683"/>
      <c r="M60" s="683"/>
      <c r="N60" s="683"/>
      <c r="O60" s="683"/>
      <c r="P60" s="683"/>
      <c r="Q60" s="683"/>
      <c r="R60" s="683"/>
      <c r="S60" s="683"/>
      <c r="T60" s="683"/>
    </row>
    <row r="61">
      <c r="A61" s="735"/>
      <c r="B61" s="735"/>
      <c r="C61" s="735"/>
      <c r="E61" s="747" t="b">
        <v>0</v>
      </c>
      <c r="F61" s="682" t="s">
        <v>304</v>
      </c>
      <c r="G61" s="682" t="s">
        <v>316</v>
      </c>
      <c r="H61" s="683"/>
      <c r="K61" s="683"/>
      <c r="L61" s="683"/>
      <c r="T61" s="682"/>
    </row>
    <row r="62">
      <c r="A62" s="683"/>
      <c r="B62" s="683"/>
      <c r="C62" s="683"/>
      <c r="D62" s="683"/>
      <c r="J62" s="682"/>
      <c r="K62" s="683"/>
      <c r="L62" s="683"/>
      <c r="M62" s="683"/>
    </row>
    <row r="63">
      <c r="A63" s="683"/>
      <c r="B63" s="682"/>
      <c r="C63" s="683"/>
      <c r="D63" s="683"/>
      <c r="E63" s="683"/>
      <c r="F63" s="683"/>
      <c r="G63" s="683"/>
      <c r="H63" s="683"/>
      <c r="I63" s="683"/>
      <c r="J63" s="683"/>
      <c r="K63" s="683"/>
      <c r="L63" s="683"/>
      <c r="M63" s="683"/>
      <c r="N63" s="683"/>
      <c r="O63" s="683"/>
      <c r="P63" s="683"/>
      <c r="Q63" s="683"/>
      <c r="R63" s="682"/>
      <c r="S63" s="682"/>
      <c r="T63" s="682"/>
    </row>
    <row r="64" ht="27.75" customHeight="1">
      <c r="B64" s="813" t="s">
        <v>308</v>
      </c>
      <c r="C64" s="25"/>
      <c r="D64" s="25"/>
      <c r="E64" s="25"/>
      <c r="F64" s="25"/>
      <c r="G64" s="25"/>
      <c r="H64" s="26"/>
      <c r="I64" s="814" t="s">
        <v>309</v>
      </c>
      <c r="J64" s="25"/>
      <c r="K64" s="25"/>
      <c r="L64" s="25"/>
      <c r="M64" s="26"/>
      <c r="N64" s="814" t="s">
        <v>310</v>
      </c>
      <c r="O64" s="25"/>
      <c r="P64" s="25"/>
      <c r="Q64" s="25"/>
      <c r="R64" s="25"/>
      <c r="S64" s="25"/>
      <c r="T64" s="26"/>
    </row>
    <row r="65">
      <c r="B65" s="815"/>
      <c r="C65" s="25"/>
      <c r="D65" s="25"/>
      <c r="E65" s="25"/>
      <c r="F65" s="25"/>
      <c r="G65" s="25"/>
      <c r="H65" s="26"/>
      <c r="I65" s="816"/>
      <c r="J65" s="25"/>
      <c r="K65" s="25"/>
      <c r="L65" s="26"/>
      <c r="M65" s="817" t="s">
        <v>291</v>
      </c>
      <c r="N65" s="818"/>
      <c r="O65" s="25"/>
      <c r="P65" s="25"/>
      <c r="Q65" s="25"/>
      <c r="R65" s="25"/>
      <c r="S65" s="26"/>
      <c r="T65" s="819" t="s">
        <v>291</v>
      </c>
    </row>
    <row r="66">
      <c r="B66" s="815"/>
      <c r="C66" s="25"/>
      <c r="D66" s="25"/>
      <c r="E66" s="25"/>
      <c r="F66" s="25"/>
      <c r="G66" s="25"/>
      <c r="H66" s="26"/>
      <c r="I66" s="816"/>
      <c r="J66" s="25"/>
      <c r="K66" s="25"/>
      <c r="L66" s="26"/>
      <c r="M66" s="817" t="s">
        <v>291</v>
      </c>
      <c r="N66" s="818"/>
      <c r="O66" s="25"/>
      <c r="P66" s="25"/>
      <c r="Q66" s="25"/>
      <c r="R66" s="25"/>
      <c r="S66" s="26"/>
      <c r="T66" s="819" t="s">
        <v>291</v>
      </c>
    </row>
    <row r="67">
      <c r="B67" s="815"/>
      <c r="C67" s="25"/>
      <c r="D67" s="25"/>
      <c r="E67" s="25"/>
      <c r="F67" s="25"/>
      <c r="G67" s="25"/>
      <c r="H67" s="26"/>
      <c r="I67" s="816"/>
      <c r="J67" s="25"/>
      <c r="K67" s="25"/>
      <c r="L67" s="26"/>
      <c r="M67" s="817" t="s">
        <v>291</v>
      </c>
      <c r="N67" s="818"/>
      <c r="O67" s="25"/>
      <c r="P67" s="25"/>
      <c r="Q67" s="25"/>
      <c r="R67" s="25"/>
      <c r="S67" s="26"/>
      <c r="T67" s="819" t="s">
        <v>291</v>
      </c>
    </row>
    <row r="68">
      <c r="B68" s="815"/>
      <c r="C68" s="25"/>
      <c r="D68" s="25"/>
      <c r="E68" s="25"/>
      <c r="F68" s="25"/>
      <c r="G68" s="25"/>
      <c r="H68" s="26"/>
      <c r="I68" s="816"/>
      <c r="J68" s="25"/>
      <c r="K68" s="25"/>
      <c r="L68" s="26"/>
      <c r="M68" s="817" t="s">
        <v>291</v>
      </c>
      <c r="N68" s="818"/>
      <c r="O68" s="25"/>
      <c r="P68" s="25"/>
      <c r="Q68" s="25"/>
      <c r="R68" s="25"/>
      <c r="S68" s="26"/>
      <c r="T68" s="819" t="s">
        <v>291</v>
      </c>
    </row>
    <row r="69">
      <c r="B69" s="815"/>
      <c r="C69" s="25"/>
      <c r="D69" s="25"/>
      <c r="E69" s="25"/>
      <c r="F69" s="25"/>
      <c r="G69" s="25"/>
      <c r="H69" s="26"/>
      <c r="I69" s="816"/>
      <c r="J69" s="25"/>
      <c r="K69" s="25"/>
      <c r="L69" s="26"/>
      <c r="M69" s="817" t="s">
        <v>291</v>
      </c>
      <c r="N69" s="818"/>
      <c r="O69" s="25"/>
      <c r="P69" s="25"/>
      <c r="Q69" s="25"/>
      <c r="R69" s="25"/>
      <c r="S69" s="26"/>
      <c r="T69" s="819" t="s">
        <v>291</v>
      </c>
    </row>
    <row r="70">
      <c r="A70" s="683"/>
      <c r="B70" s="815"/>
      <c r="C70" s="25"/>
      <c r="D70" s="25"/>
      <c r="E70" s="25"/>
      <c r="F70" s="25"/>
      <c r="G70" s="25"/>
      <c r="H70" s="26"/>
      <c r="I70" s="816"/>
      <c r="J70" s="25"/>
      <c r="K70" s="25"/>
      <c r="L70" s="26"/>
      <c r="M70" s="817" t="s">
        <v>291</v>
      </c>
      <c r="N70" s="818"/>
      <c r="O70" s="25"/>
      <c r="P70" s="25"/>
      <c r="Q70" s="25"/>
      <c r="R70" s="25"/>
      <c r="S70" s="26"/>
      <c r="T70" s="819" t="s">
        <v>291</v>
      </c>
    </row>
    <row r="71">
      <c r="A71" s="683"/>
      <c r="B71" s="815"/>
      <c r="C71" s="25"/>
      <c r="D71" s="25"/>
      <c r="E71" s="25"/>
      <c r="F71" s="25"/>
      <c r="G71" s="25"/>
      <c r="H71" s="26"/>
      <c r="I71" s="816"/>
      <c r="J71" s="25"/>
      <c r="K71" s="25"/>
      <c r="L71" s="26"/>
      <c r="M71" s="820" t="s">
        <v>291</v>
      </c>
      <c r="N71" s="818"/>
      <c r="O71" s="25"/>
      <c r="P71" s="25"/>
      <c r="Q71" s="25"/>
      <c r="R71" s="25"/>
      <c r="S71" s="26"/>
      <c r="T71" s="821" t="s">
        <v>291</v>
      </c>
    </row>
    <row r="72">
      <c r="A72" s="683"/>
      <c r="B72" s="822" t="s">
        <v>317</v>
      </c>
      <c r="C72" s="823"/>
      <c r="D72" s="824"/>
      <c r="E72" s="824"/>
      <c r="F72" s="824"/>
      <c r="G72" s="824"/>
      <c r="H72" s="825"/>
      <c r="I72" s="823"/>
      <c r="J72" s="824"/>
      <c r="K72" s="824"/>
      <c r="L72" s="824"/>
      <c r="M72" s="824"/>
      <c r="N72" s="824"/>
      <c r="O72" s="824"/>
      <c r="P72" s="824"/>
      <c r="Q72" s="824"/>
      <c r="R72" s="824"/>
      <c r="S72" s="825"/>
      <c r="T72" s="826" t="s">
        <v>291</v>
      </c>
    </row>
    <row r="73">
      <c r="A73" s="683"/>
      <c r="B73" s="94"/>
      <c r="C73" s="823"/>
      <c r="D73" s="824"/>
      <c r="E73" s="824"/>
      <c r="F73" s="824"/>
      <c r="G73" s="824"/>
      <c r="H73" s="825"/>
      <c r="I73" s="823"/>
      <c r="J73" s="824"/>
      <c r="K73" s="824"/>
      <c r="L73" s="824"/>
      <c r="M73" s="824"/>
      <c r="N73" s="824"/>
      <c r="O73" s="824"/>
      <c r="P73" s="824"/>
      <c r="Q73" s="824"/>
      <c r="R73" s="824"/>
      <c r="S73" s="824"/>
      <c r="T73" s="826" t="s">
        <v>291</v>
      </c>
    </row>
    <row r="74">
      <c r="A74" s="683"/>
      <c r="B74" s="96"/>
      <c r="C74" s="777"/>
      <c r="D74" s="33"/>
      <c r="E74" s="33"/>
      <c r="F74" s="33"/>
      <c r="G74" s="33"/>
      <c r="H74" s="34"/>
      <c r="I74" s="777"/>
      <c r="J74" s="33"/>
      <c r="K74" s="33"/>
      <c r="L74" s="33"/>
      <c r="M74" s="33"/>
      <c r="N74" s="33"/>
      <c r="O74" s="33"/>
      <c r="P74" s="33"/>
      <c r="Q74" s="33"/>
      <c r="R74" s="33"/>
      <c r="S74" s="34"/>
      <c r="T74" s="827" t="s">
        <v>291</v>
      </c>
    </row>
    <row r="75">
      <c r="A75" s="683"/>
      <c r="B75" s="828" t="s">
        <v>318</v>
      </c>
      <c r="C75" s="823"/>
      <c r="D75" s="824"/>
      <c r="E75" s="824"/>
      <c r="F75" s="824"/>
      <c r="G75" s="824"/>
      <c r="H75" s="825"/>
      <c r="I75" s="823"/>
      <c r="J75" s="824"/>
      <c r="K75" s="824"/>
      <c r="L75" s="824"/>
      <c r="M75" s="824"/>
      <c r="N75" s="824"/>
      <c r="O75" s="824"/>
      <c r="P75" s="824"/>
      <c r="Q75" s="824"/>
      <c r="R75" s="824"/>
      <c r="S75" s="825"/>
      <c r="T75" s="826" t="s">
        <v>291</v>
      </c>
    </row>
    <row r="76">
      <c r="A76" s="683"/>
      <c r="B76" s="94"/>
      <c r="C76" s="823"/>
      <c r="D76" s="824"/>
      <c r="E76" s="824"/>
      <c r="F76" s="824"/>
      <c r="G76" s="824"/>
      <c r="H76" s="825"/>
      <c r="I76" s="823"/>
      <c r="J76" s="824"/>
      <c r="K76" s="824"/>
      <c r="L76" s="824"/>
      <c r="M76" s="824"/>
      <c r="N76" s="824"/>
      <c r="O76" s="824"/>
      <c r="P76" s="824"/>
      <c r="Q76" s="824"/>
      <c r="R76" s="824"/>
      <c r="S76" s="824"/>
      <c r="T76" s="826" t="s">
        <v>291</v>
      </c>
    </row>
    <row r="77">
      <c r="A77" s="683"/>
      <c r="B77" s="96"/>
      <c r="C77" s="777"/>
      <c r="D77" s="33"/>
      <c r="E77" s="33"/>
      <c r="F77" s="33"/>
      <c r="G77" s="33"/>
      <c r="H77" s="34"/>
      <c r="I77" s="777"/>
      <c r="J77" s="33"/>
      <c r="K77" s="33"/>
      <c r="L77" s="33"/>
      <c r="M77" s="33"/>
      <c r="N77" s="33"/>
      <c r="O77" s="33"/>
      <c r="P77" s="33"/>
      <c r="Q77" s="33"/>
      <c r="R77" s="33"/>
      <c r="S77" s="34"/>
      <c r="T77" s="827" t="s">
        <v>291</v>
      </c>
    </row>
    <row r="78">
      <c r="A78" s="683"/>
      <c r="B78" s="682"/>
      <c r="C78" s="683"/>
      <c r="D78" s="683"/>
      <c r="E78" s="683"/>
      <c r="F78" s="683"/>
      <c r="G78" s="683"/>
      <c r="H78" s="683"/>
      <c r="I78" s="683"/>
      <c r="J78" s="683"/>
      <c r="K78" s="683"/>
      <c r="L78" s="683"/>
      <c r="M78" s="683"/>
      <c r="N78" s="683"/>
      <c r="O78" s="683"/>
      <c r="P78" s="683"/>
      <c r="Q78" s="683"/>
      <c r="R78" s="683"/>
    </row>
    <row r="79">
      <c r="A79" s="683"/>
      <c r="B79" s="683"/>
      <c r="C79" s="683"/>
      <c r="D79" s="683"/>
      <c r="E79" s="683"/>
      <c r="F79" s="683"/>
      <c r="G79" s="683"/>
      <c r="H79" s="683"/>
      <c r="I79" s="683"/>
      <c r="J79" s="683"/>
      <c r="K79" s="683"/>
      <c r="L79" s="683"/>
      <c r="M79" s="683"/>
      <c r="N79" s="683"/>
      <c r="O79" s="683"/>
      <c r="P79" s="683"/>
      <c r="Q79" s="683"/>
      <c r="R79" s="683"/>
    </row>
    <row r="80">
      <c r="A80" s="683"/>
      <c r="B80" s="683"/>
      <c r="C80" s="683"/>
      <c r="D80" s="683"/>
      <c r="E80" s="683"/>
      <c r="F80" s="683"/>
      <c r="G80" s="683"/>
      <c r="H80" s="683"/>
      <c r="I80" s="683"/>
      <c r="J80" s="683"/>
      <c r="K80" s="683"/>
      <c r="L80" s="683"/>
      <c r="M80" s="683"/>
      <c r="N80" s="683"/>
      <c r="O80" s="683"/>
      <c r="P80" s="683"/>
      <c r="Q80" s="683"/>
      <c r="R80" s="683"/>
    </row>
  </sheetData>
  <mergeCells count="67">
    <mergeCell ref="C72:H72"/>
    <mergeCell ref="C73:H73"/>
    <mergeCell ref="B75:B77"/>
    <mergeCell ref="C75:H75"/>
    <mergeCell ref="C76:H76"/>
    <mergeCell ref="C77:H77"/>
    <mergeCell ref="B69:H69"/>
    <mergeCell ref="I69:L69"/>
    <mergeCell ref="B70:H70"/>
    <mergeCell ref="I70:L70"/>
    <mergeCell ref="B71:H71"/>
    <mergeCell ref="I71:L71"/>
    <mergeCell ref="B72:B74"/>
    <mergeCell ref="C74:H74"/>
    <mergeCell ref="A1:B1"/>
    <mergeCell ref="B3:C3"/>
    <mergeCell ref="G3:H3"/>
    <mergeCell ref="B4:C4"/>
    <mergeCell ref="G4:H4"/>
    <mergeCell ref="D5:F5"/>
    <mergeCell ref="H23:K23"/>
    <mergeCell ref="B23:F23"/>
    <mergeCell ref="B42:F43"/>
    <mergeCell ref="B45:G45"/>
    <mergeCell ref="H45:N45"/>
    <mergeCell ref="O45:T45"/>
    <mergeCell ref="H46:M46"/>
    <mergeCell ref="O46:T46"/>
    <mergeCell ref="B46:F46"/>
    <mergeCell ref="B47:G47"/>
    <mergeCell ref="H47:N47"/>
    <mergeCell ref="O47:T47"/>
    <mergeCell ref="B48:F48"/>
    <mergeCell ref="H48:M48"/>
    <mergeCell ref="O48:T48"/>
    <mergeCell ref="B49:G49"/>
    <mergeCell ref="H49:N49"/>
    <mergeCell ref="O49:T49"/>
    <mergeCell ref="B50:F50"/>
    <mergeCell ref="H50:M50"/>
    <mergeCell ref="O50:T50"/>
    <mergeCell ref="A52:T52"/>
    <mergeCell ref="T61:T62"/>
    <mergeCell ref="B64:H64"/>
    <mergeCell ref="I64:M64"/>
    <mergeCell ref="N64:T64"/>
    <mergeCell ref="B65:H65"/>
    <mergeCell ref="I65:L65"/>
    <mergeCell ref="N65:S65"/>
    <mergeCell ref="B66:H66"/>
    <mergeCell ref="I66:L66"/>
    <mergeCell ref="N66:S66"/>
    <mergeCell ref="B67:H67"/>
    <mergeCell ref="I67:L67"/>
    <mergeCell ref="B68:H68"/>
    <mergeCell ref="I68:L68"/>
    <mergeCell ref="I74:S74"/>
    <mergeCell ref="I75:S75"/>
    <mergeCell ref="I76:S76"/>
    <mergeCell ref="I77:S77"/>
    <mergeCell ref="N67:S67"/>
    <mergeCell ref="N68:S68"/>
    <mergeCell ref="N69:S69"/>
    <mergeCell ref="N70:S70"/>
    <mergeCell ref="N71:S71"/>
    <mergeCell ref="I72:S72"/>
    <mergeCell ref="I73:S73"/>
  </mergeCells>
  <dataValidations>
    <dataValidation type="custom" allowBlank="1" showDropDown="1" sqref="D5 D6:L6">
      <formula1>OR(NOT(ISERROR(DATEVALUE(D5))), AND(ISNUMBER(D5), LEFT(CELL("format", D5))="D"))</formula1>
    </dataValidation>
  </dataValidations>
  <printOptions gridLines="1" horizontalCentered="1"/>
  <pageMargins bottom="0.0" footer="0.0" header="0.0" left="0.19685039370078738" right="0.19685039370078738" top="0.0"/>
  <pageSetup paperSize="9" cellComments="atEnd" orientation="landscape" pageOrder="overThenDown"/>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4" max="4" width="35.38"/>
    <col customWidth="1" min="5" max="5" width="46.88"/>
    <col customWidth="1" min="6" max="6" width="34.63"/>
    <col customWidth="1" min="8" max="8" width="23.25"/>
  </cols>
  <sheetData>
    <row r="1" ht="131.25" customHeight="1">
      <c r="A1" s="829" t="s">
        <v>319</v>
      </c>
      <c r="B1" s="829"/>
      <c r="C1" s="829"/>
      <c r="D1" s="829"/>
      <c r="E1" s="829"/>
      <c r="G1" s="830"/>
      <c r="H1" s="830"/>
      <c r="I1" s="830"/>
      <c r="J1" s="830"/>
      <c r="K1" s="830"/>
      <c r="L1" s="830"/>
      <c r="M1" s="273"/>
      <c r="N1" s="273"/>
      <c r="O1" s="273" t="s">
        <v>320</v>
      </c>
      <c r="Q1" s="830"/>
      <c r="R1" s="830"/>
      <c r="S1" s="830"/>
      <c r="T1" s="830"/>
      <c r="U1" s="830"/>
      <c r="V1" s="830"/>
      <c r="W1" s="830"/>
      <c r="X1" s="830"/>
      <c r="Y1" s="830"/>
      <c r="Z1" s="830"/>
      <c r="AA1" s="830"/>
      <c r="AB1" s="830"/>
      <c r="AC1" s="830"/>
      <c r="AD1" s="830"/>
      <c r="AE1" s="830"/>
      <c r="AF1" s="830"/>
      <c r="AG1" s="830"/>
      <c r="AH1" s="830"/>
      <c r="AI1" s="830"/>
      <c r="AJ1" s="830"/>
      <c r="AK1" s="830"/>
      <c r="AL1" s="830"/>
      <c r="AM1" s="830"/>
      <c r="AN1" s="830"/>
      <c r="AO1" s="830"/>
      <c r="AP1" s="830"/>
      <c r="AQ1" s="830"/>
      <c r="AR1" s="830"/>
      <c r="AS1" s="830"/>
      <c r="AT1" s="830"/>
      <c r="AU1" s="830"/>
      <c r="AV1" s="830"/>
      <c r="AW1" s="830"/>
      <c r="AX1" s="830"/>
      <c r="AY1" s="830"/>
      <c r="AZ1" s="830"/>
      <c r="BA1" s="830"/>
      <c r="BB1" s="830"/>
      <c r="BC1" s="830"/>
      <c r="BD1" s="830"/>
      <c r="BE1" s="830"/>
      <c r="BF1" s="830"/>
      <c r="BG1" s="830"/>
      <c r="BH1" s="830"/>
      <c r="BI1" s="830"/>
      <c r="BJ1" s="830"/>
      <c r="BK1" s="830"/>
      <c r="BL1" s="830"/>
      <c r="BM1" s="830"/>
      <c r="BN1" s="830"/>
      <c r="BO1" s="830"/>
      <c r="BP1" s="830"/>
      <c r="BQ1" s="830"/>
      <c r="BR1" s="830"/>
      <c r="BS1" s="830"/>
      <c r="BT1" s="830"/>
      <c r="BU1" s="830"/>
      <c r="BV1" s="830"/>
      <c r="BW1" s="830"/>
    </row>
    <row r="2">
      <c r="M2" s="273"/>
      <c r="N2" s="273"/>
      <c r="O2" s="273">
        <v>0.0</v>
      </c>
    </row>
    <row r="3">
      <c r="D3" s="831" t="s">
        <v>321</v>
      </c>
      <c r="E3" s="832" t="s">
        <v>322</v>
      </c>
      <c r="M3" s="273" t="e">
        <v>#REF!</v>
      </c>
      <c r="N3" s="273"/>
      <c r="O3" s="273">
        <v>1.0</v>
      </c>
    </row>
    <row r="4" ht="35.25" customHeight="1">
      <c r="A4" s="833" t="s">
        <v>323</v>
      </c>
      <c r="B4" s="25"/>
      <c r="C4" s="26"/>
      <c r="D4" s="834" t="s">
        <v>324</v>
      </c>
      <c r="E4" s="835" t="str">
        <f t="array" ref="E4">IFERROR(VLOOKUP($D$4,'ビジカジ総裏'!A9:H6393,8,FALSE),"")</f>
        <v/>
      </c>
      <c r="P4" s="836" t="s">
        <v>325</v>
      </c>
    </row>
    <row r="5">
      <c r="E5" s="710"/>
      <c r="P5" s="836" t="s">
        <v>326</v>
      </c>
    </row>
    <row r="6">
      <c r="D6" s="831" t="s">
        <v>321</v>
      </c>
      <c r="E6" s="832" t="s">
        <v>322</v>
      </c>
      <c r="K6" s="836"/>
      <c r="P6" s="836" t="s">
        <v>325</v>
      </c>
    </row>
    <row r="7" ht="35.25" customHeight="1">
      <c r="A7" s="833" t="s">
        <v>327</v>
      </c>
      <c r="B7" s="25"/>
      <c r="C7" s="26"/>
      <c r="D7" s="834" t="s">
        <v>328</v>
      </c>
      <c r="E7" s="835" t="str">
        <f t="array" ref="E7">IFERROR(VLOOKUP($D$7,'ビジカジ総裏'!A12:H6393,8,FALSE),"")</f>
        <v/>
      </c>
      <c r="K7" s="836"/>
      <c r="P7" s="836" t="s">
        <v>326</v>
      </c>
    </row>
    <row r="8">
      <c r="A8" s="837" t="s">
        <v>329</v>
      </c>
      <c r="B8" s="838"/>
      <c r="C8" s="838"/>
      <c r="D8" s="838"/>
      <c r="E8" s="838"/>
      <c r="F8" s="838"/>
      <c r="G8" s="838"/>
      <c r="H8" s="838"/>
      <c r="I8" s="838"/>
      <c r="J8" s="838"/>
      <c r="K8" s="838"/>
      <c r="L8" s="838"/>
      <c r="M8" s="838"/>
      <c r="N8" s="838"/>
      <c r="O8" s="838"/>
      <c r="P8" s="838"/>
      <c r="Q8" s="838"/>
      <c r="R8" s="838"/>
      <c r="S8" s="838"/>
      <c r="T8" s="838"/>
      <c r="U8" s="838"/>
      <c r="V8" s="838"/>
      <c r="W8" s="838"/>
      <c r="X8" s="838"/>
      <c r="Y8" s="838"/>
      <c r="Z8" s="838"/>
      <c r="AA8" s="838"/>
      <c r="AB8" s="838"/>
      <c r="AC8" s="838"/>
      <c r="AD8" s="838"/>
      <c r="AE8" s="838"/>
      <c r="AF8" s="838"/>
      <c r="AG8" s="838"/>
      <c r="AH8" s="838"/>
      <c r="AI8" s="838"/>
      <c r="AJ8" s="838"/>
      <c r="AK8" s="838"/>
      <c r="AL8" s="838"/>
      <c r="AM8" s="838"/>
      <c r="AN8" s="838"/>
      <c r="AO8" s="838"/>
      <c r="AP8" s="838"/>
      <c r="AQ8" s="838"/>
      <c r="AR8" s="838"/>
      <c r="AS8" s="838"/>
      <c r="AT8" s="838"/>
      <c r="AU8" s="838"/>
      <c r="AV8" s="838"/>
      <c r="AW8" s="838"/>
      <c r="AX8" s="838"/>
      <c r="AY8" s="838"/>
      <c r="AZ8" s="838"/>
      <c r="BA8" s="838"/>
      <c r="BB8" s="838"/>
      <c r="BC8" s="838"/>
      <c r="BD8" s="838"/>
      <c r="BE8" s="838"/>
      <c r="BF8" s="838"/>
      <c r="BG8" s="838"/>
      <c r="BH8" s="838"/>
      <c r="BI8" s="838"/>
      <c r="BJ8" s="838"/>
      <c r="BK8" s="838"/>
      <c r="BL8" s="838"/>
      <c r="BM8" s="838"/>
      <c r="BN8" s="838"/>
      <c r="BO8" s="838"/>
      <c r="BP8" s="838"/>
      <c r="BQ8" s="838"/>
      <c r="BR8" s="838"/>
      <c r="BS8" s="838"/>
      <c r="BT8" s="838"/>
      <c r="BU8" s="838"/>
      <c r="BV8" s="838"/>
      <c r="BW8" s="838"/>
    </row>
    <row r="9">
      <c r="A9" s="273" t="str">
        <f>IFERROR(__xludf.DUMMYFUNCTION("IMPORTRANGE(""https://docs.google.com/spreadsheets/d/1jKbmFpFn5OMOB-HVlULU-585kTvoQv0qaDzEuylkOs8/edit?gid=0#gid=0"",""シート1!B2:B6000"")"),"#REF!")</f>
        <v>#REF!</v>
      </c>
      <c r="F9" s="273" t="str">
        <f>IFERROR(__xludf.DUMMYFUNCTION("IMPORTRANGE(""https://docs.google.com/spreadsheets/d/1jKbmFpFn5OMOB-HVlULU-585kTvoQv0qaDzEuylkOs8/edit?gid=0#gid=0"",""シート1!BU2:BV6000"")"),"#REF!")</f>
        <v>#REF!</v>
      </c>
      <c r="H9" s="273" t="str">
        <f t="array" ref="H9:H6393">IF((F9:F6393="洗濯不可")*(G9:G6393="低・無"), "総裏可", IF((F9:F6393="洗濯可能")*(G9:G6393="低・無"), "総裏可", "総裏不可"))
</f>
        <v>#REF!</v>
      </c>
    </row>
    <row r="10">
      <c r="H10" s="273" t="s">
        <v>325</v>
      </c>
    </row>
    <row r="11">
      <c r="H11" s="273" t="s">
        <v>325</v>
      </c>
    </row>
    <row r="12">
      <c r="H12" s="273" t="s">
        <v>325</v>
      </c>
    </row>
    <row r="13">
      <c r="H13" s="273" t="s">
        <v>325</v>
      </c>
    </row>
    <row r="14">
      <c r="H14" s="273" t="s">
        <v>325</v>
      </c>
    </row>
    <row r="15">
      <c r="H15" s="273" t="s">
        <v>325</v>
      </c>
    </row>
    <row r="16">
      <c r="H16" s="273" t="s">
        <v>325</v>
      </c>
    </row>
    <row r="17">
      <c r="H17" s="273" t="s">
        <v>325</v>
      </c>
    </row>
    <row r="18">
      <c r="H18" s="273" t="s">
        <v>325</v>
      </c>
    </row>
    <row r="19">
      <c r="H19" s="273" t="s">
        <v>325</v>
      </c>
    </row>
    <row r="20">
      <c r="H20" s="273" t="s">
        <v>325</v>
      </c>
    </row>
    <row r="21">
      <c r="H21" s="273" t="s">
        <v>325</v>
      </c>
    </row>
    <row r="22">
      <c r="H22" s="273" t="s">
        <v>325</v>
      </c>
    </row>
    <row r="23">
      <c r="H23" s="273" t="s">
        <v>325</v>
      </c>
    </row>
    <row r="24">
      <c r="H24" s="273" t="s">
        <v>325</v>
      </c>
    </row>
    <row r="25">
      <c r="H25" s="273" t="s">
        <v>325</v>
      </c>
    </row>
    <row r="26">
      <c r="H26" s="273" t="s">
        <v>325</v>
      </c>
    </row>
    <row r="27">
      <c r="H27" s="273" t="s">
        <v>325</v>
      </c>
    </row>
    <row r="28">
      <c r="H28" s="273" t="s">
        <v>325</v>
      </c>
    </row>
    <row r="29">
      <c r="H29" s="273" t="s">
        <v>325</v>
      </c>
    </row>
    <row r="30">
      <c r="H30" s="273" t="s">
        <v>325</v>
      </c>
    </row>
    <row r="31">
      <c r="H31" s="273" t="s">
        <v>325</v>
      </c>
    </row>
    <row r="32">
      <c r="H32" s="273" t="s">
        <v>325</v>
      </c>
    </row>
    <row r="33">
      <c r="H33" s="273" t="s">
        <v>325</v>
      </c>
    </row>
    <row r="34">
      <c r="H34" s="273" t="s">
        <v>325</v>
      </c>
    </row>
    <row r="35">
      <c r="H35" s="273" t="s">
        <v>325</v>
      </c>
    </row>
    <row r="36">
      <c r="H36" s="273" t="s">
        <v>325</v>
      </c>
    </row>
    <row r="37">
      <c r="H37" s="273" t="s">
        <v>325</v>
      </c>
    </row>
    <row r="38">
      <c r="H38" s="273" t="s">
        <v>325</v>
      </c>
    </row>
    <row r="39">
      <c r="H39" s="273" t="s">
        <v>325</v>
      </c>
    </row>
    <row r="40">
      <c r="H40" s="273" t="s">
        <v>325</v>
      </c>
    </row>
    <row r="41">
      <c r="H41" s="273" t="s">
        <v>325</v>
      </c>
    </row>
    <row r="42">
      <c r="H42" s="273" t="s">
        <v>325</v>
      </c>
    </row>
    <row r="43">
      <c r="H43" s="273" t="s">
        <v>325</v>
      </c>
    </row>
    <row r="44">
      <c r="H44" s="273" t="s">
        <v>325</v>
      </c>
    </row>
    <row r="45">
      <c r="H45" s="273" t="s">
        <v>325</v>
      </c>
    </row>
    <row r="46">
      <c r="H46" s="273" t="s">
        <v>325</v>
      </c>
    </row>
    <row r="47">
      <c r="H47" s="273" t="s">
        <v>325</v>
      </c>
    </row>
    <row r="48">
      <c r="H48" s="273" t="s">
        <v>325</v>
      </c>
    </row>
    <row r="49">
      <c r="H49" s="273" t="s">
        <v>325</v>
      </c>
    </row>
    <row r="50">
      <c r="H50" s="273" t="s">
        <v>325</v>
      </c>
    </row>
    <row r="51">
      <c r="H51" s="273" t="s">
        <v>325</v>
      </c>
    </row>
    <row r="52">
      <c r="H52" s="273" t="s">
        <v>325</v>
      </c>
    </row>
    <row r="53">
      <c r="H53" s="273" t="s">
        <v>325</v>
      </c>
    </row>
    <row r="54">
      <c r="H54" s="273" t="s">
        <v>325</v>
      </c>
    </row>
    <row r="55">
      <c r="H55" s="273" t="s">
        <v>325</v>
      </c>
    </row>
    <row r="56">
      <c r="H56" s="273" t="s">
        <v>325</v>
      </c>
    </row>
    <row r="57">
      <c r="H57" s="273" t="s">
        <v>325</v>
      </c>
    </row>
    <row r="58">
      <c r="H58" s="273" t="s">
        <v>325</v>
      </c>
    </row>
    <row r="59">
      <c r="H59" s="273" t="s">
        <v>325</v>
      </c>
    </row>
    <row r="60">
      <c r="H60" s="273" t="s">
        <v>325</v>
      </c>
    </row>
    <row r="61">
      <c r="H61" s="273" t="s">
        <v>325</v>
      </c>
    </row>
    <row r="62">
      <c r="H62" s="273" t="s">
        <v>325</v>
      </c>
    </row>
    <row r="63">
      <c r="H63" s="273" t="s">
        <v>325</v>
      </c>
    </row>
    <row r="64">
      <c r="H64" s="273" t="s">
        <v>325</v>
      </c>
    </row>
    <row r="65">
      <c r="H65" s="273" t="s">
        <v>325</v>
      </c>
    </row>
    <row r="66">
      <c r="H66" s="273" t="s">
        <v>325</v>
      </c>
    </row>
    <row r="67">
      <c r="H67" s="273" t="s">
        <v>325</v>
      </c>
    </row>
    <row r="68">
      <c r="H68" s="273" t="s">
        <v>325</v>
      </c>
    </row>
    <row r="69">
      <c r="H69" s="273" t="s">
        <v>325</v>
      </c>
    </row>
    <row r="70">
      <c r="H70" s="273" t="s">
        <v>325</v>
      </c>
    </row>
    <row r="71">
      <c r="H71" s="273" t="s">
        <v>325</v>
      </c>
    </row>
    <row r="72">
      <c r="H72" s="273" t="s">
        <v>325</v>
      </c>
    </row>
    <row r="73">
      <c r="H73" s="273" t="s">
        <v>325</v>
      </c>
    </row>
    <row r="74">
      <c r="H74" s="273" t="s">
        <v>325</v>
      </c>
    </row>
    <row r="75">
      <c r="H75" s="273" t="s">
        <v>325</v>
      </c>
    </row>
    <row r="76">
      <c r="H76" s="273" t="s">
        <v>325</v>
      </c>
    </row>
    <row r="77">
      <c r="H77" s="273" t="s">
        <v>325</v>
      </c>
    </row>
    <row r="78">
      <c r="H78" s="273" t="s">
        <v>325</v>
      </c>
    </row>
    <row r="79">
      <c r="H79" s="273" t="s">
        <v>325</v>
      </c>
    </row>
    <row r="80">
      <c r="H80" s="273" t="s">
        <v>325</v>
      </c>
    </row>
    <row r="81">
      <c r="H81" s="273" t="s">
        <v>325</v>
      </c>
    </row>
    <row r="82">
      <c r="H82" s="273" t="s">
        <v>325</v>
      </c>
    </row>
    <row r="83">
      <c r="H83" s="273" t="s">
        <v>325</v>
      </c>
    </row>
    <row r="84">
      <c r="H84" s="273" t="s">
        <v>325</v>
      </c>
    </row>
    <row r="85">
      <c r="H85" s="273" t="s">
        <v>325</v>
      </c>
    </row>
    <row r="86">
      <c r="H86" s="273" t="s">
        <v>325</v>
      </c>
    </row>
    <row r="87">
      <c r="H87" s="273" t="s">
        <v>325</v>
      </c>
    </row>
    <row r="88">
      <c r="H88" s="273" t="s">
        <v>325</v>
      </c>
    </row>
    <row r="89">
      <c r="H89" s="273" t="s">
        <v>325</v>
      </c>
    </row>
    <row r="90">
      <c r="H90" s="273" t="s">
        <v>325</v>
      </c>
    </row>
    <row r="91">
      <c r="H91" s="273" t="s">
        <v>325</v>
      </c>
    </row>
    <row r="92">
      <c r="H92" s="273" t="s">
        <v>325</v>
      </c>
    </row>
    <row r="93">
      <c r="H93" s="273" t="s">
        <v>325</v>
      </c>
    </row>
    <row r="94">
      <c r="H94" s="273" t="s">
        <v>325</v>
      </c>
    </row>
    <row r="95">
      <c r="H95" s="273" t="s">
        <v>325</v>
      </c>
    </row>
    <row r="96">
      <c r="H96" s="273" t="s">
        <v>325</v>
      </c>
    </row>
    <row r="97">
      <c r="H97" s="273" t="s">
        <v>325</v>
      </c>
    </row>
    <row r="98">
      <c r="H98" s="273" t="s">
        <v>325</v>
      </c>
    </row>
    <row r="99">
      <c r="H99" s="273" t="s">
        <v>325</v>
      </c>
    </row>
    <row r="100">
      <c r="H100" s="273" t="s">
        <v>325</v>
      </c>
    </row>
    <row r="101">
      <c r="H101" s="273" t="s">
        <v>325</v>
      </c>
    </row>
    <row r="102">
      <c r="H102" s="273" t="s">
        <v>325</v>
      </c>
    </row>
    <row r="103">
      <c r="H103" s="273" t="s">
        <v>325</v>
      </c>
    </row>
    <row r="104">
      <c r="H104" s="273" t="s">
        <v>325</v>
      </c>
    </row>
    <row r="105">
      <c r="H105" s="273" t="s">
        <v>325</v>
      </c>
    </row>
    <row r="106">
      <c r="H106" s="273" t="s">
        <v>325</v>
      </c>
    </row>
    <row r="107">
      <c r="H107" s="273" t="s">
        <v>325</v>
      </c>
    </row>
    <row r="108">
      <c r="H108" s="273" t="s">
        <v>325</v>
      </c>
    </row>
    <row r="109">
      <c r="H109" s="273" t="s">
        <v>325</v>
      </c>
    </row>
    <row r="110">
      <c r="H110" s="273" t="s">
        <v>325</v>
      </c>
    </row>
    <row r="111">
      <c r="H111" s="273" t="s">
        <v>325</v>
      </c>
    </row>
    <row r="112">
      <c r="H112" s="273" t="s">
        <v>325</v>
      </c>
    </row>
    <row r="113">
      <c r="H113" s="273" t="s">
        <v>325</v>
      </c>
    </row>
    <row r="114">
      <c r="H114" s="273" t="s">
        <v>325</v>
      </c>
    </row>
    <row r="115">
      <c r="H115" s="273" t="s">
        <v>325</v>
      </c>
    </row>
    <row r="116">
      <c r="H116" s="273" t="s">
        <v>325</v>
      </c>
    </row>
    <row r="117">
      <c r="H117" s="273" t="s">
        <v>325</v>
      </c>
    </row>
    <row r="118">
      <c r="H118" s="273" t="s">
        <v>325</v>
      </c>
    </row>
    <row r="119">
      <c r="H119" s="273" t="s">
        <v>325</v>
      </c>
    </row>
    <row r="120">
      <c r="H120" s="273" t="s">
        <v>325</v>
      </c>
    </row>
    <row r="121">
      <c r="H121" s="273" t="s">
        <v>325</v>
      </c>
    </row>
    <row r="122">
      <c r="H122" s="273" t="s">
        <v>325</v>
      </c>
    </row>
    <row r="123">
      <c r="H123" s="273" t="s">
        <v>325</v>
      </c>
    </row>
    <row r="124">
      <c r="H124" s="273" t="s">
        <v>325</v>
      </c>
    </row>
    <row r="125">
      <c r="H125" s="273" t="s">
        <v>325</v>
      </c>
    </row>
    <row r="126">
      <c r="H126" s="273" t="s">
        <v>325</v>
      </c>
    </row>
    <row r="127">
      <c r="H127" s="273" t="s">
        <v>325</v>
      </c>
    </row>
    <row r="128">
      <c r="H128" s="273" t="s">
        <v>325</v>
      </c>
    </row>
    <row r="129">
      <c r="H129" s="273" t="s">
        <v>325</v>
      </c>
    </row>
    <row r="130">
      <c r="H130" s="273" t="s">
        <v>325</v>
      </c>
    </row>
    <row r="131">
      <c r="H131" s="273" t="s">
        <v>325</v>
      </c>
    </row>
    <row r="132">
      <c r="H132" s="273" t="s">
        <v>325</v>
      </c>
    </row>
    <row r="133">
      <c r="H133" s="273" t="s">
        <v>325</v>
      </c>
    </row>
    <row r="134">
      <c r="H134" s="273" t="s">
        <v>325</v>
      </c>
    </row>
    <row r="135">
      <c r="H135" s="273" t="s">
        <v>325</v>
      </c>
    </row>
    <row r="136">
      <c r="H136" s="273" t="s">
        <v>325</v>
      </c>
    </row>
    <row r="137">
      <c r="H137" s="273" t="s">
        <v>325</v>
      </c>
    </row>
    <row r="138">
      <c r="H138" s="273" t="s">
        <v>325</v>
      </c>
    </row>
    <row r="139">
      <c r="H139" s="273" t="s">
        <v>325</v>
      </c>
    </row>
    <row r="140">
      <c r="H140" s="273" t="s">
        <v>325</v>
      </c>
    </row>
    <row r="141">
      <c r="H141" s="273" t="s">
        <v>325</v>
      </c>
    </row>
    <row r="142">
      <c r="H142" s="273" t="s">
        <v>325</v>
      </c>
    </row>
    <row r="143">
      <c r="H143" s="273" t="s">
        <v>325</v>
      </c>
    </row>
    <row r="144">
      <c r="H144" s="273" t="s">
        <v>325</v>
      </c>
    </row>
    <row r="145">
      <c r="H145" s="273" t="s">
        <v>325</v>
      </c>
    </row>
    <row r="146">
      <c r="H146" s="273" t="s">
        <v>325</v>
      </c>
    </row>
    <row r="147">
      <c r="H147" s="273" t="s">
        <v>325</v>
      </c>
    </row>
    <row r="148">
      <c r="H148" s="273" t="s">
        <v>325</v>
      </c>
    </row>
    <row r="149">
      <c r="H149" s="273" t="s">
        <v>325</v>
      </c>
    </row>
    <row r="150">
      <c r="H150" s="273" t="s">
        <v>325</v>
      </c>
    </row>
    <row r="151">
      <c r="H151" s="273" t="s">
        <v>325</v>
      </c>
    </row>
    <row r="152">
      <c r="H152" s="273" t="s">
        <v>325</v>
      </c>
    </row>
    <row r="153">
      <c r="H153" s="273" t="s">
        <v>325</v>
      </c>
    </row>
    <row r="154">
      <c r="H154" s="273" t="s">
        <v>325</v>
      </c>
    </row>
    <row r="155">
      <c r="H155" s="273" t="s">
        <v>325</v>
      </c>
    </row>
    <row r="156">
      <c r="H156" s="273" t="s">
        <v>325</v>
      </c>
    </row>
    <row r="157">
      <c r="H157" s="273" t="s">
        <v>325</v>
      </c>
    </row>
    <row r="158">
      <c r="H158" s="273" t="s">
        <v>325</v>
      </c>
    </row>
    <row r="159">
      <c r="H159" s="273" t="s">
        <v>325</v>
      </c>
    </row>
    <row r="160">
      <c r="H160" s="273" t="s">
        <v>325</v>
      </c>
    </row>
    <row r="161">
      <c r="H161" s="273" t="s">
        <v>325</v>
      </c>
    </row>
    <row r="162">
      <c r="H162" s="273" t="s">
        <v>325</v>
      </c>
    </row>
    <row r="163">
      <c r="H163" s="273" t="s">
        <v>325</v>
      </c>
    </row>
    <row r="164">
      <c r="H164" s="273" t="s">
        <v>325</v>
      </c>
    </row>
    <row r="165">
      <c r="H165" s="273" t="s">
        <v>325</v>
      </c>
    </row>
    <row r="166">
      <c r="H166" s="273" t="s">
        <v>325</v>
      </c>
    </row>
    <row r="167">
      <c r="H167" s="273" t="s">
        <v>325</v>
      </c>
    </row>
    <row r="168">
      <c r="H168" s="273" t="s">
        <v>325</v>
      </c>
    </row>
    <row r="169">
      <c r="H169" s="273" t="s">
        <v>325</v>
      </c>
    </row>
    <row r="170">
      <c r="H170" s="273" t="s">
        <v>325</v>
      </c>
    </row>
    <row r="171">
      <c r="H171" s="273" t="s">
        <v>325</v>
      </c>
    </row>
    <row r="172">
      <c r="H172" s="273" t="s">
        <v>325</v>
      </c>
    </row>
    <row r="173">
      <c r="H173" s="273" t="s">
        <v>325</v>
      </c>
    </row>
    <row r="174">
      <c r="H174" s="273" t="s">
        <v>325</v>
      </c>
    </row>
    <row r="175">
      <c r="H175" s="273" t="s">
        <v>325</v>
      </c>
    </row>
    <row r="176">
      <c r="H176" s="273" t="s">
        <v>325</v>
      </c>
    </row>
    <row r="177">
      <c r="H177" s="273" t="s">
        <v>325</v>
      </c>
    </row>
    <row r="178">
      <c r="H178" s="273" t="s">
        <v>325</v>
      </c>
    </row>
    <row r="179">
      <c r="H179" s="273" t="s">
        <v>325</v>
      </c>
    </row>
    <row r="180">
      <c r="H180" s="273" t="s">
        <v>325</v>
      </c>
    </row>
    <row r="181">
      <c r="H181" s="273" t="s">
        <v>325</v>
      </c>
    </row>
    <row r="182">
      <c r="H182" s="273" t="s">
        <v>325</v>
      </c>
    </row>
    <row r="183">
      <c r="H183" s="273" t="s">
        <v>325</v>
      </c>
    </row>
    <row r="184">
      <c r="H184" s="273" t="s">
        <v>325</v>
      </c>
    </row>
    <row r="185">
      <c r="H185" s="273" t="s">
        <v>325</v>
      </c>
    </row>
    <row r="186">
      <c r="H186" s="273" t="s">
        <v>325</v>
      </c>
    </row>
    <row r="187">
      <c r="H187" s="273" t="s">
        <v>325</v>
      </c>
    </row>
    <row r="188">
      <c r="H188" s="273" t="s">
        <v>325</v>
      </c>
    </row>
    <row r="189">
      <c r="H189" s="273" t="s">
        <v>325</v>
      </c>
    </row>
    <row r="190">
      <c r="H190" s="273" t="s">
        <v>325</v>
      </c>
    </row>
    <row r="191">
      <c r="H191" s="273" t="s">
        <v>325</v>
      </c>
    </row>
    <row r="192">
      <c r="H192" s="273" t="s">
        <v>325</v>
      </c>
    </row>
    <row r="193">
      <c r="H193" s="273" t="s">
        <v>325</v>
      </c>
    </row>
    <row r="194">
      <c r="H194" s="273" t="s">
        <v>325</v>
      </c>
    </row>
    <row r="195">
      <c r="H195" s="273" t="s">
        <v>325</v>
      </c>
    </row>
    <row r="196">
      <c r="H196" s="273" t="s">
        <v>325</v>
      </c>
    </row>
    <row r="197">
      <c r="H197" s="273" t="s">
        <v>325</v>
      </c>
    </row>
    <row r="198">
      <c r="H198" s="273" t="s">
        <v>325</v>
      </c>
    </row>
    <row r="199">
      <c r="H199" s="273" t="s">
        <v>325</v>
      </c>
    </row>
    <row r="200">
      <c r="H200" s="273" t="s">
        <v>325</v>
      </c>
    </row>
    <row r="201">
      <c r="H201" s="273" t="s">
        <v>325</v>
      </c>
    </row>
    <row r="202">
      <c r="H202" s="273" t="s">
        <v>325</v>
      </c>
    </row>
    <row r="203">
      <c r="H203" s="273" t="s">
        <v>325</v>
      </c>
    </row>
    <row r="204">
      <c r="H204" s="273" t="s">
        <v>325</v>
      </c>
    </row>
    <row r="205">
      <c r="H205" s="273" t="s">
        <v>325</v>
      </c>
    </row>
    <row r="206">
      <c r="H206" s="273" t="s">
        <v>325</v>
      </c>
    </row>
    <row r="207">
      <c r="H207" s="273" t="s">
        <v>325</v>
      </c>
    </row>
    <row r="208">
      <c r="H208" s="273" t="s">
        <v>325</v>
      </c>
    </row>
    <row r="209">
      <c r="H209" s="273" t="s">
        <v>325</v>
      </c>
    </row>
    <row r="210">
      <c r="H210" s="273" t="s">
        <v>325</v>
      </c>
    </row>
    <row r="211">
      <c r="H211" s="273" t="s">
        <v>325</v>
      </c>
    </row>
    <row r="212">
      <c r="H212" s="273" t="s">
        <v>325</v>
      </c>
    </row>
    <row r="213">
      <c r="H213" s="273" t="s">
        <v>325</v>
      </c>
    </row>
    <row r="214">
      <c r="H214" s="273" t="s">
        <v>325</v>
      </c>
    </row>
    <row r="215">
      <c r="H215" s="273" t="s">
        <v>325</v>
      </c>
    </row>
    <row r="216">
      <c r="H216" s="273" t="s">
        <v>325</v>
      </c>
    </row>
    <row r="217">
      <c r="H217" s="273" t="s">
        <v>325</v>
      </c>
    </row>
    <row r="218">
      <c r="H218" s="273" t="s">
        <v>325</v>
      </c>
    </row>
    <row r="219">
      <c r="H219" s="273" t="s">
        <v>325</v>
      </c>
    </row>
    <row r="220">
      <c r="H220" s="273" t="s">
        <v>325</v>
      </c>
    </row>
    <row r="221">
      <c r="H221" s="273" t="s">
        <v>325</v>
      </c>
    </row>
    <row r="222">
      <c r="H222" s="273" t="s">
        <v>325</v>
      </c>
    </row>
    <row r="223">
      <c r="H223" s="273" t="s">
        <v>325</v>
      </c>
    </row>
    <row r="224">
      <c r="H224" s="273" t="s">
        <v>325</v>
      </c>
    </row>
    <row r="225">
      <c r="H225" s="273" t="s">
        <v>325</v>
      </c>
    </row>
    <row r="226">
      <c r="H226" s="273" t="s">
        <v>325</v>
      </c>
    </row>
    <row r="227">
      <c r="H227" s="273" t="s">
        <v>325</v>
      </c>
    </row>
    <row r="228">
      <c r="H228" s="273" t="s">
        <v>325</v>
      </c>
    </row>
    <row r="229">
      <c r="H229" s="273" t="s">
        <v>325</v>
      </c>
    </row>
    <row r="230">
      <c r="H230" s="273" t="s">
        <v>325</v>
      </c>
    </row>
    <row r="231">
      <c r="H231" s="273" t="s">
        <v>325</v>
      </c>
    </row>
    <row r="232">
      <c r="H232" s="273" t="s">
        <v>325</v>
      </c>
    </row>
    <row r="233">
      <c r="H233" s="273" t="s">
        <v>325</v>
      </c>
    </row>
    <row r="234">
      <c r="H234" s="273" t="s">
        <v>325</v>
      </c>
    </row>
    <row r="235">
      <c r="H235" s="273" t="s">
        <v>325</v>
      </c>
    </row>
    <row r="236">
      <c r="H236" s="273" t="s">
        <v>325</v>
      </c>
    </row>
    <row r="237">
      <c r="H237" s="273" t="s">
        <v>325</v>
      </c>
    </row>
    <row r="238">
      <c r="H238" s="273" t="s">
        <v>325</v>
      </c>
    </row>
    <row r="239">
      <c r="H239" s="273" t="s">
        <v>325</v>
      </c>
    </row>
    <row r="240">
      <c r="H240" s="273" t="s">
        <v>325</v>
      </c>
    </row>
    <row r="241">
      <c r="H241" s="273" t="s">
        <v>325</v>
      </c>
    </row>
    <row r="242">
      <c r="H242" s="273" t="s">
        <v>325</v>
      </c>
    </row>
    <row r="243">
      <c r="H243" s="273" t="s">
        <v>325</v>
      </c>
    </row>
    <row r="244">
      <c r="H244" s="273" t="s">
        <v>325</v>
      </c>
    </row>
    <row r="245">
      <c r="H245" s="273" t="s">
        <v>325</v>
      </c>
    </row>
    <row r="246">
      <c r="H246" s="273" t="s">
        <v>325</v>
      </c>
    </row>
    <row r="247">
      <c r="H247" s="273" t="s">
        <v>325</v>
      </c>
    </row>
    <row r="248">
      <c r="H248" s="273" t="s">
        <v>325</v>
      </c>
    </row>
    <row r="249">
      <c r="H249" s="273" t="s">
        <v>325</v>
      </c>
    </row>
    <row r="250">
      <c r="H250" s="273" t="s">
        <v>325</v>
      </c>
    </row>
    <row r="251">
      <c r="H251" s="273" t="s">
        <v>325</v>
      </c>
    </row>
    <row r="252">
      <c r="H252" s="273" t="s">
        <v>325</v>
      </c>
    </row>
    <row r="253">
      <c r="H253" s="273" t="s">
        <v>325</v>
      </c>
    </row>
    <row r="254">
      <c r="H254" s="273" t="s">
        <v>325</v>
      </c>
    </row>
    <row r="255">
      <c r="H255" s="273" t="s">
        <v>325</v>
      </c>
    </row>
    <row r="256">
      <c r="H256" s="273" t="s">
        <v>325</v>
      </c>
    </row>
    <row r="257">
      <c r="H257" s="273" t="s">
        <v>325</v>
      </c>
    </row>
    <row r="258">
      <c r="H258" s="273" t="s">
        <v>325</v>
      </c>
    </row>
    <row r="259">
      <c r="H259" s="273" t="s">
        <v>325</v>
      </c>
    </row>
    <row r="260">
      <c r="H260" s="273" t="s">
        <v>325</v>
      </c>
    </row>
    <row r="261">
      <c r="H261" s="273" t="s">
        <v>325</v>
      </c>
    </row>
    <row r="262">
      <c r="H262" s="273" t="s">
        <v>325</v>
      </c>
    </row>
    <row r="263">
      <c r="H263" s="273" t="s">
        <v>325</v>
      </c>
    </row>
    <row r="264">
      <c r="H264" s="273" t="s">
        <v>325</v>
      </c>
    </row>
    <row r="265">
      <c r="H265" s="273" t="s">
        <v>325</v>
      </c>
    </row>
    <row r="266">
      <c r="H266" s="273" t="s">
        <v>325</v>
      </c>
    </row>
    <row r="267">
      <c r="H267" s="273" t="s">
        <v>325</v>
      </c>
    </row>
    <row r="268">
      <c r="H268" s="273" t="s">
        <v>325</v>
      </c>
    </row>
    <row r="269">
      <c r="H269" s="273" t="s">
        <v>325</v>
      </c>
    </row>
    <row r="270">
      <c r="H270" s="273" t="s">
        <v>325</v>
      </c>
    </row>
    <row r="271">
      <c r="H271" s="273" t="s">
        <v>325</v>
      </c>
    </row>
    <row r="272">
      <c r="H272" s="273" t="s">
        <v>325</v>
      </c>
    </row>
    <row r="273">
      <c r="H273" s="273" t="s">
        <v>325</v>
      </c>
    </row>
    <row r="274">
      <c r="H274" s="273" t="s">
        <v>325</v>
      </c>
    </row>
    <row r="275">
      <c r="H275" s="273" t="s">
        <v>325</v>
      </c>
    </row>
    <row r="276">
      <c r="H276" s="273" t="s">
        <v>325</v>
      </c>
    </row>
    <row r="277">
      <c r="H277" s="273" t="s">
        <v>325</v>
      </c>
    </row>
    <row r="278">
      <c r="H278" s="273" t="s">
        <v>325</v>
      </c>
    </row>
    <row r="279">
      <c r="H279" s="273" t="s">
        <v>325</v>
      </c>
    </row>
    <row r="280">
      <c r="H280" s="273" t="s">
        <v>325</v>
      </c>
    </row>
    <row r="281">
      <c r="H281" s="273" t="s">
        <v>325</v>
      </c>
    </row>
    <row r="282">
      <c r="H282" s="273" t="s">
        <v>325</v>
      </c>
    </row>
    <row r="283">
      <c r="H283" s="273" t="s">
        <v>325</v>
      </c>
    </row>
    <row r="284">
      <c r="H284" s="273" t="s">
        <v>325</v>
      </c>
    </row>
    <row r="285">
      <c r="H285" s="273" t="s">
        <v>325</v>
      </c>
    </row>
    <row r="286">
      <c r="H286" s="273" t="s">
        <v>325</v>
      </c>
    </row>
    <row r="287">
      <c r="H287" s="273" t="s">
        <v>325</v>
      </c>
    </row>
    <row r="288">
      <c r="H288" s="273" t="s">
        <v>325</v>
      </c>
    </row>
    <row r="289">
      <c r="H289" s="273" t="s">
        <v>325</v>
      </c>
    </row>
    <row r="290">
      <c r="H290" s="273" t="s">
        <v>325</v>
      </c>
    </row>
    <row r="291">
      <c r="H291" s="273" t="s">
        <v>325</v>
      </c>
    </row>
    <row r="292">
      <c r="H292" s="273" t="s">
        <v>325</v>
      </c>
    </row>
    <row r="293">
      <c r="H293" s="273" t="s">
        <v>325</v>
      </c>
    </row>
    <row r="294">
      <c r="H294" s="273" t="s">
        <v>325</v>
      </c>
    </row>
    <row r="295">
      <c r="H295" s="273" t="s">
        <v>325</v>
      </c>
    </row>
    <row r="296">
      <c r="H296" s="273" t="s">
        <v>325</v>
      </c>
    </row>
    <row r="297">
      <c r="H297" s="273" t="s">
        <v>325</v>
      </c>
    </row>
    <row r="298">
      <c r="H298" s="273" t="s">
        <v>325</v>
      </c>
    </row>
    <row r="299">
      <c r="H299" s="273" t="s">
        <v>325</v>
      </c>
    </row>
    <row r="300">
      <c r="H300" s="273" t="s">
        <v>325</v>
      </c>
    </row>
    <row r="301">
      <c r="H301" s="273" t="s">
        <v>325</v>
      </c>
    </row>
    <row r="302">
      <c r="H302" s="273" t="s">
        <v>325</v>
      </c>
    </row>
    <row r="303">
      <c r="H303" s="273" t="s">
        <v>325</v>
      </c>
    </row>
    <row r="304">
      <c r="H304" s="273" t="s">
        <v>325</v>
      </c>
    </row>
    <row r="305">
      <c r="H305" s="273" t="s">
        <v>325</v>
      </c>
    </row>
    <row r="306">
      <c r="H306" s="273" t="s">
        <v>325</v>
      </c>
    </row>
    <row r="307">
      <c r="H307" s="273" t="s">
        <v>325</v>
      </c>
    </row>
    <row r="308">
      <c r="H308" s="273" t="s">
        <v>325</v>
      </c>
    </row>
    <row r="309">
      <c r="H309" s="273" t="s">
        <v>325</v>
      </c>
    </row>
    <row r="310">
      <c r="H310" s="273" t="s">
        <v>325</v>
      </c>
    </row>
    <row r="311">
      <c r="H311" s="273" t="s">
        <v>325</v>
      </c>
    </row>
    <row r="312">
      <c r="H312" s="273" t="s">
        <v>325</v>
      </c>
    </row>
    <row r="313">
      <c r="H313" s="273" t="s">
        <v>325</v>
      </c>
    </row>
    <row r="314">
      <c r="H314" s="273" t="s">
        <v>325</v>
      </c>
    </row>
    <row r="315">
      <c r="H315" s="273" t="s">
        <v>325</v>
      </c>
    </row>
    <row r="316">
      <c r="H316" s="273" t="s">
        <v>325</v>
      </c>
    </row>
    <row r="317">
      <c r="H317" s="273" t="s">
        <v>325</v>
      </c>
    </row>
    <row r="318">
      <c r="H318" s="273" t="s">
        <v>325</v>
      </c>
    </row>
    <row r="319">
      <c r="H319" s="273" t="s">
        <v>325</v>
      </c>
    </row>
    <row r="320">
      <c r="H320" s="273" t="s">
        <v>325</v>
      </c>
    </row>
    <row r="321">
      <c r="H321" s="273" t="s">
        <v>325</v>
      </c>
    </row>
    <row r="322">
      <c r="H322" s="273" t="s">
        <v>325</v>
      </c>
    </row>
    <row r="323">
      <c r="H323" s="273" t="s">
        <v>325</v>
      </c>
    </row>
    <row r="324">
      <c r="H324" s="273" t="s">
        <v>325</v>
      </c>
    </row>
    <row r="325">
      <c r="H325" s="273" t="s">
        <v>325</v>
      </c>
    </row>
    <row r="326">
      <c r="H326" s="273" t="s">
        <v>325</v>
      </c>
    </row>
    <row r="327">
      <c r="H327" s="273" t="s">
        <v>325</v>
      </c>
    </row>
    <row r="328">
      <c r="H328" s="273" t="s">
        <v>325</v>
      </c>
    </row>
    <row r="329">
      <c r="H329" s="273" t="s">
        <v>325</v>
      </c>
    </row>
    <row r="330">
      <c r="H330" s="273" t="s">
        <v>325</v>
      </c>
    </row>
    <row r="331">
      <c r="H331" s="273" t="s">
        <v>325</v>
      </c>
    </row>
    <row r="332">
      <c r="H332" s="273" t="s">
        <v>325</v>
      </c>
    </row>
    <row r="333">
      <c r="H333" s="273" t="s">
        <v>325</v>
      </c>
    </row>
    <row r="334">
      <c r="H334" s="273" t="s">
        <v>325</v>
      </c>
    </row>
    <row r="335">
      <c r="H335" s="273" t="s">
        <v>325</v>
      </c>
    </row>
    <row r="336">
      <c r="H336" s="273" t="s">
        <v>325</v>
      </c>
    </row>
    <row r="337">
      <c r="H337" s="273" t="s">
        <v>325</v>
      </c>
    </row>
    <row r="338">
      <c r="H338" s="273" t="s">
        <v>325</v>
      </c>
    </row>
    <row r="339">
      <c r="H339" s="273" t="s">
        <v>325</v>
      </c>
    </row>
    <row r="340">
      <c r="H340" s="273" t="s">
        <v>325</v>
      </c>
    </row>
    <row r="341">
      <c r="H341" s="273" t="s">
        <v>325</v>
      </c>
    </row>
    <row r="342">
      <c r="H342" s="273" t="s">
        <v>325</v>
      </c>
    </row>
    <row r="343">
      <c r="H343" s="273" t="s">
        <v>325</v>
      </c>
    </row>
    <row r="344">
      <c r="H344" s="273" t="s">
        <v>325</v>
      </c>
    </row>
    <row r="345">
      <c r="H345" s="273" t="s">
        <v>325</v>
      </c>
    </row>
    <row r="346">
      <c r="H346" s="273" t="s">
        <v>325</v>
      </c>
    </row>
    <row r="347">
      <c r="H347" s="273" t="s">
        <v>325</v>
      </c>
    </row>
    <row r="348">
      <c r="H348" s="273" t="s">
        <v>325</v>
      </c>
    </row>
    <row r="349">
      <c r="H349" s="273" t="s">
        <v>325</v>
      </c>
    </row>
    <row r="350">
      <c r="H350" s="273" t="s">
        <v>325</v>
      </c>
    </row>
    <row r="351">
      <c r="H351" s="273" t="s">
        <v>325</v>
      </c>
    </row>
    <row r="352">
      <c r="H352" s="273" t="s">
        <v>325</v>
      </c>
    </row>
    <row r="353">
      <c r="H353" s="273" t="s">
        <v>325</v>
      </c>
    </row>
    <row r="354">
      <c r="H354" s="273" t="s">
        <v>325</v>
      </c>
    </row>
    <row r="355">
      <c r="H355" s="273" t="s">
        <v>325</v>
      </c>
    </row>
    <row r="356">
      <c r="H356" s="273" t="s">
        <v>325</v>
      </c>
    </row>
    <row r="357">
      <c r="H357" s="273" t="s">
        <v>325</v>
      </c>
    </row>
    <row r="358">
      <c r="H358" s="273" t="s">
        <v>325</v>
      </c>
    </row>
    <row r="359">
      <c r="H359" s="273" t="s">
        <v>325</v>
      </c>
    </row>
    <row r="360">
      <c r="H360" s="273" t="s">
        <v>325</v>
      </c>
    </row>
    <row r="361">
      <c r="H361" s="273" t="s">
        <v>325</v>
      </c>
    </row>
    <row r="362">
      <c r="H362" s="273" t="s">
        <v>325</v>
      </c>
    </row>
    <row r="363">
      <c r="H363" s="273" t="s">
        <v>325</v>
      </c>
    </row>
    <row r="364">
      <c r="H364" s="273" t="s">
        <v>325</v>
      </c>
    </row>
    <row r="365">
      <c r="H365" s="273" t="s">
        <v>325</v>
      </c>
    </row>
    <row r="366">
      <c r="H366" s="273" t="s">
        <v>325</v>
      </c>
    </row>
    <row r="367">
      <c r="H367" s="273" t="s">
        <v>325</v>
      </c>
    </row>
    <row r="368">
      <c r="H368" s="273" t="s">
        <v>325</v>
      </c>
    </row>
    <row r="369">
      <c r="H369" s="273" t="s">
        <v>325</v>
      </c>
    </row>
    <row r="370">
      <c r="H370" s="273" t="s">
        <v>325</v>
      </c>
    </row>
    <row r="371">
      <c r="H371" s="273" t="s">
        <v>325</v>
      </c>
    </row>
    <row r="372">
      <c r="H372" s="273" t="s">
        <v>325</v>
      </c>
    </row>
    <row r="373">
      <c r="H373" s="273" t="s">
        <v>325</v>
      </c>
    </row>
    <row r="374">
      <c r="H374" s="273" t="s">
        <v>325</v>
      </c>
    </row>
    <row r="375">
      <c r="H375" s="273" t="s">
        <v>325</v>
      </c>
    </row>
    <row r="376">
      <c r="H376" s="273" t="s">
        <v>325</v>
      </c>
    </row>
    <row r="377">
      <c r="H377" s="273" t="s">
        <v>325</v>
      </c>
    </row>
    <row r="378">
      <c r="H378" s="273" t="s">
        <v>325</v>
      </c>
    </row>
    <row r="379">
      <c r="H379" s="273" t="s">
        <v>325</v>
      </c>
    </row>
    <row r="380">
      <c r="H380" s="273" t="s">
        <v>325</v>
      </c>
    </row>
    <row r="381">
      <c r="H381" s="273" t="s">
        <v>325</v>
      </c>
    </row>
    <row r="382">
      <c r="H382" s="273" t="s">
        <v>325</v>
      </c>
    </row>
    <row r="383">
      <c r="H383" s="273" t="s">
        <v>325</v>
      </c>
    </row>
    <row r="384">
      <c r="H384" s="273" t="s">
        <v>325</v>
      </c>
    </row>
    <row r="385">
      <c r="H385" s="273" t="s">
        <v>325</v>
      </c>
    </row>
    <row r="386">
      <c r="H386" s="273" t="s">
        <v>325</v>
      </c>
    </row>
    <row r="387">
      <c r="H387" s="273" t="s">
        <v>325</v>
      </c>
    </row>
    <row r="388">
      <c r="H388" s="273" t="s">
        <v>325</v>
      </c>
    </row>
    <row r="389">
      <c r="H389" s="273" t="s">
        <v>325</v>
      </c>
    </row>
    <row r="390">
      <c r="H390" s="273" t="s">
        <v>325</v>
      </c>
    </row>
    <row r="391">
      <c r="H391" s="273" t="s">
        <v>325</v>
      </c>
    </row>
    <row r="392">
      <c r="H392" s="273" t="s">
        <v>325</v>
      </c>
    </row>
    <row r="393">
      <c r="H393" s="273" t="s">
        <v>325</v>
      </c>
    </row>
    <row r="394">
      <c r="H394" s="273" t="s">
        <v>325</v>
      </c>
    </row>
    <row r="395">
      <c r="H395" s="273" t="s">
        <v>325</v>
      </c>
    </row>
    <row r="396">
      <c r="H396" s="273" t="s">
        <v>325</v>
      </c>
    </row>
    <row r="397">
      <c r="H397" s="273" t="s">
        <v>325</v>
      </c>
    </row>
    <row r="398">
      <c r="H398" s="273" t="s">
        <v>325</v>
      </c>
    </row>
    <row r="399">
      <c r="H399" s="273" t="s">
        <v>325</v>
      </c>
    </row>
    <row r="400">
      <c r="H400" s="273" t="s">
        <v>325</v>
      </c>
    </row>
    <row r="401">
      <c r="H401" s="273" t="s">
        <v>325</v>
      </c>
    </row>
    <row r="402">
      <c r="H402" s="273" t="s">
        <v>325</v>
      </c>
    </row>
    <row r="403">
      <c r="H403" s="273" t="s">
        <v>325</v>
      </c>
    </row>
    <row r="404">
      <c r="H404" s="273" t="s">
        <v>325</v>
      </c>
    </row>
    <row r="405">
      <c r="H405" s="273" t="s">
        <v>325</v>
      </c>
    </row>
    <row r="406">
      <c r="H406" s="273" t="s">
        <v>325</v>
      </c>
    </row>
    <row r="407">
      <c r="H407" s="273" t="s">
        <v>325</v>
      </c>
    </row>
    <row r="408">
      <c r="H408" s="273" t="s">
        <v>325</v>
      </c>
    </row>
    <row r="409">
      <c r="H409" s="273" t="s">
        <v>325</v>
      </c>
    </row>
    <row r="410">
      <c r="H410" s="273" t="s">
        <v>325</v>
      </c>
    </row>
    <row r="411">
      <c r="H411" s="273" t="s">
        <v>325</v>
      </c>
    </row>
    <row r="412">
      <c r="H412" s="273" t="s">
        <v>325</v>
      </c>
    </row>
    <row r="413">
      <c r="H413" s="273" t="s">
        <v>325</v>
      </c>
    </row>
    <row r="414">
      <c r="H414" s="273" t="s">
        <v>325</v>
      </c>
    </row>
    <row r="415">
      <c r="H415" s="273" t="s">
        <v>325</v>
      </c>
    </row>
    <row r="416">
      <c r="H416" s="273" t="s">
        <v>325</v>
      </c>
    </row>
    <row r="417">
      <c r="H417" s="273" t="s">
        <v>325</v>
      </c>
    </row>
    <row r="418">
      <c r="H418" s="273" t="s">
        <v>325</v>
      </c>
    </row>
    <row r="419">
      <c r="H419" s="273" t="s">
        <v>325</v>
      </c>
    </row>
    <row r="420">
      <c r="H420" s="273" t="s">
        <v>325</v>
      </c>
    </row>
    <row r="421">
      <c r="H421" s="273" t="s">
        <v>325</v>
      </c>
    </row>
    <row r="422">
      <c r="H422" s="273" t="s">
        <v>325</v>
      </c>
    </row>
    <row r="423">
      <c r="H423" s="273" t="s">
        <v>325</v>
      </c>
    </row>
    <row r="424">
      <c r="H424" s="273" t="s">
        <v>325</v>
      </c>
    </row>
    <row r="425">
      <c r="H425" s="273" t="s">
        <v>325</v>
      </c>
    </row>
    <row r="426">
      <c r="H426" s="273" t="s">
        <v>325</v>
      </c>
    </row>
    <row r="427">
      <c r="H427" s="273" t="s">
        <v>325</v>
      </c>
    </row>
    <row r="428">
      <c r="H428" s="273" t="s">
        <v>325</v>
      </c>
    </row>
    <row r="429">
      <c r="H429" s="273" t="s">
        <v>325</v>
      </c>
    </row>
    <row r="430">
      <c r="H430" s="273" t="s">
        <v>325</v>
      </c>
    </row>
    <row r="431">
      <c r="H431" s="273" t="s">
        <v>325</v>
      </c>
    </row>
    <row r="432">
      <c r="H432" s="273" t="s">
        <v>325</v>
      </c>
    </row>
    <row r="433">
      <c r="H433" s="273" t="s">
        <v>325</v>
      </c>
    </row>
    <row r="434">
      <c r="H434" s="273" t="s">
        <v>325</v>
      </c>
    </row>
    <row r="435">
      <c r="H435" s="273" t="s">
        <v>325</v>
      </c>
    </row>
    <row r="436">
      <c r="H436" s="273" t="s">
        <v>325</v>
      </c>
    </row>
    <row r="437">
      <c r="H437" s="273" t="s">
        <v>325</v>
      </c>
    </row>
    <row r="438">
      <c r="H438" s="273" t="s">
        <v>325</v>
      </c>
    </row>
    <row r="439">
      <c r="H439" s="273" t="s">
        <v>325</v>
      </c>
    </row>
    <row r="440">
      <c r="H440" s="273" t="s">
        <v>325</v>
      </c>
    </row>
    <row r="441">
      <c r="H441" s="273" t="s">
        <v>325</v>
      </c>
    </row>
    <row r="442">
      <c r="H442" s="273" t="s">
        <v>325</v>
      </c>
    </row>
    <row r="443">
      <c r="H443" s="273" t="s">
        <v>325</v>
      </c>
    </row>
    <row r="444">
      <c r="H444" s="273" t="s">
        <v>325</v>
      </c>
    </row>
    <row r="445">
      <c r="H445" s="273" t="s">
        <v>325</v>
      </c>
    </row>
    <row r="446">
      <c r="H446" s="273" t="s">
        <v>325</v>
      </c>
    </row>
    <row r="447">
      <c r="H447" s="273" t="s">
        <v>325</v>
      </c>
    </row>
    <row r="448">
      <c r="H448" s="273" t="s">
        <v>325</v>
      </c>
    </row>
    <row r="449">
      <c r="H449" s="273" t="s">
        <v>325</v>
      </c>
    </row>
    <row r="450">
      <c r="H450" s="273" t="s">
        <v>325</v>
      </c>
    </row>
    <row r="451">
      <c r="H451" s="273" t="s">
        <v>325</v>
      </c>
    </row>
    <row r="452">
      <c r="H452" s="273" t="s">
        <v>325</v>
      </c>
    </row>
    <row r="453">
      <c r="H453" s="273" t="s">
        <v>325</v>
      </c>
    </row>
    <row r="454">
      <c r="H454" s="273" t="s">
        <v>325</v>
      </c>
    </row>
    <row r="455">
      <c r="H455" s="273" t="s">
        <v>325</v>
      </c>
    </row>
    <row r="456">
      <c r="H456" s="273" t="s">
        <v>325</v>
      </c>
    </row>
    <row r="457">
      <c r="H457" s="273" t="s">
        <v>325</v>
      </c>
    </row>
    <row r="458">
      <c r="H458" s="273" t="s">
        <v>325</v>
      </c>
    </row>
    <row r="459">
      <c r="H459" s="273" t="s">
        <v>325</v>
      </c>
    </row>
    <row r="460">
      <c r="H460" s="273" t="s">
        <v>325</v>
      </c>
    </row>
    <row r="461">
      <c r="H461" s="273" t="s">
        <v>325</v>
      </c>
    </row>
    <row r="462">
      <c r="H462" s="273" t="s">
        <v>325</v>
      </c>
    </row>
    <row r="463">
      <c r="H463" s="273" t="s">
        <v>325</v>
      </c>
    </row>
    <row r="464">
      <c r="H464" s="273" t="s">
        <v>325</v>
      </c>
    </row>
    <row r="465">
      <c r="H465" s="273" t="s">
        <v>325</v>
      </c>
    </row>
    <row r="466">
      <c r="H466" s="273" t="s">
        <v>325</v>
      </c>
    </row>
    <row r="467">
      <c r="H467" s="273" t="s">
        <v>325</v>
      </c>
    </row>
    <row r="468">
      <c r="H468" s="273" t="s">
        <v>325</v>
      </c>
    </row>
    <row r="469">
      <c r="H469" s="273" t="s">
        <v>325</v>
      </c>
    </row>
    <row r="470">
      <c r="H470" s="273" t="s">
        <v>325</v>
      </c>
    </row>
    <row r="471">
      <c r="H471" s="273" t="s">
        <v>325</v>
      </c>
    </row>
    <row r="472">
      <c r="H472" s="273" t="s">
        <v>325</v>
      </c>
    </row>
    <row r="473">
      <c r="H473" s="273" t="s">
        <v>325</v>
      </c>
    </row>
    <row r="474">
      <c r="H474" s="273" t="s">
        <v>325</v>
      </c>
    </row>
    <row r="475">
      <c r="H475" s="273" t="s">
        <v>325</v>
      </c>
    </row>
    <row r="476">
      <c r="H476" s="273" t="s">
        <v>325</v>
      </c>
    </row>
    <row r="477">
      <c r="H477" s="273" t="s">
        <v>325</v>
      </c>
    </row>
    <row r="478">
      <c r="H478" s="273" t="s">
        <v>325</v>
      </c>
    </row>
    <row r="479">
      <c r="H479" s="273" t="s">
        <v>325</v>
      </c>
    </row>
    <row r="480">
      <c r="H480" s="273" t="s">
        <v>325</v>
      </c>
    </row>
    <row r="481">
      <c r="H481" s="273" t="s">
        <v>325</v>
      </c>
    </row>
    <row r="482">
      <c r="H482" s="273" t="s">
        <v>325</v>
      </c>
    </row>
    <row r="483">
      <c r="H483" s="273" t="s">
        <v>325</v>
      </c>
    </row>
    <row r="484">
      <c r="H484" s="273" t="s">
        <v>325</v>
      </c>
    </row>
    <row r="485">
      <c r="H485" s="273" t="s">
        <v>325</v>
      </c>
    </row>
    <row r="486">
      <c r="H486" s="273" t="s">
        <v>325</v>
      </c>
    </row>
    <row r="487">
      <c r="H487" s="273" t="s">
        <v>325</v>
      </c>
    </row>
    <row r="488">
      <c r="H488" s="273" t="s">
        <v>325</v>
      </c>
    </row>
    <row r="489">
      <c r="H489" s="273" t="s">
        <v>325</v>
      </c>
    </row>
    <row r="490">
      <c r="H490" s="273" t="s">
        <v>325</v>
      </c>
    </row>
    <row r="491">
      <c r="H491" s="273" t="s">
        <v>325</v>
      </c>
    </row>
    <row r="492">
      <c r="H492" s="273" t="s">
        <v>325</v>
      </c>
    </row>
    <row r="493">
      <c r="H493" s="273" t="s">
        <v>325</v>
      </c>
    </row>
    <row r="494">
      <c r="H494" s="273" t="s">
        <v>325</v>
      </c>
    </row>
    <row r="495">
      <c r="H495" s="273" t="s">
        <v>325</v>
      </c>
    </row>
    <row r="496">
      <c r="H496" s="273" t="s">
        <v>325</v>
      </c>
    </row>
    <row r="497">
      <c r="H497" s="273" t="s">
        <v>325</v>
      </c>
    </row>
    <row r="498">
      <c r="H498" s="273" t="s">
        <v>325</v>
      </c>
    </row>
    <row r="499">
      <c r="H499" s="273" t="s">
        <v>325</v>
      </c>
    </row>
    <row r="500">
      <c r="H500" s="273" t="s">
        <v>325</v>
      </c>
    </row>
    <row r="501">
      <c r="H501" s="273" t="s">
        <v>325</v>
      </c>
    </row>
    <row r="502">
      <c r="H502" s="273" t="s">
        <v>325</v>
      </c>
    </row>
    <row r="503">
      <c r="H503" s="273" t="s">
        <v>325</v>
      </c>
    </row>
    <row r="504">
      <c r="H504" s="273" t="s">
        <v>325</v>
      </c>
    </row>
    <row r="505">
      <c r="H505" s="273" t="s">
        <v>325</v>
      </c>
    </row>
    <row r="506">
      <c r="H506" s="273" t="s">
        <v>325</v>
      </c>
    </row>
    <row r="507">
      <c r="H507" s="273" t="s">
        <v>325</v>
      </c>
    </row>
    <row r="508">
      <c r="H508" s="273" t="s">
        <v>325</v>
      </c>
    </row>
    <row r="509">
      <c r="H509" s="273" t="s">
        <v>325</v>
      </c>
    </row>
    <row r="510">
      <c r="H510" s="273" t="s">
        <v>325</v>
      </c>
    </row>
    <row r="511">
      <c r="H511" s="273" t="s">
        <v>325</v>
      </c>
    </row>
    <row r="512">
      <c r="H512" s="273" t="s">
        <v>325</v>
      </c>
    </row>
    <row r="513">
      <c r="H513" s="273" t="s">
        <v>325</v>
      </c>
    </row>
    <row r="514">
      <c r="H514" s="273" t="s">
        <v>325</v>
      </c>
    </row>
    <row r="515">
      <c r="H515" s="273" t="s">
        <v>325</v>
      </c>
    </row>
    <row r="516">
      <c r="H516" s="273" t="s">
        <v>325</v>
      </c>
    </row>
    <row r="517">
      <c r="H517" s="273" t="s">
        <v>325</v>
      </c>
    </row>
    <row r="518">
      <c r="H518" s="273" t="s">
        <v>325</v>
      </c>
    </row>
    <row r="519">
      <c r="H519" s="273" t="s">
        <v>325</v>
      </c>
    </row>
    <row r="520">
      <c r="H520" s="273" t="s">
        <v>325</v>
      </c>
    </row>
    <row r="521">
      <c r="H521" s="273" t="s">
        <v>325</v>
      </c>
    </row>
    <row r="522">
      <c r="H522" s="273" t="s">
        <v>325</v>
      </c>
    </row>
    <row r="523">
      <c r="H523" s="273" t="s">
        <v>325</v>
      </c>
    </row>
    <row r="524">
      <c r="H524" s="273" t="s">
        <v>325</v>
      </c>
    </row>
    <row r="525">
      <c r="H525" s="273" t="s">
        <v>325</v>
      </c>
    </row>
    <row r="526">
      <c r="H526" s="273" t="s">
        <v>325</v>
      </c>
    </row>
    <row r="527">
      <c r="H527" s="273" t="s">
        <v>325</v>
      </c>
    </row>
    <row r="528">
      <c r="H528" s="273" t="s">
        <v>325</v>
      </c>
    </row>
    <row r="529">
      <c r="H529" s="273" t="s">
        <v>325</v>
      </c>
    </row>
    <row r="530">
      <c r="H530" s="273" t="s">
        <v>325</v>
      </c>
    </row>
    <row r="531">
      <c r="H531" s="273" t="s">
        <v>325</v>
      </c>
    </row>
    <row r="532">
      <c r="H532" s="273" t="s">
        <v>325</v>
      </c>
    </row>
    <row r="533">
      <c r="H533" s="273" t="s">
        <v>325</v>
      </c>
    </row>
    <row r="534">
      <c r="H534" s="273" t="s">
        <v>325</v>
      </c>
    </row>
    <row r="535">
      <c r="H535" s="273" t="s">
        <v>325</v>
      </c>
    </row>
    <row r="536">
      <c r="H536" s="273" t="s">
        <v>325</v>
      </c>
    </row>
    <row r="537">
      <c r="H537" s="273" t="s">
        <v>325</v>
      </c>
    </row>
    <row r="538">
      <c r="H538" s="273" t="s">
        <v>325</v>
      </c>
    </row>
    <row r="539">
      <c r="H539" s="273" t="s">
        <v>325</v>
      </c>
    </row>
    <row r="540">
      <c r="H540" s="273" t="s">
        <v>325</v>
      </c>
    </row>
    <row r="541">
      <c r="H541" s="273" t="s">
        <v>325</v>
      </c>
    </row>
    <row r="542">
      <c r="H542" s="273" t="s">
        <v>325</v>
      </c>
    </row>
    <row r="543">
      <c r="H543" s="273" t="s">
        <v>325</v>
      </c>
    </row>
    <row r="544">
      <c r="H544" s="273" t="s">
        <v>325</v>
      </c>
    </row>
    <row r="545">
      <c r="H545" s="273" t="s">
        <v>325</v>
      </c>
    </row>
    <row r="546">
      <c r="H546" s="273" t="s">
        <v>325</v>
      </c>
    </row>
    <row r="547">
      <c r="H547" s="273" t="s">
        <v>325</v>
      </c>
    </row>
    <row r="548">
      <c r="H548" s="273" t="s">
        <v>325</v>
      </c>
    </row>
    <row r="549">
      <c r="H549" s="273" t="s">
        <v>325</v>
      </c>
    </row>
    <row r="550">
      <c r="H550" s="273" t="s">
        <v>325</v>
      </c>
    </row>
    <row r="551">
      <c r="H551" s="273" t="s">
        <v>325</v>
      </c>
    </row>
    <row r="552">
      <c r="H552" s="273" t="s">
        <v>325</v>
      </c>
    </row>
    <row r="553">
      <c r="H553" s="273" t="s">
        <v>325</v>
      </c>
    </row>
    <row r="554">
      <c r="H554" s="273" t="s">
        <v>325</v>
      </c>
    </row>
    <row r="555">
      <c r="H555" s="273" t="s">
        <v>325</v>
      </c>
    </row>
    <row r="556">
      <c r="H556" s="273" t="s">
        <v>325</v>
      </c>
    </row>
    <row r="557">
      <c r="H557" s="273" t="s">
        <v>325</v>
      </c>
    </row>
    <row r="558">
      <c r="H558" s="273" t="s">
        <v>325</v>
      </c>
    </row>
    <row r="559">
      <c r="H559" s="273" t="s">
        <v>325</v>
      </c>
    </row>
    <row r="560">
      <c r="H560" s="273" t="s">
        <v>325</v>
      </c>
    </row>
    <row r="561">
      <c r="H561" s="273" t="s">
        <v>325</v>
      </c>
    </row>
    <row r="562">
      <c r="H562" s="273" t="s">
        <v>325</v>
      </c>
    </row>
    <row r="563">
      <c r="H563" s="273" t="s">
        <v>325</v>
      </c>
    </row>
    <row r="564">
      <c r="H564" s="273" t="s">
        <v>325</v>
      </c>
    </row>
    <row r="565">
      <c r="H565" s="273" t="s">
        <v>325</v>
      </c>
    </row>
    <row r="566">
      <c r="H566" s="273" t="s">
        <v>325</v>
      </c>
    </row>
    <row r="567">
      <c r="H567" s="273" t="s">
        <v>325</v>
      </c>
    </row>
    <row r="568">
      <c r="H568" s="273" t="s">
        <v>325</v>
      </c>
    </row>
    <row r="569">
      <c r="H569" s="273" t="s">
        <v>325</v>
      </c>
    </row>
    <row r="570">
      <c r="H570" s="273" t="s">
        <v>325</v>
      </c>
    </row>
    <row r="571">
      <c r="H571" s="273" t="s">
        <v>325</v>
      </c>
    </row>
    <row r="572">
      <c r="H572" s="273" t="s">
        <v>325</v>
      </c>
    </row>
    <row r="573">
      <c r="H573" s="273" t="s">
        <v>325</v>
      </c>
    </row>
    <row r="574">
      <c r="H574" s="273" t="s">
        <v>325</v>
      </c>
    </row>
    <row r="575">
      <c r="H575" s="273" t="s">
        <v>325</v>
      </c>
    </row>
    <row r="576">
      <c r="H576" s="273" t="s">
        <v>325</v>
      </c>
    </row>
    <row r="577">
      <c r="H577" s="273" t="s">
        <v>325</v>
      </c>
    </row>
    <row r="578">
      <c r="H578" s="273" t="s">
        <v>325</v>
      </c>
    </row>
    <row r="579">
      <c r="H579" s="273" t="s">
        <v>325</v>
      </c>
    </row>
    <row r="580">
      <c r="H580" s="273" t="s">
        <v>325</v>
      </c>
    </row>
    <row r="581">
      <c r="H581" s="273" t="s">
        <v>325</v>
      </c>
    </row>
    <row r="582">
      <c r="H582" s="273" t="s">
        <v>325</v>
      </c>
    </row>
    <row r="583">
      <c r="H583" s="273" t="s">
        <v>325</v>
      </c>
    </row>
    <row r="584">
      <c r="H584" s="273" t="s">
        <v>325</v>
      </c>
    </row>
    <row r="585">
      <c r="H585" s="273" t="s">
        <v>325</v>
      </c>
    </row>
    <row r="586">
      <c r="H586" s="273" t="s">
        <v>325</v>
      </c>
    </row>
    <row r="587">
      <c r="H587" s="273" t="s">
        <v>325</v>
      </c>
    </row>
    <row r="588">
      <c r="H588" s="273" t="s">
        <v>325</v>
      </c>
    </row>
    <row r="589">
      <c r="H589" s="273" t="s">
        <v>325</v>
      </c>
    </row>
    <row r="590">
      <c r="H590" s="273" t="s">
        <v>325</v>
      </c>
    </row>
    <row r="591">
      <c r="H591" s="273" t="s">
        <v>325</v>
      </c>
    </row>
    <row r="592">
      <c r="H592" s="273" t="s">
        <v>325</v>
      </c>
    </row>
    <row r="593">
      <c r="H593" s="273" t="s">
        <v>325</v>
      </c>
    </row>
    <row r="594">
      <c r="H594" s="273" t="s">
        <v>325</v>
      </c>
    </row>
    <row r="595">
      <c r="H595" s="273" t="s">
        <v>325</v>
      </c>
    </row>
    <row r="596">
      <c r="H596" s="273" t="s">
        <v>325</v>
      </c>
    </row>
    <row r="597">
      <c r="H597" s="273" t="s">
        <v>325</v>
      </c>
    </row>
    <row r="598">
      <c r="H598" s="273" t="s">
        <v>325</v>
      </c>
    </row>
    <row r="599">
      <c r="H599" s="273" t="s">
        <v>325</v>
      </c>
    </row>
    <row r="600">
      <c r="H600" s="273" t="s">
        <v>325</v>
      </c>
    </row>
    <row r="601">
      <c r="H601" s="273" t="s">
        <v>325</v>
      </c>
    </row>
    <row r="602">
      <c r="H602" s="273" t="s">
        <v>325</v>
      </c>
    </row>
    <row r="603">
      <c r="H603" s="273" t="s">
        <v>325</v>
      </c>
    </row>
    <row r="604">
      <c r="H604" s="273" t="s">
        <v>325</v>
      </c>
    </row>
    <row r="605">
      <c r="H605" s="273" t="s">
        <v>325</v>
      </c>
    </row>
    <row r="606">
      <c r="H606" s="273" t="s">
        <v>325</v>
      </c>
    </row>
    <row r="607">
      <c r="H607" s="273" t="s">
        <v>325</v>
      </c>
    </row>
    <row r="608">
      <c r="H608" s="273" t="s">
        <v>325</v>
      </c>
    </row>
    <row r="609">
      <c r="H609" s="273" t="s">
        <v>325</v>
      </c>
    </row>
    <row r="610">
      <c r="H610" s="273" t="s">
        <v>325</v>
      </c>
    </row>
    <row r="611">
      <c r="H611" s="273" t="s">
        <v>325</v>
      </c>
    </row>
    <row r="612">
      <c r="H612" s="273" t="s">
        <v>325</v>
      </c>
    </row>
    <row r="613">
      <c r="H613" s="273" t="s">
        <v>325</v>
      </c>
    </row>
    <row r="614">
      <c r="H614" s="273" t="s">
        <v>325</v>
      </c>
    </row>
    <row r="615">
      <c r="H615" s="273" t="s">
        <v>325</v>
      </c>
    </row>
    <row r="616">
      <c r="H616" s="273" t="s">
        <v>325</v>
      </c>
    </row>
    <row r="617">
      <c r="H617" s="273" t="s">
        <v>325</v>
      </c>
    </row>
    <row r="618">
      <c r="H618" s="273" t="s">
        <v>325</v>
      </c>
    </row>
    <row r="619">
      <c r="H619" s="273" t="s">
        <v>325</v>
      </c>
    </row>
    <row r="620">
      <c r="H620" s="273" t="s">
        <v>325</v>
      </c>
    </row>
    <row r="621">
      <c r="H621" s="273" t="s">
        <v>325</v>
      </c>
    </row>
    <row r="622">
      <c r="H622" s="273" t="s">
        <v>325</v>
      </c>
    </row>
    <row r="623">
      <c r="H623" s="273" t="s">
        <v>325</v>
      </c>
    </row>
    <row r="624">
      <c r="H624" s="273" t="s">
        <v>325</v>
      </c>
    </row>
    <row r="625">
      <c r="H625" s="273" t="s">
        <v>325</v>
      </c>
    </row>
    <row r="626">
      <c r="H626" s="273" t="s">
        <v>325</v>
      </c>
    </row>
    <row r="627">
      <c r="H627" s="273" t="s">
        <v>325</v>
      </c>
    </row>
    <row r="628">
      <c r="H628" s="273" t="s">
        <v>325</v>
      </c>
    </row>
    <row r="629">
      <c r="H629" s="273" t="s">
        <v>325</v>
      </c>
    </row>
    <row r="630">
      <c r="H630" s="273" t="s">
        <v>325</v>
      </c>
    </row>
    <row r="631">
      <c r="H631" s="273" t="s">
        <v>325</v>
      </c>
    </row>
    <row r="632">
      <c r="H632" s="273" t="s">
        <v>325</v>
      </c>
    </row>
    <row r="633">
      <c r="H633" s="273" t="s">
        <v>325</v>
      </c>
    </row>
    <row r="634">
      <c r="H634" s="273" t="s">
        <v>325</v>
      </c>
    </row>
    <row r="635">
      <c r="H635" s="273" t="s">
        <v>325</v>
      </c>
    </row>
    <row r="636">
      <c r="H636" s="273" t="s">
        <v>325</v>
      </c>
    </row>
    <row r="637">
      <c r="H637" s="273" t="s">
        <v>325</v>
      </c>
    </row>
    <row r="638">
      <c r="H638" s="273" t="s">
        <v>325</v>
      </c>
    </row>
    <row r="639">
      <c r="H639" s="273" t="s">
        <v>325</v>
      </c>
    </row>
    <row r="640">
      <c r="H640" s="273" t="s">
        <v>325</v>
      </c>
    </row>
    <row r="641">
      <c r="H641" s="273" t="s">
        <v>325</v>
      </c>
    </row>
    <row r="642">
      <c r="H642" s="273" t="s">
        <v>325</v>
      </c>
    </row>
    <row r="643">
      <c r="H643" s="273" t="s">
        <v>325</v>
      </c>
    </row>
    <row r="644">
      <c r="H644" s="273" t="s">
        <v>325</v>
      </c>
    </row>
    <row r="645">
      <c r="H645" s="273" t="s">
        <v>325</v>
      </c>
    </row>
    <row r="646">
      <c r="H646" s="273" t="s">
        <v>325</v>
      </c>
    </row>
    <row r="647">
      <c r="H647" s="273" t="s">
        <v>325</v>
      </c>
    </row>
    <row r="648">
      <c r="H648" s="273" t="s">
        <v>325</v>
      </c>
    </row>
    <row r="649">
      <c r="H649" s="273" t="s">
        <v>325</v>
      </c>
    </row>
    <row r="650">
      <c r="H650" s="273" t="s">
        <v>325</v>
      </c>
    </row>
    <row r="651">
      <c r="H651" s="273" t="s">
        <v>325</v>
      </c>
    </row>
    <row r="652">
      <c r="H652" s="273" t="s">
        <v>325</v>
      </c>
    </row>
    <row r="653">
      <c r="H653" s="273" t="s">
        <v>325</v>
      </c>
    </row>
    <row r="654">
      <c r="H654" s="273" t="s">
        <v>325</v>
      </c>
    </row>
    <row r="655">
      <c r="H655" s="273" t="s">
        <v>325</v>
      </c>
    </row>
    <row r="656">
      <c r="H656" s="273" t="s">
        <v>325</v>
      </c>
    </row>
    <row r="657">
      <c r="H657" s="273" t="s">
        <v>325</v>
      </c>
    </row>
    <row r="658">
      <c r="H658" s="273" t="s">
        <v>325</v>
      </c>
    </row>
    <row r="659">
      <c r="H659" s="273" t="s">
        <v>325</v>
      </c>
    </row>
    <row r="660">
      <c r="H660" s="273" t="s">
        <v>325</v>
      </c>
    </row>
    <row r="661">
      <c r="H661" s="273" t="s">
        <v>325</v>
      </c>
    </row>
    <row r="662">
      <c r="H662" s="273" t="s">
        <v>325</v>
      </c>
    </row>
    <row r="663">
      <c r="H663" s="273" t="s">
        <v>325</v>
      </c>
    </row>
    <row r="664">
      <c r="H664" s="273" t="s">
        <v>325</v>
      </c>
    </row>
    <row r="665">
      <c r="H665" s="273" t="s">
        <v>325</v>
      </c>
    </row>
    <row r="666">
      <c r="H666" s="273" t="s">
        <v>325</v>
      </c>
    </row>
    <row r="667">
      <c r="H667" s="273" t="s">
        <v>325</v>
      </c>
    </row>
    <row r="668">
      <c r="H668" s="273" t="s">
        <v>325</v>
      </c>
    </row>
    <row r="669">
      <c r="H669" s="273" t="s">
        <v>325</v>
      </c>
    </row>
    <row r="670">
      <c r="H670" s="273" t="s">
        <v>325</v>
      </c>
    </row>
    <row r="671">
      <c r="H671" s="273" t="s">
        <v>325</v>
      </c>
    </row>
    <row r="672">
      <c r="H672" s="273" t="s">
        <v>325</v>
      </c>
    </row>
    <row r="673">
      <c r="H673" s="273" t="s">
        <v>325</v>
      </c>
    </row>
    <row r="674">
      <c r="H674" s="273" t="s">
        <v>325</v>
      </c>
    </row>
    <row r="675">
      <c r="H675" s="273" t="s">
        <v>325</v>
      </c>
    </row>
    <row r="676">
      <c r="H676" s="273" t="s">
        <v>325</v>
      </c>
    </row>
    <row r="677">
      <c r="H677" s="273" t="s">
        <v>325</v>
      </c>
    </row>
    <row r="678">
      <c r="H678" s="273" t="s">
        <v>325</v>
      </c>
    </row>
    <row r="679">
      <c r="H679" s="273" t="s">
        <v>325</v>
      </c>
    </row>
    <row r="680">
      <c r="H680" s="273" t="s">
        <v>325</v>
      </c>
    </row>
    <row r="681">
      <c r="H681" s="273" t="s">
        <v>325</v>
      </c>
    </row>
    <row r="682">
      <c r="H682" s="273" t="s">
        <v>325</v>
      </c>
    </row>
    <row r="683">
      <c r="H683" s="273" t="s">
        <v>325</v>
      </c>
    </row>
    <row r="684">
      <c r="H684" s="273" t="s">
        <v>325</v>
      </c>
    </row>
    <row r="685">
      <c r="H685" s="273" t="s">
        <v>325</v>
      </c>
    </row>
    <row r="686">
      <c r="H686" s="273" t="s">
        <v>325</v>
      </c>
    </row>
    <row r="687">
      <c r="H687" s="273" t="s">
        <v>325</v>
      </c>
    </row>
    <row r="688">
      <c r="H688" s="273" t="s">
        <v>325</v>
      </c>
    </row>
    <row r="689">
      <c r="H689" s="273" t="s">
        <v>325</v>
      </c>
    </row>
    <row r="690">
      <c r="H690" s="273" t="s">
        <v>325</v>
      </c>
    </row>
    <row r="691">
      <c r="H691" s="273" t="s">
        <v>325</v>
      </c>
    </row>
    <row r="692">
      <c r="H692" s="273" t="s">
        <v>325</v>
      </c>
    </row>
    <row r="693">
      <c r="H693" s="273" t="s">
        <v>325</v>
      </c>
    </row>
    <row r="694">
      <c r="H694" s="273" t="s">
        <v>325</v>
      </c>
    </row>
    <row r="695">
      <c r="H695" s="273" t="s">
        <v>325</v>
      </c>
    </row>
    <row r="696">
      <c r="H696" s="273" t="s">
        <v>325</v>
      </c>
    </row>
    <row r="697">
      <c r="H697" s="273" t="s">
        <v>325</v>
      </c>
    </row>
    <row r="698">
      <c r="H698" s="273" t="s">
        <v>325</v>
      </c>
    </row>
    <row r="699">
      <c r="H699" s="273" t="s">
        <v>325</v>
      </c>
    </row>
    <row r="700">
      <c r="H700" s="273" t="s">
        <v>325</v>
      </c>
    </row>
    <row r="701">
      <c r="H701" s="273" t="s">
        <v>325</v>
      </c>
    </row>
    <row r="702">
      <c r="H702" s="273" t="s">
        <v>325</v>
      </c>
    </row>
    <row r="703">
      <c r="H703" s="273" t="s">
        <v>325</v>
      </c>
    </row>
    <row r="704">
      <c r="H704" s="273" t="s">
        <v>325</v>
      </c>
    </row>
    <row r="705">
      <c r="H705" s="273" t="s">
        <v>325</v>
      </c>
    </row>
    <row r="706">
      <c r="H706" s="273" t="s">
        <v>325</v>
      </c>
    </row>
    <row r="707">
      <c r="H707" s="273" t="s">
        <v>325</v>
      </c>
    </row>
    <row r="708">
      <c r="H708" s="273" t="s">
        <v>325</v>
      </c>
    </row>
    <row r="709">
      <c r="H709" s="273" t="s">
        <v>325</v>
      </c>
    </row>
    <row r="710">
      <c r="H710" s="273" t="s">
        <v>325</v>
      </c>
    </row>
    <row r="711">
      <c r="H711" s="273" t="s">
        <v>325</v>
      </c>
    </row>
    <row r="712">
      <c r="H712" s="273" t="s">
        <v>325</v>
      </c>
    </row>
    <row r="713">
      <c r="H713" s="273" t="s">
        <v>325</v>
      </c>
    </row>
    <row r="714">
      <c r="H714" s="273" t="s">
        <v>325</v>
      </c>
    </row>
    <row r="715">
      <c r="H715" s="273" t="s">
        <v>325</v>
      </c>
    </row>
    <row r="716">
      <c r="H716" s="273" t="s">
        <v>325</v>
      </c>
    </row>
    <row r="717">
      <c r="H717" s="273" t="s">
        <v>325</v>
      </c>
    </row>
    <row r="718">
      <c r="H718" s="273" t="s">
        <v>325</v>
      </c>
    </row>
    <row r="719">
      <c r="H719" s="273" t="s">
        <v>325</v>
      </c>
    </row>
    <row r="720">
      <c r="H720" s="273" t="s">
        <v>325</v>
      </c>
    </row>
    <row r="721">
      <c r="H721" s="273" t="s">
        <v>325</v>
      </c>
    </row>
    <row r="722">
      <c r="H722" s="273" t="s">
        <v>325</v>
      </c>
    </row>
    <row r="723">
      <c r="H723" s="273" t="s">
        <v>325</v>
      </c>
    </row>
    <row r="724">
      <c r="H724" s="273" t="s">
        <v>325</v>
      </c>
    </row>
    <row r="725">
      <c r="H725" s="273" t="s">
        <v>325</v>
      </c>
    </row>
    <row r="726">
      <c r="H726" s="273" t="s">
        <v>325</v>
      </c>
    </row>
    <row r="727">
      <c r="H727" s="273" t="s">
        <v>325</v>
      </c>
    </row>
    <row r="728">
      <c r="H728" s="273" t="s">
        <v>325</v>
      </c>
    </row>
    <row r="729">
      <c r="H729" s="273" t="s">
        <v>325</v>
      </c>
    </row>
    <row r="730">
      <c r="H730" s="273" t="s">
        <v>325</v>
      </c>
    </row>
    <row r="731">
      <c r="H731" s="273" t="s">
        <v>325</v>
      </c>
    </row>
    <row r="732">
      <c r="H732" s="273" t="s">
        <v>325</v>
      </c>
    </row>
    <row r="733">
      <c r="H733" s="273" t="s">
        <v>325</v>
      </c>
    </row>
    <row r="734">
      <c r="H734" s="273" t="s">
        <v>325</v>
      </c>
    </row>
    <row r="735">
      <c r="H735" s="273" t="s">
        <v>325</v>
      </c>
    </row>
    <row r="736">
      <c r="H736" s="273" t="s">
        <v>325</v>
      </c>
    </row>
    <row r="737">
      <c r="H737" s="273" t="s">
        <v>325</v>
      </c>
    </row>
    <row r="738">
      <c r="H738" s="273" t="s">
        <v>325</v>
      </c>
    </row>
    <row r="739">
      <c r="H739" s="273" t="s">
        <v>325</v>
      </c>
    </row>
    <row r="740">
      <c r="H740" s="273" t="s">
        <v>325</v>
      </c>
    </row>
    <row r="741">
      <c r="H741" s="273" t="s">
        <v>325</v>
      </c>
    </row>
    <row r="742">
      <c r="H742" s="273" t="s">
        <v>325</v>
      </c>
    </row>
    <row r="743">
      <c r="H743" s="273" t="s">
        <v>325</v>
      </c>
    </row>
    <row r="744">
      <c r="H744" s="273" t="s">
        <v>325</v>
      </c>
    </row>
    <row r="745">
      <c r="H745" s="273" t="s">
        <v>325</v>
      </c>
    </row>
    <row r="746">
      <c r="H746" s="273" t="s">
        <v>325</v>
      </c>
    </row>
    <row r="747">
      <c r="H747" s="273" t="s">
        <v>325</v>
      </c>
    </row>
    <row r="748">
      <c r="H748" s="273" t="s">
        <v>325</v>
      </c>
    </row>
    <row r="749">
      <c r="H749" s="273" t="s">
        <v>325</v>
      </c>
    </row>
    <row r="750">
      <c r="H750" s="273" t="s">
        <v>325</v>
      </c>
    </row>
    <row r="751">
      <c r="H751" s="273" t="s">
        <v>325</v>
      </c>
    </row>
    <row r="752">
      <c r="H752" s="273" t="s">
        <v>325</v>
      </c>
    </row>
    <row r="753">
      <c r="H753" s="273" t="s">
        <v>325</v>
      </c>
    </row>
    <row r="754">
      <c r="H754" s="273" t="s">
        <v>325</v>
      </c>
    </row>
    <row r="755">
      <c r="H755" s="273" t="s">
        <v>325</v>
      </c>
    </row>
    <row r="756">
      <c r="H756" s="273" t="s">
        <v>325</v>
      </c>
    </row>
    <row r="757">
      <c r="H757" s="273" t="s">
        <v>325</v>
      </c>
    </row>
    <row r="758">
      <c r="H758" s="273" t="s">
        <v>325</v>
      </c>
    </row>
    <row r="759">
      <c r="H759" s="273" t="s">
        <v>325</v>
      </c>
    </row>
    <row r="760">
      <c r="H760" s="273" t="s">
        <v>325</v>
      </c>
    </row>
    <row r="761">
      <c r="H761" s="273" t="s">
        <v>325</v>
      </c>
    </row>
    <row r="762">
      <c r="H762" s="273" t="s">
        <v>325</v>
      </c>
    </row>
    <row r="763">
      <c r="H763" s="273" t="s">
        <v>325</v>
      </c>
    </row>
    <row r="764">
      <c r="H764" s="273" t="s">
        <v>325</v>
      </c>
    </row>
    <row r="765">
      <c r="H765" s="273" t="s">
        <v>325</v>
      </c>
    </row>
    <row r="766">
      <c r="H766" s="273" t="s">
        <v>325</v>
      </c>
    </row>
    <row r="767">
      <c r="H767" s="273" t="s">
        <v>325</v>
      </c>
    </row>
    <row r="768">
      <c r="H768" s="273" t="s">
        <v>325</v>
      </c>
    </row>
    <row r="769">
      <c r="H769" s="273" t="s">
        <v>325</v>
      </c>
    </row>
    <row r="770">
      <c r="H770" s="273" t="s">
        <v>325</v>
      </c>
    </row>
    <row r="771">
      <c r="H771" s="273" t="s">
        <v>325</v>
      </c>
    </row>
    <row r="772">
      <c r="H772" s="273" t="s">
        <v>325</v>
      </c>
    </row>
    <row r="773">
      <c r="H773" s="273" t="s">
        <v>325</v>
      </c>
    </row>
    <row r="774">
      <c r="H774" s="273" t="s">
        <v>325</v>
      </c>
    </row>
    <row r="775">
      <c r="H775" s="273" t="s">
        <v>325</v>
      </c>
    </row>
    <row r="776">
      <c r="H776" s="273" t="s">
        <v>325</v>
      </c>
    </row>
    <row r="777">
      <c r="H777" s="273" t="s">
        <v>325</v>
      </c>
    </row>
    <row r="778">
      <c r="H778" s="273" t="s">
        <v>325</v>
      </c>
    </row>
    <row r="779">
      <c r="H779" s="273" t="s">
        <v>325</v>
      </c>
    </row>
    <row r="780">
      <c r="H780" s="273" t="s">
        <v>325</v>
      </c>
    </row>
    <row r="781">
      <c r="H781" s="273" t="s">
        <v>325</v>
      </c>
    </row>
    <row r="782">
      <c r="H782" s="273" t="s">
        <v>325</v>
      </c>
    </row>
    <row r="783">
      <c r="H783" s="273" t="s">
        <v>325</v>
      </c>
    </row>
    <row r="784">
      <c r="H784" s="273" t="s">
        <v>325</v>
      </c>
    </row>
    <row r="785">
      <c r="H785" s="273" t="s">
        <v>325</v>
      </c>
    </row>
    <row r="786">
      <c r="H786" s="273" t="s">
        <v>325</v>
      </c>
    </row>
    <row r="787">
      <c r="H787" s="273" t="s">
        <v>325</v>
      </c>
    </row>
    <row r="788">
      <c r="H788" s="273" t="s">
        <v>325</v>
      </c>
    </row>
    <row r="789">
      <c r="H789" s="273" t="s">
        <v>325</v>
      </c>
    </row>
    <row r="790">
      <c r="H790" s="273" t="s">
        <v>325</v>
      </c>
    </row>
    <row r="791">
      <c r="H791" s="273" t="s">
        <v>325</v>
      </c>
    </row>
    <row r="792">
      <c r="H792" s="273" t="s">
        <v>325</v>
      </c>
    </row>
    <row r="793">
      <c r="H793" s="273" t="s">
        <v>325</v>
      </c>
    </row>
    <row r="794">
      <c r="H794" s="273" t="s">
        <v>325</v>
      </c>
    </row>
    <row r="795">
      <c r="H795" s="273" t="s">
        <v>325</v>
      </c>
    </row>
    <row r="796">
      <c r="H796" s="273" t="s">
        <v>325</v>
      </c>
    </row>
    <row r="797">
      <c r="H797" s="273" t="s">
        <v>325</v>
      </c>
    </row>
    <row r="798">
      <c r="H798" s="273" t="s">
        <v>325</v>
      </c>
    </row>
    <row r="799">
      <c r="H799" s="273" t="s">
        <v>325</v>
      </c>
    </row>
    <row r="800">
      <c r="H800" s="273" t="s">
        <v>325</v>
      </c>
    </row>
    <row r="801">
      <c r="H801" s="273" t="s">
        <v>325</v>
      </c>
    </row>
    <row r="802">
      <c r="H802" s="273" t="s">
        <v>325</v>
      </c>
    </row>
    <row r="803">
      <c r="H803" s="273" t="s">
        <v>325</v>
      </c>
    </row>
    <row r="804">
      <c r="H804" s="273" t="s">
        <v>325</v>
      </c>
    </row>
    <row r="805">
      <c r="H805" s="273" t="s">
        <v>325</v>
      </c>
    </row>
    <row r="806">
      <c r="H806" s="273" t="s">
        <v>325</v>
      </c>
    </row>
    <row r="807">
      <c r="H807" s="273" t="s">
        <v>325</v>
      </c>
    </row>
    <row r="808">
      <c r="H808" s="273" t="s">
        <v>325</v>
      </c>
    </row>
    <row r="809">
      <c r="H809" s="273" t="s">
        <v>325</v>
      </c>
    </row>
    <row r="810">
      <c r="H810" s="273" t="s">
        <v>325</v>
      </c>
    </row>
    <row r="811">
      <c r="H811" s="273" t="s">
        <v>325</v>
      </c>
    </row>
    <row r="812">
      <c r="H812" s="273" t="s">
        <v>325</v>
      </c>
    </row>
    <row r="813">
      <c r="H813" s="273" t="s">
        <v>325</v>
      </c>
    </row>
    <row r="814">
      <c r="H814" s="273" t="s">
        <v>325</v>
      </c>
    </row>
    <row r="815">
      <c r="H815" s="273" t="s">
        <v>325</v>
      </c>
    </row>
    <row r="816">
      <c r="H816" s="273" t="s">
        <v>325</v>
      </c>
    </row>
    <row r="817">
      <c r="H817" s="273" t="s">
        <v>325</v>
      </c>
    </row>
    <row r="818">
      <c r="H818" s="273" t="s">
        <v>325</v>
      </c>
    </row>
    <row r="819">
      <c r="H819" s="273" t="s">
        <v>325</v>
      </c>
    </row>
    <row r="820">
      <c r="H820" s="273" t="s">
        <v>325</v>
      </c>
    </row>
    <row r="821">
      <c r="H821" s="273" t="s">
        <v>325</v>
      </c>
    </row>
    <row r="822">
      <c r="H822" s="273" t="s">
        <v>325</v>
      </c>
    </row>
    <row r="823">
      <c r="H823" s="273" t="s">
        <v>325</v>
      </c>
    </row>
    <row r="824">
      <c r="H824" s="273" t="s">
        <v>325</v>
      </c>
    </row>
    <row r="825">
      <c r="H825" s="273" t="s">
        <v>325</v>
      </c>
    </row>
    <row r="826">
      <c r="H826" s="273" t="s">
        <v>325</v>
      </c>
    </row>
    <row r="827">
      <c r="H827" s="273" t="s">
        <v>325</v>
      </c>
    </row>
    <row r="828">
      <c r="H828" s="273" t="s">
        <v>325</v>
      </c>
    </row>
    <row r="829">
      <c r="H829" s="273" t="s">
        <v>325</v>
      </c>
    </row>
    <row r="830">
      <c r="H830" s="273" t="s">
        <v>325</v>
      </c>
    </row>
    <row r="831">
      <c r="H831" s="273" t="s">
        <v>325</v>
      </c>
    </row>
    <row r="832">
      <c r="H832" s="273" t="s">
        <v>325</v>
      </c>
    </row>
    <row r="833">
      <c r="H833" s="273" t="s">
        <v>325</v>
      </c>
    </row>
    <row r="834">
      <c r="H834" s="273" t="s">
        <v>325</v>
      </c>
    </row>
    <row r="835">
      <c r="H835" s="273" t="s">
        <v>325</v>
      </c>
    </row>
    <row r="836">
      <c r="H836" s="273" t="s">
        <v>325</v>
      </c>
    </row>
    <row r="837">
      <c r="H837" s="273" t="s">
        <v>325</v>
      </c>
    </row>
    <row r="838">
      <c r="H838" s="273" t="s">
        <v>325</v>
      </c>
    </row>
    <row r="839">
      <c r="H839" s="273" t="s">
        <v>325</v>
      </c>
    </row>
    <row r="840">
      <c r="H840" s="273" t="s">
        <v>325</v>
      </c>
    </row>
    <row r="841">
      <c r="H841" s="273" t="s">
        <v>325</v>
      </c>
    </row>
    <row r="842">
      <c r="H842" s="273" t="s">
        <v>325</v>
      </c>
    </row>
    <row r="843">
      <c r="H843" s="273" t="s">
        <v>325</v>
      </c>
    </row>
    <row r="844">
      <c r="H844" s="273" t="s">
        <v>325</v>
      </c>
    </row>
    <row r="845">
      <c r="H845" s="273" t="s">
        <v>325</v>
      </c>
    </row>
    <row r="846">
      <c r="H846" s="273" t="s">
        <v>325</v>
      </c>
    </row>
    <row r="847">
      <c r="H847" s="273" t="s">
        <v>325</v>
      </c>
    </row>
    <row r="848">
      <c r="H848" s="273" t="s">
        <v>325</v>
      </c>
    </row>
    <row r="849">
      <c r="H849" s="273" t="s">
        <v>325</v>
      </c>
    </row>
    <row r="850">
      <c r="H850" s="273" t="s">
        <v>325</v>
      </c>
    </row>
    <row r="851">
      <c r="H851" s="273" t="s">
        <v>325</v>
      </c>
    </row>
    <row r="852">
      <c r="H852" s="273" t="s">
        <v>325</v>
      </c>
    </row>
    <row r="853">
      <c r="H853" s="273" t="s">
        <v>325</v>
      </c>
    </row>
    <row r="854">
      <c r="H854" s="273" t="s">
        <v>325</v>
      </c>
    </row>
    <row r="855">
      <c r="H855" s="273" t="s">
        <v>325</v>
      </c>
    </row>
    <row r="856">
      <c r="H856" s="273" t="s">
        <v>325</v>
      </c>
    </row>
    <row r="857">
      <c r="H857" s="273" t="s">
        <v>325</v>
      </c>
    </row>
    <row r="858">
      <c r="H858" s="273" t="s">
        <v>325</v>
      </c>
    </row>
    <row r="859">
      <c r="H859" s="273" t="s">
        <v>325</v>
      </c>
    </row>
    <row r="860">
      <c r="H860" s="273" t="s">
        <v>325</v>
      </c>
    </row>
    <row r="861">
      <c r="H861" s="273" t="s">
        <v>325</v>
      </c>
    </row>
    <row r="862">
      <c r="H862" s="273" t="s">
        <v>325</v>
      </c>
    </row>
    <row r="863">
      <c r="H863" s="273" t="s">
        <v>325</v>
      </c>
    </row>
    <row r="864">
      <c r="H864" s="273" t="s">
        <v>325</v>
      </c>
    </row>
    <row r="865">
      <c r="H865" s="273" t="s">
        <v>325</v>
      </c>
    </row>
    <row r="866">
      <c r="H866" s="273" t="s">
        <v>325</v>
      </c>
    </row>
    <row r="867">
      <c r="H867" s="273" t="s">
        <v>325</v>
      </c>
    </row>
    <row r="868">
      <c r="H868" s="273" t="s">
        <v>325</v>
      </c>
    </row>
    <row r="869">
      <c r="H869" s="273" t="s">
        <v>325</v>
      </c>
    </row>
    <row r="870">
      <c r="H870" s="273" t="s">
        <v>325</v>
      </c>
    </row>
    <row r="871">
      <c r="H871" s="273" t="s">
        <v>325</v>
      </c>
    </row>
    <row r="872">
      <c r="H872" s="273" t="s">
        <v>325</v>
      </c>
    </row>
    <row r="873">
      <c r="H873" s="273" t="s">
        <v>325</v>
      </c>
    </row>
    <row r="874">
      <c r="H874" s="273" t="s">
        <v>325</v>
      </c>
    </row>
    <row r="875">
      <c r="H875" s="273" t="s">
        <v>325</v>
      </c>
    </row>
    <row r="876">
      <c r="H876" s="273" t="s">
        <v>325</v>
      </c>
    </row>
    <row r="877">
      <c r="H877" s="273" t="s">
        <v>325</v>
      </c>
    </row>
    <row r="878">
      <c r="H878" s="273" t="s">
        <v>325</v>
      </c>
    </row>
    <row r="879">
      <c r="H879" s="273" t="s">
        <v>325</v>
      </c>
    </row>
    <row r="880">
      <c r="H880" s="273" t="s">
        <v>325</v>
      </c>
    </row>
    <row r="881">
      <c r="H881" s="273" t="s">
        <v>325</v>
      </c>
    </row>
    <row r="882">
      <c r="H882" s="273" t="s">
        <v>325</v>
      </c>
    </row>
    <row r="883">
      <c r="H883" s="273" t="s">
        <v>325</v>
      </c>
    </row>
    <row r="884">
      <c r="H884" s="273" t="s">
        <v>325</v>
      </c>
    </row>
    <row r="885">
      <c r="H885" s="273" t="s">
        <v>325</v>
      </c>
    </row>
    <row r="886">
      <c r="H886" s="273" t="s">
        <v>325</v>
      </c>
    </row>
    <row r="887">
      <c r="H887" s="273" t="s">
        <v>325</v>
      </c>
    </row>
    <row r="888">
      <c r="H888" s="273" t="s">
        <v>325</v>
      </c>
    </row>
    <row r="889">
      <c r="H889" s="273" t="s">
        <v>325</v>
      </c>
    </row>
    <row r="890">
      <c r="H890" s="273" t="s">
        <v>325</v>
      </c>
    </row>
    <row r="891">
      <c r="H891" s="273" t="s">
        <v>325</v>
      </c>
    </row>
    <row r="892">
      <c r="H892" s="273" t="s">
        <v>325</v>
      </c>
    </row>
    <row r="893">
      <c r="H893" s="273" t="s">
        <v>325</v>
      </c>
    </row>
    <row r="894">
      <c r="H894" s="273" t="s">
        <v>325</v>
      </c>
    </row>
    <row r="895">
      <c r="H895" s="273" t="s">
        <v>325</v>
      </c>
    </row>
    <row r="896">
      <c r="H896" s="273" t="s">
        <v>325</v>
      </c>
    </row>
    <row r="897">
      <c r="H897" s="273" t="s">
        <v>325</v>
      </c>
    </row>
    <row r="898">
      <c r="H898" s="273" t="s">
        <v>325</v>
      </c>
    </row>
    <row r="899">
      <c r="H899" s="273" t="s">
        <v>325</v>
      </c>
    </row>
    <row r="900">
      <c r="H900" s="273" t="s">
        <v>325</v>
      </c>
    </row>
    <row r="901">
      <c r="H901" s="273" t="s">
        <v>325</v>
      </c>
    </row>
    <row r="902">
      <c r="H902" s="273" t="s">
        <v>325</v>
      </c>
    </row>
    <row r="903">
      <c r="H903" s="273" t="s">
        <v>325</v>
      </c>
    </row>
    <row r="904">
      <c r="H904" s="273" t="s">
        <v>325</v>
      </c>
    </row>
    <row r="905">
      <c r="H905" s="273" t="s">
        <v>325</v>
      </c>
    </row>
    <row r="906">
      <c r="H906" s="273" t="s">
        <v>325</v>
      </c>
    </row>
    <row r="907">
      <c r="H907" s="273" t="s">
        <v>325</v>
      </c>
    </row>
    <row r="908">
      <c r="H908" s="273" t="s">
        <v>325</v>
      </c>
    </row>
    <row r="909">
      <c r="H909" s="273" t="s">
        <v>325</v>
      </c>
    </row>
    <row r="910">
      <c r="H910" s="273" t="s">
        <v>325</v>
      </c>
    </row>
    <row r="911">
      <c r="H911" s="273" t="s">
        <v>325</v>
      </c>
    </row>
    <row r="912">
      <c r="H912" s="273" t="s">
        <v>325</v>
      </c>
    </row>
    <row r="913">
      <c r="H913" s="273" t="s">
        <v>325</v>
      </c>
    </row>
    <row r="914">
      <c r="H914" s="273" t="s">
        <v>325</v>
      </c>
    </row>
    <row r="915">
      <c r="H915" s="273" t="s">
        <v>325</v>
      </c>
    </row>
    <row r="916">
      <c r="H916" s="273" t="s">
        <v>325</v>
      </c>
    </row>
    <row r="917">
      <c r="H917" s="273" t="s">
        <v>325</v>
      </c>
    </row>
    <row r="918">
      <c r="H918" s="273" t="s">
        <v>325</v>
      </c>
    </row>
    <row r="919">
      <c r="H919" s="273" t="s">
        <v>325</v>
      </c>
    </row>
    <row r="920">
      <c r="H920" s="273" t="s">
        <v>325</v>
      </c>
    </row>
    <row r="921">
      <c r="H921" s="273" t="s">
        <v>325</v>
      </c>
    </row>
    <row r="922">
      <c r="H922" s="273" t="s">
        <v>325</v>
      </c>
    </row>
    <row r="923">
      <c r="H923" s="273" t="s">
        <v>325</v>
      </c>
    </row>
    <row r="924">
      <c r="H924" s="273" t="s">
        <v>325</v>
      </c>
    </row>
    <row r="925">
      <c r="H925" s="273" t="s">
        <v>325</v>
      </c>
    </row>
    <row r="926">
      <c r="H926" s="273" t="s">
        <v>325</v>
      </c>
    </row>
    <row r="927">
      <c r="H927" s="273" t="s">
        <v>325</v>
      </c>
    </row>
    <row r="928">
      <c r="H928" s="273" t="s">
        <v>325</v>
      </c>
    </row>
    <row r="929">
      <c r="H929" s="273" t="s">
        <v>325</v>
      </c>
    </row>
    <row r="930">
      <c r="H930" s="273" t="s">
        <v>325</v>
      </c>
    </row>
    <row r="931">
      <c r="H931" s="273" t="s">
        <v>325</v>
      </c>
    </row>
    <row r="932">
      <c r="H932" s="273" t="s">
        <v>325</v>
      </c>
    </row>
    <row r="933">
      <c r="H933" s="273" t="s">
        <v>325</v>
      </c>
    </row>
    <row r="934">
      <c r="H934" s="273" t="s">
        <v>325</v>
      </c>
    </row>
    <row r="935">
      <c r="H935" s="273" t="s">
        <v>325</v>
      </c>
    </row>
    <row r="936">
      <c r="H936" s="273" t="s">
        <v>325</v>
      </c>
    </row>
    <row r="937">
      <c r="H937" s="273" t="s">
        <v>325</v>
      </c>
    </row>
    <row r="938">
      <c r="H938" s="273" t="s">
        <v>325</v>
      </c>
    </row>
    <row r="939">
      <c r="H939" s="273" t="s">
        <v>325</v>
      </c>
    </row>
    <row r="940">
      <c r="H940" s="273" t="s">
        <v>325</v>
      </c>
    </row>
    <row r="941">
      <c r="H941" s="273" t="s">
        <v>325</v>
      </c>
    </row>
    <row r="942">
      <c r="H942" s="273" t="s">
        <v>325</v>
      </c>
    </row>
    <row r="943">
      <c r="H943" s="273" t="s">
        <v>325</v>
      </c>
    </row>
    <row r="944">
      <c r="H944" s="273" t="s">
        <v>325</v>
      </c>
    </row>
    <row r="945">
      <c r="H945" s="273" t="s">
        <v>325</v>
      </c>
    </row>
    <row r="946">
      <c r="H946" s="273" t="s">
        <v>325</v>
      </c>
    </row>
    <row r="947">
      <c r="H947" s="273" t="s">
        <v>325</v>
      </c>
    </row>
    <row r="948">
      <c r="H948" s="273" t="s">
        <v>325</v>
      </c>
    </row>
    <row r="949">
      <c r="H949" s="273" t="s">
        <v>325</v>
      </c>
    </row>
    <row r="950">
      <c r="H950" s="273" t="s">
        <v>325</v>
      </c>
    </row>
    <row r="951">
      <c r="H951" s="273" t="s">
        <v>325</v>
      </c>
    </row>
    <row r="952">
      <c r="H952" s="273" t="s">
        <v>325</v>
      </c>
    </row>
    <row r="953">
      <c r="H953" s="273" t="s">
        <v>325</v>
      </c>
    </row>
    <row r="954">
      <c r="H954" s="273" t="s">
        <v>325</v>
      </c>
    </row>
    <row r="955">
      <c r="H955" s="273" t="s">
        <v>325</v>
      </c>
    </row>
    <row r="956">
      <c r="H956" s="273" t="s">
        <v>325</v>
      </c>
    </row>
    <row r="957">
      <c r="H957" s="273" t="s">
        <v>325</v>
      </c>
    </row>
    <row r="958">
      <c r="H958" s="273" t="s">
        <v>325</v>
      </c>
    </row>
    <row r="959">
      <c r="H959" s="273" t="s">
        <v>325</v>
      </c>
    </row>
    <row r="960">
      <c r="H960" s="273" t="s">
        <v>325</v>
      </c>
    </row>
    <row r="961">
      <c r="H961" s="273" t="s">
        <v>325</v>
      </c>
    </row>
    <row r="962">
      <c r="H962" s="273" t="s">
        <v>325</v>
      </c>
    </row>
    <row r="963">
      <c r="H963" s="273" t="s">
        <v>325</v>
      </c>
    </row>
    <row r="964">
      <c r="H964" s="273" t="s">
        <v>325</v>
      </c>
    </row>
    <row r="965">
      <c r="H965" s="273" t="s">
        <v>325</v>
      </c>
    </row>
    <row r="966">
      <c r="H966" s="273" t="s">
        <v>325</v>
      </c>
    </row>
    <row r="967">
      <c r="H967" s="273" t="s">
        <v>325</v>
      </c>
    </row>
    <row r="968">
      <c r="H968" s="273" t="s">
        <v>325</v>
      </c>
    </row>
    <row r="969">
      <c r="H969" s="273" t="s">
        <v>325</v>
      </c>
    </row>
    <row r="970">
      <c r="H970" s="273" t="s">
        <v>325</v>
      </c>
    </row>
    <row r="971">
      <c r="H971" s="273" t="s">
        <v>325</v>
      </c>
    </row>
    <row r="972">
      <c r="H972" s="273" t="s">
        <v>325</v>
      </c>
    </row>
    <row r="973">
      <c r="H973" s="273" t="s">
        <v>325</v>
      </c>
    </row>
    <row r="974">
      <c r="H974" s="273" t="s">
        <v>325</v>
      </c>
    </row>
    <row r="975">
      <c r="H975" s="273" t="s">
        <v>325</v>
      </c>
    </row>
    <row r="976">
      <c r="H976" s="273" t="s">
        <v>325</v>
      </c>
    </row>
    <row r="977">
      <c r="H977" s="273" t="s">
        <v>325</v>
      </c>
    </row>
    <row r="978">
      <c r="H978" s="273" t="s">
        <v>325</v>
      </c>
    </row>
    <row r="979">
      <c r="H979" s="273" t="s">
        <v>325</v>
      </c>
    </row>
    <row r="980">
      <c r="H980" s="273" t="s">
        <v>325</v>
      </c>
    </row>
    <row r="981">
      <c r="H981" s="273" t="s">
        <v>325</v>
      </c>
    </row>
    <row r="982">
      <c r="H982" s="273" t="s">
        <v>325</v>
      </c>
    </row>
    <row r="983">
      <c r="H983" s="273" t="s">
        <v>325</v>
      </c>
    </row>
    <row r="984">
      <c r="H984" s="273" t="s">
        <v>325</v>
      </c>
    </row>
    <row r="985">
      <c r="H985" s="273" t="s">
        <v>325</v>
      </c>
    </row>
    <row r="986">
      <c r="H986" s="273" t="s">
        <v>325</v>
      </c>
    </row>
    <row r="987">
      <c r="H987" s="273" t="s">
        <v>325</v>
      </c>
    </row>
    <row r="988">
      <c r="H988" s="273" t="s">
        <v>325</v>
      </c>
    </row>
    <row r="989">
      <c r="H989" s="273" t="s">
        <v>325</v>
      </c>
    </row>
    <row r="990">
      <c r="H990" s="273" t="s">
        <v>325</v>
      </c>
    </row>
    <row r="991">
      <c r="H991" s="273" t="s">
        <v>325</v>
      </c>
    </row>
    <row r="992">
      <c r="H992" s="273" t="s">
        <v>325</v>
      </c>
    </row>
    <row r="993">
      <c r="H993" s="273" t="s">
        <v>325</v>
      </c>
    </row>
    <row r="994">
      <c r="H994" s="273" t="s">
        <v>325</v>
      </c>
    </row>
    <row r="995">
      <c r="H995" s="273" t="s">
        <v>325</v>
      </c>
    </row>
    <row r="996">
      <c r="H996" s="273" t="s">
        <v>325</v>
      </c>
    </row>
    <row r="997">
      <c r="H997" s="273" t="s">
        <v>325</v>
      </c>
    </row>
    <row r="998">
      <c r="H998" s="273" t="s">
        <v>325</v>
      </c>
    </row>
    <row r="999">
      <c r="H999" s="273" t="s">
        <v>325</v>
      </c>
    </row>
    <row r="1000">
      <c r="H1000" s="273" t="s">
        <v>325</v>
      </c>
    </row>
    <row r="1001">
      <c r="H1001" s="273" t="s">
        <v>325</v>
      </c>
    </row>
    <row r="1002">
      <c r="H1002" s="273" t="s">
        <v>325</v>
      </c>
    </row>
    <row r="1003">
      <c r="H1003" s="273" t="s">
        <v>325</v>
      </c>
    </row>
    <row r="1004">
      <c r="H1004" s="273" t="s">
        <v>325</v>
      </c>
    </row>
    <row r="1005">
      <c r="H1005" s="273" t="s">
        <v>325</v>
      </c>
    </row>
    <row r="1006">
      <c r="H1006" s="273" t="s">
        <v>325</v>
      </c>
    </row>
    <row r="1007">
      <c r="H1007" s="273" t="s">
        <v>325</v>
      </c>
    </row>
    <row r="1008">
      <c r="H1008" s="273" t="s">
        <v>325</v>
      </c>
    </row>
    <row r="1009">
      <c r="H1009" s="273" t="s">
        <v>325</v>
      </c>
    </row>
    <row r="1010">
      <c r="H1010" s="273" t="s">
        <v>325</v>
      </c>
    </row>
    <row r="1011">
      <c r="H1011" s="273" t="s">
        <v>325</v>
      </c>
    </row>
    <row r="1012">
      <c r="H1012" s="273" t="s">
        <v>325</v>
      </c>
    </row>
    <row r="1013">
      <c r="H1013" s="273" t="s">
        <v>325</v>
      </c>
    </row>
    <row r="1014">
      <c r="H1014" s="273" t="s">
        <v>325</v>
      </c>
    </row>
    <row r="1015">
      <c r="H1015" s="273" t="s">
        <v>325</v>
      </c>
    </row>
    <row r="1016">
      <c r="H1016" s="273" t="s">
        <v>325</v>
      </c>
    </row>
    <row r="1017">
      <c r="H1017" s="273" t="s">
        <v>325</v>
      </c>
    </row>
    <row r="1018">
      <c r="H1018" s="273" t="s">
        <v>325</v>
      </c>
    </row>
    <row r="1019">
      <c r="H1019" s="273" t="s">
        <v>325</v>
      </c>
    </row>
    <row r="1020">
      <c r="H1020" s="273" t="s">
        <v>325</v>
      </c>
    </row>
    <row r="1021">
      <c r="H1021" s="273" t="s">
        <v>325</v>
      </c>
    </row>
    <row r="1022">
      <c r="H1022" s="273" t="s">
        <v>325</v>
      </c>
    </row>
    <row r="1023">
      <c r="H1023" s="273" t="s">
        <v>325</v>
      </c>
    </row>
    <row r="1024">
      <c r="H1024" s="273" t="s">
        <v>325</v>
      </c>
    </row>
    <row r="1025">
      <c r="H1025" s="273" t="s">
        <v>325</v>
      </c>
    </row>
    <row r="1026">
      <c r="H1026" s="273" t="s">
        <v>325</v>
      </c>
    </row>
    <row r="1027">
      <c r="H1027" s="273" t="s">
        <v>325</v>
      </c>
    </row>
    <row r="1028">
      <c r="H1028" s="273" t="s">
        <v>325</v>
      </c>
    </row>
    <row r="1029">
      <c r="H1029" s="273" t="s">
        <v>325</v>
      </c>
    </row>
    <row r="1030">
      <c r="H1030" s="273" t="s">
        <v>325</v>
      </c>
    </row>
    <row r="1031">
      <c r="H1031" s="273" t="s">
        <v>325</v>
      </c>
    </row>
    <row r="1032">
      <c r="H1032" s="273" t="s">
        <v>325</v>
      </c>
    </row>
    <row r="1033">
      <c r="H1033" s="273" t="s">
        <v>325</v>
      </c>
    </row>
    <row r="1034">
      <c r="H1034" s="273" t="s">
        <v>325</v>
      </c>
    </row>
    <row r="1035">
      <c r="H1035" s="273" t="s">
        <v>325</v>
      </c>
    </row>
    <row r="1036">
      <c r="H1036" s="273" t="s">
        <v>325</v>
      </c>
    </row>
    <row r="1037">
      <c r="H1037" s="273" t="s">
        <v>325</v>
      </c>
    </row>
    <row r="1038">
      <c r="H1038" s="273" t="s">
        <v>325</v>
      </c>
    </row>
    <row r="1039">
      <c r="H1039" s="273" t="s">
        <v>325</v>
      </c>
    </row>
    <row r="1040">
      <c r="H1040" s="273" t="s">
        <v>325</v>
      </c>
    </row>
    <row r="1041">
      <c r="H1041" s="273" t="s">
        <v>325</v>
      </c>
    </row>
    <row r="1042">
      <c r="H1042" s="273" t="s">
        <v>325</v>
      </c>
    </row>
    <row r="1043">
      <c r="H1043" s="273" t="s">
        <v>325</v>
      </c>
    </row>
    <row r="1044">
      <c r="H1044" s="273" t="s">
        <v>325</v>
      </c>
    </row>
    <row r="1045">
      <c r="H1045" s="273" t="s">
        <v>325</v>
      </c>
    </row>
    <row r="1046">
      <c r="H1046" s="273" t="s">
        <v>325</v>
      </c>
    </row>
    <row r="1047">
      <c r="H1047" s="273" t="s">
        <v>325</v>
      </c>
    </row>
    <row r="1048">
      <c r="H1048" s="273" t="s">
        <v>325</v>
      </c>
    </row>
    <row r="1049">
      <c r="H1049" s="273" t="s">
        <v>325</v>
      </c>
    </row>
    <row r="1050">
      <c r="H1050" s="273" t="s">
        <v>325</v>
      </c>
    </row>
    <row r="1051">
      <c r="H1051" s="273" t="s">
        <v>325</v>
      </c>
    </row>
    <row r="1052">
      <c r="H1052" s="273" t="s">
        <v>325</v>
      </c>
    </row>
    <row r="1053">
      <c r="H1053" s="273" t="s">
        <v>325</v>
      </c>
    </row>
    <row r="1054">
      <c r="H1054" s="273" t="s">
        <v>325</v>
      </c>
    </row>
    <row r="1055">
      <c r="H1055" s="273" t="s">
        <v>325</v>
      </c>
    </row>
    <row r="1056">
      <c r="H1056" s="273" t="s">
        <v>325</v>
      </c>
    </row>
    <row r="1057">
      <c r="H1057" s="273" t="s">
        <v>325</v>
      </c>
    </row>
    <row r="1058">
      <c r="H1058" s="273" t="s">
        <v>325</v>
      </c>
    </row>
    <row r="1059">
      <c r="H1059" s="273" t="s">
        <v>325</v>
      </c>
    </row>
    <row r="1060">
      <c r="H1060" s="273" t="s">
        <v>325</v>
      </c>
    </row>
    <row r="1061">
      <c r="H1061" s="273" t="s">
        <v>325</v>
      </c>
    </row>
    <row r="1062">
      <c r="H1062" s="273" t="s">
        <v>325</v>
      </c>
    </row>
    <row r="1063">
      <c r="H1063" s="273" t="s">
        <v>325</v>
      </c>
    </row>
    <row r="1064">
      <c r="H1064" s="273" t="s">
        <v>325</v>
      </c>
    </row>
    <row r="1065">
      <c r="H1065" s="273" t="s">
        <v>325</v>
      </c>
    </row>
    <row r="1066">
      <c r="H1066" s="273" t="s">
        <v>325</v>
      </c>
    </row>
    <row r="1067">
      <c r="H1067" s="273" t="s">
        <v>325</v>
      </c>
    </row>
    <row r="1068">
      <c r="H1068" s="273" t="s">
        <v>325</v>
      </c>
    </row>
    <row r="1069">
      <c r="H1069" s="273" t="s">
        <v>325</v>
      </c>
    </row>
    <row r="1070">
      <c r="H1070" s="273" t="s">
        <v>325</v>
      </c>
    </row>
    <row r="1071">
      <c r="H1071" s="273" t="s">
        <v>325</v>
      </c>
    </row>
    <row r="1072">
      <c r="H1072" s="273" t="s">
        <v>325</v>
      </c>
    </row>
    <row r="1073">
      <c r="H1073" s="273" t="s">
        <v>325</v>
      </c>
    </row>
    <row r="1074">
      <c r="H1074" s="273" t="s">
        <v>325</v>
      </c>
    </row>
    <row r="1075">
      <c r="H1075" s="273" t="s">
        <v>325</v>
      </c>
    </row>
    <row r="1076">
      <c r="H1076" s="273" t="s">
        <v>325</v>
      </c>
    </row>
    <row r="1077">
      <c r="H1077" s="273" t="s">
        <v>325</v>
      </c>
    </row>
    <row r="1078">
      <c r="H1078" s="273" t="s">
        <v>325</v>
      </c>
    </row>
    <row r="1079">
      <c r="H1079" s="273" t="s">
        <v>325</v>
      </c>
    </row>
    <row r="1080">
      <c r="H1080" s="273" t="s">
        <v>325</v>
      </c>
    </row>
    <row r="1081">
      <c r="H1081" s="273" t="s">
        <v>325</v>
      </c>
    </row>
    <row r="1082">
      <c r="H1082" s="273" t="s">
        <v>325</v>
      </c>
    </row>
    <row r="1083">
      <c r="H1083" s="273" t="s">
        <v>325</v>
      </c>
    </row>
    <row r="1084">
      <c r="H1084" s="273" t="s">
        <v>325</v>
      </c>
    </row>
    <row r="1085">
      <c r="H1085" s="273" t="s">
        <v>325</v>
      </c>
    </row>
    <row r="1086">
      <c r="H1086" s="273" t="s">
        <v>325</v>
      </c>
    </row>
    <row r="1087">
      <c r="H1087" s="273" t="s">
        <v>325</v>
      </c>
    </row>
    <row r="1088">
      <c r="H1088" s="273" t="s">
        <v>325</v>
      </c>
    </row>
    <row r="1089">
      <c r="H1089" s="273" t="s">
        <v>325</v>
      </c>
    </row>
    <row r="1090">
      <c r="H1090" s="273" t="s">
        <v>325</v>
      </c>
    </row>
    <row r="1091">
      <c r="H1091" s="273" t="s">
        <v>325</v>
      </c>
    </row>
    <row r="1092">
      <c r="H1092" s="273" t="s">
        <v>325</v>
      </c>
    </row>
    <row r="1093">
      <c r="H1093" s="273" t="s">
        <v>325</v>
      </c>
    </row>
    <row r="1094">
      <c r="H1094" s="273" t="s">
        <v>325</v>
      </c>
    </row>
    <row r="1095">
      <c r="H1095" s="273" t="s">
        <v>325</v>
      </c>
    </row>
    <row r="1096">
      <c r="H1096" s="273" t="s">
        <v>325</v>
      </c>
    </row>
    <row r="1097">
      <c r="H1097" s="273" t="s">
        <v>325</v>
      </c>
    </row>
    <row r="1098">
      <c r="H1098" s="273" t="s">
        <v>325</v>
      </c>
    </row>
    <row r="1099">
      <c r="H1099" s="273" t="s">
        <v>325</v>
      </c>
    </row>
    <row r="1100">
      <c r="H1100" s="273" t="s">
        <v>325</v>
      </c>
    </row>
    <row r="1101">
      <c r="H1101" s="273" t="s">
        <v>325</v>
      </c>
    </row>
    <row r="1102">
      <c r="H1102" s="273" t="s">
        <v>325</v>
      </c>
    </row>
    <row r="1103">
      <c r="H1103" s="273" t="s">
        <v>325</v>
      </c>
    </row>
    <row r="1104">
      <c r="H1104" s="273" t="s">
        <v>325</v>
      </c>
    </row>
    <row r="1105">
      <c r="H1105" s="273" t="s">
        <v>325</v>
      </c>
    </row>
    <row r="1106">
      <c r="H1106" s="273" t="s">
        <v>325</v>
      </c>
    </row>
    <row r="1107">
      <c r="H1107" s="273" t="s">
        <v>325</v>
      </c>
    </row>
    <row r="1108">
      <c r="H1108" s="273" t="s">
        <v>325</v>
      </c>
    </row>
    <row r="1109">
      <c r="H1109" s="273" t="s">
        <v>325</v>
      </c>
    </row>
    <row r="1110">
      <c r="H1110" s="273" t="s">
        <v>325</v>
      </c>
    </row>
    <row r="1111">
      <c r="H1111" s="273" t="s">
        <v>325</v>
      </c>
    </row>
    <row r="1112">
      <c r="H1112" s="273" t="s">
        <v>325</v>
      </c>
    </row>
    <row r="1113">
      <c r="H1113" s="273" t="s">
        <v>325</v>
      </c>
    </row>
    <row r="1114">
      <c r="H1114" s="273" t="s">
        <v>325</v>
      </c>
    </row>
    <row r="1115">
      <c r="H1115" s="273" t="s">
        <v>325</v>
      </c>
    </row>
    <row r="1116">
      <c r="H1116" s="273" t="s">
        <v>325</v>
      </c>
    </row>
    <row r="1117">
      <c r="H1117" s="273" t="s">
        <v>325</v>
      </c>
    </row>
    <row r="1118">
      <c r="H1118" s="273" t="s">
        <v>325</v>
      </c>
    </row>
    <row r="1119">
      <c r="H1119" s="273" t="s">
        <v>325</v>
      </c>
    </row>
    <row r="1120">
      <c r="H1120" s="273" t="s">
        <v>325</v>
      </c>
    </row>
    <row r="1121">
      <c r="H1121" s="273" t="s">
        <v>325</v>
      </c>
    </row>
    <row r="1122">
      <c r="H1122" s="273" t="s">
        <v>325</v>
      </c>
    </row>
    <row r="1123">
      <c r="H1123" s="273" t="s">
        <v>325</v>
      </c>
    </row>
    <row r="1124">
      <c r="H1124" s="273" t="s">
        <v>325</v>
      </c>
    </row>
    <row r="1125">
      <c r="H1125" s="273" t="s">
        <v>325</v>
      </c>
    </row>
    <row r="1126">
      <c r="H1126" s="273" t="s">
        <v>325</v>
      </c>
    </row>
    <row r="1127">
      <c r="H1127" s="273" t="s">
        <v>325</v>
      </c>
    </row>
    <row r="1128">
      <c r="H1128" s="273" t="s">
        <v>325</v>
      </c>
    </row>
    <row r="1129">
      <c r="H1129" s="273" t="s">
        <v>325</v>
      </c>
    </row>
    <row r="1130">
      <c r="H1130" s="273" t="s">
        <v>325</v>
      </c>
    </row>
    <row r="1131">
      <c r="H1131" s="273" t="s">
        <v>325</v>
      </c>
    </row>
    <row r="1132">
      <c r="H1132" s="273" t="s">
        <v>325</v>
      </c>
    </row>
    <row r="1133">
      <c r="H1133" s="273" t="s">
        <v>325</v>
      </c>
    </row>
    <row r="1134">
      <c r="H1134" s="273" t="s">
        <v>325</v>
      </c>
    </row>
    <row r="1135">
      <c r="H1135" s="273" t="s">
        <v>325</v>
      </c>
    </row>
    <row r="1136">
      <c r="H1136" s="273" t="s">
        <v>325</v>
      </c>
    </row>
    <row r="1137">
      <c r="H1137" s="273" t="s">
        <v>325</v>
      </c>
    </row>
    <row r="1138">
      <c r="H1138" s="273" t="s">
        <v>325</v>
      </c>
    </row>
    <row r="1139">
      <c r="H1139" s="273" t="s">
        <v>325</v>
      </c>
    </row>
    <row r="1140">
      <c r="H1140" s="273" t="s">
        <v>325</v>
      </c>
    </row>
    <row r="1141">
      <c r="H1141" s="273" t="s">
        <v>325</v>
      </c>
    </row>
    <row r="1142">
      <c r="H1142" s="273" t="s">
        <v>325</v>
      </c>
    </row>
    <row r="1143">
      <c r="H1143" s="273" t="s">
        <v>325</v>
      </c>
    </row>
    <row r="1144">
      <c r="H1144" s="273" t="s">
        <v>325</v>
      </c>
    </row>
    <row r="1145">
      <c r="H1145" s="273" t="s">
        <v>325</v>
      </c>
    </row>
    <row r="1146">
      <c r="H1146" s="273" t="s">
        <v>325</v>
      </c>
    </row>
    <row r="1147">
      <c r="H1147" s="273" t="s">
        <v>325</v>
      </c>
    </row>
    <row r="1148">
      <c r="H1148" s="273" t="s">
        <v>325</v>
      </c>
    </row>
    <row r="1149">
      <c r="H1149" s="273" t="s">
        <v>325</v>
      </c>
    </row>
    <row r="1150">
      <c r="H1150" s="273" t="s">
        <v>325</v>
      </c>
    </row>
    <row r="1151">
      <c r="H1151" s="273" t="s">
        <v>325</v>
      </c>
    </row>
    <row r="1152">
      <c r="H1152" s="273" t="s">
        <v>325</v>
      </c>
    </row>
    <row r="1153">
      <c r="H1153" s="273" t="s">
        <v>325</v>
      </c>
    </row>
    <row r="1154">
      <c r="H1154" s="273" t="s">
        <v>325</v>
      </c>
    </row>
    <row r="1155">
      <c r="H1155" s="273" t="s">
        <v>325</v>
      </c>
    </row>
    <row r="1156">
      <c r="H1156" s="273" t="s">
        <v>325</v>
      </c>
    </row>
    <row r="1157">
      <c r="H1157" s="273" t="s">
        <v>325</v>
      </c>
    </row>
    <row r="1158">
      <c r="H1158" s="273" t="s">
        <v>325</v>
      </c>
    </row>
    <row r="1159">
      <c r="H1159" s="273" t="s">
        <v>325</v>
      </c>
    </row>
    <row r="1160">
      <c r="H1160" s="273" t="s">
        <v>325</v>
      </c>
    </row>
    <row r="1161">
      <c r="H1161" s="273" t="s">
        <v>325</v>
      </c>
    </row>
    <row r="1162">
      <c r="H1162" s="273" t="s">
        <v>325</v>
      </c>
    </row>
    <row r="1163">
      <c r="H1163" s="273" t="s">
        <v>325</v>
      </c>
    </row>
    <row r="1164">
      <c r="H1164" s="273" t="s">
        <v>325</v>
      </c>
    </row>
    <row r="1165">
      <c r="H1165" s="273" t="s">
        <v>325</v>
      </c>
    </row>
    <row r="1166">
      <c r="H1166" s="273" t="s">
        <v>325</v>
      </c>
    </row>
    <row r="1167">
      <c r="H1167" s="273" t="s">
        <v>325</v>
      </c>
    </row>
    <row r="1168">
      <c r="H1168" s="273" t="s">
        <v>325</v>
      </c>
    </row>
    <row r="1169">
      <c r="H1169" s="273" t="s">
        <v>325</v>
      </c>
    </row>
    <row r="1170">
      <c r="H1170" s="273" t="s">
        <v>325</v>
      </c>
    </row>
    <row r="1171">
      <c r="H1171" s="273" t="s">
        <v>325</v>
      </c>
    </row>
    <row r="1172">
      <c r="H1172" s="273" t="s">
        <v>325</v>
      </c>
    </row>
    <row r="1173">
      <c r="H1173" s="273" t="s">
        <v>325</v>
      </c>
    </row>
    <row r="1174">
      <c r="H1174" s="273" t="s">
        <v>325</v>
      </c>
    </row>
    <row r="1175">
      <c r="H1175" s="273" t="s">
        <v>325</v>
      </c>
    </row>
    <row r="1176">
      <c r="H1176" s="273" t="s">
        <v>325</v>
      </c>
    </row>
    <row r="1177">
      <c r="H1177" s="273" t="s">
        <v>325</v>
      </c>
    </row>
    <row r="1178">
      <c r="H1178" s="273" t="s">
        <v>325</v>
      </c>
    </row>
    <row r="1179">
      <c r="H1179" s="273" t="s">
        <v>325</v>
      </c>
    </row>
    <row r="1180">
      <c r="H1180" s="273" t="s">
        <v>325</v>
      </c>
    </row>
    <row r="1181">
      <c r="H1181" s="273" t="s">
        <v>325</v>
      </c>
    </row>
    <row r="1182">
      <c r="H1182" s="273" t="s">
        <v>325</v>
      </c>
    </row>
    <row r="1183">
      <c r="H1183" s="273" t="s">
        <v>325</v>
      </c>
    </row>
    <row r="1184">
      <c r="H1184" s="273" t="s">
        <v>325</v>
      </c>
    </row>
    <row r="1185">
      <c r="H1185" s="273" t="s">
        <v>325</v>
      </c>
    </row>
    <row r="1186">
      <c r="H1186" s="273" t="s">
        <v>325</v>
      </c>
    </row>
    <row r="1187">
      <c r="H1187" s="273" t="s">
        <v>325</v>
      </c>
    </row>
    <row r="1188">
      <c r="H1188" s="273" t="s">
        <v>325</v>
      </c>
    </row>
    <row r="1189">
      <c r="H1189" s="273" t="s">
        <v>325</v>
      </c>
    </row>
    <row r="1190">
      <c r="H1190" s="273" t="s">
        <v>325</v>
      </c>
    </row>
    <row r="1191">
      <c r="H1191" s="273" t="s">
        <v>325</v>
      </c>
    </row>
    <row r="1192">
      <c r="H1192" s="273" t="s">
        <v>325</v>
      </c>
    </row>
    <row r="1193">
      <c r="H1193" s="273" t="s">
        <v>325</v>
      </c>
    </row>
    <row r="1194">
      <c r="H1194" s="273" t="s">
        <v>325</v>
      </c>
    </row>
    <row r="1195">
      <c r="H1195" s="273" t="s">
        <v>325</v>
      </c>
    </row>
    <row r="1196">
      <c r="H1196" s="273" t="s">
        <v>325</v>
      </c>
    </row>
    <row r="1197">
      <c r="H1197" s="273" t="s">
        <v>325</v>
      </c>
    </row>
    <row r="1198">
      <c r="H1198" s="273" t="s">
        <v>325</v>
      </c>
    </row>
    <row r="1199">
      <c r="H1199" s="273" t="s">
        <v>325</v>
      </c>
    </row>
    <row r="1200">
      <c r="H1200" s="273" t="s">
        <v>325</v>
      </c>
    </row>
    <row r="1201">
      <c r="H1201" s="273" t="s">
        <v>325</v>
      </c>
    </row>
    <row r="1202">
      <c r="H1202" s="273" t="s">
        <v>325</v>
      </c>
    </row>
    <row r="1203">
      <c r="H1203" s="273" t="s">
        <v>325</v>
      </c>
    </row>
    <row r="1204">
      <c r="H1204" s="273" t="s">
        <v>325</v>
      </c>
    </row>
    <row r="1205">
      <c r="H1205" s="273" t="s">
        <v>325</v>
      </c>
    </row>
    <row r="1206">
      <c r="H1206" s="273" t="s">
        <v>325</v>
      </c>
    </row>
    <row r="1207">
      <c r="H1207" s="273" t="s">
        <v>325</v>
      </c>
    </row>
    <row r="1208">
      <c r="H1208" s="273" t="s">
        <v>325</v>
      </c>
    </row>
    <row r="1209">
      <c r="H1209" s="273" t="s">
        <v>325</v>
      </c>
    </row>
    <row r="1210">
      <c r="H1210" s="273" t="s">
        <v>325</v>
      </c>
    </row>
    <row r="1211">
      <c r="H1211" s="273" t="s">
        <v>325</v>
      </c>
    </row>
    <row r="1212">
      <c r="H1212" s="273" t="s">
        <v>325</v>
      </c>
    </row>
    <row r="1213">
      <c r="H1213" s="273" t="s">
        <v>325</v>
      </c>
    </row>
    <row r="1214">
      <c r="H1214" s="273" t="s">
        <v>325</v>
      </c>
    </row>
    <row r="1215">
      <c r="H1215" s="273" t="s">
        <v>325</v>
      </c>
    </row>
    <row r="1216">
      <c r="H1216" s="273" t="s">
        <v>325</v>
      </c>
    </row>
    <row r="1217">
      <c r="H1217" s="273" t="s">
        <v>325</v>
      </c>
    </row>
    <row r="1218">
      <c r="H1218" s="273" t="s">
        <v>325</v>
      </c>
    </row>
    <row r="1219">
      <c r="H1219" s="273" t="s">
        <v>325</v>
      </c>
    </row>
    <row r="1220">
      <c r="H1220" s="273" t="s">
        <v>325</v>
      </c>
    </row>
    <row r="1221">
      <c r="H1221" s="273" t="s">
        <v>325</v>
      </c>
    </row>
    <row r="1222">
      <c r="H1222" s="273" t="s">
        <v>325</v>
      </c>
    </row>
    <row r="1223">
      <c r="H1223" s="273" t="s">
        <v>325</v>
      </c>
    </row>
    <row r="1224">
      <c r="H1224" s="273" t="s">
        <v>325</v>
      </c>
    </row>
    <row r="1225">
      <c r="H1225" s="273" t="s">
        <v>325</v>
      </c>
    </row>
    <row r="1226">
      <c r="H1226" s="273" t="s">
        <v>325</v>
      </c>
    </row>
    <row r="1227">
      <c r="H1227" s="273" t="s">
        <v>325</v>
      </c>
    </row>
    <row r="1228">
      <c r="H1228" s="273" t="s">
        <v>325</v>
      </c>
    </row>
    <row r="1229">
      <c r="H1229" s="273" t="s">
        <v>325</v>
      </c>
    </row>
    <row r="1230">
      <c r="H1230" s="273" t="s">
        <v>325</v>
      </c>
    </row>
    <row r="1231">
      <c r="H1231" s="273" t="s">
        <v>325</v>
      </c>
    </row>
    <row r="1232">
      <c r="H1232" s="273" t="s">
        <v>325</v>
      </c>
    </row>
    <row r="1233">
      <c r="H1233" s="273" t="s">
        <v>325</v>
      </c>
    </row>
    <row r="1234">
      <c r="H1234" s="273" t="s">
        <v>325</v>
      </c>
    </row>
    <row r="1235">
      <c r="H1235" s="273" t="s">
        <v>325</v>
      </c>
    </row>
    <row r="1236">
      <c r="H1236" s="273" t="s">
        <v>325</v>
      </c>
    </row>
    <row r="1237">
      <c r="H1237" s="273" t="s">
        <v>325</v>
      </c>
    </row>
    <row r="1238">
      <c r="H1238" s="273" t="s">
        <v>325</v>
      </c>
    </row>
    <row r="1239">
      <c r="H1239" s="273" t="s">
        <v>325</v>
      </c>
    </row>
    <row r="1240">
      <c r="H1240" s="273" t="s">
        <v>325</v>
      </c>
    </row>
    <row r="1241">
      <c r="H1241" s="273" t="s">
        <v>325</v>
      </c>
    </row>
    <row r="1242">
      <c r="H1242" s="273" t="s">
        <v>325</v>
      </c>
    </row>
    <row r="1243">
      <c r="H1243" s="273" t="s">
        <v>325</v>
      </c>
    </row>
    <row r="1244">
      <c r="H1244" s="273" t="s">
        <v>325</v>
      </c>
    </row>
    <row r="1245">
      <c r="H1245" s="273" t="s">
        <v>325</v>
      </c>
    </row>
    <row r="1246">
      <c r="H1246" s="273" t="s">
        <v>325</v>
      </c>
    </row>
    <row r="1247">
      <c r="H1247" s="273" t="s">
        <v>325</v>
      </c>
    </row>
    <row r="1248">
      <c r="H1248" s="273" t="s">
        <v>325</v>
      </c>
    </row>
    <row r="1249">
      <c r="H1249" s="273" t="s">
        <v>325</v>
      </c>
    </row>
    <row r="1250">
      <c r="H1250" s="273" t="s">
        <v>325</v>
      </c>
    </row>
    <row r="1251">
      <c r="H1251" s="273" t="s">
        <v>325</v>
      </c>
    </row>
    <row r="1252">
      <c r="H1252" s="273" t="s">
        <v>325</v>
      </c>
    </row>
    <row r="1253">
      <c r="H1253" s="273" t="s">
        <v>325</v>
      </c>
    </row>
    <row r="1254">
      <c r="H1254" s="273" t="s">
        <v>325</v>
      </c>
    </row>
    <row r="1255">
      <c r="H1255" s="273" t="s">
        <v>325</v>
      </c>
    </row>
    <row r="1256">
      <c r="H1256" s="273" t="s">
        <v>325</v>
      </c>
    </row>
    <row r="1257">
      <c r="H1257" s="273" t="s">
        <v>325</v>
      </c>
    </row>
    <row r="1258">
      <c r="H1258" s="273" t="s">
        <v>325</v>
      </c>
    </row>
    <row r="1259">
      <c r="H1259" s="273" t="s">
        <v>325</v>
      </c>
    </row>
    <row r="1260">
      <c r="H1260" s="273" t="s">
        <v>325</v>
      </c>
    </row>
    <row r="1261">
      <c r="H1261" s="273" t="s">
        <v>325</v>
      </c>
    </row>
    <row r="1262">
      <c r="H1262" s="273" t="s">
        <v>325</v>
      </c>
    </row>
    <row r="1263">
      <c r="H1263" s="273" t="s">
        <v>325</v>
      </c>
    </row>
    <row r="1264">
      <c r="H1264" s="273" t="s">
        <v>325</v>
      </c>
    </row>
    <row r="1265">
      <c r="H1265" s="273" t="s">
        <v>325</v>
      </c>
    </row>
    <row r="1266">
      <c r="H1266" s="273" t="s">
        <v>325</v>
      </c>
    </row>
    <row r="1267">
      <c r="H1267" s="273" t="s">
        <v>325</v>
      </c>
    </row>
    <row r="1268">
      <c r="H1268" s="273" t="s">
        <v>325</v>
      </c>
    </row>
    <row r="1269">
      <c r="H1269" s="273" t="s">
        <v>325</v>
      </c>
    </row>
    <row r="1270">
      <c r="H1270" s="273" t="s">
        <v>325</v>
      </c>
    </row>
    <row r="1271">
      <c r="H1271" s="273" t="s">
        <v>325</v>
      </c>
    </row>
    <row r="1272">
      <c r="H1272" s="273" t="s">
        <v>325</v>
      </c>
    </row>
    <row r="1273">
      <c r="H1273" s="273" t="s">
        <v>325</v>
      </c>
    </row>
    <row r="1274">
      <c r="H1274" s="273" t="s">
        <v>325</v>
      </c>
    </row>
    <row r="1275">
      <c r="H1275" s="273" t="s">
        <v>325</v>
      </c>
    </row>
    <row r="1276">
      <c r="H1276" s="273" t="s">
        <v>325</v>
      </c>
    </row>
    <row r="1277">
      <c r="H1277" s="273" t="s">
        <v>325</v>
      </c>
    </row>
    <row r="1278">
      <c r="H1278" s="273" t="s">
        <v>325</v>
      </c>
    </row>
    <row r="1279">
      <c r="H1279" s="273" t="s">
        <v>325</v>
      </c>
    </row>
    <row r="1280">
      <c r="H1280" s="273" t="s">
        <v>325</v>
      </c>
    </row>
    <row r="1281">
      <c r="H1281" s="273" t="s">
        <v>325</v>
      </c>
    </row>
    <row r="1282">
      <c r="H1282" s="273" t="s">
        <v>325</v>
      </c>
    </row>
    <row r="1283">
      <c r="H1283" s="273" t="s">
        <v>325</v>
      </c>
    </row>
    <row r="1284">
      <c r="H1284" s="273" t="s">
        <v>325</v>
      </c>
    </row>
    <row r="1285">
      <c r="H1285" s="273" t="s">
        <v>325</v>
      </c>
    </row>
    <row r="1286">
      <c r="H1286" s="273" t="s">
        <v>325</v>
      </c>
    </row>
    <row r="1287">
      <c r="H1287" s="273" t="s">
        <v>325</v>
      </c>
    </row>
    <row r="1288">
      <c r="H1288" s="273" t="s">
        <v>325</v>
      </c>
    </row>
    <row r="1289">
      <c r="H1289" s="273" t="s">
        <v>325</v>
      </c>
    </row>
    <row r="1290">
      <c r="H1290" s="273" t="s">
        <v>325</v>
      </c>
    </row>
    <row r="1291">
      <c r="H1291" s="273" t="s">
        <v>325</v>
      </c>
    </row>
    <row r="1292">
      <c r="H1292" s="273" t="s">
        <v>325</v>
      </c>
    </row>
    <row r="1293">
      <c r="H1293" s="273" t="s">
        <v>325</v>
      </c>
    </row>
    <row r="1294">
      <c r="H1294" s="273" t="s">
        <v>325</v>
      </c>
    </row>
    <row r="1295">
      <c r="H1295" s="273" t="s">
        <v>325</v>
      </c>
    </row>
    <row r="1296">
      <c r="H1296" s="273" t="s">
        <v>325</v>
      </c>
    </row>
    <row r="1297">
      <c r="H1297" s="273" t="s">
        <v>325</v>
      </c>
    </row>
    <row r="1298">
      <c r="H1298" s="273" t="s">
        <v>325</v>
      </c>
    </row>
    <row r="1299">
      <c r="H1299" s="273" t="s">
        <v>325</v>
      </c>
    </row>
    <row r="1300">
      <c r="H1300" s="273" t="s">
        <v>325</v>
      </c>
    </row>
    <row r="1301">
      <c r="H1301" s="273" t="s">
        <v>325</v>
      </c>
    </row>
    <row r="1302">
      <c r="H1302" s="273" t="s">
        <v>325</v>
      </c>
    </row>
    <row r="1303">
      <c r="H1303" s="273" t="s">
        <v>325</v>
      </c>
    </row>
    <row r="1304">
      <c r="H1304" s="273" t="s">
        <v>325</v>
      </c>
    </row>
    <row r="1305">
      <c r="H1305" s="273" t="s">
        <v>325</v>
      </c>
    </row>
    <row r="1306">
      <c r="H1306" s="273" t="s">
        <v>325</v>
      </c>
    </row>
    <row r="1307">
      <c r="H1307" s="273" t="s">
        <v>325</v>
      </c>
    </row>
    <row r="1308">
      <c r="H1308" s="273" t="s">
        <v>325</v>
      </c>
    </row>
    <row r="1309">
      <c r="H1309" s="273" t="s">
        <v>325</v>
      </c>
    </row>
    <row r="1310">
      <c r="H1310" s="273" t="s">
        <v>325</v>
      </c>
    </row>
    <row r="1311">
      <c r="H1311" s="273" t="s">
        <v>325</v>
      </c>
    </row>
    <row r="1312">
      <c r="H1312" s="273" t="s">
        <v>325</v>
      </c>
    </row>
    <row r="1313">
      <c r="H1313" s="273" t="s">
        <v>325</v>
      </c>
    </row>
    <row r="1314">
      <c r="H1314" s="273" t="s">
        <v>325</v>
      </c>
    </row>
    <row r="1315">
      <c r="H1315" s="273" t="s">
        <v>325</v>
      </c>
    </row>
    <row r="1316">
      <c r="H1316" s="273" t="s">
        <v>325</v>
      </c>
    </row>
    <row r="1317">
      <c r="H1317" s="273" t="s">
        <v>325</v>
      </c>
    </row>
    <row r="1318">
      <c r="H1318" s="273" t="s">
        <v>325</v>
      </c>
    </row>
    <row r="1319">
      <c r="H1319" s="273" t="s">
        <v>325</v>
      </c>
    </row>
    <row r="1320">
      <c r="H1320" s="273" t="s">
        <v>325</v>
      </c>
    </row>
    <row r="1321">
      <c r="H1321" s="273" t="s">
        <v>325</v>
      </c>
    </row>
    <row r="1322">
      <c r="H1322" s="273" t="s">
        <v>325</v>
      </c>
    </row>
    <row r="1323">
      <c r="H1323" s="273" t="s">
        <v>325</v>
      </c>
    </row>
    <row r="1324">
      <c r="H1324" s="273" t="s">
        <v>325</v>
      </c>
    </row>
    <row r="1325">
      <c r="H1325" s="273" t="s">
        <v>325</v>
      </c>
    </row>
    <row r="1326">
      <c r="H1326" s="273" t="s">
        <v>325</v>
      </c>
    </row>
    <row r="1327">
      <c r="H1327" s="273" t="s">
        <v>325</v>
      </c>
    </row>
    <row r="1328">
      <c r="H1328" s="273" t="s">
        <v>325</v>
      </c>
    </row>
    <row r="1329">
      <c r="H1329" s="273" t="s">
        <v>325</v>
      </c>
    </row>
    <row r="1330">
      <c r="H1330" s="273" t="s">
        <v>325</v>
      </c>
    </row>
    <row r="1331">
      <c r="H1331" s="273" t="s">
        <v>325</v>
      </c>
    </row>
    <row r="1332">
      <c r="H1332" s="273" t="s">
        <v>325</v>
      </c>
    </row>
    <row r="1333">
      <c r="H1333" s="273" t="s">
        <v>325</v>
      </c>
    </row>
    <row r="1334">
      <c r="H1334" s="273" t="s">
        <v>325</v>
      </c>
    </row>
    <row r="1335">
      <c r="H1335" s="273" t="s">
        <v>325</v>
      </c>
    </row>
    <row r="1336">
      <c r="H1336" s="273" t="s">
        <v>325</v>
      </c>
    </row>
    <row r="1337">
      <c r="H1337" s="273" t="s">
        <v>325</v>
      </c>
    </row>
    <row r="1338">
      <c r="H1338" s="273" t="s">
        <v>325</v>
      </c>
    </row>
    <row r="1339">
      <c r="H1339" s="273" t="s">
        <v>325</v>
      </c>
    </row>
    <row r="1340">
      <c r="H1340" s="273" t="s">
        <v>325</v>
      </c>
    </row>
    <row r="1341">
      <c r="H1341" s="273" t="s">
        <v>325</v>
      </c>
    </row>
    <row r="1342">
      <c r="H1342" s="273" t="s">
        <v>325</v>
      </c>
    </row>
    <row r="1343">
      <c r="H1343" s="273" t="s">
        <v>325</v>
      </c>
    </row>
    <row r="1344">
      <c r="H1344" s="273" t="s">
        <v>325</v>
      </c>
    </row>
    <row r="1345">
      <c r="H1345" s="273" t="s">
        <v>325</v>
      </c>
    </row>
    <row r="1346">
      <c r="H1346" s="273" t="s">
        <v>325</v>
      </c>
    </row>
    <row r="1347">
      <c r="H1347" s="273" t="s">
        <v>325</v>
      </c>
    </row>
    <row r="1348">
      <c r="H1348" s="273" t="s">
        <v>325</v>
      </c>
    </row>
    <row r="1349">
      <c r="H1349" s="273" t="s">
        <v>325</v>
      </c>
    </row>
    <row r="1350">
      <c r="H1350" s="273" t="s">
        <v>325</v>
      </c>
    </row>
    <row r="1351">
      <c r="H1351" s="273" t="s">
        <v>325</v>
      </c>
    </row>
    <row r="1352">
      <c r="H1352" s="273" t="s">
        <v>325</v>
      </c>
    </row>
    <row r="1353">
      <c r="H1353" s="273" t="s">
        <v>325</v>
      </c>
    </row>
    <row r="1354">
      <c r="H1354" s="273" t="s">
        <v>325</v>
      </c>
    </row>
    <row r="1355">
      <c r="H1355" s="273" t="s">
        <v>325</v>
      </c>
    </row>
    <row r="1356">
      <c r="H1356" s="273" t="s">
        <v>325</v>
      </c>
    </row>
    <row r="1357">
      <c r="H1357" s="273" t="s">
        <v>325</v>
      </c>
    </row>
    <row r="1358">
      <c r="H1358" s="273" t="s">
        <v>325</v>
      </c>
    </row>
    <row r="1359">
      <c r="H1359" s="273" t="s">
        <v>325</v>
      </c>
    </row>
    <row r="1360">
      <c r="H1360" s="273" t="s">
        <v>325</v>
      </c>
    </row>
    <row r="1361">
      <c r="H1361" s="273" t="s">
        <v>325</v>
      </c>
    </row>
    <row r="1362">
      <c r="H1362" s="273" t="s">
        <v>325</v>
      </c>
    </row>
    <row r="1363">
      <c r="H1363" s="273" t="s">
        <v>325</v>
      </c>
    </row>
    <row r="1364">
      <c r="H1364" s="273" t="s">
        <v>325</v>
      </c>
    </row>
    <row r="1365">
      <c r="H1365" s="273" t="s">
        <v>325</v>
      </c>
    </row>
    <row r="1366">
      <c r="H1366" s="273" t="s">
        <v>325</v>
      </c>
    </row>
    <row r="1367">
      <c r="H1367" s="273" t="s">
        <v>325</v>
      </c>
    </row>
    <row r="1368">
      <c r="H1368" s="273" t="s">
        <v>325</v>
      </c>
    </row>
    <row r="1369">
      <c r="H1369" s="273" t="s">
        <v>325</v>
      </c>
    </row>
    <row r="1370">
      <c r="H1370" s="273" t="s">
        <v>325</v>
      </c>
    </row>
    <row r="1371">
      <c r="H1371" s="273" t="s">
        <v>325</v>
      </c>
    </row>
    <row r="1372">
      <c r="H1372" s="273" t="s">
        <v>325</v>
      </c>
    </row>
    <row r="1373">
      <c r="H1373" s="273" t="s">
        <v>325</v>
      </c>
    </row>
    <row r="1374">
      <c r="H1374" s="273" t="s">
        <v>325</v>
      </c>
    </row>
    <row r="1375">
      <c r="H1375" s="273" t="s">
        <v>325</v>
      </c>
    </row>
    <row r="1376">
      <c r="H1376" s="273" t="s">
        <v>325</v>
      </c>
    </row>
    <row r="1377">
      <c r="H1377" s="273" t="s">
        <v>325</v>
      </c>
    </row>
    <row r="1378">
      <c r="H1378" s="273" t="s">
        <v>325</v>
      </c>
    </row>
    <row r="1379">
      <c r="H1379" s="273" t="s">
        <v>325</v>
      </c>
    </row>
    <row r="1380">
      <c r="H1380" s="273" t="s">
        <v>325</v>
      </c>
    </row>
    <row r="1381">
      <c r="H1381" s="273" t="s">
        <v>325</v>
      </c>
    </row>
    <row r="1382">
      <c r="H1382" s="273" t="s">
        <v>325</v>
      </c>
    </row>
    <row r="1383">
      <c r="H1383" s="273" t="s">
        <v>325</v>
      </c>
    </row>
    <row r="1384">
      <c r="H1384" s="273" t="s">
        <v>325</v>
      </c>
    </row>
    <row r="1385">
      <c r="H1385" s="273" t="s">
        <v>325</v>
      </c>
    </row>
    <row r="1386">
      <c r="H1386" s="273" t="s">
        <v>325</v>
      </c>
    </row>
    <row r="1387">
      <c r="H1387" s="273" t="s">
        <v>325</v>
      </c>
    </row>
    <row r="1388">
      <c r="H1388" s="273" t="s">
        <v>325</v>
      </c>
    </row>
    <row r="1389">
      <c r="H1389" s="273" t="s">
        <v>325</v>
      </c>
    </row>
    <row r="1390">
      <c r="H1390" s="273" t="s">
        <v>325</v>
      </c>
    </row>
    <row r="1391">
      <c r="H1391" s="273" t="s">
        <v>325</v>
      </c>
    </row>
    <row r="1392">
      <c r="H1392" s="273" t="s">
        <v>325</v>
      </c>
    </row>
    <row r="1393">
      <c r="H1393" s="273" t="s">
        <v>325</v>
      </c>
    </row>
    <row r="1394">
      <c r="H1394" s="273" t="s">
        <v>325</v>
      </c>
    </row>
    <row r="1395">
      <c r="H1395" s="273" t="s">
        <v>325</v>
      </c>
    </row>
    <row r="1396">
      <c r="H1396" s="273" t="s">
        <v>325</v>
      </c>
    </row>
    <row r="1397">
      <c r="H1397" s="273" t="s">
        <v>325</v>
      </c>
    </row>
    <row r="1398">
      <c r="H1398" s="273" t="s">
        <v>325</v>
      </c>
    </row>
    <row r="1399">
      <c r="H1399" s="273" t="s">
        <v>325</v>
      </c>
    </row>
    <row r="1400">
      <c r="H1400" s="273" t="s">
        <v>325</v>
      </c>
    </row>
    <row r="1401">
      <c r="H1401" s="273" t="s">
        <v>325</v>
      </c>
    </row>
    <row r="1402">
      <c r="H1402" s="273" t="s">
        <v>325</v>
      </c>
    </row>
    <row r="1403">
      <c r="H1403" s="273" t="s">
        <v>325</v>
      </c>
    </row>
    <row r="1404">
      <c r="H1404" s="273" t="s">
        <v>325</v>
      </c>
    </row>
    <row r="1405">
      <c r="H1405" s="273" t="s">
        <v>325</v>
      </c>
    </row>
    <row r="1406">
      <c r="H1406" s="273" t="s">
        <v>325</v>
      </c>
    </row>
    <row r="1407">
      <c r="H1407" s="273" t="s">
        <v>325</v>
      </c>
    </row>
    <row r="1408">
      <c r="H1408" s="273" t="s">
        <v>325</v>
      </c>
    </row>
    <row r="1409">
      <c r="H1409" s="273" t="s">
        <v>325</v>
      </c>
    </row>
    <row r="1410">
      <c r="H1410" s="273" t="s">
        <v>325</v>
      </c>
    </row>
    <row r="1411">
      <c r="H1411" s="273" t="s">
        <v>325</v>
      </c>
    </row>
    <row r="1412">
      <c r="H1412" s="273" t="s">
        <v>325</v>
      </c>
    </row>
    <row r="1413">
      <c r="H1413" s="273" t="s">
        <v>325</v>
      </c>
    </row>
    <row r="1414">
      <c r="H1414" s="273" t="s">
        <v>325</v>
      </c>
    </row>
    <row r="1415">
      <c r="H1415" s="273" t="s">
        <v>325</v>
      </c>
    </row>
    <row r="1416">
      <c r="H1416" s="273" t="s">
        <v>325</v>
      </c>
    </row>
    <row r="1417">
      <c r="H1417" s="273" t="s">
        <v>325</v>
      </c>
    </row>
    <row r="1418">
      <c r="H1418" s="273" t="s">
        <v>325</v>
      </c>
    </row>
    <row r="1419">
      <c r="H1419" s="273" t="s">
        <v>325</v>
      </c>
    </row>
    <row r="1420">
      <c r="H1420" s="273" t="s">
        <v>325</v>
      </c>
    </row>
    <row r="1421">
      <c r="H1421" s="273" t="s">
        <v>325</v>
      </c>
    </row>
    <row r="1422">
      <c r="H1422" s="273" t="s">
        <v>325</v>
      </c>
    </row>
    <row r="1423">
      <c r="H1423" s="273" t="s">
        <v>325</v>
      </c>
    </row>
    <row r="1424">
      <c r="H1424" s="273" t="s">
        <v>325</v>
      </c>
    </row>
    <row r="1425">
      <c r="H1425" s="273" t="s">
        <v>325</v>
      </c>
    </row>
    <row r="1426">
      <c r="H1426" s="273" t="s">
        <v>325</v>
      </c>
    </row>
    <row r="1427">
      <c r="H1427" s="273" t="s">
        <v>325</v>
      </c>
    </row>
    <row r="1428">
      <c r="H1428" s="273" t="s">
        <v>325</v>
      </c>
    </row>
    <row r="1429">
      <c r="H1429" s="273" t="s">
        <v>325</v>
      </c>
    </row>
    <row r="1430">
      <c r="H1430" s="273" t="s">
        <v>325</v>
      </c>
    </row>
    <row r="1431">
      <c r="H1431" s="273" t="s">
        <v>325</v>
      </c>
    </row>
    <row r="1432">
      <c r="H1432" s="273" t="s">
        <v>325</v>
      </c>
    </row>
    <row r="1433">
      <c r="H1433" s="273" t="s">
        <v>325</v>
      </c>
    </row>
    <row r="1434">
      <c r="H1434" s="273" t="s">
        <v>325</v>
      </c>
    </row>
    <row r="1435">
      <c r="H1435" s="273" t="s">
        <v>325</v>
      </c>
    </row>
    <row r="1436">
      <c r="H1436" s="273" t="s">
        <v>325</v>
      </c>
    </row>
    <row r="1437">
      <c r="H1437" s="273" t="s">
        <v>325</v>
      </c>
    </row>
    <row r="1438">
      <c r="H1438" s="273" t="s">
        <v>325</v>
      </c>
    </row>
    <row r="1439">
      <c r="H1439" s="273" t="s">
        <v>325</v>
      </c>
    </row>
    <row r="1440">
      <c r="H1440" s="273" t="s">
        <v>325</v>
      </c>
    </row>
    <row r="1441">
      <c r="H1441" s="273" t="s">
        <v>325</v>
      </c>
    </row>
    <row r="1442">
      <c r="H1442" s="273" t="s">
        <v>325</v>
      </c>
    </row>
    <row r="1443">
      <c r="H1443" s="273" t="s">
        <v>325</v>
      </c>
    </row>
    <row r="1444">
      <c r="H1444" s="273" t="s">
        <v>325</v>
      </c>
    </row>
    <row r="1445">
      <c r="H1445" s="273" t="s">
        <v>325</v>
      </c>
    </row>
    <row r="1446">
      <c r="H1446" s="273" t="s">
        <v>325</v>
      </c>
    </row>
    <row r="1447">
      <c r="H1447" s="273" t="s">
        <v>325</v>
      </c>
    </row>
    <row r="1448">
      <c r="H1448" s="273" t="s">
        <v>325</v>
      </c>
    </row>
    <row r="1449">
      <c r="H1449" s="273" t="s">
        <v>325</v>
      </c>
    </row>
    <row r="1450">
      <c r="H1450" s="273" t="s">
        <v>325</v>
      </c>
    </row>
    <row r="1451">
      <c r="H1451" s="273" t="s">
        <v>325</v>
      </c>
    </row>
    <row r="1452">
      <c r="H1452" s="273" t="s">
        <v>325</v>
      </c>
    </row>
    <row r="1453">
      <c r="H1453" s="273" t="s">
        <v>325</v>
      </c>
    </row>
    <row r="1454">
      <c r="H1454" s="273" t="s">
        <v>325</v>
      </c>
    </row>
    <row r="1455">
      <c r="H1455" s="273" t="s">
        <v>325</v>
      </c>
    </row>
    <row r="1456">
      <c r="H1456" s="273" t="s">
        <v>325</v>
      </c>
    </row>
    <row r="1457">
      <c r="H1457" s="273" t="s">
        <v>325</v>
      </c>
    </row>
    <row r="1458">
      <c r="H1458" s="273" t="s">
        <v>325</v>
      </c>
    </row>
    <row r="1459">
      <c r="H1459" s="273" t="s">
        <v>325</v>
      </c>
    </row>
    <row r="1460">
      <c r="H1460" s="273" t="s">
        <v>325</v>
      </c>
    </row>
    <row r="1461">
      <c r="H1461" s="273" t="s">
        <v>325</v>
      </c>
    </row>
    <row r="1462">
      <c r="H1462" s="273" t="s">
        <v>325</v>
      </c>
    </row>
    <row r="1463">
      <c r="H1463" s="273" t="s">
        <v>325</v>
      </c>
    </row>
    <row r="1464">
      <c r="H1464" s="273" t="s">
        <v>325</v>
      </c>
    </row>
    <row r="1465">
      <c r="H1465" s="273" t="s">
        <v>325</v>
      </c>
    </row>
    <row r="1466">
      <c r="H1466" s="273" t="s">
        <v>325</v>
      </c>
    </row>
    <row r="1467">
      <c r="H1467" s="273" t="s">
        <v>325</v>
      </c>
    </row>
    <row r="1468">
      <c r="H1468" s="273" t="s">
        <v>325</v>
      </c>
    </row>
    <row r="1469">
      <c r="H1469" s="273" t="s">
        <v>325</v>
      </c>
    </row>
    <row r="1470">
      <c r="H1470" s="273" t="s">
        <v>325</v>
      </c>
    </row>
    <row r="1471">
      <c r="H1471" s="273" t="s">
        <v>325</v>
      </c>
    </row>
    <row r="1472">
      <c r="H1472" s="273" t="s">
        <v>325</v>
      </c>
    </row>
    <row r="1473">
      <c r="H1473" s="273" t="s">
        <v>325</v>
      </c>
    </row>
    <row r="1474">
      <c r="H1474" s="273" t="s">
        <v>325</v>
      </c>
    </row>
    <row r="1475">
      <c r="H1475" s="273" t="s">
        <v>325</v>
      </c>
    </row>
    <row r="1476">
      <c r="H1476" s="273" t="s">
        <v>325</v>
      </c>
    </row>
    <row r="1477">
      <c r="H1477" s="273" t="s">
        <v>325</v>
      </c>
    </row>
    <row r="1478">
      <c r="H1478" s="273" t="s">
        <v>325</v>
      </c>
    </row>
    <row r="1479">
      <c r="H1479" s="273" t="s">
        <v>325</v>
      </c>
    </row>
    <row r="1480">
      <c r="H1480" s="273" t="s">
        <v>325</v>
      </c>
    </row>
    <row r="1481">
      <c r="H1481" s="273" t="s">
        <v>325</v>
      </c>
    </row>
    <row r="1482">
      <c r="H1482" s="273" t="s">
        <v>325</v>
      </c>
    </row>
    <row r="1483">
      <c r="H1483" s="273" t="s">
        <v>325</v>
      </c>
    </row>
    <row r="1484">
      <c r="H1484" s="273" t="s">
        <v>325</v>
      </c>
    </row>
    <row r="1485">
      <c r="H1485" s="273" t="s">
        <v>325</v>
      </c>
    </row>
    <row r="1486">
      <c r="H1486" s="273" t="s">
        <v>325</v>
      </c>
    </row>
    <row r="1487">
      <c r="H1487" s="273" t="s">
        <v>325</v>
      </c>
    </row>
    <row r="1488">
      <c r="H1488" s="273" t="s">
        <v>325</v>
      </c>
    </row>
    <row r="1489">
      <c r="H1489" s="273" t="s">
        <v>325</v>
      </c>
    </row>
    <row r="1490">
      <c r="H1490" s="273" t="s">
        <v>325</v>
      </c>
    </row>
    <row r="1491">
      <c r="H1491" s="273" t="s">
        <v>325</v>
      </c>
    </row>
    <row r="1492">
      <c r="H1492" s="273" t="s">
        <v>325</v>
      </c>
    </row>
    <row r="1493">
      <c r="H1493" s="273" t="s">
        <v>325</v>
      </c>
    </row>
    <row r="1494">
      <c r="H1494" s="273" t="s">
        <v>325</v>
      </c>
    </row>
    <row r="1495">
      <c r="H1495" s="273" t="s">
        <v>325</v>
      </c>
    </row>
    <row r="1496">
      <c r="H1496" s="273" t="s">
        <v>325</v>
      </c>
    </row>
    <row r="1497">
      <c r="H1497" s="273" t="s">
        <v>325</v>
      </c>
    </row>
    <row r="1498">
      <c r="H1498" s="273" t="s">
        <v>325</v>
      </c>
    </row>
    <row r="1499">
      <c r="H1499" s="273" t="s">
        <v>325</v>
      </c>
    </row>
    <row r="1500">
      <c r="H1500" s="273" t="s">
        <v>325</v>
      </c>
    </row>
    <row r="1501">
      <c r="H1501" s="273" t="s">
        <v>325</v>
      </c>
    </row>
    <row r="1502">
      <c r="H1502" s="273" t="s">
        <v>325</v>
      </c>
    </row>
    <row r="1503">
      <c r="H1503" s="273" t="s">
        <v>325</v>
      </c>
    </row>
    <row r="1504">
      <c r="H1504" s="273" t="s">
        <v>325</v>
      </c>
    </row>
    <row r="1505">
      <c r="H1505" s="273" t="s">
        <v>325</v>
      </c>
    </row>
    <row r="1506">
      <c r="H1506" s="273" t="s">
        <v>325</v>
      </c>
    </row>
    <row r="1507">
      <c r="H1507" s="273" t="s">
        <v>325</v>
      </c>
    </row>
    <row r="1508">
      <c r="H1508" s="273" t="s">
        <v>325</v>
      </c>
    </row>
    <row r="1509">
      <c r="H1509" s="273" t="s">
        <v>325</v>
      </c>
    </row>
    <row r="1510">
      <c r="H1510" s="273" t="s">
        <v>325</v>
      </c>
    </row>
    <row r="1511">
      <c r="H1511" s="273" t="s">
        <v>325</v>
      </c>
    </row>
    <row r="1512">
      <c r="H1512" s="273" t="s">
        <v>325</v>
      </c>
    </row>
    <row r="1513">
      <c r="H1513" s="273" t="s">
        <v>325</v>
      </c>
    </row>
    <row r="1514">
      <c r="H1514" s="273" t="s">
        <v>325</v>
      </c>
    </row>
    <row r="1515">
      <c r="H1515" s="273" t="s">
        <v>325</v>
      </c>
    </row>
    <row r="1516">
      <c r="H1516" s="273" t="s">
        <v>325</v>
      </c>
    </row>
    <row r="1517">
      <c r="H1517" s="273" t="s">
        <v>325</v>
      </c>
    </row>
    <row r="1518">
      <c r="H1518" s="273" t="s">
        <v>325</v>
      </c>
    </row>
    <row r="1519">
      <c r="H1519" s="273" t="s">
        <v>325</v>
      </c>
    </row>
    <row r="1520">
      <c r="H1520" s="273" t="s">
        <v>325</v>
      </c>
    </row>
    <row r="1521">
      <c r="H1521" s="273" t="s">
        <v>325</v>
      </c>
    </row>
    <row r="1522">
      <c r="H1522" s="273" t="s">
        <v>325</v>
      </c>
    </row>
    <row r="1523">
      <c r="H1523" s="273" t="s">
        <v>325</v>
      </c>
    </row>
    <row r="1524">
      <c r="H1524" s="273" t="s">
        <v>325</v>
      </c>
    </row>
    <row r="1525">
      <c r="H1525" s="273" t="s">
        <v>325</v>
      </c>
    </row>
    <row r="1526">
      <c r="H1526" s="273" t="s">
        <v>325</v>
      </c>
    </row>
    <row r="1527">
      <c r="H1527" s="273" t="s">
        <v>325</v>
      </c>
    </row>
    <row r="1528">
      <c r="H1528" s="273" t="s">
        <v>325</v>
      </c>
    </row>
    <row r="1529">
      <c r="H1529" s="273" t="s">
        <v>325</v>
      </c>
    </row>
    <row r="1530">
      <c r="H1530" s="273" t="s">
        <v>325</v>
      </c>
    </row>
    <row r="1531">
      <c r="H1531" s="273" t="s">
        <v>325</v>
      </c>
    </row>
    <row r="1532">
      <c r="H1532" s="273" t="s">
        <v>325</v>
      </c>
    </row>
    <row r="1533">
      <c r="H1533" s="273" t="s">
        <v>325</v>
      </c>
    </row>
    <row r="1534">
      <c r="H1534" s="273" t="s">
        <v>325</v>
      </c>
    </row>
    <row r="1535">
      <c r="H1535" s="273" t="s">
        <v>325</v>
      </c>
    </row>
    <row r="1536">
      <c r="H1536" s="273" t="s">
        <v>325</v>
      </c>
    </row>
    <row r="1537">
      <c r="H1537" s="273" t="s">
        <v>325</v>
      </c>
    </row>
    <row r="1538">
      <c r="H1538" s="273" t="s">
        <v>325</v>
      </c>
    </row>
    <row r="1539">
      <c r="H1539" s="273" t="s">
        <v>325</v>
      </c>
    </row>
    <row r="1540">
      <c r="H1540" s="273" t="s">
        <v>325</v>
      </c>
    </row>
    <row r="1541">
      <c r="H1541" s="273" t="s">
        <v>325</v>
      </c>
    </row>
    <row r="1542">
      <c r="H1542" s="273" t="s">
        <v>325</v>
      </c>
    </row>
    <row r="1543">
      <c r="H1543" s="273" t="s">
        <v>325</v>
      </c>
    </row>
    <row r="1544">
      <c r="H1544" s="273" t="s">
        <v>325</v>
      </c>
    </row>
    <row r="1545">
      <c r="H1545" s="273" t="s">
        <v>325</v>
      </c>
    </row>
    <row r="1546">
      <c r="H1546" s="273" t="s">
        <v>325</v>
      </c>
    </row>
    <row r="1547">
      <c r="H1547" s="273" t="s">
        <v>325</v>
      </c>
    </row>
    <row r="1548">
      <c r="H1548" s="273" t="s">
        <v>325</v>
      </c>
    </row>
    <row r="1549">
      <c r="H1549" s="273" t="s">
        <v>325</v>
      </c>
    </row>
    <row r="1550">
      <c r="H1550" s="273" t="s">
        <v>325</v>
      </c>
    </row>
    <row r="1551">
      <c r="H1551" s="273" t="s">
        <v>325</v>
      </c>
    </row>
    <row r="1552">
      <c r="H1552" s="273" t="s">
        <v>325</v>
      </c>
    </row>
    <row r="1553">
      <c r="H1553" s="273" t="s">
        <v>325</v>
      </c>
    </row>
    <row r="1554">
      <c r="H1554" s="273" t="s">
        <v>325</v>
      </c>
    </row>
    <row r="1555">
      <c r="H1555" s="273" t="s">
        <v>325</v>
      </c>
    </row>
    <row r="1556">
      <c r="H1556" s="273" t="s">
        <v>325</v>
      </c>
    </row>
    <row r="1557">
      <c r="H1557" s="273" t="s">
        <v>325</v>
      </c>
    </row>
    <row r="1558">
      <c r="H1558" s="273" t="s">
        <v>325</v>
      </c>
    </row>
    <row r="1559">
      <c r="H1559" s="273" t="s">
        <v>325</v>
      </c>
    </row>
    <row r="1560">
      <c r="H1560" s="273" t="s">
        <v>325</v>
      </c>
    </row>
    <row r="1561">
      <c r="H1561" s="273" t="s">
        <v>325</v>
      </c>
    </row>
    <row r="1562">
      <c r="H1562" s="273" t="s">
        <v>325</v>
      </c>
    </row>
    <row r="1563">
      <c r="H1563" s="273" t="s">
        <v>325</v>
      </c>
    </row>
    <row r="1564">
      <c r="H1564" s="273" t="s">
        <v>325</v>
      </c>
    </row>
    <row r="1565">
      <c r="H1565" s="273" t="s">
        <v>325</v>
      </c>
    </row>
    <row r="1566">
      <c r="H1566" s="273" t="s">
        <v>325</v>
      </c>
    </row>
    <row r="1567">
      <c r="H1567" s="273" t="s">
        <v>325</v>
      </c>
    </row>
    <row r="1568">
      <c r="H1568" s="273" t="s">
        <v>325</v>
      </c>
    </row>
    <row r="1569">
      <c r="H1569" s="273" t="s">
        <v>325</v>
      </c>
    </row>
    <row r="1570">
      <c r="H1570" s="273" t="s">
        <v>325</v>
      </c>
    </row>
    <row r="1571">
      <c r="H1571" s="273" t="s">
        <v>325</v>
      </c>
    </row>
    <row r="1572">
      <c r="H1572" s="273" t="s">
        <v>325</v>
      </c>
    </row>
    <row r="1573">
      <c r="H1573" s="273" t="s">
        <v>325</v>
      </c>
    </row>
    <row r="1574">
      <c r="H1574" s="273" t="s">
        <v>325</v>
      </c>
    </row>
    <row r="1575">
      <c r="H1575" s="273" t="s">
        <v>325</v>
      </c>
    </row>
    <row r="1576">
      <c r="H1576" s="273" t="s">
        <v>325</v>
      </c>
    </row>
    <row r="1577">
      <c r="H1577" s="273" t="s">
        <v>325</v>
      </c>
    </row>
    <row r="1578">
      <c r="H1578" s="273" t="s">
        <v>325</v>
      </c>
    </row>
    <row r="1579">
      <c r="H1579" s="273" t="s">
        <v>325</v>
      </c>
    </row>
    <row r="1580">
      <c r="H1580" s="273" t="s">
        <v>325</v>
      </c>
    </row>
    <row r="1581">
      <c r="H1581" s="273" t="s">
        <v>325</v>
      </c>
    </row>
    <row r="1582">
      <c r="H1582" s="273" t="s">
        <v>325</v>
      </c>
    </row>
    <row r="1583">
      <c r="H1583" s="273" t="s">
        <v>325</v>
      </c>
    </row>
    <row r="1584">
      <c r="H1584" s="273" t="s">
        <v>325</v>
      </c>
    </row>
    <row r="1585">
      <c r="H1585" s="273" t="s">
        <v>325</v>
      </c>
    </row>
    <row r="1586">
      <c r="H1586" s="273" t="s">
        <v>325</v>
      </c>
    </row>
    <row r="1587">
      <c r="H1587" s="273" t="s">
        <v>325</v>
      </c>
    </row>
    <row r="1588">
      <c r="H1588" s="273" t="s">
        <v>325</v>
      </c>
    </row>
    <row r="1589">
      <c r="H1589" s="273" t="s">
        <v>325</v>
      </c>
    </row>
    <row r="1590">
      <c r="H1590" s="273" t="s">
        <v>325</v>
      </c>
    </row>
    <row r="1591">
      <c r="H1591" s="273" t="s">
        <v>325</v>
      </c>
    </row>
    <row r="1592">
      <c r="H1592" s="273" t="s">
        <v>325</v>
      </c>
    </row>
    <row r="1593">
      <c r="H1593" s="273" t="s">
        <v>325</v>
      </c>
    </row>
    <row r="1594">
      <c r="H1594" s="273" t="s">
        <v>325</v>
      </c>
    </row>
    <row r="1595">
      <c r="H1595" s="273" t="s">
        <v>325</v>
      </c>
    </row>
    <row r="1596">
      <c r="H1596" s="273" t="s">
        <v>325</v>
      </c>
    </row>
    <row r="1597">
      <c r="H1597" s="273" t="s">
        <v>325</v>
      </c>
    </row>
    <row r="1598">
      <c r="H1598" s="273" t="s">
        <v>325</v>
      </c>
    </row>
    <row r="1599">
      <c r="H1599" s="273" t="s">
        <v>325</v>
      </c>
    </row>
    <row r="1600">
      <c r="H1600" s="273" t="s">
        <v>325</v>
      </c>
    </row>
    <row r="1601">
      <c r="H1601" s="273" t="s">
        <v>325</v>
      </c>
    </row>
    <row r="1602">
      <c r="H1602" s="273" t="s">
        <v>325</v>
      </c>
    </row>
    <row r="1603">
      <c r="H1603" s="273" t="s">
        <v>325</v>
      </c>
    </row>
    <row r="1604">
      <c r="H1604" s="273" t="s">
        <v>325</v>
      </c>
    </row>
    <row r="1605">
      <c r="H1605" s="273" t="s">
        <v>325</v>
      </c>
    </row>
    <row r="1606">
      <c r="H1606" s="273" t="s">
        <v>325</v>
      </c>
    </row>
    <row r="1607">
      <c r="H1607" s="273" t="s">
        <v>325</v>
      </c>
    </row>
    <row r="1608">
      <c r="H1608" s="273" t="s">
        <v>325</v>
      </c>
    </row>
    <row r="1609">
      <c r="H1609" s="273" t="s">
        <v>325</v>
      </c>
    </row>
    <row r="1610">
      <c r="H1610" s="273" t="s">
        <v>325</v>
      </c>
    </row>
    <row r="1611">
      <c r="H1611" s="273" t="s">
        <v>325</v>
      </c>
    </row>
    <row r="1612">
      <c r="H1612" s="273" t="s">
        <v>325</v>
      </c>
    </row>
    <row r="1613">
      <c r="H1613" s="273" t="s">
        <v>325</v>
      </c>
    </row>
    <row r="1614">
      <c r="H1614" s="273" t="s">
        <v>325</v>
      </c>
    </row>
    <row r="1615">
      <c r="H1615" s="273" t="s">
        <v>325</v>
      </c>
    </row>
    <row r="1616">
      <c r="H1616" s="273" t="s">
        <v>325</v>
      </c>
    </row>
    <row r="1617">
      <c r="H1617" s="273" t="s">
        <v>325</v>
      </c>
    </row>
    <row r="1618">
      <c r="H1618" s="273" t="s">
        <v>325</v>
      </c>
    </row>
    <row r="1619">
      <c r="H1619" s="273" t="s">
        <v>325</v>
      </c>
    </row>
    <row r="1620">
      <c r="H1620" s="273" t="s">
        <v>325</v>
      </c>
    </row>
    <row r="1621">
      <c r="H1621" s="273" t="s">
        <v>325</v>
      </c>
    </row>
    <row r="1622">
      <c r="H1622" s="273" t="s">
        <v>325</v>
      </c>
    </row>
    <row r="1623">
      <c r="H1623" s="273" t="s">
        <v>325</v>
      </c>
    </row>
    <row r="1624">
      <c r="H1624" s="273" t="s">
        <v>325</v>
      </c>
    </row>
    <row r="1625">
      <c r="H1625" s="273" t="s">
        <v>325</v>
      </c>
    </row>
    <row r="1626">
      <c r="H1626" s="273" t="s">
        <v>325</v>
      </c>
    </row>
    <row r="1627">
      <c r="H1627" s="273" t="s">
        <v>325</v>
      </c>
    </row>
    <row r="1628">
      <c r="H1628" s="273" t="s">
        <v>325</v>
      </c>
    </row>
    <row r="1629">
      <c r="H1629" s="273" t="s">
        <v>325</v>
      </c>
    </row>
    <row r="1630">
      <c r="H1630" s="273" t="s">
        <v>325</v>
      </c>
    </row>
    <row r="1631">
      <c r="H1631" s="273" t="s">
        <v>325</v>
      </c>
    </row>
    <row r="1632">
      <c r="H1632" s="273" t="s">
        <v>325</v>
      </c>
    </row>
    <row r="1633">
      <c r="H1633" s="273" t="s">
        <v>325</v>
      </c>
    </row>
    <row r="1634">
      <c r="H1634" s="273" t="s">
        <v>325</v>
      </c>
    </row>
    <row r="1635">
      <c r="H1635" s="273" t="s">
        <v>325</v>
      </c>
    </row>
    <row r="1636">
      <c r="H1636" s="273" t="s">
        <v>325</v>
      </c>
    </row>
    <row r="1637">
      <c r="H1637" s="273" t="s">
        <v>325</v>
      </c>
    </row>
    <row r="1638">
      <c r="H1638" s="273" t="s">
        <v>325</v>
      </c>
    </row>
    <row r="1639">
      <c r="H1639" s="273" t="s">
        <v>325</v>
      </c>
    </row>
    <row r="1640">
      <c r="H1640" s="273" t="s">
        <v>325</v>
      </c>
    </row>
    <row r="1641">
      <c r="H1641" s="273" t="s">
        <v>325</v>
      </c>
    </row>
    <row r="1642">
      <c r="H1642" s="273" t="s">
        <v>325</v>
      </c>
    </row>
    <row r="1643">
      <c r="H1643" s="273" t="s">
        <v>325</v>
      </c>
    </row>
    <row r="1644">
      <c r="H1644" s="273" t="s">
        <v>325</v>
      </c>
    </row>
    <row r="1645">
      <c r="H1645" s="273" t="s">
        <v>325</v>
      </c>
    </row>
    <row r="1646">
      <c r="H1646" s="273" t="s">
        <v>325</v>
      </c>
    </row>
    <row r="1647">
      <c r="H1647" s="273" t="s">
        <v>325</v>
      </c>
    </row>
    <row r="1648">
      <c r="H1648" s="273" t="s">
        <v>325</v>
      </c>
    </row>
    <row r="1649">
      <c r="H1649" s="273" t="s">
        <v>325</v>
      </c>
    </row>
    <row r="1650">
      <c r="H1650" s="273" t="s">
        <v>325</v>
      </c>
    </row>
    <row r="1651">
      <c r="H1651" s="273" t="s">
        <v>325</v>
      </c>
    </row>
    <row r="1652">
      <c r="H1652" s="273" t="s">
        <v>325</v>
      </c>
    </row>
    <row r="1653">
      <c r="H1653" s="273" t="s">
        <v>325</v>
      </c>
    </row>
    <row r="1654">
      <c r="H1654" s="273" t="s">
        <v>325</v>
      </c>
    </row>
    <row r="1655">
      <c r="H1655" s="273" t="s">
        <v>325</v>
      </c>
    </row>
    <row r="1656">
      <c r="H1656" s="273" t="s">
        <v>325</v>
      </c>
    </row>
    <row r="1657">
      <c r="H1657" s="273" t="s">
        <v>325</v>
      </c>
    </row>
    <row r="1658">
      <c r="H1658" s="273" t="s">
        <v>325</v>
      </c>
    </row>
    <row r="1659">
      <c r="H1659" s="273" t="s">
        <v>325</v>
      </c>
    </row>
    <row r="1660">
      <c r="H1660" s="273" t="s">
        <v>325</v>
      </c>
    </row>
    <row r="1661">
      <c r="H1661" s="273" t="s">
        <v>325</v>
      </c>
    </row>
    <row r="1662">
      <c r="H1662" s="273" t="s">
        <v>325</v>
      </c>
    </row>
    <row r="1663">
      <c r="H1663" s="273" t="s">
        <v>325</v>
      </c>
    </row>
    <row r="1664">
      <c r="H1664" s="273" t="s">
        <v>325</v>
      </c>
    </row>
    <row r="1665">
      <c r="H1665" s="273" t="s">
        <v>325</v>
      </c>
    </row>
    <row r="1666">
      <c r="H1666" s="273" t="s">
        <v>325</v>
      </c>
    </row>
    <row r="1667">
      <c r="H1667" s="273" t="s">
        <v>325</v>
      </c>
    </row>
    <row r="1668">
      <c r="H1668" s="273" t="s">
        <v>325</v>
      </c>
    </row>
    <row r="1669">
      <c r="H1669" s="273" t="s">
        <v>325</v>
      </c>
    </row>
    <row r="1670">
      <c r="H1670" s="273" t="s">
        <v>325</v>
      </c>
    </row>
    <row r="1671">
      <c r="H1671" s="273" t="s">
        <v>325</v>
      </c>
    </row>
    <row r="1672">
      <c r="H1672" s="273" t="s">
        <v>325</v>
      </c>
    </row>
    <row r="1673">
      <c r="H1673" s="273" t="s">
        <v>325</v>
      </c>
    </row>
    <row r="1674">
      <c r="H1674" s="273" t="s">
        <v>325</v>
      </c>
    </row>
    <row r="1675">
      <c r="H1675" s="273" t="s">
        <v>325</v>
      </c>
    </row>
    <row r="1676">
      <c r="H1676" s="273" t="s">
        <v>325</v>
      </c>
    </row>
    <row r="1677">
      <c r="H1677" s="273" t="s">
        <v>325</v>
      </c>
    </row>
    <row r="1678">
      <c r="H1678" s="273" t="s">
        <v>325</v>
      </c>
    </row>
    <row r="1679">
      <c r="H1679" s="273" t="s">
        <v>325</v>
      </c>
    </row>
    <row r="1680">
      <c r="H1680" s="273" t="s">
        <v>325</v>
      </c>
    </row>
    <row r="1681">
      <c r="H1681" s="273" t="s">
        <v>325</v>
      </c>
    </row>
    <row r="1682">
      <c r="H1682" s="273" t="s">
        <v>325</v>
      </c>
    </row>
    <row r="1683">
      <c r="H1683" s="273" t="s">
        <v>325</v>
      </c>
    </row>
    <row r="1684">
      <c r="H1684" s="273" t="s">
        <v>325</v>
      </c>
    </row>
    <row r="1685">
      <c r="H1685" s="273" t="s">
        <v>325</v>
      </c>
    </row>
    <row r="1686">
      <c r="H1686" s="273" t="s">
        <v>325</v>
      </c>
    </row>
    <row r="1687">
      <c r="H1687" s="273" t="s">
        <v>325</v>
      </c>
    </row>
    <row r="1688">
      <c r="H1688" s="273" t="s">
        <v>325</v>
      </c>
    </row>
    <row r="1689">
      <c r="H1689" s="273" t="s">
        <v>325</v>
      </c>
    </row>
    <row r="1690">
      <c r="H1690" s="273" t="s">
        <v>325</v>
      </c>
    </row>
    <row r="1691">
      <c r="H1691" s="273" t="s">
        <v>325</v>
      </c>
    </row>
    <row r="1692">
      <c r="H1692" s="273" t="s">
        <v>325</v>
      </c>
    </row>
    <row r="1693">
      <c r="H1693" s="273" t="s">
        <v>325</v>
      </c>
    </row>
    <row r="1694">
      <c r="H1694" s="273" t="s">
        <v>325</v>
      </c>
    </row>
    <row r="1695">
      <c r="H1695" s="273" t="s">
        <v>325</v>
      </c>
    </row>
    <row r="1696">
      <c r="H1696" s="273" t="s">
        <v>325</v>
      </c>
    </row>
    <row r="1697">
      <c r="H1697" s="273" t="s">
        <v>325</v>
      </c>
    </row>
    <row r="1698">
      <c r="H1698" s="273" t="s">
        <v>325</v>
      </c>
    </row>
    <row r="1699">
      <c r="H1699" s="273" t="s">
        <v>325</v>
      </c>
    </row>
    <row r="1700">
      <c r="H1700" s="273" t="s">
        <v>325</v>
      </c>
    </row>
    <row r="1701">
      <c r="H1701" s="273" t="s">
        <v>325</v>
      </c>
    </row>
    <row r="1702">
      <c r="H1702" s="273" t="s">
        <v>325</v>
      </c>
    </row>
    <row r="1703">
      <c r="H1703" s="273" t="s">
        <v>325</v>
      </c>
    </row>
    <row r="1704">
      <c r="H1704" s="273" t="s">
        <v>325</v>
      </c>
    </row>
    <row r="1705">
      <c r="H1705" s="273" t="s">
        <v>325</v>
      </c>
    </row>
    <row r="1706">
      <c r="H1706" s="273" t="s">
        <v>325</v>
      </c>
    </row>
    <row r="1707">
      <c r="H1707" s="273" t="s">
        <v>325</v>
      </c>
    </row>
    <row r="1708">
      <c r="H1708" s="273" t="s">
        <v>325</v>
      </c>
    </row>
    <row r="1709">
      <c r="H1709" s="273" t="s">
        <v>325</v>
      </c>
    </row>
    <row r="1710">
      <c r="H1710" s="273" t="s">
        <v>325</v>
      </c>
    </row>
    <row r="1711">
      <c r="H1711" s="273" t="s">
        <v>325</v>
      </c>
    </row>
    <row r="1712">
      <c r="H1712" s="273" t="s">
        <v>325</v>
      </c>
    </row>
    <row r="1713">
      <c r="H1713" s="273" t="s">
        <v>325</v>
      </c>
    </row>
    <row r="1714">
      <c r="H1714" s="273" t="s">
        <v>325</v>
      </c>
    </row>
    <row r="1715">
      <c r="H1715" s="273" t="s">
        <v>325</v>
      </c>
    </row>
    <row r="1716">
      <c r="H1716" s="273" t="s">
        <v>325</v>
      </c>
    </row>
    <row r="1717">
      <c r="H1717" s="273" t="s">
        <v>325</v>
      </c>
    </row>
    <row r="1718">
      <c r="H1718" s="273" t="s">
        <v>325</v>
      </c>
    </row>
    <row r="1719">
      <c r="H1719" s="273" t="s">
        <v>325</v>
      </c>
    </row>
    <row r="1720">
      <c r="H1720" s="273" t="s">
        <v>325</v>
      </c>
    </row>
    <row r="1721">
      <c r="H1721" s="273" t="s">
        <v>325</v>
      </c>
    </row>
    <row r="1722">
      <c r="H1722" s="273" t="s">
        <v>325</v>
      </c>
    </row>
    <row r="1723">
      <c r="H1723" s="273" t="s">
        <v>325</v>
      </c>
    </row>
    <row r="1724">
      <c r="H1724" s="273" t="s">
        <v>325</v>
      </c>
    </row>
    <row r="1725">
      <c r="H1725" s="273" t="s">
        <v>325</v>
      </c>
    </row>
    <row r="1726">
      <c r="H1726" s="273" t="s">
        <v>325</v>
      </c>
    </row>
    <row r="1727">
      <c r="H1727" s="273" t="s">
        <v>325</v>
      </c>
    </row>
    <row r="1728">
      <c r="H1728" s="273" t="s">
        <v>325</v>
      </c>
    </row>
    <row r="1729">
      <c r="H1729" s="273" t="s">
        <v>325</v>
      </c>
    </row>
    <row r="1730">
      <c r="H1730" s="273" t="s">
        <v>325</v>
      </c>
    </row>
    <row r="1731">
      <c r="H1731" s="273" t="s">
        <v>325</v>
      </c>
    </row>
    <row r="1732">
      <c r="H1732" s="273" t="s">
        <v>325</v>
      </c>
    </row>
    <row r="1733">
      <c r="H1733" s="273" t="s">
        <v>325</v>
      </c>
    </row>
    <row r="1734">
      <c r="H1734" s="273" t="s">
        <v>325</v>
      </c>
    </row>
    <row r="1735">
      <c r="H1735" s="273" t="s">
        <v>325</v>
      </c>
    </row>
    <row r="1736">
      <c r="H1736" s="273" t="s">
        <v>325</v>
      </c>
    </row>
    <row r="1737">
      <c r="H1737" s="273" t="s">
        <v>325</v>
      </c>
    </row>
    <row r="1738">
      <c r="H1738" s="273" t="s">
        <v>325</v>
      </c>
    </row>
    <row r="1739">
      <c r="H1739" s="273" t="s">
        <v>325</v>
      </c>
    </row>
    <row r="1740">
      <c r="H1740" s="273" t="s">
        <v>325</v>
      </c>
    </row>
    <row r="1741">
      <c r="H1741" s="273" t="s">
        <v>325</v>
      </c>
    </row>
    <row r="1742">
      <c r="H1742" s="273" t="s">
        <v>325</v>
      </c>
    </row>
    <row r="1743">
      <c r="H1743" s="273" t="s">
        <v>325</v>
      </c>
    </row>
    <row r="1744">
      <c r="H1744" s="273" t="s">
        <v>325</v>
      </c>
    </row>
    <row r="1745">
      <c r="H1745" s="273" t="s">
        <v>325</v>
      </c>
    </row>
    <row r="1746">
      <c r="H1746" s="273" t="s">
        <v>325</v>
      </c>
    </row>
    <row r="1747">
      <c r="H1747" s="273" t="s">
        <v>325</v>
      </c>
    </row>
    <row r="1748">
      <c r="H1748" s="273" t="s">
        <v>325</v>
      </c>
    </row>
    <row r="1749">
      <c r="H1749" s="273" t="s">
        <v>325</v>
      </c>
    </row>
    <row r="1750">
      <c r="H1750" s="273" t="s">
        <v>325</v>
      </c>
    </row>
    <row r="1751">
      <c r="H1751" s="273" t="s">
        <v>325</v>
      </c>
    </row>
    <row r="1752">
      <c r="H1752" s="273" t="s">
        <v>325</v>
      </c>
    </row>
    <row r="1753">
      <c r="H1753" s="273" t="s">
        <v>325</v>
      </c>
    </row>
    <row r="1754">
      <c r="H1754" s="273" t="s">
        <v>325</v>
      </c>
    </row>
    <row r="1755">
      <c r="H1755" s="273" t="s">
        <v>325</v>
      </c>
    </row>
    <row r="1756">
      <c r="H1756" s="273" t="s">
        <v>325</v>
      </c>
    </row>
    <row r="1757">
      <c r="H1757" s="273" t="s">
        <v>325</v>
      </c>
    </row>
    <row r="1758">
      <c r="H1758" s="273" t="s">
        <v>325</v>
      </c>
    </row>
    <row r="1759">
      <c r="H1759" s="273" t="s">
        <v>325</v>
      </c>
    </row>
    <row r="1760">
      <c r="H1760" s="273" t="s">
        <v>325</v>
      </c>
    </row>
    <row r="1761">
      <c r="H1761" s="273" t="s">
        <v>325</v>
      </c>
    </row>
    <row r="1762">
      <c r="H1762" s="273" t="s">
        <v>325</v>
      </c>
    </row>
    <row r="1763">
      <c r="H1763" s="273" t="s">
        <v>325</v>
      </c>
    </row>
    <row r="1764">
      <c r="H1764" s="273" t="s">
        <v>325</v>
      </c>
    </row>
    <row r="1765">
      <c r="H1765" s="273" t="s">
        <v>325</v>
      </c>
    </row>
    <row r="1766">
      <c r="H1766" s="273" t="s">
        <v>325</v>
      </c>
    </row>
    <row r="1767">
      <c r="H1767" s="273" t="s">
        <v>325</v>
      </c>
    </row>
    <row r="1768">
      <c r="H1768" s="273" t="s">
        <v>325</v>
      </c>
    </row>
    <row r="1769">
      <c r="H1769" s="273" t="s">
        <v>325</v>
      </c>
    </row>
    <row r="1770">
      <c r="H1770" s="273" t="s">
        <v>325</v>
      </c>
    </row>
    <row r="1771">
      <c r="H1771" s="273" t="s">
        <v>325</v>
      </c>
    </row>
    <row r="1772">
      <c r="H1772" s="273" t="s">
        <v>325</v>
      </c>
    </row>
    <row r="1773">
      <c r="H1773" s="273" t="s">
        <v>325</v>
      </c>
    </row>
    <row r="1774">
      <c r="H1774" s="273" t="s">
        <v>325</v>
      </c>
    </row>
    <row r="1775">
      <c r="H1775" s="273" t="s">
        <v>325</v>
      </c>
    </row>
    <row r="1776">
      <c r="H1776" s="273" t="s">
        <v>325</v>
      </c>
    </row>
    <row r="1777">
      <c r="H1777" s="273" t="s">
        <v>325</v>
      </c>
    </row>
    <row r="1778">
      <c r="H1778" s="273" t="s">
        <v>325</v>
      </c>
    </row>
    <row r="1779">
      <c r="H1779" s="273" t="s">
        <v>325</v>
      </c>
    </row>
    <row r="1780">
      <c r="H1780" s="273" t="s">
        <v>325</v>
      </c>
    </row>
    <row r="1781">
      <c r="H1781" s="273" t="s">
        <v>325</v>
      </c>
    </row>
    <row r="1782">
      <c r="H1782" s="273" t="s">
        <v>325</v>
      </c>
    </row>
    <row r="1783">
      <c r="H1783" s="273" t="s">
        <v>325</v>
      </c>
    </row>
    <row r="1784">
      <c r="H1784" s="273" t="s">
        <v>325</v>
      </c>
    </row>
    <row r="1785">
      <c r="H1785" s="273" t="s">
        <v>325</v>
      </c>
    </row>
    <row r="1786">
      <c r="H1786" s="273" t="s">
        <v>325</v>
      </c>
    </row>
    <row r="1787">
      <c r="H1787" s="273" t="s">
        <v>325</v>
      </c>
    </row>
    <row r="1788">
      <c r="H1788" s="273" t="s">
        <v>325</v>
      </c>
    </row>
    <row r="1789">
      <c r="H1789" s="273" t="s">
        <v>325</v>
      </c>
    </row>
    <row r="1790">
      <c r="H1790" s="273" t="s">
        <v>325</v>
      </c>
    </row>
    <row r="1791">
      <c r="H1791" s="273" t="s">
        <v>325</v>
      </c>
    </row>
    <row r="1792">
      <c r="H1792" s="273" t="s">
        <v>325</v>
      </c>
    </row>
    <row r="1793">
      <c r="H1793" s="273" t="s">
        <v>325</v>
      </c>
    </row>
    <row r="1794">
      <c r="H1794" s="273" t="s">
        <v>325</v>
      </c>
    </row>
    <row r="1795">
      <c r="H1795" s="273" t="s">
        <v>325</v>
      </c>
    </row>
    <row r="1796">
      <c r="H1796" s="273" t="s">
        <v>325</v>
      </c>
    </row>
    <row r="1797">
      <c r="H1797" s="273" t="s">
        <v>325</v>
      </c>
    </row>
    <row r="1798">
      <c r="H1798" s="273" t="s">
        <v>325</v>
      </c>
    </row>
    <row r="1799">
      <c r="H1799" s="273" t="s">
        <v>325</v>
      </c>
    </row>
    <row r="1800">
      <c r="H1800" s="273" t="s">
        <v>325</v>
      </c>
    </row>
    <row r="1801">
      <c r="H1801" s="273" t="s">
        <v>325</v>
      </c>
    </row>
    <row r="1802">
      <c r="H1802" s="273" t="s">
        <v>325</v>
      </c>
    </row>
    <row r="1803">
      <c r="H1803" s="273" t="s">
        <v>325</v>
      </c>
    </row>
    <row r="1804">
      <c r="H1804" s="273" t="s">
        <v>325</v>
      </c>
    </row>
    <row r="1805">
      <c r="H1805" s="273" t="s">
        <v>325</v>
      </c>
    </row>
    <row r="1806">
      <c r="H1806" s="273" t="s">
        <v>325</v>
      </c>
    </row>
    <row r="1807">
      <c r="H1807" s="273" t="s">
        <v>325</v>
      </c>
    </row>
    <row r="1808">
      <c r="H1808" s="273" t="s">
        <v>325</v>
      </c>
    </row>
    <row r="1809">
      <c r="H1809" s="273" t="s">
        <v>325</v>
      </c>
    </row>
    <row r="1810">
      <c r="H1810" s="273" t="s">
        <v>325</v>
      </c>
    </row>
    <row r="1811">
      <c r="H1811" s="273" t="s">
        <v>325</v>
      </c>
    </row>
    <row r="1812">
      <c r="H1812" s="273" t="s">
        <v>325</v>
      </c>
    </row>
    <row r="1813">
      <c r="H1813" s="273" t="s">
        <v>325</v>
      </c>
    </row>
    <row r="1814">
      <c r="H1814" s="273" t="s">
        <v>325</v>
      </c>
    </row>
    <row r="1815">
      <c r="H1815" s="273" t="s">
        <v>325</v>
      </c>
    </row>
    <row r="1816">
      <c r="H1816" s="273" t="s">
        <v>325</v>
      </c>
    </row>
    <row r="1817">
      <c r="H1817" s="273" t="s">
        <v>325</v>
      </c>
    </row>
    <row r="1818">
      <c r="H1818" s="273" t="s">
        <v>325</v>
      </c>
    </row>
    <row r="1819">
      <c r="H1819" s="273" t="s">
        <v>325</v>
      </c>
    </row>
    <row r="1820">
      <c r="H1820" s="273" t="s">
        <v>325</v>
      </c>
    </row>
    <row r="1821">
      <c r="H1821" s="273" t="s">
        <v>325</v>
      </c>
    </row>
    <row r="1822">
      <c r="H1822" s="273" t="s">
        <v>325</v>
      </c>
    </row>
    <row r="1823">
      <c r="H1823" s="273" t="s">
        <v>325</v>
      </c>
    </row>
    <row r="1824">
      <c r="H1824" s="273" t="s">
        <v>325</v>
      </c>
    </row>
    <row r="1825">
      <c r="H1825" s="273" t="s">
        <v>325</v>
      </c>
    </row>
    <row r="1826">
      <c r="H1826" s="273" t="s">
        <v>325</v>
      </c>
    </row>
    <row r="1827">
      <c r="H1827" s="273" t="s">
        <v>325</v>
      </c>
    </row>
    <row r="1828">
      <c r="H1828" s="273" t="s">
        <v>325</v>
      </c>
    </row>
    <row r="1829">
      <c r="H1829" s="273" t="s">
        <v>325</v>
      </c>
    </row>
    <row r="1830">
      <c r="H1830" s="273" t="s">
        <v>325</v>
      </c>
    </row>
    <row r="1831">
      <c r="H1831" s="273" t="s">
        <v>325</v>
      </c>
    </row>
    <row r="1832">
      <c r="H1832" s="273" t="s">
        <v>325</v>
      </c>
    </row>
    <row r="1833">
      <c r="H1833" s="273" t="s">
        <v>325</v>
      </c>
    </row>
    <row r="1834">
      <c r="H1834" s="273" t="s">
        <v>325</v>
      </c>
    </row>
    <row r="1835">
      <c r="H1835" s="273" t="s">
        <v>325</v>
      </c>
    </row>
    <row r="1836">
      <c r="H1836" s="273" t="s">
        <v>325</v>
      </c>
    </row>
    <row r="1837">
      <c r="H1837" s="273" t="s">
        <v>325</v>
      </c>
    </row>
    <row r="1838">
      <c r="H1838" s="273" t="s">
        <v>325</v>
      </c>
    </row>
    <row r="1839">
      <c r="H1839" s="273" t="s">
        <v>325</v>
      </c>
    </row>
    <row r="1840">
      <c r="H1840" s="273" t="s">
        <v>325</v>
      </c>
    </row>
    <row r="1841">
      <c r="H1841" s="273" t="s">
        <v>325</v>
      </c>
    </row>
    <row r="1842">
      <c r="H1842" s="273" t="s">
        <v>325</v>
      </c>
    </row>
    <row r="1843">
      <c r="H1843" s="273" t="s">
        <v>325</v>
      </c>
    </row>
    <row r="1844">
      <c r="H1844" s="273" t="s">
        <v>325</v>
      </c>
    </row>
    <row r="1845">
      <c r="H1845" s="273" t="s">
        <v>325</v>
      </c>
    </row>
    <row r="1846">
      <c r="H1846" s="273" t="s">
        <v>325</v>
      </c>
    </row>
    <row r="1847">
      <c r="H1847" s="273" t="s">
        <v>325</v>
      </c>
    </row>
    <row r="1848">
      <c r="H1848" s="273" t="s">
        <v>325</v>
      </c>
    </row>
    <row r="1849">
      <c r="H1849" s="273" t="s">
        <v>325</v>
      </c>
    </row>
    <row r="1850">
      <c r="H1850" s="273" t="s">
        <v>325</v>
      </c>
    </row>
    <row r="1851">
      <c r="H1851" s="273" t="s">
        <v>325</v>
      </c>
    </row>
    <row r="1852">
      <c r="H1852" s="273" t="s">
        <v>325</v>
      </c>
    </row>
    <row r="1853">
      <c r="H1853" s="273" t="s">
        <v>325</v>
      </c>
    </row>
    <row r="1854">
      <c r="H1854" s="273" t="s">
        <v>325</v>
      </c>
    </row>
    <row r="1855">
      <c r="H1855" s="273" t="s">
        <v>325</v>
      </c>
    </row>
    <row r="1856">
      <c r="H1856" s="273" t="s">
        <v>325</v>
      </c>
    </row>
    <row r="1857">
      <c r="H1857" s="273" t="s">
        <v>325</v>
      </c>
    </row>
    <row r="1858">
      <c r="H1858" s="273" t="s">
        <v>325</v>
      </c>
    </row>
    <row r="1859">
      <c r="H1859" s="273" t="s">
        <v>325</v>
      </c>
    </row>
    <row r="1860">
      <c r="H1860" s="273" t="s">
        <v>325</v>
      </c>
    </row>
    <row r="1861">
      <c r="H1861" s="273" t="s">
        <v>325</v>
      </c>
    </row>
    <row r="1862">
      <c r="H1862" s="273" t="s">
        <v>325</v>
      </c>
    </row>
    <row r="1863">
      <c r="H1863" s="273" t="s">
        <v>325</v>
      </c>
    </row>
    <row r="1864">
      <c r="H1864" s="273" t="s">
        <v>325</v>
      </c>
    </row>
    <row r="1865">
      <c r="H1865" s="273" t="s">
        <v>325</v>
      </c>
    </row>
    <row r="1866">
      <c r="H1866" s="273" t="s">
        <v>325</v>
      </c>
    </row>
    <row r="1867">
      <c r="H1867" s="273" t="s">
        <v>325</v>
      </c>
    </row>
    <row r="1868">
      <c r="H1868" s="273" t="s">
        <v>325</v>
      </c>
    </row>
    <row r="1869">
      <c r="H1869" s="273" t="s">
        <v>325</v>
      </c>
    </row>
    <row r="1870">
      <c r="H1870" s="273" t="s">
        <v>325</v>
      </c>
    </row>
    <row r="1871">
      <c r="H1871" s="273" t="s">
        <v>325</v>
      </c>
    </row>
    <row r="1872">
      <c r="H1872" s="273" t="s">
        <v>325</v>
      </c>
    </row>
    <row r="1873">
      <c r="H1873" s="273" t="s">
        <v>325</v>
      </c>
    </row>
    <row r="1874">
      <c r="H1874" s="273" t="s">
        <v>325</v>
      </c>
    </row>
    <row r="1875">
      <c r="H1875" s="273" t="s">
        <v>325</v>
      </c>
    </row>
    <row r="1876">
      <c r="H1876" s="273" t="s">
        <v>325</v>
      </c>
    </row>
    <row r="1877">
      <c r="H1877" s="273" t="s">
        <v>325</v>
      </c>
    </row>
    <row r="1878">
      <c r="H1878" s="273" t="s">
        <v>325</v>
      </c>
    </row>
    <row r="1879">
      <c r="H1879" s="273" t="s">
        <v>325</v>
      </c>
    </row>
    <row r="1880">
      <c r="H1880" s="273" t="s">
        <v>325</v>
      </c>
    </row>
    <row r="1881">
      <c r="H1881" s="273" t="s">
        <v>325</v>
      </c>
    </row>
    <row r="1882">
      <c r="H1882" s="273" t="s">
        <v>325</v>
      </c>
    </row>
    <row r="1883">
      <c r="H1883" s="273" t="s">
        <v>325</v>
      </c>
    </row>
    <row r="1884">
      <c r="H1884" s="273" t="s">
        <v>325</v>
      </c>
    </row>
    <row r="1885">
      <c r="H1885" s="273" t="s">
        <v>325</v>
      </c>
    </row>
    <row r="1886">
      <c r="H1886" s="273" t="s">
        <v>325</v>
      </c>
    </row>
    <row r="1887">
      <c r="H1887" s="273" t="s">
        <v>325</v>
      </c>
    </row>
    <row r="1888">
      <c r="H1888" s="273" t="s">
        <v>325</v>
      </c>
    </row>
    <row r="1889">
      <c r="H1889" s="273" t="s">
        <v>325</v>
      </c>
    </row>
    <row r="1890">
      <c r="H1890" s="273" t="s">
        <v>325</v>
      </c>
    </row>
    <row r="1891">
      <c r="H1891" s="273" t="s">
        <v>325</v>
      </c>
    </row>
    <row r="1892">
      <c r="H1892" s="273" t="s">
        <v>325</v>
      </c>
    </row>
    <row r="1893">
      <c r="H1893" s="273" t="s">
        <v>325</v>
      </c>
    </row>
    <row r="1894">
      <c r="H1894" s="273" t="s">
        <v>325</v>
      </c>
    </row>
    <row r="1895">
      <c r="H1895" s="273" t="s">
        <v>325</v>
      </c>
    </row>
    <row r="1896">
      <c r="H1896" s="273" t="s">
        <v>325</v>
      </c>
    </row>
    <row r="1897">
      <c r="H1897" s="273" t="s">
        <v>325</v>
      </c>
    </row>
    <row r="1898">
      <c r="H1898" s="273" t="s">
        <v>325</v>
      </c>
    </row>
    <row r="1899">
      <c r="H1899" s="273" t="s">
        <v>325</v>
      </c>
    </row>
    <row r="1900">
      <c r="H1900" s="273" t="s">
        <v>325</v>
      </c>
    </row>
    <row r="1901">
      <c r="H1901" s="273" t="s">
        <v>325</v>
      </c>
    </row>
    <row r="1902">
      <c r="H1902" s="273" t="s">
        <v>325</v>
      </c>
    </row>
    <row r="1903">
      <c r="H1903" s="273" t="s">
        <v>325</v>
      </c>
    </row>
    <row r="1904">
      <c r="H1904" s="273" t="s">
        <v>325</v>
      </c>
    </row>
    <row r="1905">
      <c r="H1905" s="273" t="s">
        <v>325</v>
      </c>
    </row>
    <row r="1906">
      <c r="H1906" s="273" t="s">
        <v>325</v>
      </c>
    </row>
    <row r="1907">
      <c r="H1907" s="273" t="s">
        <v>325</v>
      </c>
    </row>
    <row r="1908">
      <c r="H1908" s="273" t="s">
        <v>325</v>
      </c>
    </row>
    <row r="1909">
      <c r="H1909" s="273" t="s">
        <v>325</v>
      </c>
    </row>
    <row r="1910">
      <c r="H1910" s="273" t="s">
        <v>325</v>
      </c>
    </row>
    <row r="1911">
      <c r="H1911" s="273" t="s">
        <v>325</v>
      </c>
    </row>
    <row r="1912">
      <c r="H1912" s="273" t="s">
        <v>325</v>
      </c>
    </row>
    <row r="1913">
      <c r="H1913" s="273" t="s">
        <v>325</v>
      </c>
    </row>
    <row r="1914">
      <c r="H1914" s="273" t="s">
        <v>325</v>
      </c>
    </row>
    <row r="1915">
      <c r="H1915" s="273" t="s">
        <v>325</v>
      </c>
    </row>
    <row r="1916">
      <c r="H1916" s="273" t="s">
        <v>325</v>
      </c>
    </row>
    <row r="1917">
      <c r="H1917" s="273" t="s">
        <v>325</v>
      </c>
    </row>
    <row r="1918">
      <c r="H1918" s="273" t="s">
        <v>325</v>
      </c>
    </row>
    <row r="1919">
      <c r="H1919" s="273" t="s">
        <v>325</v>
      </c>
    </row>
    <row r="1920">
      <c r="H1920" s="273" t="s">
        <v>325</v>
      </c>
    </row>
    <row r="1921">
      <c r="H1921" s="273" t="s">
        <v>325</v>
      </c>
    </row>
    <row r="1922">
      <c r="H1922" s="273" t="s">
        <v>325</v>
      </c>
    </row>
    <row r="1923">
      <c r="H1923" s="273" t="s">
        <v>325</v>
      </c>
    </row>
    <row r="1924">
      <c r="H1924" s="273" t="s">
        <v>325</v>
      </c>
    </row>
    <row r="1925">
      <c r="H1925" s="273" t="s">
        <v>325</v>
      </c>
    </row>
    <row r="1926">
      <c r="H1926" s="273" t="s">
        <v>325</v>
      </c>
    </row>
    <row r="1927">
      <c r="H1927" s="273" t="s">
        <v>325</v>
      </c>
    </row>
    <row r="1928">
      <c r="H1928" s="273" t="s">
        <v>325</v>
      </c>
    </row>
    <row r="1929">
      <c r="H1929" s="273" t="s">
        <v>325</v>
      </c>
    </row>
    <row r="1930">
      <c r="H1930" s="273" t="s">
        <v>325</v>
      </c>
    </row>
    <row r="1931">
      <c r="H1931" s="273" t="s">
        <v>325</v>
      </c>
    </row>
    <row r="1932">
      <c r="H1932" s="273" t="s">
        <v>325</v>
      </c>
    </row>
    <row r="1933">
      <c r="H1933" s="273" t="s">
        <v>325</v>
      </c>
    </row>
    <row r="1934">
      <c r="H1934" s="273" t="s">
        <v>325</v>
      </c>
    </row>
    <row r="1935">
      <c r="H1935" s="273" t="s">
        <v>325</v>
      </c>
    </row>
    <row r="1936">
      <c r="H1936" s="273" t="s">
        <v>325</v>
      </c>
    </row>
    <row r="1937">
      <c r="H1937" s="273" t="s">
        <v>325</v>
      </c>
    </row>
    <row r="1938">
      <c r="H1938" s="273" t="s">
        <v>325</v>
      </c>
    </row>
    <row r="1939">
      <c r="H1939" s="273" t="s">
        <v>325</v>
      </c>
    </row>
    <row r="1940">
      <c r="H1940" s="273" t="s">
        <v>325</v>
      </c>
    </row>
    <row r="1941">
      <c r="H1941" s="273" t="s">
        <v>325</v>
      </c>
    </row>
    <row r="1942">
      <c r="H1942" s="273" t="s">
        <v>325</v>
      </c>
    </row>
    <row r="1943">
      <c r="H1943" s="273" t="s">
        <v>325</v>
      </c>
    </row>
    <row r="1944">
      <c r="H1944" s="273" t="s">
        <v>325</v>
      </c>
    </row>
    <row r="1945">
      <c r="H1945" s="273" t="s">
        <v>325</v>
      </c>
    </row>
    <row r="1946">
      <c r="H1946" s="273" t="s">
        <v>325</v>
      </c>
    </row>
    <row r="1947">
      <c r="H1947" s="273" t="s">
        <v>325</v>
      </c>
    </row>
    <row r="1948">
      <c r="H1948" s="273" t="s">
        <v>325</v>
      </c>
    </row>
    <row r="1949">
      <c r="H1949" s="273" t="s">
        <v>325</v>
      </c>
    </row>
    <row r="1950">
      <c r="H1950" s="273" t="s">
        <v>325</v>
      </c>
    </row>
    <row r="1951">
      <c r="H1951" s="273" t="s">
        <v>325</v>
      </c>
    </row>
    <row r="1952">
      <c r="H1952" s="273" t="s">
        <v>325</v>
      </c>
    </row>
    <row r="1953">
      <c r="H1953" s="273" t="s">
        <v>325</v>
      </c>
    </row>
    <row r="1954">
      <c r="H1954" s="273" t="s">
        <v>325</v>
      </c>
    </row>
    <row r="1955">
      <c r="H1955" s="273" t="s">
        <v>325</v>
      </c>
    </row>
    <row r="1956">
      <c r="H1956" s="273" t="s">
        <v>325</v>
      </c>
    </row>
    <row r="1957">
      <c r="H1957" s="273" t="s">
        <v>325</v>
      </c>
    </row>
    <row r="1958">
      <c r="H1958" s="273" t="s">
        <v>325</v>
      </c>
    </row>
    <row r="1959">
      <c r="H1959" s="273" t="s">
        <v>325</v>
      </c>
    </row>
    <row r="1960">
      <c r="H1960" s="273" t="s">
        <v>325</v>
      </c>
    </row>
    <row r="1961">
      <c r="H1961" s="273" t="s">
        <v>325</v>
      </c>
    </row>
    <row r="1962">
      <c r="H1962" s="273" t="s">
        <v>325</v>
      </c>
    </row>
    <row r="1963">
      <c r="H1963" s="273" t="s">
        <v>325</v>
      </c>
    </row>
    <row r="1964">
      <c r="H1964" s="273" t="s">
        <v>325</v>
      </c>
    </row>
    <row r="1965">
      <c r="H1965" s="273" t="s">
        <v>325</v>
      </c>
    </row>
    <row r="1966">
      <c r="H1966" s="273" t="s">
        <v>325</v>
      </c>
    </row>
    <row r="1967">
      <c r="H1967" s="273" t="s">
        <v>325</v>
      </c>
    </row>
    <row r="1968">
      <c r="H1968" s="273" t="s">
        <v>325</v>
      </c>
    </row>
    <row r="1969">
      <c r="H1969" s="273" t="s">
        <v>325</v>
      </c>
    </row>
    <row r="1970">
      <c r="H1970" s="273" t="s">
        <v>325</v>
      </c>
    </row>
    <row r="1971">
      <c r="H1971" s="273" t="s">
        <v>325</v>
      </c>
    </row>
    <row r="1972">
      <c r="H1972" s="273" t="s">
        <v>325</v>
      </c>
    </row>
    <row r="1973">
      <c r="H1973" s="273" t="s">
        <v>325</v>
      </c>
    </row>
    <row r="1974">
      <c r="H1974" s="273" t="s">
        <v>325</v>
      </c>
    </row>
    <row r="1975">
      <c r="H1975" s="273" t="s">
        <v>325</v>
      </c>
    </row>
    <row r="1976">
      <c r="H1976" s="273" t="s">
        <v>325</v>
      </c>
    </row>
    <row r="1977">
      <c r="H1977" s="273" t="s">
        <v>325</v>
      </c>
    </row>
    <row r="1978">
      <c r="H1978" s="273" t="s">
        <v>325</v>
      </c>
    </row>
    <row r="1979">
      <c r="H1979" s="273" t="s">
        <v>325</v>
      </c>
    </row>
    <row r="1980">
      <c r="H1980" s="273" t="s">
        <v>325</v>
      </c>
    </row>
    <row r="1981">
      <c r="H1981" s="273" t="s">
        <v>325</v>
      </c>
    </row>
    <row r="1982">
      <c r="H1982" s="273" t="s">
        <v>325</v>
      </c>
    </row>
    <row r="1983">
      <c r="H1983" s="273" t="s">
        <v>325</v>
      </c>
    </row>
    <row r="1984">
      <c r="H1984" s="273" t="s">
        <v>325</v>
      </c>
    </row>
    <row r="1985">
      <c r="H1985" s="273" t="s">
        <v>325</v>
      </c>
    </row>
    <row r="1986">
      <c r="H1986" s="273" t="s">
        <v>325</v>
      </c>
    </row>
    <row r="1987">
      <c r="H1987" s="273" t="s">
        <v>325</v>
      </c>
    </row>
    <row r="1988">
      <c r="H1988" s="273" t="s">
        <v>325</v>
      </c>
    </row>
    <row r="1989">
      <c r="H1989" s="273" t="s">
        <v>325</v>
      </c>
    </row>
    <row r="1990">
      <c r="H1990" s="273" t="s">
        <v>325</v>
      </c>
    </row>
    <row r="1991">
      <c r="H1991" s="273" t="s">
        <v>325</v>
      </c>
    </row>
    <row r="1992">
      <c r="H1992" s="273" t="s">
        <v>325</v>
      </c>
    </row>
    <row r="1993">
      <c r="H1993" s="273" t="s">
        <v>325</v>
      </c>
    </row>
    <row r="1994">
      <c r="H1994" s="273" t="s">
        <v>325</v>
      </c>
    </row>
    <row r="1995">
      <c r="H1995" s="273" t="s">
        <v>325</v>
      </c>
    </row>
    <row r="1996">
      <c r="H1996" s="273" t="s">
        <v>325</v>
      </c>
    </row>
    <row r="1997">
      <c r="H1997" s="273" t="s">
        <v>325</v>
      </c>
    </row>
    <row r="1998">
      <c r="H1998" s="273" t="s">
        <v>325</v>
      </c>
    </row>
    <row r="1999">
      <c r="H1999" s="273" t="s">
        <v>325</v>
      </c>
    </row>
    <row r="2000">
      <c r="H2000" s="273" t="s">
        <v>325</v>
      </c>
    </row>
    <row r="2001">
      <c r="H2001" s="273" t="s">
        <v>325</v>
      </c>
    </row>
    <row r="2002">
      <c r="H2002" s="273" t="s">
        <v>325</v>
      </c>
    </row>
    <row r="2003">
      <c r="H2003" s="273" t="s">
        <v>325</v>
      </c>
    </row>
    <row r="2004">
      <c r="H2004" s="273" t="s">
        <v>325</v>
      </c>
    </row>
    <row r="2005">
      <c r="H2005" s="273" t="s">
        <v>325</v>
      </c>
    </row>
    <row r="2006">
      <c r="H2006" s="273" t="s">
        <v>325</v>
      </c>
    </row>
    <row r="2007">
      <c r="H2007" s="273" t="s">
        <v>325</v>
      </c>
    </row>
    <row r="2008">
      <c r="H2008" s="273" t="s">
        <v>325</v>
      </c>
    </row>
    <row r="2009">
      <c r="H2009" s="273" t="s">
        <v>325</v>
      </c>
    </row>
    <row r="2010">
      <c r="H2010" s="273" t="s">
        <v>325</v>
      </c>
    </row>
    <row r="2011">
      <c r="H2011" s="273" t="s">
        <v>325</v>
      </c>
    </row>
    <row r="2012">
      <c r="H2012" s="273" t="s">
        <v>325</v>
      </c>
    </row>
    <row r="2013">
      <c r="H2013" s="273" t="s">
        <v>325</v>
      </c>
    </row>
    <row r="2014">
      <c r="H2014" s="273" t="s">
        <v>325</v>
      </c>
    </row>
    <row r="2015">
      <c r="H2015" s="273" t="s">
        <v>325</v>
      </c>
    </row>
    <row r="2016">
      <c r="H2016" s="273" t="s">
        <v>325</v>
      </c>
    </row>
    <row r="2017">
      <c r="H2017" s="273" t="s">
        <v>325</v>
      </c>
    </row>
    <row r="2018">
      <c r="H2018" s="273" t="s">
        <v>325</v>
      </c>
    </row>
    <row r="2019">
      <c r="H2019" s="273" t="s">
        <v>325</v>
      </c>
    </row>
    <row r="2020">
      <c r="H2020" s="273" t="s">
        <v>325</v>
      </c>
    </row>
    <row r="2021">
      <c r="H2021" s="273" t="s">
        <v>325</v>
      </c>
    </row>
    <row r="2022">
      <c r="H2022" s="273" t="s">
        <v>325</v>
      </c>
    </row>
    <row r="2023">
      <c r="H2023" s="273" t="s">
        <v>325</v>
      </c>
    </row>
    <row r="2024">
      <c r="H2024" s="273" t="s">
        <v>325</v>
      </c>
    </row>
    <row r="2025">
      <c r="H2025" s="273" t="s">
        <v>325</v>
      </c>
    </row>
    <row r="2026">
      <c r="H2026" s="273" t="s">
        <v>325</v>
      </c>
    </row>
    <row r="2027">
      <c r="H2027" s="273" t="s">
        <v>325</v>
      </c>
    </row>
    <row r="2028">
      <c r="H2028" s="273" t="s">
        <v>325</v>
      </c>
    </row>
    <row r="2029">
      <c r="H2029" s="273" t="s">
        <v>325</v>
      </c>
    </row>
    <row r="2030">
      <c r="H2030" s="273" t="s">
        <v>325</v>
      </c>
    </row>
    <row r="2031">
      <c r="H2031" s="273" t="s">
        <v>325</v>
      </c>
    </row>
    <row r="2032">
      <c r="H2032" s="273" t="s">
        <v>325</v>
      </c>
    </row>
    <row r="2033">
      <c r="H2033" s="273" t="s">
        <v>325</v>
      </c>
    </row>
    <row r="2034">
      <c r="H2034" s="273" t="s">
        <v>325</v>
      </c>
    </row>
    <row r="2035">
      <c r="H2035" s="273" t="s">
        <v>325</v>
      </c>
    </row>
    <row r="2036">
      <c r="H2036" s="273" t="s">
        <v>325</v>
      </c>
    </row>
    <row r="2037">
      <c r="H2037" s="273" t="s">
        <v>325</v>
      </c>
    </row>
    <row r="2038">
      <c r="H2038" s="273" t="s">
        <v>325</v>
      </c>
    </row>
    <row r="2039">
      <c r="H2039" s="273" t="s">
        <v>325</v>
      </c>
    </row>
    <row r="2040">
      <c r="H2040" s="273" t="s">
        <v>325</v>
      </c>
    </row>
    <row r="2041">
      <c r="H2041" s="273" t="s">
        <v>325</v>
      </c>
    </row>
    <row r="2042">
      <c r="H2042" s="273" t="s">
        <v>325</v>
      </c>
    </row>
    <row r="2043">
      <c r="H2043" s="273" t="s">
        <v>325</v>
      </c>
    </row>
    <row r="2044">
      <c r="H2044" s="273" t="s">
        <v>325</v>
      </c>
    </row>
    <row r="2045">
      <c r="H2045" s="273" t="s">
        <v>325</v>
      </c>
    </row>
    <row r="2046">
      <c r="H2046" s="273" t="s">
        <v>325</v>
      </c>
    </row>
    <row r="2047">
      <c r="H2047" s="273" t="s">
        <v>325</v>
      </c>
    </row>
    <row r="2048">
      <c r="H2048" s="273" t="s">
        <v>325</v>
      </c>
    </row>
    <row r="2049">
      <c r="H2049" s="273" t="s">
        <v>325</v>
      </c>
    </row>
    <row r="2050">
      <c r="H2050" s="273" t="s">
        <v>325</v>
      </c>
    </row>
    <row r="2051">
      <c r="H2051" s="273" t="s">
        <v>325</v>
      </c>
    </row>
    <row r="2052">
      <c r="H2052" s="273" t="s">
        <v>325</v>
      </c>
    </row>
    <row r="2053">
      <c r="H2053" s="273" t="s">
        <v>325</v>
      </c>
    </row>
    <row r="2054">
      <c r="H2054" s="273" t="s">
        <v>325</v>
      </c>
    </row>
    <row r="2055">
      <c r="H2055" s="273" t="s">
        <v>325</v>
      </c>
    </row>
    <row r="2056">
      <c r="H2056" s="273" t="s">
        <v>325</v>
      </c>
    </row>
    <row r="2057">
      <c r="H2057" s="273" t="s">
        <v>325</v>
      </c>
    </row>
    <row r="2058">
      <c r="H2058" s="273" t="s">
        <v>325</v>
      </c>
    </row>
    <row r="2059">
      <c r="H2059" s="273" t="s">
        <v>325</v>
      </c>
    </row>
    <row r="2060">
      <c r="H2060" s="273" t="s">
        <v>325</v>
      </c>
    </row>
    <row r="2061">
      <c r="H2061" s="273" t="s">
        <v>325</v>
      </c>
    </row>
    <row r="2062">
      <c r="H2062" s="273" t="s">
        <v>325</v>
      </c>
    </row>
    <row r="2063">
      <c r="H2063" s="273" t="s">
        <v>325</v>
      </c>
    </row>
    <row r="2064">
      <c r="H2064" s="273" t="s">
        <v>325</v>
      </c>
    </row>
    <row r="2065">
      <c r="H2065" s="273" t="s">
        <v>325</v>
      </c>
    </row>
    <row r="2066">
      <c r="H2066" s="273" t="s">
        <v>325</v>
      </c>
    </row>
    <row r="2067">
      <c r="H2067" s="273" t="s">
        <v>325</v>
      </c>
    </row>
    <row r="2068">
      <c r="H2068" s="273" t="s">
        <v>325</v>
      </c>
    </row>
    <row r="2069">
      <c r="H2069" s="273" t="s">
        <v>325</v>
      </c>
    </row>
    <row r="2070">
      <c r="H2070" s="273" t="s">
        <v>325</v>
      </c>
    </row>
    <row r="2071">
      <c r="H2071" s="273" t="s">
        <v>325</v>
      </c>
    </row>
    <row r="2072">
      <c r="H2072" s="273" t="s">
        <v>325</v>
      </c>
    </row>
    <row r="2073">
      <c r="H2073" s="273" t="s">
        <v>325</v>
      </c>
    </row>
    <row r="2074">
      <c r="H2074" s="273" t="s">
        <v>325</v>
      </c>
    </row>
    <row r="2075">
      <c r="H2075" s="273" t="s">
        <v>325</v>
      </c>
    </row>
    <row r="2076">
      <c r="H2076" s="273" t="s">
        <v>325</v>
      </c>
    </row>
    <row r="2077">
      <c r="H2077" s="273" t="s">
        <v>325</v>
      </c>
    </row>
    <row r="2078">
      <c r="H2078" s="273" t="s">
        <v>325</v>
      </c>
    </row>
    <row r="2079">
      <c r="H2079" s="273" t="s">
        <v>325</v>
      </c>
    </row>
    <row r="2080">
      <c r="H2080" s="273" t="s">
        <v>325</v>
      </c>
    </row>
    <row r="2081">
      <c r="H2081" s="273" t="s">
        <v>325</v>
      </c>
    </row>
    <row r="2082">
      <c r="H2082" s="273" t="s">
        <v>325</v>
      </c>
    </row>
    <row r="2083">
      <c r="H2083" s="273" t="s">
        <v>325</v>
      </c>
    </row>
    <row r="2084">
      <c r="H2084" s="273" t="s">
        <v>325</v>
      </c>
    </row>
    <row r="2085">
      <c r="H2085" s="273" t="s">
        <v>325</v>
      </c>
    </row>
    <row r="2086">
      <c r="H2086" s="273" t="s">
        <v>325</v>
      </c>
    </row>
    <row r="2087">
      <c r="H2087" s="273" t="s">
        <v>325</v>
      </c>
    </row>
    <row r="2088">
      <c r="H2088" s="273" t="s">
        <v>325</v>
      </c>
    </row>
    <row r="2089">
      <c r="H2089" s="273" t="s">
        <v>325</v>
      </c>
    </row>
    <row r="2090">
      <c r="H2090" s="273" t="s">
        <v>325</v>
      </c>
    </row>
    <row r="2091">
      <c r="H2091" s="273" t="s">
        <v>325</v>
      </c>
    </row>
    <row r="2092">
      <c r="H2092" s="273" t="s">
        <v>325</v>
      </c>
    </row>
    <row r="2093">
      <c r="H2093" s="273" t="s">
        <v>325</v>
      </c>
    </row>
    <row r="2094">
      <c r="H2094" s="273" t="s">
        <v>325</v>
      </c>
    </row>
    <row r="2095">
      <c r="H2095" s="273" t="s">
        <v>325</v>
      </c>
    </row>
    <row r="2096">
      <c r="H2096" s="273" t="s">
        <v>325</v>
      </c>
    </row>
    <row r="2097">
      <c r="H2097" s="273" t="s">
        <v>325</v>
      </c>
    </row>
    <row r="2098">
      <c r="H2098" s="273" t="s">
        <v>325</v>
      </c>
    </row>
    <row r="2099">
      <c r="H2099" s="273" t="s">
        <v>325</v>
      </c>
    </row>
    <row r="2100">
      <c r="H2100" s="273" t="s">
        <v>325</v>
      </c>
    </row>
    <row r="2101">
      <c r="H2101" s="273" t="s">
        <v>325</v>
      </c>
    </row>
    <row r="2102">
      <c r="H2102" s="273" t="s">
        <v>325</v>
      </c>
    </row>
    <row r="2103">
      <c r="H2103" s="273" t="s">
        <v>325</v>
      </c>
    </row>
    <row r="2104">
      <c r="H2104" s="273" t="s">
        <v>325</v>
      </c>
    </row>
    <row r="2105">
      <c r="H2105" s="273" t="s">
        <v>325</v>
      </c>
    </row>
    <row r="2106">
      <c r="H2106" s="273" t="s">
        <v>325</v>
      </c>
    </row>
    <row r="2107">
      <c r="H2107" s="273" t="s">
        <v>325</v>
      </c>
    </row>
    <row r="2108">
      <c r="H2108" s="273" t="s">
        <v>325</v>
      </c>
    </row>
    <row r="2109">
      <c r="H2109" s="273" t="s">
        <v>325</v>
      </c>
    </row>
    <row r="2110">
      <c r="H2110" s="273" t="s">
        <v>325</v>
      </c>
    </row>
    <row r="2111">
      <c r="H2111" s="273" t="s">
        <v>325</v>
      </c>
    </row>
    <row r="2112">
      <c r="H2112" s="273" t="s">
        <v>325</v>
      </c>
    </row>
    <row r="2113">
      <c r="H2113" s="273" t="s">
        <v>325</v>
      </c>
    </row>
    <row r="2114">
      <c r="H2114" s="273" t="s">
        <v>325</v>
      </c>
    </row>
    <row r="2115">
      <c r="H2115" s="273" t="s">
        <v>325</v>
      </c>
    </row>
    <row r="2116">
      <c r="H2116" s="273" t="s">
        <v>325</v>
      </c>
    </row>
    <row r="2117">
      <c r="H2117" s="273" t="s">
        <v>325</v>
      </c>
    </row>
    <row r="2118">
      <c r="H2118" s="273" t="s">
        <v>325</v>
      </c>
    </row>
    <row r="2119">
      <c r="H2119" s="273" t="s">
        <v>325</v>
      </c>
    </row>
    <row r="2120">
      <c r="H2120" s="273" t="s">
        <v>325</v>
      </c>
    </row>
    <row r="2121">
      <c r="H2121" s="273" t="s">
        <v>325</v>
      </c>
    </row>
    <row r="2122">
      <c r="H2122" s="273" t="s">
        <v>325</v>
      </c>
    </row>
    <row r="2123">
      <c r="H2123" s="273" t="s">
        <v>325</v>
      </c>
    </row>
    <row r="2124">
      <c r="H2124" s="273" t="s">
        <v>325</v>
      </c>
    </row>
    <row r="2125">
      <c r="H2125" s="273" t="s">
        <v>325</v>
      </c>
    </row>
    <row r="2126">
      <c r="H2126" s="273" t="s">
        <v>325</v>
      </c>
    </row>
    <row r="2127">
      <c r="H2127" s="273" t="s">
        <v>325</v>
      </c>
    </row>
    <row r="2128">
      <c r="H2128" s="273" t="s">
        <v>325</v>
      </c>
    </row>
    <row r="2129">
      <c r="H2129" s="273" t="s">
        <v>325</v>
      </c>
    </row>
    <row r="2130">
      <c r="H2130" s="273" t="s">
        <v>325</v>
      </c>
    </row>
    <row r="2131">
      <c r="H2131" s="273" t="s">
        <v>325</v>
      </c>
    </row>
    <row r="2132">
      <c r="H2132" s="273" t="s">
        <v>325</v>
      </c>
    </row>
    <row r="2133">
      <c r="H2133" s="273" t="s">
        <v>325</v>
      </c>
    </row>
    <row r="2134">
      <c r="H2134" s="273" t="s">
        <v>325</v>
      </c>
    </row>
    <row r="2135">
      <c r="H2135" s="273" t="s">
        <v>325</v>
      </c>
    </row>
    <row r="2136">
      <c r="H2136" s="273" t="s">
        <v>325</v>
      </c>
    </row>
    <row r="2137">
      <c r="H2137" s="273" t="s">
        <v>325</v>
      </c>
    </row>
    <row r="2138">
      <c r="H2138" s="273" t="s">
        <v>325</v>
      </c>
    </row>
    <row r="2139">
      <c r="H2139" s="273" t="s">
        <v>325</v>
      </c>
    </row>
    <row r="2140">
      <c r="H2140" s="273" t="s">
        <v>325</v>
      </c>
    </row>
    <row r="2141">
      <c r="H2141" s="273" t="s">
        <v>325</v>
      </c>
    </row>
    <row r="2142">
      <c r="H2142" s="273" t="s">
        <v>325</v>
      </c>
    </row>
    <row r="2143">
      <c r="H2143" s="273" t="s">
        <v>325</v>
      </c>
    </row>
    <row r="2144">
      <c r="H2144" s="273" t="s">
        <v>325</v>
      </c>
    </row>
    <row r="2145">
      <c r="H2145" s="273" t="s">
        <v>325</v>
      </c>
    </row>
    <row r="2146">
      <c r="H2146" s="273" t="s">
        <v>325</v>
      </c>
    </row>
    <row r="2147">
      <c r="H2147" s="273" t="s">
        <v>325</v>
      </c>
    </row>
    <row r="2148">
      <c r="H2148" s="273" t="s">
        <v>325</v>
      </c>
    </row>
    <row r="2149">
      <c r="H2149" s="273" t="s">
        <v>325</v>
      </c>
    </row>
    <row r="2150">
      <c r="H2150" s="273" t="s">
        <v>325</v>
      </c>
    </row>
    <row r="2151">
      <c r="H2151" s="273" t="s">
        <v>325</v>
      </c>
    </row>
    <row r="2152">
      <c r="H2152" s="273" t="s">
        <v>325</v>
      </c>
    </row>
    <row r="2153">
      <c r="H2153" s="273" t="s">
        <v>325</v>
      </c>
    </row>
    <row r="2154">
      <c r="H2154" s="273" t="s">
        <v>325</v>
      </c>
    </row>
    <row r="2155">
      <c r="H2155" s="273" t="s">
        <v>325</v>
      </c>
    </row>
    <row r="2156">
      <c r="H2156" s="273" t="s">
        <v>325</v>
      </c>
    </row>
    <row r="2157">
      <c r="H2157" s="273" t="s">
        <v>325</v>
      </c>
    </row>
    <row r="2158">
      <c r="H2158" s="273" t="s">
        <v>325</v>
      </c>
    </row>
    <row r="2159">
      <c r="H2159" s="273" t="s">
        <v>325</v>
      </c>
    </row>
    <row r="2160">
      <c r="H2160" s="273" t="s">
        <v>325</v>
      </c>
    </row>
    <row r="2161">
      <c r="H2161" s="273" t="s">
        <v>325</v>
      </c>
    </row>
    <row r="2162">
      <c r="H2162" s="273" t="s">
        <v>325</v>
      </c>
    </row>
    <row r="2163">
      <c r="H2163" s="273" t="s">
        <v>325</v>
      </c>
    </row>
    <row r="2164">
      <c r="H2164" s="273" t="s">
        <v>325</v>
      </c>
    </row>
    <row r="2165">
      <c r="H2165" s="273" t="s">
        <v>325</v>
      </c>
    </row>
    <row r="2166">
      <c r="H2166" s="273" t="s">
        <v>325</v>
      </c>
    </row>
    <row r="2167">
      <c r="H2167" s="273" t="s">
        <v>325</v>
      </c>
    </row>
    <row r="2168">
      <c r="H2168" s="273" t="s">
        <v>325</v>
      </c>
    </row>
    <row r="2169">
      <c r="H2169" s="273" t="s">
        <v>325</v>
      </c>
    </row>
    <row r="2170">
      <c r="H2170" s="273" t="s">
        <v>325</v>
      </c>
    </row>
    <row r="2171">
      <c r="H2171" s="273" t="s">
        <v>325</v>
      </c>
    </row>
    <row r="2172">
      <c r="H2172" s="273" t="s">
        <v>325</v>
      </c>
    </row>
    <row r="2173">
      <c r="H2173" s="273" t="s">
        <v>325</v>
      </c>
    </row>
    <row r="2174">
      <c r="H2174" s="273" t="s">
        <v>325</v>
      </c>
    </row>
    <row r="2175">
      <c r="H2175" s="273" t="s">
        <v>325</v>
      </c>
    </row>
    <row r="2176">
      <c r="H2176" s="273" t="s">
        <v>325</v>
      </c>
    </row>
    <row r="2177">
      <c r="H2177" s="273" t="s">
        <v>325</v>
      </c>
    </row>
    <row r="2178">
      <c r="H2178" s="273" t="s">
        <v>325</v>
      </c>
    </row>
    <row r="2179">
      <c r="H2179" s="273" t="s">
        <v>325</v>
      </c>
    </row>
    <row r="2180">
      <c r="H2180" s="273" t="s">
        <v>325</v>
      </c>
    </row>
    <row r="2181">
      <c r="H2181" s="273" t="s">
        <v>325</v>
      </c>
    </row>
    <row r="2182">
      <c r="H2182" s="273" t="s">
        <v>325</v>
      </c>
    </row>
    <row r="2183">
      <c r="H2183" s="273" t="s">
        <v>325</v>
      </c>
    </row>
    <row r="2184">
      <c r="H2184" s="273" t="s">
        <v>325</v>
      </c>
    </row>
    <row r="2185">
      <c r="H2185" s="273" t="s">
        <v>325</v>
      </c>
    </row>
    <row r="2186">
      <c r="H2186" s="273" t="s">
        <v>325</v>
      </c>
    </row>
    <row r="2187">
      <c r="H2187" s="273" t="s">
        <v>325</v>
      </c>
    </row>
    <row r="2188">
      <c r="H2188" s="273" t="s">
        <v>325</v>
      </c>
    </row>
    <row r="2189">
      <c r="H2189" s="273" t="s">
        <v>325</v>
      </c>
    </row>
    <row r="2190">
      <c r="H2190" s="273" t="s">
        <v>325</v>
      </c>
    </row>
    <row r="2191">
      <c r="H2191" s="273" t="s">
        <v>325</v>
      </c>
    </row>
    <row r="2192">
      <c r="H2192" s="273" t="s">
        <v>325</v>
      </c>
    </row>
    <row r="2193">
      <c r="H2193" s="273" t="s">
        <v>325</v>
      </c>
    </row>
    <row r="2194">
      <c r="H2194" s="273" t="s">
        <v>325</v>
      </c>
    </row>
    <row r="2195">
      <c r="H2195" s="273" t="s">
        <v>325</v>
      </c>
    </row>
    <row r="2196">
      <c r="H2196" s="273" t="s">
        <v>325</v>
      </c>
    </row>
    <row r="2197">
      <c r="H2197" s="273" t="s">
        <v>325</v>
      </c>
    </row>
    <row r="2198">
      <c r="H2198" s="273" t="s">
        <v>325</v>
      </c>
    </row>
    <row r="2199">
      <c r="H2199" s="273" t="s">
        <v>325</v>
      </c>
    </row>
    <row r="2200">
      <c r="H2200" s="273" t="s">
        <v>325</v>
      </c>
    </row>
    <row r="2201">
      <c r="H2201" s="273" t="s">
        <v>325</v>
      </c>
    </row>
    <row r="2202">
      <c r="H2202" s="273" t="s">
        <v>325</v>
      </c>
    </row>
    <row r="2203">
      <c r="H2203" s="273" t="s">
        <v>325</v>
      </c>
    </row>
    <row r="2204">
      <c r="H2204" s="273" t="s">
        <v>325</v>
      </c>
    </row>
    <row r="2205">
      <c r="H2205" s="273" t="s">
        <v>325</v>
      </c>
    </row>
    <row r="2206">
      <c r="H2206" s="273" t="s">
        <v>325</v>
      </c>
    </row>
    <row r="2207">
      <c r="H2207" s="273" t="s">
        <v>325</v>
      </c>
    </row>
    <row r="2208">
      <c r="H2208" s="273" t="s">
        <v>325</v>
      </c>
    </row>
    <row r="2209">
      <c r="H2209" s="273" t="s">
        <v>325</v>
      </c>
    </row>
    <row r="2210">
      <c r="H2210" s="273" t="s">
        <v>325</v>
      </c>
    </row>
    <row r="2211">
      <c r="H2211" s="273" t="s">
        <v>325</v>
      </c>
    </row>
    <row r="2212">
      <c r="H2212" s="273" t="s">
        <v>325</v>
      </c>
    </row>
    <row r="2213">
      <c r="H2213" s="273" t="s">
        <v>325</v>
      </c>
    </row>
    <row r="2214">
      <c r="H2214" s="273" t="s">
        <v>325</v>
      </c>
    </row>
    <row r="2215">
      <c r="H2215" s="273" t="s">
        <v>325</v>
      </c>
    </row>
    <row r="2216">
      <c r="H2216" s="273" t="s">
        <v>325</v>
      </c>
    </row>
    <row r="2217">
      <c r="H2217" s="273" t="s">
        <v>325</v>
      </c>
    </row>
    <row r="2218">
      <c r="H2218" s="273" t="s">
        <v>325</v>
      </c>
    </row>
    <row r="2219">
      <c r="H2219" s="273" t="s">
        <v>325</v>
      </c>
    </row>
    <row r="2220">
      <c r="H2220" s="273" t="s">
        <v>325</v>
      </c>
    </row>
    <row r="2221">
      <c r="H2221" s="273" t="s">
        <v>325</v>
      </c>
    </row>
    <row r="2222">
      <c r="H2222" s="273" t="s">
        <v>325</v>
      </c>
    </row>
    <row r="2223">
      <c r="H2223" s="273" t="s">
        <v>325</v>
      </c>
    </row>
    <row r="2224">
      <c r="H2224" s="273" t="s">
        <v>325</v>
      </c>
    </row>
    <row r="2225">
      <c r="H2225" s="273" t="s">
        <v>325</v>
      </c>
    </row>
    <row r="2226">
      <c r="H2226" s="273" t="s">
        <v>325</v>
      </c>
    </row>
    <row r="2227">
      <c r="H2227" s="273" t="s">
        <v>325</v>
      </c>
    </row>
    <row r="2228">
      <c r="H2228" s="273" t="s">
        <v>325</v>
      </c>
    </row>
    <row r="2229">
      <c r="H2229" s="273" t="s">
        <v>325</v>
      </c>
    </row>
    <row r="2230">
      <c r="H2230" s="273" t="s">
        <v>325</v>
      </c>
    </row>
    <row r="2231">
      <c r="H2231" s="273" t="s">
        <v>325</v>
      </c>
    </row>
    <row r="2232">
      <c r="H2232" s="273" t="s">
        <v>325</v>
      </c>
    </row>
    <row r="2233">
      <c r="H2233" s="273" t="s">
        <v>325</v>
      </c>
    </row>
    <row r="2234">
      <c r="H2234" s="273" t="s">
        <v>325</v>
      </c>
    </row>
    <row r="2235">
      <c r="H2235" s="273" t="s">
        <v>325</v>
      </c>
    </row>
    <row r="2236">
      <c r="H2236" s="273" t="s">
        <v>325</v>
      </c>
    </row>
    <row r="2237">
      <c r="H2237" s="273" t="s">
        <v>325</v>
      </c>
    </row>
    <row r="2238">
      <c r="H2238" s="273" t="s">
        <v>325</v>
      </c>
    </row>
    <row r="2239">
      <c r="H2239" s="273" t="s">
        <v>325</v>
      </c>
    </row>
    <row r="2240">
      <c r="H2240" s="273" t="s">
        <v>325</v>
      </c>
    </row>
    <row r="2241">
      <c r="H2241" s="273" t="s">
        <v>325</v>
      </c>
    </row>
    <row r="2242">
      <c r="H2242" s="273" t="s">
        <v>325</v>
      </c>
    </row>
    <row r="2243">
      <c r="H2243" s="273" t="s">
        <v>325</v>
      </c>
    </row>
    <row r="2244">
      <c r="H2244" s="273" t="s">
        <v>325</v>
      </c>
    </row>
    <row r="2245">
      <c r="H2245" s="273" t="s">
        <v>325</v>
      </c>
    </row>
    <row r="2246">
      <c r="H2246" s="273" t="s">
        <v>325</v>
      </c>
    </row>
    <row r="2247">
      <c r="H2247" s="273" t="s">
        <v>325</v>
      </c>
    </row>
    <row r="2248">
      <c r="H2248" s="273" t="s">
        <v>325</v>
      </c>
    </row>
    <row r="2249">
      <c r="H2249" s="273" t="s">
        <v>325</v>
      </c>
    </row>
    <row r="2250">
      <c r="H2250" s="273" t="s">
        <v>325</v>
      </c>
    </row>
    <row r="2251">
      <c r="H2251" s="273" t="s">
        <v>325</v>
      </c>
    </row>
    <row r="2252">
      <c r="H2252" s="273" t="s">
        <v>325</v>
      </c>
    </row>
    <row r="2253">
      <c r="H2253" s="273" t="s">
        <v>325</v>
      </c>
    </row>
    <row r="2254">
      <c r="H2254" s="273" t="s">
        <v>325</v>
      </c>
    </row>
    <row r="2255">
      <c r="H2255" s="273" t="s">
        <v>325</v>
      </c>
    </row>
    <row r="2256">
      <c r="H2256" s="273" t="s">
        <v>325</v>
      </c>
    </row>
    <row r="2257">
      <c r="H2257" s="273" t="s">
        <v>325</v>
      </c>
    </row>
    <row r="2258">
      <c r="H2258" s="273" t="s">
        <v>325</v>
      </c>
    </row>
    <row r="2259">
      <c r="H2259" s="273" t="s">
        <v>325</v>
      </c>
    </row>
    <row r="2260">
      <c r="H2260" s="273" t="s">
        <v>325</v>
      </c>
    </row>
    <row r="2261">
      <c r="H2261" s="273" t="s">
        <v>325</v>
      </c>
    </row>
    <row r="2262">
      <c r="H2262" s="273" t="s">
        <v>325</v>
      </c>
    </row>
    <row r="2263">
      <c r="H2263" s="273" t="s">
        <v>325</v>
      </c>
    </row>
    <row r="2264">
      <c r="H2264" s="273" t="s">
        <v>325</v>
      </c>
    </row>
    <row r="2265">
      <c r="H2265" s="273" t="s">
        <v>325</v>
      </c>
    </row>
    <row r="2266">
      <c r="H2266" s="273" t="s">
        <v>325</v>
      </c>
    </row>
    <row r="2267">
      <c r="H2267" s="273" t="s">
        <v>325</v>
      </c>
    </row>
    <row r="2268">
      <c r="H2268" s="273" t="s">
        <v>325</v>
      </c>
    </row>
    <row r="2269">
      <c r="H2269" s="273" t="s">
        <v>325</v>
      </c>
    </row>
    <row r="2270">
      <c r="H2270" s="273" t="s">
        <v>325</v>
      </c>
    </row>
    <row r="2271">
      <c r="H2271" s="273" t="s">
        <v>325</v>
      </c>
    </row>
    <row r="2272">
      <c r="H2272" s="273" t="s">
        <v>325</v>
      </c>
    </row>
    <row r="2273">
      <c r="H2273" s="273" t="s">
        <v>325</v>
      </c>
    </row>
    <row r="2274">
      <c r="H2274" s="273" t="s">
        <v>325</v>
      </c>
    </row>
    <row r="2275">
      <c r="H2275" s="273" t="s">
        <v>325</v>
      </c>
    </row>
    <row r="2276">
      <c r="H2276" s="273" t="s">
        <v>325</v>
      </c>
    </row>
    <row r="2277">
      <c r="H2277" s="273" t="s">
        <v>325</v>
      </c>
    </row>
    <row r="2278">
      <c r="H2278" s="273" t="s">
        <v>325</v>
      </c>
    </row>
    <row r="2279">
      <c r="H2279" s="273" t="s">
        <v>325</v>
      </c>
    </row>
    <row r="2280">
      <c r="H2280" s="273" t="s">
        <v>325</v>
      </c>
    </row>
    <row r="2281">
      <c r="H2281" s="273" t="s">
        <v>325</v>
      </c>
    </row>
    <row r="2282">
      <c r="H2282" s="273" t="s">
        <v>325</v>
      </c>
    </row>
    <row r="2283">
      <c r="H2283" s="273" t="s">
        <v>325</v>
      </c>
    </row>
    <row r="2284">
      <c r="H2284" s="273" t="s">
        <v>325</v>
      </c>
    </row>
    <row r="2285">
      <c r="H2285" s="273" t="s">
        <v>325</v>
      </c>
    </row>
    <row r="2286">
      <c r="H2286" s="273" t="s">
        <v>325</v>
      </c>
    </row>
    <row r="2287">
      <c r="H2287" s="273" t="s">
        <v>325</v>
      </c>
    </row>
    <row r="2288">
      <c r="H2288" s="273" t="s">
        <v>325</v>
      </c>
    </row>
    <row r="2289">
      <c r="H2289" s="273" t="s">
        <v>325</v>
      </c>
    </row>
    <row r="2290">
      <c r="H2290" s="273" t="s">
        <v>325</v>
      </c>
    </row>
    <row r="2291">
      <c r="H2291" s="273" t="s">
        <v>325</v>
      </c>
    </row>
    <row r="2292">
      <c r="H2292" s="273" t="s">
        <v>325</v>
      </c>
    </row>
    <row r="2293">
      <c r="H2293" s="273" t="s">
        <v>325</v>
      </c>
    </row>
    <row r="2294">
      <c r="H2294" s="273" t="s">
        <v>325</v>
      </c>
    </row>
    <row r="2295">
      <c r="H2295" s="273" t="s">
        <v>325</v>
      </c>
    </row>
    <row r="2296">
      <c r="H2296" s="273" t="s">
        <v>325</v>
      </c>
    </row>
    <row r="2297">
      <c r="H2297" s="273" t="s">
        <v>325</v>
      </c>
    </row>
    <row r="2298">
      <c r="H2298" s="273" t="s">
        <v>325</v>
      </c>
    </row>
    <row r="2299">
      <c r="H2299" s="273" t="s">
        <v>325</v>
      </c>
    </row>
    <row r="2300">
      <c r="H2300" s="273" t="s">
        <v>325</v>
      </c>
    </row>
    <row r="2301">
      <c r="H2301" s="273" t="s">
        <v>325</v>
      </c>
    </row>
    <row r="2302">
      <c r="H2302" s="273" t="s">
        <v>325</v>
      </c>
    </row>
    <row r="2303">
      <c r="H2303" s="273" t="s">
        <v>325</v>
      </c>
    </row>
    <row r="2304">
      <c r="H2304" s="273" t="s">
        <v>325</v>
      </c>
    </row>
    <row r="2305">
      <c r="H2305" s="273" t="s">
        <v>325</v>
      </c>
    </row>
    <row r="2306">
      <c r="H2306" s="273" t="s">
        <v>325</v>
      </c>
    </row>
    <row r="2307">
      <c r="H2307" s="273" t="s">
        <v>325</v>
      </c>
    </row>
    <row r="2308">
      <c r="H2308" s="273" t="s">
        <v>325</v>
      </c>
    </row>
    <row r="2309">
      <c r="H2309" s="273" t="s">
        <v>325</v>
      </c>
    </row>
    <row r="2310">
      <c r="H2310" s="273" t="s">
        <v>325</v>
      </c>
    </row>
    <row r="2311">
      <c r="H2311" s="273" t="s">
        <v>325</v>
      </c>
    </row>
    <row r="2312">
      <c r="H2312" s="273" t="s">
        <v>325</v>
      </c>
    </row>
    <row r="2313">
      <c r="H2313" s="273" t="s">
        <v>325</v>
      </c>
    </row>
    <row r="2314">
      <c r="H2314" s="273" t="s">
        <v>325</v>
      </c>
    </row>
    <row r="2315">
      <c r="H2315" s="273" t="s">
        <v>325</v>
      </c>
    </row>
    <row r="2316">
      <c r="H2316" s="273" t="s">
        <v>325</v>
      </c>
    </row>
    <row r="2317">
      <c r="H2317" s="273" t="s">
        <v>325</v>
      </c>
    </row>
    <row r="2318">
      <c r="H2318" s="273" t="s">
        <v>325</v>
      </c>
    </row>
    <row r="2319">
      <c r="H2319" s="273" t="s">
        <v>325</v>
      </c>
    </row>
    <row r="2320">
      <c r="H2320" s="273" t="s">
        <v>325</v>
      </c>
    </row>
    <row r="2321">
      <c r="H2321" s="273" t="s">
        <v>325</v>
      </c>
    </row>
    <row r="2322">
      <c r="H2322" s="273" t="s">
        <v>325</v>
      </c>
    </row>
    <row r="2323">
      <c r="H2323" s="273" t="s">
        <v>325</v>
      </c>
    </row>
    <row r="2324">
      <c r="H2324" s="273" t="s">
        <v>325</v>
      </c>
    </row>
    <row r="2325">
      <c r="H2325" s="273" t="s">
        <v>325</v>
      </c>
    </row>
    <row r="2326">
      <c r="H2326" s="273" t="s">
        <v>325</v>
      </c>
    </row>
    <row r="2327">
      <c r="H2327" s="273" t="s">
        <v>325</v>
      </c>
    </row>
    <row r="2328">
      <c r="H2328" s="273" t="s">
        <v>325</v>
      </c>
    </row>
    <row r="2329">
      <c r="H2329" s="273" t="s">
        <v>325</v>
      </c>
    </row>
    <row r="2330">
      <c r="H2330" s="273" t="s">
        <v>325</v>
      </c>
    </row>
    <row r="2331">
      <c r="H2331" s="273" t="s">
        <v>325</v>
      </c>
    </row>
    <row r="2332">
      <c r="H2332" s="273" t="s">
        <v>325</v>
      </c>
    </row>
    <row r="2333">
      <c r="H2333" s="273" t="s">
        <v>325</v>
      </c>
    </row>
    <row r="2334">
      <c r="H2334" s="273" t="s">
        <v>325</v>
      </c>
    </row>
    <row r="2335">
      <c r="H2335" s="273" t="s">
        <v>325</v>
      </c>
    </row>
    <row r="2336">
      <c r="H2336" s="273" t="s">
        <v>325</v>
      </c>
    </row>
    <row r="2337">
      <c r="H2337" s="273" t="s">
        <v>325</v>
      </c>
    </row>
    <row r="2338">
      <c r="H2338" s="273" t="s">
        <v>325</v>
      </c>
    </row>
    <row r="2339">
      <c r="H2339" s="273" t="s">
        <v>325</v>
      </c>
    </row>
    <row r="2340">
      <c r="H2340" s="273" t="s">
        <v>325</v>
      </c>
    </row>
    <row r="2341">
      <c r="H2341" s="273" t="s">
        <v>325</v>
      </c>
    </row>
    <row r="2342">
      <c r="H2342" s="273" t="s">
        <v>325</v>
      </c>
    </row>
    <row r="2343">
      <c r="H2343" s="273" t="s">
        <v>325</v>
      </c>
    </row>
    <row r="2344">
      <c r="H2344" s="273" t="s">
        <v>325</v>
      </c>
    </row>
    <row r="2345">
      <c r="H2345" s="273" t="s">
        <v>325</v>
      </c>
    </row>
    <row r="2346">
      <c r="H2346" s="273" t="s">
        <v>325</v>
      </c>
    </row>
    <row r="2347">
      <c r="H2347" s="273" t="s">
        <v>325</v>
      </c>
    </row>
    <row r="2348">
      <c r="H2348" s="273" t="s">
        <v>325</v>
      </c>
    </row>
    <row r="2349">
      <c r="H2349" s="273" t="s">
        <v>325</v>
      </c>
    </row>
    <row r="2350">
      <c r="H2350" s="273" t="s">
        <v>325</v>
      </c>
    </row>
    <row r="2351">
      <c r="H2351" s="273" t="s">
        <v>325</v>
      </c>
    </row>
    <row r="2352">
      <c r="H2352" s="273" t="s">
        <v>325</v>
      </c>
    </row>
    <row r="2353">
      <c r="H2353" s="273" t="s">
        <v>325</v>
      </c>
    </row>
    <row r="2354">
      <c r="H2354" s="273" t="s">
        <v>325</v>
      </c>
    </row>
    <row r="2355">
      <c r="H2355" s="273" t="s">
        <v>325</v>
      </c>
    </row>
    <row r="2356">
      <c r="H2356" s="273" t="s">
        <v>325</v>
      </c>
    </row>
    <row r="2357">
      <c r="H2357" s="273" t="s">
        <v>325</v>
      </c>
    </row>
    <row r="2358">
      <c r="H2358" s="273" t="s">
        <v>325</v>
      </c>
    </row>
    <row r="2359">
      <c r="H2359" s="273" t="s">
        <v>325</v>
      </c>
    </row>
    <row r="2360">
      <c r="H2360" s="273" t="s">
        <v>325</v>
      </c>
    </row>
    <row r="2361">
      <c r="H2361" s="273" t="s">
        <v>325</v>
      </c>
    </row>
    <row r="2362">
      <c r="H2362" s="273" t="s">
        <v>325</v>
      </c>
    </row>
    <row r="2363">
      <c r="H2363" s="273" t="s">
        <v>325</v>
      </c>
    </row>
    <row r="2364">
      <c r="H2364" s="273" t="s">
        <v>325</v>
      </c>
    </row>
    <row r="2365">
      <c r="H2365" s="273" t="s">
        <v>325</v>
      </c>
    </row>
    <row r="2366">
      <c r="H2366" s="273" t="s">
        <v>325</v>
      </c>
    </row>
    <row r="2367">
      <c r="H2367" s="273" t="s">
        <v>325</v>
      </c>
    </row>
    <row r="2368">
      <c r="H2368" s="273" t="s">
        <v>325</v>
      </c>
    </row>
    <row r="2369">
      <c r="H2369" s="273" t="s">
        <v>325</v>
      </c>
    </row>
    <row r="2370">
      <c r="H2370" s="273" t="s">
        <v>325</v>
      </c>
    </row>
    <row r="2371">
      <c r="H2371" s="273" t="s">
        <v>325</v>
      </c>
    </row>
    <row r="2372">
      <c r="H2372" s="273" t="s">
        <v>325</v>
      </c>
    </row>
    <row r="2373">
      <c r="H2373" s="273" t="s">
        <v>325</v>
      </c>
    </row>
    <row r="2374">
      <c r="H2374" s="273" t="s">
        <v>325</v>
      </c>
    </row>
    <row r="2375">
      <c r="H2375" s="273" t="s">
        <v>325</v>
      </c>
    </row>
    <row r="2376">
      <c r="H2376" s="273" t="s">
        <v>325</v>
      </c>
    </row>
    <row r="2377">
      <c r="H2377" s="273" t="s">
        <v>325</v>
      </c>
    </row>
    <row r="2378">
      <c r="H2378" s="273" t="s">
        <v>325</v>
      </c>
    </row>
    <row r="2379">
      <c r="H2379" s="273" t="s">
        <v>325</v>
      </c>
    </row>
    <row r="2380">
      <c r="H2380" s="273" t="s">
        <v>325</v>
      </c>
    </row>
    <row r="2381">
      <c r="H2381" s="273" t="s">
        <v>325</v>
      </c>
    </row>
    <row r="2382">
      <c r="H2382" s="273" t="s">
        <v>325</v>
      </c>
    </row>
    <row r="2383">
      <c r="H2383" s="273" t="s">
        <v>325</v>
      </c>
    </row>
    <row r="2384">
      <c r="H2384" s="273" t="s">
        <v>325</v>
      </c>
    </row>
    <row r="2385">
      <c r="H2385" s="273" t="s">
        <v>325</v>
      </c>
    </row>
    <row r="2386">
      <c r="H2386" s="273" t="s">
        <v>325</v>
      </c>
    </row>
    <row r="2387">
      <c r="H2387" s="273" t="s">
        <v>325</v>
      </c>
    </row>
    <row r="2388">
      <c r="H2388" s="273" t="s">
        <v>325</v>
      </c>
    </row>
    <row r="2389">
      <c r="H2389" s="273" t="s">
        <v>325</v>
      </c>
    </row>
    <row r="2390">
      <c r="H2390" s="273" t="s">
        <v>325</v>
      </c>
    </row>
    <row r="2391">
      <c r="H2391" s="273" t="s">
        <v>325</v>
      </c>
    </row>
    <row r="2392">
      <c r="H2392" s="273" t="s">
        <v>325</v>
      </c>
    </row>
    <row r="2393">
      <c r="H2393" s="273" t="s">
        <v>325</v>
      </c>
    </row>
    <row r="2394">
      <c r="H2394" s="273" t="s">
        <v>325</v>
      </c>
    </row>
    <row r="2395">
      <c r="H2395" s="273" t="s">
        <v>325</v>
      </c>
    </row>
    <row r="2396">
      <c r="H2396" s="273" t="s">
        <v>325</v>
      </c>
    </row>
    <row r="2397">
      <c r="H2397" s="273" t="s">
        <v>325</v>
      </c>
    </row>
    <row r="2398">
      <c r="H2398" s="273" t="s">
        <v>325</v>
      </c>
    </row>
    <row r="2399">
      <c r="H2399" s="273" t="s">
        <v>325</v>
      </c>
    </row>
    <row r="2400">
      <c r="H2400" s="273" t="s">
        <v>325</v>
      </c>
    </row>
    <row r="2401">
      <c r="H2401" s="273" t="s">
        <v>325</v>
      </c>
    </row>
    <row r="2402">
      <c r="H2402" s="273" t="s">
        <v>325</v>
      </c>
    </row>
    <row r="2403">
      <c r="H2403" s="273" t="s">
        <v>325</v>
      </c>
    </row>
    <row r="2404">
      <c r="H2404" s="273" t="s">
        <v>325</v>
      </c>
    </row>
    <row r="2405">
      <c r="H2405" s="273" t="s">
        <v>325</v>
      </c>
    </row>
    <row r="2406">
      <c r="H2406" s="273" t="s">
        <v>325</v>
      </c>
    </row>
    <row r="2407">
      <c r="H2407" s="273" t="s">
        <v>325</v>
      </c>
    </row>
    <row r="2408">
      <c r="H2408" s="273" t="s">
        <v>325</v>
      </c>
    </row>
    <row r="2409">
      <c r="H2409" s="273" t="s">
        <v>325</v>
      </c>
    </row>
    <row r="2410">
      <c r="H2410" s="273" t="s">
        <v>325</v>
      </c>
    </row>
    <row r="2411">
      <c r="H2411" s="273" t="s">
        <v>325</v>
      </c>
    </row>
    <row r="2412">
      <c r="H2412" s="273" t="s">
        <v>325</v>
      </c>
    </row>
    <row r="2413">
      <c r="H2413" s="273" t="s">
        <v>325</v>
      </c>
    </row>
    <row r="2414">
      <c r="H2414" s="273" t="s">
        <v>325</v>
      </c>
    </row>
    <row r="2415">
      <c r="H2415" s="273" t="s">
        <v>325</v>
      </c>
    </row>
    <row r="2416">
      <c r="H2416" s="273" t="s">
        <v>325</v>
      </c>
    </row>
    <row r="2417">
      <c r="H2417" s="273" t="s">
        <v>325</v>
      </c>
    </row>
    <row r="2418">
      <c r="H2418" s="273" t="s">
        <v>325</v>
      </c>
    </row>
    <row r="2419">
      <c r="H2419" s="273" t="s">
        <v>325</v>
      </c>
    </row>
    <row r="2420">
      <c r="H2420" s="273" t="s">
        <v>325</v>
      </c>
    </row>
    <row r="2421">
      <c r="H2421" s="273" t="s">
        <v>325</v>
      </c>
    </row>
    <row r="2422">
      <c r="H2422" s="273" t="s">
        <v>325</v>
      </c>
    </row>
    <row r="2423">
      <c r="H2423" s="273" t="s">
        <v>325</v>
      </c>
    </row>
    <row r="2424">
      <c r="H2424" s="273" t="s">
        <v>325</v>
      </c>
    </row>
    <row r="2425">
      <c r="H2425" s="273" t="s">
        <v>325</v>
      </c>
    </row>
    <row r="2426">
      <c r="H2426" s="273" t="s">
        <v>325</v>
      </c>
    </row>
    <row r="2427">
      <c r="H2427" s="273" t="s">
        <v>325</v>
      </c>
    </row>
    <row r="2428">
      <c r="H2428" s="273" t="s">
        <v>325</v>
      </c>
    </row>
    <row r="2429">
      <c r="H2429" s="273" t="s">
        <v>325</v>
      </c>
    </row>
    <row r="2430">
      <c r="H2430" s="273" t="s">
        <v>325</v>
      </c>
    </row>
    <row r="2431">
      <c r="H2431" s="273" t="s">
        <v>325</v>
      </c>
    </row>
    <row r="2432">
      <c r="H2432" s="273" t="s">
        <v>325</v>
      </c>
    </row>
    <row r="2433">
      <c r="H2433" s="273" t="s">
        <v>325</v>
      </c>
    </row>
    <row r="2434">
      <c r="H2434" s="273" t="s">
        <v>325</v>
      </c>
    </row>
    <row r="2435">
      <c r="H2435" s="273" t="s">
        <v>325</v>
      </c>
    </row>
    <row r="2436">
      <c r="H2436" s="273" t="s">
        <v>325</v>
      </c>
    </row>
    <row r="2437">
      <c r="H2437" s="273" t="s">
        <v>325</v>
      </c>
    </row>
    <row r="2438">
      <c r="H2438" s="273" t="s">
        <v>325</v>
      </c>
    </row>
    <row r="2439">
      <c r="H2439" s="273" t="s">
        <v>325</v>
      </c>
    </row>
    <row r="2440">
      <c r="H2440" s="273" t="s">
        <v>325</v>
      </c>
    </row>
    <row r="2441">
      <c r="H2441" s="273" t="s">
        <v>325</v>
      </c>
    </row>
    <row r="2442">
      <c r="H2442" s="273" t="s">
        <v>325</v>
      </c>
    </row>
    <row r="2443">
      <c r="H2443" s="273" t="s">
        <v>325</v>
      </c>
    </row>
    <row r="2444">
      <c r="H2444" s="273" t="s">
        <v>325</v>
      </c>
    </row>
    <row r="2445">
      <c r="H2445" s="273" t="s">
        <v>325</v>
      </c>
    </row>
    <row r="2446">
      <c r="H2446" s="273" t="s">
        <v>325</v>
      </c>
    </row>
    <row r="2447">
      <c r="H2447" s="273" t="s">
        <v>325</v>
      </c>
    </row>
    <row r="2448">
      <c r="H2448" s="273" t="s">
        <v>325</v>
      </c>
    </row>
    <row r="2449">
      <c r="H2449" s="273" t="s">
        <v>325</v>
      </c>
    </row>
    <row r="2450">
      <c r="H2450" s="273" t="s">
        <v>325</v>
      </c>
    </row>
    <row r="2451">
      <c r="H2451" s="273" t="s">
        <v>325</v>
      </c>
    </row>
    <row r="2452">
      <c r="H2452" s="273" t="s">
        <v>325</v>
      </c>
    </row>
    <row r="2453">
      <c r="H2453" s="273" t="s">
        <v>325</v>
      </c>
    </row>
    <row r="2454">
      <c r="H2454" s="273" t="s">
        <v>325</v>
      </c>
    </row>
    <row r="2455">
      <c r="H2455" s="273" t="s">
        <v>325</v>
      </c>
    </row>
    <row r="2456">
      <c r="H2456" s="273" t="s">
        <v>325</v>
      </c>
    </row>
    <row r="2457">
      <c r="H2457" s="273" t="s">
        <v>325</v>
      </c>
    </row>
    <row r="2458">
      <c r="H2458" s="273" t="s">
        <v>325</v>
      </c>
    </row>
    <row r="2459">
      <c r="H2459" s="273" t="s">
        <v>325</v>
      </c>
    </row>
    <row r="2460">
      <c r="H2460" s="273" t="s">
        <v>325</v>
      </c>
    </row>
    <row r="2461">
      <c r="H2461" s="273" t="s">
        <v>325</v>
      </c>
    </row>
    <row r="2462">
      <c r="H2462" s="273" t="s">
        <v>325</v>
      </c>
    </row>
    <row r="2463">
      <c r="H2463" s="273" t="s">
        <v>325</v>
      </c>
    </row>
    <row r="2464">
      <c r="H2464" s="273" t="s">
        <v>325</v>
      </c>
    </row>
    <row r="2465">
      <c r="H2465" s="273" t="s">
        <v>325</v>
      </c>
    </row>
    <row r="2466">
      <c r="H2466" s="273" t="s">
        <v>325</v>
      </c>
    </row>
    <row r="2467">
      <c r="H2467" s="273" t="s">
        <v>325</v>
      </c>
    </row>
    <row r="2468">
      <c r="H2468" s="273" t="s">
        <v>325</v>
      </c>
    </row>
    <row r="2469">
      <c r="H2469" s="273" t="s">
        <v>325</v>
      </c>
    </row>
    <row r="2470">
      <c r="H2470" s="273" t="s">
        <v>325</v>
      </c>
    </row>
    <row r="2471">
      <c r="H2471" s="273" t="s">
        <v>325</v>
      </c>
    </row>
    <row r="2472">
      <c r="H2472" s="273" t="s">
        <v>325</v>
      </c>
    </row>
    <row r="2473">
      <c r="H2473" s="273" t="s">
        <v>325</v>
      </c>
    </row>
    <row r="2474">
      <c r="H2474" s="273" t="s">
        <v>325</v>
      </c>
    </row>
    <row r="2475">
      <c r="H2475" s="273" t="s">
        <v>325</v>
      </c>
    </row>
    <row r="2476">
      <c r="H2476" s="273" t="s">
        <v>325</v>
      </c>
    </row>
    <row r="2477">
      <c r="H2477" s="273" t="s">
        <v>325</v>
      </c>
    </row>
    <row r="2478">
      <c r="H2478" s="273" t="s">
        <v>325</v>
      </c>
    </row>
    <row r="2479">
      <c r="H2479" s="273" t="s">
        <v>325</v>
      </c>
    </row>
    <row r="2480">
      <c r="H2480" s="273" t="s">
        <v>325</v>
      </c>
    </row>
    <row r="2481">
      <c r="H2481" s="273" t="s">
        <v>325</v>
      </c>
    </row>
    <row r="2482">
      <c r="H2482" s="273" t="s">
        <v>325</v>
      </c>
    </row>
    <row r="2483">
      <c r="H2483" s="273" t="s">
        <v>325</v>
      </c>
    </row>
    <row r="2484">
      <c r="H2484" s="273" t="s">
        <v>325</v>
      </c>
    </row>
    <row r="2485">
      <c r="H2485" s="273" t="s">
        <v>325</v>
      </c>
    </row>
    <row r="2486">
      <c r="H2486" s="273" t="s">
        <v>325</v>
      </c>
    </row>
    <row r="2487">
      <c r="H2487" s="273" t="s">
        <v>325</v>
      </c>
    </row>
    <row r="2488">
      <c r="H2488" s="273" t="s">
        <v>325</v>
      </c>
    </row>
    <row r="2489">
      <c r="H2489" s="273" t="s">
        <v>325</v>
      </c>
    </row>
    <row r="2490">
      <c r="H2490" s="273" t="s">
        <v>325</v>
      </c>
    </row>
    <row r="2491">
      <c r="H2491" s="273" t="s">
        <v>325</v>
      </c>
    </row>
    <row r="2492">
      <c r="H2492" s="273" t="s">
        <v>325</v>
      </c>
    </row>
    <row r="2493">
      <c r="H2493" s="273" t="s">
        <v>325</v>
      </c>
    </row>
    <row r="2494">
      <c r="H2494" s="273" t="s">
        <v>325</v>
      </c>
    </row>
    <row r="2495">
      <c r="H2495" s="273" t="s">
        <v>325</v>
      </c>
    </row>
    <row r="2496">
      <c r="H2496" s="273" t="s">
        <v>325</v>
      </c>
    </row>
    <row r="2497">
      <c r="H2497" s="273" t="s">
        <v>325</v>
      </c>
    </row>
    <row r="2498">
      <c r="H2498" s="273" t="s">
        <v>325</v>
      </c>
    </row>
    <row r="2499">
      <c r="H2499" s="273" t="s">
        <v>325</v>
      </c>
    </row>
    <row r="2500">
      <c r="H2500" s="273" t="s">
        <v>325</v>
      </c>
    </row>
    <row r="2501">
      <c r="H2501" s="273" t="s">
        <v>325</v>
      </c>
    </row>
    <row r="2502">
      <c r="H2502" s="273" t="s">
        <v>325</v>
      </c>
    </row>
    <row r="2503">
      <c r="H2503" s="273" t="s">
        <v>325</v>
      </c>
    </row>
    <row r="2504">
      <c r="H2504" s="273" t="s">
        <v>325</v>
      </c>
    </row>
    <row r="2505">
      <c r="H2505" s="273" t="s">
        <v>325</v>
      </c>
    </row>
    <row r="2506">
      <c r="H2506" s="273" t="s">
        <v>325</v>
      </c>
    </row>
    <row r="2507">
      <c r="H2507" s="273" t="s">
        <v>325</v>
      </c>
    </row>
    <row r="2508">
      <c r="H2508" s="273" t="s">
        <v>325</v>
      </c>
    </row>
    <row r="2509">
      <c r="H2509" s="273" t="s">
        <v>325</v>
      </c>
    </row>
    <row r="2510">
      <c r="H2510" s="273" t="s">
        <v>325</v>
      </c>
    </row>
    <row r="2511">
      <c r="H2511" s="273" t="s">
        <v>325</v>
      </c>
    </row>
    <row r="2512">
      <c r="H2512" s="273" t="s">
        <v>325</v>
      </c>
    </row>
    <row r="2513">
      <c r="H2513" s="273" t="s">
        <v>325</v>
      </c>
    </row>
    <row r="2514">
      <c r="H2514" s="273" t="s">
        <v>325</v>
      </c>
    </row>
    <row r="2515">
      <c r="H2515" s="273" t="s">
        <v>325</v>
      </c>
    </row>
    <row r="2516">
      <c r="H2516" s="273" t="s">
        <v>325</v>
      </c>
    </row>
    <row r="2517">
      <c r="H2517" s="273" t="s">
        <v>325</v>
      </c>
    </row>
    <row r="2518">
      <c r="H2518" s="273" t="s">
        <v>325</v>
      </c>
    </row>
    <row r="2519">
      <c r="H2519" s="273" t="s">
        <v>325</v>
      </c>
    </row>
    <row r="2520">
      <c r="H2520" s="273" t="s">
        <v>325</v>
      </c>
    </row>
    <row r="2521">
      <c r="H2521" s="273" t="s">
        <v>325</v>
      </c>
    </row>
    <row r="2522">
      <c r="H2522" s="273" t="s">
        <v>325</v>
      </c>
    </row>
    <row r="2523">
      <c r="H2523" s="273" t="s">
        <v>325</v>
      </c>
    </row>
    <row r="2524">
      <c r="H2524" s="273" t="s">
        <v>325</v>
      </c>
    </row>
    <row r="2525">
      <c r="H2525" s="273" t="s">
        <v>325</v>
      </c>
    </row>
    <row r="2526">
      <c r="H2526" s="273" t="s">
        <v>325</v>
      </c>
    </row>
    <row r="2527">
      <c r="H2527" s="273" t="s">
        <v>325</v>
      </c>
    </row>
    <row r="2528">
      <c r="H2528" s="273" t="s">
        <v>325</v>
      </c>
    </row>
    <row r="2529">
      <c r="H2529" s="273" t="s">
        <v>325</v>
      </c>
    </row>
    <row r="2530">
      <c r="H2530" s="273" t="s">
        <v>325</v>
      </c>
    </row>
    <row r="2531">
      <c r="H2531" s="273" t="s">
        <v>325</v>
      </c>
    </row>
    <row r="2532">
      <c r="H2532" s="273" t="s">
        <v>325</v>
      </c>
    </row>
    <row r="2533">
      <c r="H2533" s="273" t="s">
        <v>325</v>
      </c>
    </row>
    <row r="2534">
      <c r="H2534" s="273" t="s">
        <v>325</v>
      </c>
    </row>
    <row r="2535">
      <c r="H2535" s="273" t="s">
        <v>325</v>
      </c>
    </row>
    <row r="2536">
      <c r="H2536" s="273" t="s">
        <v>325</v>
      </c>
    </row>
    <row r="2537">
      <c r="H2537" s="273" t="s">
        <v>325</v>
      </c>
    </row>
    <row r="2538">
      <c r="H2538" s="273" t="s">
        <v>325</v>
      </c>
    </row>
    <row r="2539">
      <c r="H2539" s="273" t="s">
        <v>325</v>
      </c>
    </row>
    <row r="2540">
      <c r="H2540" s="273" t="s">
        <v>325</v>
      </c>
    </row>
    <row r="2541">
      <c r="H2541" s="273" t="s">
        <v>325</v>
      </c>
    </row>
    <row r="2542">
      <c r="H2542" s="273" t="s">
        <v>325</v>
      </c>
    </row>
    <row r="2543">
      <c r="H2543" s="273" t="s">
        <v>325</v>
      </c>
    </row>
    <row r="2544">
      <c r="H2544" s="273" t="s">
        <v>325</v>
      </c>
    </row>
    <row r="2545">
      <c r="H2545" s="273" t="s">
        <v>325</v>
      </c>
    </row>
    <row r="2546">
      <c r="H2546" s="273" t="s">
        <v>325</v>
      </c>
    </row>
    <row r="2547">
      <c r="H2547" s="273" t="s">
        <v>325</v>
      </c>
    </row>
    <row r="2548">
      <c r="H2548" s="273" t="s">
        <v>325</v>
      </c>
    </row>
    <row r="2549">
      <c r="H2549" s="273" t="s">
        <v>325</v>
      </c>
    </row>
    <row r="2550">
      <c r="H2550" s="273" t="s">
        <v>325</v>
      </c>
    </row>
    <row r="2551">
      <c r="H2551" s="273" t="s">
        <v>325</v>
      </c>
    </row>
    <row r="2552">
      <c r="H2552" s="273" t="s">
        <v>325</v>
      </c>
    </row>
    <row r="2553">
      <c r="H2553" s="273" t="s">
        <v>325</v>
      </c>
    </row>
    <row r="2554">
      <c r="H2554" s="273" t="s">
        <v>325</v>
      </c>
    </row>
    <row r="2555">
      <c r="H2555" s="273" t="s">
        <v>325</v>
      </c>
    </row>
    <row r="2556">
      <c r="H2556" s="273" t="s">
        <v>325</v>
      </c>
    </row>
    <row r="2557">
      <c r="H2557" s="273" t="s">
        <v>325</v>
      </c>
    </row>
    <row r="2558">
      <c r="H2558" s="273" t="s">
        <v>325</v>
      </c>
    </row>
    <row r="2559">
      <c r="H2559" s="273" t="s">
        <v>325</v>
      </c>
    </row>
    <row r="2560">
      <c r="H2560" s="273" t="s">
        <v>325</v>
      </c>
    </row>
    <row r="2561">
      <c r="H2561" s="273" t="s">
        <v>325</v>
      </c>
    </row>
    <row r="2562">
      <c r="H2562" s="273" t="s">
        <v>325</v>
      </c>
    </row>
    <row r="2563">
      <c r="H2563" s="273" t="s">
        <v>325</v>
      </c>
    </row>
    <row r="2564">
      <c r="H2564" s="273" t="s">
        <v>325</v>
      </c>
    </row>
    <row r="2565">
      <c r="H2565" s="273" t="s">
        <v>325</v>
      </c>
    </row>
    <row r="2566">
      <c r="H2566" s="273" t="s">
        <v>325</v>
      </c>
    </row>
    <row r="2567">
      <c r="H2567" s="273" t="s">
        <v>325</v>
      </c>
    </row>
    <row r="2568">
      <c r="H2568" s="273" t="s">
        <v>325</v>
      </c>
    </row>
    <row r="2569">
      <c r="H2569" s="273" t="s">
        <v>325</v>
      </c>
    </row>
    <row r="2570">
      <c r="H2570" s="273" t="s">
        <v>325</v>
      </c>
    </row>
    <row r="2571">
      <c r="H2571" s="273" t="s">
        <v>325</v>
      </c>
    </row>
    <row r="2572">
      <c r="H2572" s="273" t="s">
        <v>325</v>
      </c>
    </row>
    <row r="2573">
      <c r="H2573" s="273" t="s">
        <v>325</v>
      </c>
    </row>
    <row r="2574">
      <c r="H2574" s="273" t="s">
        <v>325</v>
      </c>
    </row>
    <row r="2575">
      <c r="H2575" s="273" t="s">
        <v>325</v>
      </c>
    </row>
    <row r="2576">
      <c r="H2576" s="273" t="s">
        <v>325</v>
      </c>
    </row>
    <row r="2577">
      <c r="H2577" s="273" t="s">
        <v>325</v>
      </c>
    </row>
    <row r="2578">
      <c r="H2578" s="273" t="s">
        <v>325</v>
      </c>
    </row>
    <row r="2579">
      <c r="H2579" s="273" t="s">
        <v>325</v>
      </c>
    </row>
    <row r="2580">
      <c r="H2580" s="273" t="s">
        <v>325</v>
      </c>
    </row>
    <row r="2581">
      <c r="H2581" s="273" t="s">
        <v>325</v>
      </c>
    </row>
    <row r="2582">
      <c r="H2582" s="273" t="s">
        <v>325</v>
      </c>
    </row>
    <row r="2583">
      <c r="H2583" s="273" t="s">
        <v>325</v>
      </c>
    </row>
    <row r="2584">
      <c r="H2584" s="273" t="s">
        <v>325</v>
      </c>
    </row>
    <row r="2585">
      <c r="H2585" s="273" t="s">
        <v>325</v>
      </c>
    </row>
    <row r="2586">
      <c r="H2586" s="273" t="s">
        <v>325</v>
      </c>
    </row>
    <row r="2587">
      <c r="H2587" s="273" t="s">
        <v>325</v>
      </c>
    </row>
    <row r="2588">
      <c r="H2588" s="273" t="s">
        <v>325</v>
      </c>
    </row>
    <row r="2589">
      <c r="H2589" s="273" t="s">
        <v>325</v>
      </c>
    </row>
    <row r="2590">
      <c r="H2590" s="273" t="s">
        <v>325</v>
      </c>
    </row>
    <row r="2591">
      <c r="H2591" s="273" t="s">
        <v>325</v>
      </c>
    </row>
    <row r="2592">
      <c r="H2592" s="273" t="s">
        <v>325</v>
      </c>
    </row>
    <row r="2593">
      <c r="H2593" s="273" t="s">
        <v>325</v>
      </c>
    </row>
    <row r="2594">
      <c r="H2594" s="273" t="s">
        <v>325</v>
      </c>
    </row>
    <row r="2595">
      <c r="H2595" s="273" t="s">
        <v>325</v>
      </c>
    </row>
    <row r="2596">
      <c r="H2596" s="273" t="s">
        <v>325</v>
      </c>
    </row>
    <row r="2597">
      <c r="H2597" s="273" t="s">
        <v>325</v>
      </c>
    </row>
    <row r="2598">
      <c r="H2598" s="273" t="s">
        <v>325</v>
      </c>
    </row>
    <row r="2599">
      <c r="H2599" s="273" t="s">
        <v>325</v>
      </c>
    </row>
    <row r="2600">
      <c r="H2600" s="273" t="s">
        <v>325</v>
      </c>
    </row>
    <row r="2601">
      <c r="H2601" s="273" t="s">
        <v>325</v>
      </c>
    </row>
    <row r="2602">
      <c r="H2602" s="273" t="s">
        <v>325</v>
      </c>
    </row>
    <row r="2603">
      <c r="H2603" s="273" t="s">
        <v>325</v>
      </c>
    </row>
    <row r="2604">
      <c r="H2604" s="273" t="s">
        <v>325</v>
      </c>
    </row>
    <row r="2605">
      <c r="H2605" s="273" t="s">
        <v>325</v>
      </c>
    </row>
    <row r="2606">
      <c r="H2606" s="273" t="s">
        <v>325</v>
      </c>
    </row>
    <row r="2607">
      <c r="H2607" s="273" t="s">
        <v>325</v>
      </c>
    </row>
    <row r="2608">
      <c r="H2608" s="273" t="s">
        <v>325</v>
      </c>
    </row>
    <row r="2609">
      <c r="H2609" s="273" t="s">
        <v>325</v>
      </c>
    </row>
    <row r="2610">
      <c r="H2610" s="273" t="s">
        <v>325</v>
      </c>
    </row>
    <row r="2611">
      <c r="H2611" s="273" t="s">
        <v>325</v>
      </c>
    </row>
    <row r="2612">
      <c r="H2612" s="273" t="s">
        <v>325</v>
      </c>
    </row>
    <row r="2613">
      <c r="H2613" s="273" t="s">
        <v>325</v>
      </c>
    </row>
    <row r="2614">
      <c r="H2614" s="273" t="s">
        <v>325</v>
      </c>
    </row>
    <row r="2615">
      <c r="H2615" s="273" t="s">
        <v>325</v>
      </c>
    </row>
    <row r="2616">
      <c r="H2616" s="273" t="s">
        <v>325</v>
      </c>
    </row>
    <row r="2617">
      <c r="H2617" s="273" t="s">
        <v>325</v>
      </c>
    </row>
    <row r="2618">
      <c r="H2618" s="273" t="s">
        <v>325</v>
      </c>
    </row>
    <row r="2619">
      <c r="H2619" s="273" t="s">
        <v>325</v>
      </c>
    </row>
    <row r="2620">
      <c r="H2620" s="273" t="s">
        <v>325</v>
      </c>
    </row>
    <row r="2621">
      <c r="H2621" s="273" t="s">
        <v>325</v>
      </c>
    </row>
    <row r="2622">
      <c r="H2622" s="273" t="s">
        <v>325</v>
      </c>
    </row>
    <row r="2623">
      <c r="H2623" s="273" t="s">
        <v>325</v>
      </c>
    </row>
    <row r="2624">
      <c r="H2624" s="273" t="s">
        <v>325</v>
      </c>
    </row>
    <row r="2625">
      <c r="H2625" s="273" t="s">
        <v>325</v>
      </c>
    </row>
    <row r="2626">
      <c r="H2626" s="273" t="s">
        <v>325</v>
      </c>
    </row>
    <row r="2627">
      <c r="H2627" s="273" t="s">
        <v>325</v>
      </c>
    </row>
    <row r="2628">
      <c r="H2628" s="273" t="s">
        <v>325</v>
      </c>
    </row>
    <row r="2629">
      <c r="H2629" s="273" t="s">
        <v>325</v>
      </c>
    </row>
    <row r="2630">
      <c r="H2630" s="273" t="s">
        <v>325</v>
      </c>
    </row>
    <row r="2631">
      <c r="H2631" s="273" t="s">
        <v>325</v>
      </c>
    </row>
    <row r="2632">
      <c r="H2632" s="273" t="s">
        <v>325</v>
      </c>
    </row>
    <row r="2633">
      <c r="H2633" s="273" t="s">
        <v>325</v>
      </c>
    </row>
    <row r="2634">
      <c r="H2634" s="273" t="s">
        <v>325</v>
      </c>
    </row>
    <row r="2635">
      <c r="H2635" s="273" t="s">
        <v>325</v>
      </c>
    </row>
    <row r="2636">
      <c r="H2636" s="273" t="s">
        <v>325</v>
      </c>
    </row>
    <row r="2637">
      <c r="H2637" s="273" t="s">
        <v>325</v>
      </c>
    </row>
    <row r="2638">
      <c r="H2638" s="273" t="s">
        <v>325</v>
      </c>
    </row>
    <row r="2639">
      <c r="H2639" s="273" t="s">
        <v>325</v>
      </c>
    </row>
    <row r="2640">
      <c r="H2640" s="273" t="s">
        <v>325</v>
      </c>
    </row>
    <row r="2641">
      <c r="H2641" s="273" t="s">
        <v>325</v>
      </c>
    </row>
    <row r="2642">
      <c r="H2642" s="273" t="s">
        <v>325</v>
      </c>
    </row>
    <row r="2643">
      <c r="H2643" s="273" t="s">
        <v>325</v>
      </c>
    </row>
    <row r="2644">
      <c r="H2644" s="273" t="s">
        <v>325</v>
      </c>
    </row>
    <row r="2645">
      <c r="H2645" s="273" t="s">
        <v>325</v>
      </c>
    </row>
    <row r="2646">
      <c r="H2646" s="273" t="s">
        <v>325</v>
      </c>
    </row>
    <row r="2647">
      <c r="H2647" s="273" t="s">
        <v>325</v>
      </c>
    </row>
    <row r="2648">
      <c r="H2648" s="273" t="s">
        <v>325</v>
      </c>
    </row>
    <row r="2649">
      <c r="H2649" s="273" t="s">
        <v>325</v>
      </c>
    </row>
    <row r="2650">
      <c r="H2650" s="273" t="s">
        <v>325</v>
      </c>
    </row>
    <row r="2651">
      <c r="H2651" s="273" t="s">
        <v>325</v>
      </c>
    </row>
    <row r="2652">
      <c r="H2652" s="273" t="s">
        <v>325</v>
      </c>
    </row>
    <row r="2653">
      <c r="H2653" s="273" t="s">
        <v>325</v>
      </c>
    </row>
    <row r="2654">
      <c r="H2654" s="273" t="s">
        <v>325</v>
      </c>
    </row>
    <row r="2655">
      <c r="H2655" s="273" t="s">
        <v>325</v>
      </c>
    </row>
    <row r="2656">
      <c r="H2656" s="273" t="s">
        <v>325</v>
      </c>
    </row>
    <row r="2657">
      <c r="H2657" s="273" t="s">
        <v>325</v>
      </c>
    </row>
    <row r="2658">
      <c r="H2658" s="273" t="s">
        <v>325</v>
      </c>
    </row>
    <row r="2659">
      <c r="H2659" s="273" t="s">
        <v>325</v>
      </c>
    </row>
    <row r="2660">
      <c r="H2660" s="273" t="s">
        <v>325</v>
      </c>
    </row>
    <row r="2661">
      <c r="H2661" s="273" t="s">
        <v>325</v>
      </c>
    </row>
    <row r="2662">
      <c r="H2662" s="273" t="s">
        <v>325</v>
      </c>
    </row>
    <row r="2663">
      <c r="H2663" s="273" t="s">
        <v>325</v>
      </c>
    </row>
    <row r="2664">
      <c r="H2664" s="273" t="s">
        <v>325</v>
      </c>
    </row>
    <row r="2665">
      <c r="H2665" s="273" t="s">
        <v>325</v>
      </c>
    </row>
    <row r="2666">
      <c r="H2666" s="273" t="s">
        <v>325</v>
      </c>
    </row>
    <row r="2667">
      <c r="H2667" s="273" t="s">
        <v>325</v>
      </c>
    </row>
    <row r="2668">
      <c r="H2668" s="273" t="s">
        <v>325</v>
      </c>
    </row>
    <row r="2669">
      <c r="H2669" s="273" t="s">
        <v>325</v>
      </c>
    </row>
    <row r="2670">
      <c r="H2670" s="273" t="s">
        <v>325</v>
      </c>
    </row>
    <row r="2671">
      <c r="H2671" s="273" t="s">
        <v>325</v>
      </c>
    </row>
    <row r="2672">
      <c r="H2672" s="273" t="s">
        <v>325</v>
      </c>
    </row>
    <row r="2673">
      <c r="H2673" s="273" t="s">
        <v>325</v>
      </c>
    </row>
    <row r="2674">
      <c r="H2674" s="273" t="s">
        <v>325</v>
      </c>
    </row>
    <row r="2675">
      <c r="H2675" s="273" t="s">
        <v>325</v>
      </c>
    </row>
    <row r="2676">
      <c r="H2676" s="273" t="s">
        <v>325</v>
      </c>
    </row>
    <row r="2677">
      <c r="H2677" s="273" t="s">
        <v>325</v>
      </c>
    </row>
    <row r="2678">
      <c r="H2678" s="273" t="s">
        <v>325</v>
      </c>
    </row>
    <row r="2679">
      <c r="H2679" s="273" t="s">
        <v>325</v>
      </c>
    </row>
    <row r="2680">
      <c r="H2680" s="273" t="s">
        <v>325</v>
      </c>
    </row>
    <row r="2681">
      <c r="H2681" s="273" t="s">
        <v>325</v>
      </c>
    </row>
    <row r="2682">
      <c r="H2682" s="273" t="s">
        <v>325</v>
      </c>
    </row>
    <row r="2683">
      <c r="H2683" s="273" t="s">
        <v>325</v>
      </c>
    </row>
    <row r="2684">
      <c r="H2684" s="273" t="s">
        <v>325</v>
      </c>
    </row>
    <row r="2685">
      <c r="H2685" s="273" t="s">
        <v>325</v>
      </c>
    </row>
    <row r="2686">
      <c r="H2686" s="273" t="s">
        <v>325</v>
      </c>
    </row>
    <row r="2687">
      <c r="H2687" s="273" t="s">
        <v>325</v>
      </c>
    </row>
    <row r="2688">
      <c r="H2688" s="273" t="s">
        <v>325</v>
      </c>
    </row>
    <row r="2689">
      <c r="H2689" s="273" t="s">
        <v>325</v>
      </c>
    </row>
    <row r="2690">
      <c r="H2690" s="273" t="s">
        <v>325</v>
      </c>
    </row>
    <row r="2691">
      <c r="H2691" s="273" t="s">
        <v>325</v>
      </c>
    </row>
    <row r="2692">
      <c r="H2692" s="273" t="s">
        <v>325</v>
      </c>
    </row>
    <row r="2693">
      <c r="H2693" s="273" t="s">
        <v>325</v>
      </c>
    </row>
    <row r="2694">
      <c r="H2694" s="273" t="s">
        <v>325</v>
      </c>
    </row>
    <row r="2695">
      <c r="H2695" s="273" t="s">
        <v>325</v>
      </c>
    </row>
    <row r="2696">
      <c r="H2696" s="273" t="s">
        <v>325</v>
      </c>
    </row>
    <row r="2697">
      <c r="H2697" s="273" t="s">
        <v>325</v>
      </c>
    </row>
    <row r="2698">
      <c r="H2698" s="273" t="s">
        <v>325</v>
      </c>
    </row>
    <row r="2699">
      <c r="H2699" s="273" t="s">
        <v>325</v>
      </c>
    </row>
    <row r="2700">
      <c r="H2700" s="273" t="s">
        <v>325</v>
      </c>
    </row>
    <row r="2701">
      <c r="H2701" s="273" t="s">
        <v>325</v>
      </c>
    </row>
    <row r="2702">
      <c r="H2702" s="273" t="s">
        <v>325</v>
      </c>
    </row>
    <row r="2703">
      <c r="H2703" s="273" t="s">
        <v>325</v>
      </c>
    </row>
    <row r="2704">
      <c r="H2704" s="273" t="s">
        <v>325</v>
      </c>
    </row>
    <row r="2705">
      <c r="H2705" s="273" t="s">
        <v>325</v>
      </c>
    </row>
    <row r="2706">
      <c r="H2706" s="273" t="s">
        <v>325</v>
      </c>
    </row>
    <row r="2707">
      <c r="H2707" s="273" t="s">
        <v>325</v>
      </c>
    </row>
    <row r="2708">
      <c r="H2708" s="273" t="s">
        <v>325</v>
      </c>
    </row>
    <row r="2709">
      <c r="H2709" s="273" t="s">
        <v>325</v>
      </c>
    </row>
    <row r="2710">
      <c r="H2710" s="273" t="s">
        <v>325</v>
      </c>
    </row>
    <row r="2711">
      <c r="H2711" s="273" t="s">
        <v>325</v>
      </c>
    </row>
    <row r="2712">
      <c r="H2712" s="273" t="s">
        <v>325</v>
      </c>
    </row>
    <row r="2713">
      <c r="H2713" s="273" t="s">
        <v>325</v>
      </c>
    </row>
    <row r="2714">
      <c r="H2714" s="273" t="s">
        <v>325</v>
      </c>
    </row>
    <row r="2715">
      <c r="H2715" s="273" t="s">
        <v>325</v>
      </c>
    </row>
    <row r="2716">
      <c r="H2716" s="273" t="s">
        <v>325</v>
      </c>
    </row>
    <row r="2717">
      <c r="H2717" s="273" t="s">
        <v>325</v>
      </c>
    </row>
    <row r="2718">
      <c r="H2718" s="273" t="s">
        <v>325</v>
      </c>
    </row>
    <row r="2719">
      <c r="H2719" s="273" t="s">
        <v>325</v>
      </c>
    </row>
    <row r="2720">
      <c r="H2720" s="273" t="s">
        <v>325</v>
      </c>
    </row>
    <row r="2721">
      <c r="H2721" s="273" t="s">
        <v>325</v>
      </c>
    </row>
    <row r="2722">
      <c r="H2722" s="273" t="s">
        <v>325</v>
      </c>
    </row>
    <row r="2723">
      <c r="H2723" s="273" t="s">
        <v>325</v>
      </c>
    </row>
    <row r="2724">
      <c r="H2724" s="273" t="s">
        <v>325</v>
      </c>
    </row>
    <row r="2725">
      <c r="H2725" s="273" t="s">
        <v>325</v>
      </c>
    </row>
    <row r="2726">
      <c r="H2726" s="273" t="s">
        <v>325</v>
      </c>
    </row>
    <row r="2727">
      <c r="H2727" s="273" t="s">
        <v>325</v>
      </c>
    </row>
    <row r="2728">
      <c r="H2728" s="273" t="s">
        <v>325</v>
      </c>
    </row>
    <row r="2729">
      <c r="H2729" s="273" t="s">
        <v>325</v>
      </c>
    </row>
    <row r="2730">
      <c r="H2730" s="273" t="s">
        <v>325</v>
      </c>
    </row>
    <row r="2731">
      <c r="H2731" s="273" t="s">
        <v>325</v>
      </c>
    </row>
    <row r="2732">
      <c r="H2732" s="273" t="s">
        <v>325</v>
      </c>
    </row>
    <row r="2733">
      <c r="H2733" s="273" t="s">
        <v>325</v>
      </c>
    </row>
    <row r="2734">
      <c r="H2734" s="273" t="s">
        <v>325</v>
      </c>
    </row>
    <row r="2735">
      <c r="H2735" s="273" t="s">
        <v>325</v>
      </c>
    </row>
    <row r="2736">
      <c r="H2736" s="273" t="s">
        <v>325</v>
      </c>
    </row>
    <row r="2737">
      <c r="H2737" s="273" t="s">
        <v>325</v>
      </c>
    </row>
    <row r="2738">
      <c r="H2738" s="273" t="s">
        <v>325</v>
      </c>
    </row>
    <row r="2739">
      <c r="H2739" s="273" t="s">
        <v>325</v>
      </c>
    </row>
    <row r="2740">
      <c r="H2740" s="273" t="s">
        <v>325</v>
      </c>
    </row>
    <row r="2741">
      <c r="H2741" s="273" t="s">
        <v>325</v>
      </c>
    </row>
    <row r="2742">
      <c r="H2742" s="273" t="s">
        <v>325</v>
      </c>
    </row>
    <row r="2743">
      <c r="H2743" s="273" t="s">
        <v>325</v>
      </c>
    </row>
    <row r="2744">
      <c r="H2744" s="273" t="s">
        <v>325</v>
      </c>
    </row>
    <row r="2745">
      <c r="H2745" s="273" t="s">
        <v>325</v>
      </c>
    </row>
    <row r="2746">
      <c r="H2746" s="273" t="s">
        <v>325</v>
      </c>
    </row>
    <row r="2747">
      <c r="H2747" s="273" t="s">
        <v>325</v>
      </c>
    </row>
    <row r="2748">
      <c r="H2748" s="273" t="s">
        <v>325</v>
      </c>
    </row>
    <row r="2749">
      <c r="H2749" s="273" t="s">
        <v>325</v>
      </c>
    </row>
    <row r="2750">
      <c r="H2750" s="273" t="s">
        <v>325</v>
      </c>
    </row>
    <row r="2751">
      <c r="H2751" s="273" t="s">
        <v>325</v>
      </c>
    </row>
    <row r="2752">
      <c r="H2752" s="273" t="s">
        <v>325</v>
      </c>
    </row>
    <row r="2753">
      <c r="H2753" s="273" t="s">
        <v>325</v>
      </c>
    </row>
    <row r="2754">
      <c r="H2754" s="273" t="s">
        <v>325</v>
      </c>
    </row>
    <row r="2755">
      <c r="H2755" s="273" t="s">
        <v>325</v>
      </c>
    </row>
    <row r="2756">
      <c r="H2756" s="273" t="s">
        <v>325</v>
      </c>
    </row>
    <row r="2757">
      <c r="H2757" s="273" t="s">
        <v>325</v>
      </c>
    </row>
    <row r="2758">
      <c r="H2758" s="273" t="s">
        <v>325</v>
      </c>
    </row>
    <row r="2759">
      <c r="H2759" s="273" t="s">
        <v>325</v>
      </c>
    </row>
    <row r="2760">
      <c r="H2760" s="273" t="s">
        <v>325</v>
      </c>
    </row>
    <row r="2761">
      <c r="H2761" s="273" t="s">
        <v>325</v>
      </c>
    </row>
    <row r="2762">
      <c r="H2762" s="273" t="s">
        <v>325</v>
      </c>
    </row>
    <row r="2763">
      <c r="H2763" s="273" t="s">
        <v>325</v>
      </c>
    </row>
    <row r="2764">
      <c r="H2764" s="273" t="s">
        <v>325</v>
      </c>
    </row>
    <row r="2765">
      <c r="H2765" s="273" t="s">
        <v>325</v>
      </c>
    </row>
    <row r="2766">
      <c r="H2766" s="273" t="s">
        <v>325</v>
      </c>
    </row>
    <row r="2767">
      <c r="H2767" s="273" t="s">
        <v>325</v>
      </c>
    </row>
    <row r="2768">
      <c r="H2768" s="273" t="s">
        <v>325</v>
      </c>
    </row>
    <row r="2769">
      <c r="H2769" s="273" t="s">
        <v>325</v>
      </c>
    </row>
    <row r="2770">
      <c r="H2770" s="273" t="s">
        <v>325</v>
      </c>
    </row>
    <row r="2771">
      <c r="H2771" s="273" t="s">
        <v>325</v>
      </c>
    </row>
    <row r="2772">
      <c r="H2772" s="273" t="s">
        <v>325</v>
      </c>
    </row>
    <row r="2773">
      <c r="H2773" s="273" t="s">
        <v>325</v>
      </c>
    </row>
    <row r="2774">
      <c r="H2774" s="273" t="s">
        <v>325</v>
      </c>
    </row>
    <row r="2775">
      <c r="H2775" s="273" t="s">
        <v>325</v>
      </c>
    </row>
    <row r="2776">
      <c r="H2776" s="273" t="s">
        <v>325</v>
      </c>
    </row>
    <row r="2777">
      <c r="H2777" s="273" t="s">
        <v>325</v>
      </c>
    </row>
    <row r="2778">
      <c r="H2778" s="273" t="s">
        <v>325</v>
      </c>
    </row>
    <row r="2779">
      <c r="H2779" s="273" t="s">
        <v>325</v>
      </c>
    </row>
    <row r="2780">
      <c r="H2780" s="273" t="s">
        <v>325</v>
      </c>
    </row>
    <row r="2781">
      <c r="H2781" s="273" t="s">
        <v>325</v>
      </c>
    </row>
    <row r="2782">
      <c r="H2782" s="273" t="s">
        <v>325</v>
      </c>
    </row>
    <row r="2783">
      <c r="H2783" s="273" t="s">
        <v>325</v>
      </c>
    </row>
    <row r="2784">
      <c r="H2784" s="273" t="s">
        <v>325</v>
      </c>
    </row>
    <row r="2785">
      <c r="H2785" s="273" t="s">
        <v>325</v>
      </c>
    </row>
    <row r="2786">
      <c r="H2786" s="273" t="s">
        <v>325</v>
      </c>
    </row>
    <row r="2787">
      <c r="H2787" s="273" t="s">
        <v>325</v>
      </c>
    </row>
    <row r="2788">
      <c r="H2788" s="273" t="s">
        <v>325</v>
      </c>
    </row>
    <row r="2789">
      <c r="H2789" s="273" t="s">
        <v>325</v>
      </c>
    </row>
    <row r="2790">
      <c r="H2790" s="273" t="s">
        <v>325</v>
      </c>
    </row>
    <row r="2791">
      <c r="H2791" s="273" t="s">
        <v>325</v>
      </c>
    </row>
    <row r="2792">
      <c r="H2792" s="273" t="s">
        <v>325</v>
      </c>
    </row>
    <row r="2793">
      <c r="H2793" s="273" t="s">
        <v>325</v>
      </c>
    </row>
    <row r="2794">
      <c r="H2794" s="273" t="s">
        <v>325</v>
      </c>
    </row>
    <row r="2795">
      <c r="H2795" s="273" t="s">
        <v>325</v>
      </c>
    </row>
    <row r="2796">
      <c r="H2796" s="273" t="s">
        <v>325</v>
      </c>
    </row>
    <row r="2797">
      <c r="H2797" s="273" t="s">
        <v>325</v>
      </c>
    </row>
    <row r="2798">
      <c r="H2798" s="273" t="s">
        <v>325</v>
      </c>
    </row>
    <row r="2799">
      <c r="H2799" s="273" t="s">
        <v>325</v>
      </c>
    </row>
    <row r="2800">
      <c r="H2800" s="273" t="s">
        <v>325</v>
      </c>
    </row>
    <row r="2801">
      <c r="H2801" s="273" t="s">
        <v>325</v>
      </c>
    </row>
    <row r="2802">
      <c r="H2802" s="273" t="s">
        <v>325</v>
      </c>
    </row>
    <row r="2803">
      <c r="H2803" s="273" t="s">
        <v>325</v>
      </c>
    </row>
    <row r="2804">
      <c r="H2804" s="273" t="s">
        <v>325</v>
      </c>
    </row>
    <row r="2805">
      <c r="H2805" s="273" t="s">
        <v>325</v>
      </c>
    </row>
    <row r="2806">
      <c r="H2806" s="273" t="s">
        <v>325</v>
      </c>
    </row>
    <row r="2807">
      <c r="H2807" s="273" t="s">
        <v>325</v>
      </c>
    </row>
    <row r="2808">
      <c r="H2808" s="273" t="s">
        <v>325</v>
      </c>
    </row>
    <row r="2809">
      <c r="H2809" s="273" t="s">
        <v>325</v>
      </c>
    </row>
    <row r="2810">
      <c r="H2810" s="273" t="s">
        <v>325</v>
      </c>
    </row>
    <row r="2811">
      <c r="H2811" s="273" t="s">
        <v>325</v>
      </c>
    </row>
    <row r="2812">
      <c r="H2812" s="273" t="s">
        <v>325</v>
      </c>
    </row>
    <row r="2813">
      <c r="H2813" s="273" t="s">
        <v>325</v>
      </c>
    </row>
    <row r="2814">
      <c r="H2814" s="273" t="s">
        <v>325</v>
      </c>
    </row>
    <row r="2815">
      <c r="H2815" s="273" t="s">
        <v>325</v>
      </c>
    </row>
    <row r="2816">
      <c r="H2816" s="273" t="s">
        <v>325</v>
      </c>
    </row>
    <row r="2817">
      <c r="H2817" s="273" t="s">
        <v>325</v>
      </c>
    </row>
    <row r="2818">
      <c r="H2818" s="273" t="s">
        <v>325</v>
      </c>
    </row>
    <row r="2819">
      <c r="H2819" s="273" t="s">
        <v>325</v>
      </c>
    </row>
    <row r="2820">
      <c r="H2820" s="273" t="s">
        <v>325</v>
      </c>
    </row>
    <row r="2821">
      <c r="H2821" s="273" t="s">
        <v>325</v>
      </c>
    </row>
    <row r="2822">
      <c r="H2822" s="273" t="s">
        <v>325</v>
      </c>
    </row>
    <row r="2823">
      <c r="H2823" s="273" t="s">
        <v>325</v>
      </c>
    </row>
    <row r="2824">
      <c r="H2824" s="273" t="s">
        <v>325</v>
      </c>
    </row>
    <row r="2825">
      <c r="H2825" s="273" t="s">
        <v>325</v>
      </c>
    </row>
    <row r="2826">
      <c r="H2826" s="273" t="s">
        <v>325</v>
      </c>
    </row>
    <row r="2827">
      <c r="H2827" s="273" t="s">
        <v>325</v>
      </c>
    </row>
    <row r="2828">
      <c r="H2828" s="273" t="s">
        <v>325</v>
      </c>
    </row>
    <row r="2829">
      <c r="H2829" s="273" t="s">
        <v>325</v>
      </c>
    </row>
    <row r="2830">
      <c r="H2830" s="273" t="s">
        <v>325</v>
      </c>
    </row>
    <row r="2831">
      <c r="H2831" s="273" t="s">
        <v>325</v>
      </c>
    </row>
    <row r="2832">
      <c r="H2832" s="273" t="s">
        <v>325</v>
      </c>
    </row>
    <row r="2833">
      <c r="H2833" s="273" t="s">
        <v>325</v>
      </c>
    </row>
    <row r="2834">
      <c r="H2834" s="273" t="s">
        <v>325</v>
      </c>
    </row>
    <row r="2835">
      <c r="H2835" s="273" t="s">
        <v>325</v>
      </c>
    </row>
    <row r="2836">
      <c r="H2836" s="273" t="s">
        <v>325</v>
      </c>
    </row>
    <row r="2837">
      <c r="H2837" s="273" t="s">
        <v>325</v>
      </c>
    </row>
    <row r="2838">
      <c r="H2838" s="273" t="s">
        <v>325</v>
      </c>
    </row>
    <row r="2839">
      <c r="H2839" s="273" t="s">
        <v>325</v>
      </c>
    </row>
    <row r="2840">
      <c r="H2840" s="273" t="s">
        <v>325</v>
      </c>
    </row>
    <row r="2841">
      <c r="H2841" s="273" t="s">
        <v>325</v>
      </c>
    </row>
    <row r="2842">
      <c r="H2842" s="273" t="s">
        <v>325</v>
      </c>
    </row>
    <row r="2843">
      <c r="H2843" s="273" t="s">
        <v>325</v>
      </c>
    </row>
    <row r="2844">
      <c r="H2844" s="273" t="s">
        <v>325</v>
      </c>
    </row>
    <row r="2845">
      <c r="H2845" s="273" t="s">
        <v>325</v>
      </c>
    </row>
    <row r="2846">
      <c r="H2846" s="273" t="s">
        <v>325</v>
      </c>
    </row>
    <row r="2847">
      <c r="H2847" s="273" t="s">
        <v>325</v>
      </c>
    </row>
    <row r="2848">
      <c r="H2848" s="273" t="s">
        <v>325</v>
      </c>
    </row>
    <row r="2849">
      <c r="H2849" s="273" t="s">
        <v>325</v>
      </c>
    </row>
    <row r="2850">
      <c r="H2850" s="273" t="s">
        <v>325</v>
      </c>
    </row>
    <row r="2851">
      <c r="H2851" s="273" t="s">
        <v>325</v>
      </c>
    </row>
    <row r="2852">
      <c r="H2852" s="273" t="s">
        <v>325</v>
      </c>
    </row>
    <row r="2853">
      <c r="H2853" s="273" t="s">
        <v>325</v>
      </c>
    </row>
    <row r="2854">
      <c r="H2854" s="273" t="s">
        <v>325</v>
      </c>
    </row>
    <row r="2855">
      <c r="H2855" s="273" t="s">
        <v>325</v>
      </c>
    </row>
    <row r="2856">
      <c r="H2856" s="273" t="s">
        <v>325</v>
      </c>
    </row>
    <row r="2857">
      <c r="H2857" s="273" t="s">
        <v>325</v>
      </c>
    </row>
    <row r="2858">
      <c r="H2858" s="273" t="s">
        <v>325</v>
      </c>
    </row>
    <row r="2859">
      <c r="H2859" s="273" t="s">
        <v>325</v>
      </c>
    </row>
    <row r="2860">
      <c r="H2860" s="273" t="s">
        <v>325</v>
      </c>
    </row>
    <row r="2861">
      <c r="H2861" s="273" t="s">
        <v>325</v>
      </c>
    </row>
    <row r="2862">
      <c r="H2862" s="273" t="s">
        <v>325</v>
      </c>
    </row>
    <row r="2863">
      <c r="H2863" s="273" t="s">
        <v>325</v>
      </c>
    </row>
    <row r="2864">
      <c r="H2864" s="273" t="s">
        <v>325</v>
      </c>
    </row>
    <row r="2865">
      <c r="H2865" s="273" t="s">
        <v>325</v>
      </c>
    </row>
    <row r="2866">
      <c r="H2866" s="273" t="s">
        <v>325</v>
      </c>
    </row>
    <row r="2867">
      <c r="H2867" s="273" t="s">
        <v>325</v>
      </c>
    </row>
    <row r="2868">
      <c r="H2868" s="273" t="s">
        <v>325</v>
      </c>
    </row>
    <row r="2869">
      <c r="H2869" s="273" t="s">
        <v>325</v>
      </c>
    </row>
    <row r="2870">
      <c r="H2870" s="273" t="s">
        <v>325</v>
      </c>
    </row>
    <row r="2871">
      <c r="H2871" s="273" t="s">
        <v>325</v>
      </c>
    </row>
    <row r="2872">
      <c r="H2872" s="273" t="s">
        <v>325</v>
      </c>
    </row>
    <row r="2873">
      <c r="H2873" s="273" t="s">
        <v>325</v>
      </c>
    </row>
    <row r="2874">
      <c r="H2874" s="273" t="s">
        <v>325</v>
      </c>
    </row>
    <row r="2875">
      <c r="H2875" s="273" t="s">
        <v>325</v>
      </c>
    </row>
    <row r="2876">
      <c r="H2876" s="273" t="s">
        <v>325</v>
      </c>
    </row>
    <row r="2877">
      <c r="H2877" s="273" t="s">
        <v>325</v>
      </c>
    </row>
    <row r="2878">
      <c r="H2878" s="273" t="s">
        <v>325</v>
      </c>
    </row>
    <row r="2879">
      <c r="H2879" s="273" t="s">
        <v>325</v>
      </c>
    </row>
    <row r="2880">
      <c r="H2880" s="273" t="s">
        <v>325</v>
      </c>
    </row>
    <row r="2881">
      <c r="H2881" s="273" t="s">
        <v>325</v>
      </c>
    </row>
    <row r="2882">
      <c r="H2882" s="273" t="s">
        <v>325</v>
      </c>
    </row>
    <row r="2883">
      <c r="H2883" s="273" t="s">
        <v>325</v>
      </c>
    </row>
    <row r="2884">
      <c r="H2884" s="273" t="s">
        <v>325</v>
      </c>
    </row>
    <row r="2885">
      <c r="H2885" s="273" t="s">
        <v>325</v>
      </c>
    </row>
    <row r="2886">
      <c r="H2886" s="273" t="s">
        <v>325</v>
      </c>
    </row>
    <row r="2887">
      <c r="H2887" s="273" t="s">
        <v>325</v>
      </c>
    </row>
    <row r="2888">
      <c r="H2888" s="273" t="s">
        <v>325</v>
      </c>
    </row>
    <row r="2889">
      <c r="H2889" s="273" t="s">
        <v>325</v>
      </c>
    </row>
    <row r="2890">
      <c r="H2890" s="273" t="s">
        <v>325</v>
      </c>
    </row>
    <row r="2891">
      <c r="H2891" s="273" t="s">
        <v>325</v>
      </c>
    </row>
    <row r="2892">
      <c r="H2892" s="273" t="s">
        <v>325</v>
      </c>
    </row>
    <row r="2893">
      <c r="H2893" s="273" t="s">
        <v>325</v>
      </c>
    </row>
    <row r="2894">
      <c r="H2894" s="273" t="s">
        <v>325</v>
      </c>
    </row>
    <row r="2895">
      <c r="H2895" s="273" t="s">
        <v>325</v>
      </c>
    </row>
    <row r="2896">
      <c r="H2896" s="273" t="s">
        <v>325</v>
      </c>
    </row>
    <row r="2897">
      <c r="H2897" s="273" t="s">
        <v>325</v>
      </c>
    </row>
    <row r="2898">
      <c r="H2898" s="273" t="s">
        <v>325</v>
      </c>
    </row>
    <row r="2899">
      <c r="H2899" s="273" t="s">
        <v>325</v>
      </c>
    </row>
    <row r="2900">
      <c r="H2900" s="273" t="s">
        <v>325</v>
      </c>
    </row>
    <row r="2901">
      <c r="H2901" s="273" t="s">
        <v>325</v>
      </c>
    </row>
    <row r="2902">
      <c r="H2902" s="273" t="s">
        <v>325</v>
      </c>
    </row>
    <row r="2903">
      <c r="H2903" s="273" t="s">
        <v>325</v>
      </c>
    </row>
    <row r="2904">
      <c r="H2904" s="273" t="s">
        <v>325</v>
      </c>
    </row>
    <row r="2905">
      <c r="H2905" s="273" t="s">
        <v>325</v>
      </c>
    </row>
    <row r="2906">
      <c r="H2906" s="273" t="s">
        <v>325</v>
      </c>
    </row>
    <row r="2907">
      <c r="H2907" s="273" t="s">
        <v>325</v>
      </c>
    </row>
    <row r="2908">
      <c r="H2908" s="273" t="s">
        <v>325</v>
      </c>
    </row>
    <row r="2909">
      <c r="H2909" s="273" t="s">
        <v>325</v>
      </c>
    </row>
    <row r="2910">
      <c r="H2910" s="273" t="s">
        <v>325</v>
      </c>
    </row>
    <row r="2911">
      <c r="H2911" s="273" t="s">
        <v>325</v>
      </c>
    </row>
    <row r="2912">
      <c r="H2912" s="273" t="s">
        <v>325</v>
      </c>
    </row>
    <row r="2913">
      <c r="H2913" s="273" t="s">
        <v>325</v>
      </c>
    </row>
    <row r="2914">
      <c r="H2914" s="273" t="s">
        <v>325</v>
      </c>
    </row>
    <row r="2915">
      <c r="H2915" s="273" t="s">
        <v>325</v>
      </c>
    </row>
    <row r="2916">
      <c r="H2916" s="273" t="s">
        <v>325</v>
      </c>
    </row>
    <row r="2917">
      <c r="H2917" s="273" t="s">
        <v>325</v>
      </c>
    </row>
    <row r="2918">
      <c r="H2918" s="273" t="s">
        <v>325</v>
      </c>
    </row>
    <row r="2919">
      <c r="H2919" s="273" t="s">
        <v>325</v>
      </c>
    </row>
    <row r="2920">
      <c r="H2920" s="273" t="s">
        <v>325</v>
      </c>
    </row>
    <row r="2921">
      <c r="H2921" s="273" t="s">
        <v>325</v>
      </c>
    </row>
    <row r="2922">
      <c r="H2922" s="273" t="s">
        <v>325</v>
      </c>
    </row>
    <row r="2923">
      <c r="H2923" s="273" t="s">
        <v>325</v>
      </c>
    </row>
    <row r="2924">
      <c r="H2924" s="273" t="s">
        <v>325</v>
      </c>
    </row>
    <row r="2925">
      <c r="H2925" s="273" t="s">
        <v>325</v>
      </c>
    </row>
    <row r="2926">
      <c r="H2926" s="273" t="s">
        <v>325</v>
      </c>
    </row>
    <row r="2927">
      <c r="H2927" s="273" t="s">
        <v>325</v>
      </c>
    </row>
    <row r="2928">
      <c r="H2928" s="273" t="s">
        <v>325</v>
      </c>
    </row>
    <row r="2929">
      <c r="H2929" s="273" t="s">
        <v>325</v>
      </c>
    </row>
    <row r="2930">
      <c r="H2930" s="273" t="s">
        <v>325</v>
      </c>
    </row>
    <row r="2931">
      <c r="H2931" s="273" t="s">
        <v>325</v>
      </c>
    </row>
    <row r="2932">
      <c r="H2932" s="273" t="s">
        <v>325</v>
      </c>
    </row>
    <row r="2933">
      <c r="H2933" s="273" t="s">
        <v>325</v>
      </c>
    </row>
    <row r="2934">
      <c r="H2934" s="273" t="s">
        <v>325</v>
      </c>
    </row>
    <row r="2935">
      <c r="H2935" s="273" t="s">
        <v>325</v>
      </c>
    </row>
    <row r="2936">
      <c r="H2936" s="273" t="s">
        <v>325</v>
      </c>
    </row>
    <row r="2937">
      <c r="H2937" s="273" t="s">
        <v>325</v>
      </c>
    </row>
    <row r="2938">
      <c r="H2938" s="273" t="s">
        <v>325</v>
      </c>
    </row>
    <row r="2939">
      <c r="H2939" s="273" t="s">
        <v>325</v>
      </c>
    </row>
    <row r="2940">
      <c r="H2940" s="273" t="s">
        <v>325</v>
      </c>
    </row>
    <row r="2941">
      <c r="H2941" s="273" t="s">
        <v>325</v>
      </c>
    </row>
    <row r="2942">
      <c r="H2942" s="273" t="s">
        <v>325</v>
      </c>
    </row>
    <row r="2943">
      <c r="H2943" s="273" t="s">
        <v>325</v>
      </c>
    </row>
    <row r="2944">
      <c r="H2944" s="273" t="s">
        <v>325</v>
      </c>
    </row>
    <row r="2945">
      <c r="H2945" s="273" t="s">
        <v>325</v>
      </c>
    </row>
    <row r="2946">
      <c r="H2946" s="273" t="s">
        <v>325</v>
      </c>
    </row>
    <row r="2947">
      <c r="H2947" s="273" t="s">
        <v>325</v>
      </c>
    </row>
    <row r="2948">
      <c r="H2948" s="273" t="s">
        <v>325</v>
      </c>
    </row>
    <row r="2949">
      <c r="H2949" s="273" t="s">
        <v>325</v>
      </c>
    </row>
    <row r="2950">
      <c r="H2950" s="273" t="s">
        <v>325</v>
      </c>
    </row>
    <row r="2951">
      <c r="H2951" s="273" t="s">
        <v>325</v>
      </c>
    </row>
    <row r="2952">
      <c r="H2952" s="273" t="s">
        <v>325</v>
      </c>
    </row>
    <row r="2953">
      <c r="H2953" s="273" t="s">
        <v>325</v>
      </c>
    </row>
    <row r="2954">
      <c r="H2954" s="273" t="s">
        <v>325</v>
      </c>
    </row>
    <row r="2955">
      <c r="H2955" s="273" t="s">
        <v>325</v>
      </c>
    </row>
    <row r="2956">
      <c r="H2956" s="273" t="s">
        <v>325</v>
      </c>
    </row>
    <row r="2957">
      <c r="H2957" s="273" t="s">
        <v>325</v>
      </c>
    </row>
    <row r="2958">
      <c r="H2958" s="273" t="s">
        <v>325</v>
      </c>
    </row>
    <row r="2959">
      <c r="H2959" s="273" t="s">
        <v>325</v>
      </c>
    </row>
    <row r="2960">
      <c r="H2960" s="273" t="s">
        <v>325</v>
      </c>
    </row>
    <row r="2961">
      <c r="H2961" s="273" t="s">
        <v>325</v>
      </c>
    </row>
    <row r="2962">
      <c r="H2962" s="273" t="s">
        <v>325</v>
      </c>
    </row>
    <row r="2963">
      <c r="H2963" s="273" t="s">
        <v>325</v>
      </c>
    </row>
    <row r="2964">
      <c r="H2964" s="273" t="s">
        <v>325</v>
      </c>
    </row>
    <row r="2965">
      <c r="H2965" s="273" t="s">
        <v>325</v>
      </c>
    </row>
    <row r="2966">
      <c r="H2966" s="273" t="s">
        <v>325</v>
      </c>
    </row>
    <row r="2967">
      <c r="H2967" s="273" t="s">
        <v>325</v>
      </c>
    </row>
    <row r="2968">
      <c r="H2968" s="273" t="s">
        <v>325</v>
      </c>
    </row>
    <row r="2969">
      <c r="H2969" s="273" t="s">
        <v>325</v>
      </c>
    </row>
    <row r="2970">
      <c r="H2970" s="273" t="s">
        <v>325</v>
      </c>
    </row>
    <row r="2971">
      <c r="H2971" s="273" t="s">
        <v>325</v>
      </c>
    </row>
    <row r="2972">
      <c r="H2972" s="273" t="s">
        <v>325</v>
      </c>
    </row>
    <row r="2973">
      <c r="H2973" s="273" t="s">
        <v>325</v>
      </c>
    </row>
    <row r="2974">
      <c r="H2974" s="273" t="s">
        <v>325</v>
      </c>
    </row>
    <row r="2975">
      <c r="H2975" s="273" t="s">
        <v>325</v>
      </c>
    </row>
    <row r="2976">
      <c r="H2976" s="273" t="s">
        <v>325</v>
      </c>
    </row>
    <row r="2977">
      <c r="H2977" s="273" t="s">
        <v>325</v>
      </c>
    </row>
    <row r="2978">
      <c r="H2978" s="273" t="s">
        <v>325</v>
      </c>
    </row>
    <row r="2979">
      <c r="H2979" s="273" t="s">
        <v>325</v>
      </c>
    </row>
    <row r="2980">
      <c r="H2980" s="273" t="s">
        <v>325</v>
      </c>
    </row>
    <row r="2981">
      <c r="H2981" s="273" t="s">
        <v>325</v>
      </c>
    </row>
    <row r="2982">
      <c r="H2982" s="273" t="s">
        <v>325</v>
      </c>
    </row>
    <row r="2983">
      <c r="H2983" s="273" t="s">
        <v>325</v>
      </c>
    </row>
    <row r="2984">
      <c r="H2984" s="273" t="s">
        <v>325</v>
      </c>
    </row>
    <row r="2985">
      <c r="H2985" s="273" t="s">
        <v>325</v>
      </c>
    </row>
    <row r="2986">
      <c r="H2986" s="273" t="s">
        <v>325</v>
      </c>
    </row>
    <row r="2987">
      <c r="H2987" s="273" t="s">
        <v>325</v>
      </c>
    </row>
    <row r="2988">
      <c r="H2988" s="273" t="s">
        <v>325</v>
      </c>
    </row>
    <row r="2989">
      <c r="H2989" s="273" t="s">
        <v>325</v>
      </c>
    </row>
    <row r="2990">
      <c r="H2990" s="273" t="s">
        <v>325</v>
      </c>
    </row>
    <row r="2991">
      <c r="H2991" s="273" t="s">
        <v>325</v>
      </c>
    </row>
    <row r="2992">
      <c r="H2992" s="273" t="s">
        <v>325</v>
      </c>
    </row>
    <row r="2993">
      <c r="H2993" s="273" t="s">
        <v>325</v>
      </c>
    </row>
    <row r="2994">
      <c r="H2994" s="273" t="s">
        <v>325</v>
      </c>
    </row>
    <row r="2995">
      <c r="H2995" s="273" t="s">
        <v>325</v>
      </c>
    </row>
    <row r="2996">
      <c r="H2996" s="273" t="s">
        <v>325</v>
      </c>
    </row>
    <row r="2997">
      <c r="H2997" s="273" t="s">
        <v>325</v>
      </c>
    </row>
    <row r="2998">
      <c r="H2998" s="273" t="s">
        <v>325</v>
      </c>
    </row>
    <row r="2999">
      <c r="H2999" s="273" t="s">
        <v>325</v>
      </c>
    </row>
    <row r="3000">
      <c r="H3000" s="273" t="s">
        <v>325</v>
      </c>
    </row>
    <row r="3001">
      <c r="H3001" s="273" t="s">
        <v>325</v>
      </c>
    </row>
    <row r="3002">
      <c r="H3002" s="273" t="s">
        <v>325</v>
      </c>
    </row>
    <row r="3003">
      <c r="H3003" s="273" t="s">
        <v>325</v>
      </c>
    </row>
    <row r="3004">
      <c r="H3004" s="273" t="s">
        <v>325</v>
      </c>
    </row>
    <row r="3005">
      <c r="H3005" s="273" t="s">
        <v>325</v>
      </c>
    </row>
    <row r="3006">
      <c r="H3006" s="273" t="s">
        <v>325</v>
      </c>
    </row>
    <row r="3007">
      <c r="H3007" s="273" t="s">
        <v>325</v>
      </c>
    </row>
    <row r="3008">
      <c r="H3008" s="273" t="s">
        <v>325</v>
      </c>
    </row>
    <row r="3009">
      <c r="H3009" s="273" t="s">
        <v>325</v>
      </c>
    </row>
    <row r="3010">
      <c r="H3010" s="273" t="s">
        <v>325</v>
      </c>
    </row>
    <row r="3011">
      <c r="H3011" s="273" t="s">
        <v>325</v>
      </c>
    </row>
    <row r="3012">
      <c r="H3012" s="273" t="s">
        <v>325</v>
      </c>
    </row>
    <row r="3013">
      <c r="H3013" s="273" t="s">
        <v>325</v>
      </c>
    </row>
    <row r="3014">
      <c r="H3014" s="273" t="s">
        <v>325</v>
      </c>
    </row>
    <row r="3015">
      <c r="H3015" s="273" t="s">
        <v>325</v>
      </c>
    </row>
    <row r="3016">
      <c r="H3016" s="273" t="s">
        <v>325</v>
      </c>
    </row>
    <row r="3017">
      <c r="H3017" s="273" t="s">
        <v>325</v>
      </c>
    </row>
    <row r="3018">
      <c r="H3018" s="273" t="s">
        <v>325</v>
      </c>
    </row>
    <row r="3019">
      <c r="H3019" s="273" t="s">
        <v>325</v>
      </c>
    </row>
    <row r="3020">
      <c r="H3020" s="273" t="s">
        <v>325</v>
      </c>
    </row>
    <row r="3021">
      <c r="H3021" s="273" t="s">
        <v>325</v>
      </c>
    </row>
    <row r="3022">
      <c r="H3022" s="273" t="s">
        <v>325</v>
      </c>
    </row>
    <row r="3023">
      <c r="H3023" s="273" t="s">
        <v>325</v>
      </c>
    </row>
    <row r="3024">
      <c r="H3024" s="273" t="s">
        <v>325</v>
      </c>
    </row>
    <row r="3025">
      <c r="H3025" s="273" t="s">
        <v>325</v>
      </c>
    </row>
    <row r="3026">
      <c r="H3026" s="273" t="s">
        <v>325</v>
      </c>
    </row>
    <row r="3027">
      <c r="H3027" s="273" t="s">
        <v>325</v>
      </c>
    </row>
    <row r="3028">
      <c r="H3028" s="273" t="s">
        <v>325</v>
      </c>
    </row>
    <row r="3029">
      <c r="H3029" s="273" t="s">
        <v>325</v>
      </c>
    </row>
    <row r="3030">
      <c r="H3030" s="273" t="s">
        <v>325</v>
      </c>
    </row>
    <row r="3031">
      <c r="H3031" s="273" t="s">
        <v>325</v>
      </c>
    </row>
    <row r="3032">
      <c r="H3032" s="273" t="s">
        <v>325</v>
      </c>
    </row>
    <row r="3033">
      <c r="H3033" s="273" t="s">
        <v>325</v>
      </c>
    </row>
    <row r="3034">
      <c r="H3034" s="273" t="s">
        <v>325</v>
      </c>
    </row>
    <row r="3035">
      <c r="H3035" s="273" t="s">
        <v>325</v>
      </c>
    </row>
    <row r="3036">
      <c r="H3036" s="273" t="s">
        <v>325</v>
      </c>
    </row>
    <row r="3037">
      <c r="H3037" s="273" t="s">
        <v>325</v>
      </c>
    </row>
    <row r="3038">
      <c r="H3038" s="273" t="s">
        <v>325</v>
      </c>
    </row>
    <row r="3039">
      <c r="H3039" s="273" t="s">
        <v>325</v>
      </c>
    </row>
    <row r="3040">
      <c r="H3040" s="273" t="s">
        <v>325</v>
      </c>
    </row>
    <row r="3041">
      <c r="H3041" s="273" t="s">
        <v>325</v>
      </c>
    </row>
    <row r="3042">
      <c r="H3042" s="273" t="s">
        <v>325</v>
      </c>
    </row>
    <row r="3043">
      <c r="H3043" s="273" t="s">
        <v>325</v>
      </c>
    </row>
    <row r="3044">
      <c r="H3044" s="273" t="s">
        <v>325</v>
      </c>
    </row>
    <row r="3045">
      <c r="H3045" s="273" t="s">
        <v>325</v>
      </c>
    </row>
    <row r="3046">
      <c r="H3046" s="273" t="s">
        <v>325</v>
      </c>
    </row>
    <row r="3047">
      <c r="H3047" s="273" t="s">
        <v>325</v>
      </c>
    </row>
    <row r="3048">
      <c r="H3048" s="273" t="s">
        <v>325</v>
      </c>
    </row>
    <row r="3049">
      <c r="H3049" s="273" t="s">
        <v>325</v>
      </c>
    </row>
    <row r="3050">
      <c r="H3050" s="273" t="s">
        <v>325</v>
      </c>
    </row>
    <row r="3051">
      <c r="H3051" s="273" t="s">
        <v>325</v>
      </c>
    </row>
    <row r="3052">
      <c r="H3052" s="273" t="s">
        <v>325</v>
      </c>
    </row>
    <row r="3053">
      <c r="H3053" s="273" t="s">
        <v>325</v>
      </c>
    </row>
    <row r="3054">
      <c r="H3054" s="273" t="s">
        <v>325</v>
      </c>
    </row>
    <row r="3055">
      <c r="H3055" s="273" t="s">
        <v>325</v>
      </c>
    </row>
    <row r="3056">
      <c r="H3056" s="273" t="s">
        <v>325</v>
      </c>
    </row>
    <row r="3057">
      <c r="H3057" s="273" t="s">
        <v>325</v>
      </c>
    </row>
    <row r="3058">
      <c r="H3058" s="273" t="s">
        <v>325</v>
      </c>
    </row>
    <row r="3059">
      <c r="H3059" s="273" t="s">
        <v>325</v>
      </c>
    </row>
    <row r="3060">
      <c r="H3060" s="273" t="s">
        <v>325</v>
      </c>
    </row>
    <row r="3061">
      <c r="H3061" s="273" t="s">
        <v>325</v>
      </c>
    </row>
    <row r="3062">
      <c r="H3062" s="273" t="s">
        <v>325</v>
      </c>
    </row>
    <row r="3063">
      <c r="H3063" s="273" t="s">
        <v>325</v>
      </c>
    </row>
    <row r="3064">
      <c r="H3064" s="273" t="s">
        <v>325</v>
      </c>
    </row>
    <row r="3065">
      <c r="H3065" s="273" t="s">
        <v>325</v>
      </c>
    </row>
    <row r="3066">
      <c r="H3066" s="273" t="s">
        <v>325</v>
      </c>
    </row>
    <row r="3067">
      <c r="H3067" s="273" t="s">
        <v>325</v>
      </c>
    </row>
    <row r="3068">
      <c r="H3068" s="273" t="s">
        <v>325</v>
      </c>
    </row>
    <row r="3069">
      <c r="H3069" s="273" t="s">
        <v>325</v>
      </c>
    </row>
    <row r="3070">
      <c r="H3070" s="273" t="s">
        <v>325</v>
      </c>
    </row>
    <row r="3071">
      <c r="H3071" s="273" t="s">
        <v>325</v>
      </c>
    </row>
    <row r="3072">
      <c r="H3072" s="273" t="s">
        <v>325</v>
      </c>
    </row>
    <row r="3073">
      <c r="H3073" s="273" t="s">
        <v>325</v>
      </c>
    </row>
    <row r="3074">
      <c r="H3074" s="273" t="s">
        <v>325</v>
      </c>
    </row>
    <row r="3075">
      <c r="H3075" s="273" t="s">
        <v>325</v>
      </c>
    </row>
    <row r="3076">
      <c r="H3076" s="273" t="s">
        <v>325</v>
      </c>
    </row>
    <row r="3077">
      <c r="H3077" s="273" t="s">
        <v>325</v>
      </c>
    </row>
    <row r="3078">
      <c r="H3078" s="273" t="s">
        <v>325</v>
      </c>
    </row>
    <row r="3079">
      <c r="H3079" s="273" t="s">
        <v>325</v>
      </c>
    </row>
    <row r="3080">
      <c r="H3080" s="273" t="s">
        <v>325</v>
      </c>
    </row>
    <row r="3081">
      <c r="H3081" s="273" t="s">
        <v>325</v>
      </c>
    </row>
    <row r="3082">
      <c r="H3082" s="273" t="s">
        <v>325</v>
      </c>
    </row>
    <row r="3083">
      <c r="H3083" s="273" t="s">
        <v>325</v>
      </c>
    </row>
    <row r="3084">
      <c r="H3084" s="273" t="s">
        <v>325</v>
      </c>
    </row>
    <row r="3085">
      <c r="H3085" s="273" t="s">
        <v>325</v>
      </c>
    </row>
    <row r="3086">
      <c r="H3086" s="273" t="s">
        <v>325</v>
      </c>
    </row>
    <row r="3087">
      <c r="H3087" s="273" t="s">
        <v>325</v>
      </c>
    </row>
    <row r="3088">
      <c r="H3088" s="273" t="s">
        <v>325</v>
      </c>
    </row>
    <row r="3089">
      <c r="H3089" s="273" t="s">
        <v>325</v>
      </c>
    </row>
    <row r="3090">
      <c r="H3090" s="273" t="s">
        <v>325</v>
      </c>
    </row>
    <row r="3091">
      <c r="H3091" s="273" t="s">
        <v>325</v>
      </c>
    </row>
    <row r="3092">
      <c r="H3092" s="273" t="s">
        <v>325</v>
      </c>
    </row>
    <row r="3093">
      <c r="H3093" s="273" t="s">
        <v>325</v>
      </c>
    </row>
    <row r="3094">
      <c r="H3094" s="273" t="s">
        <v>325</v>
      </c>
    </row>
    <row r="3095">
      <c r="H3095" s="273" t="s">
        <v>325</v>
      </c>
    </row>
    <row r="3096">
      <c r="H3096" s="273" t="s">
        <v>325</v>
      </c>
    </row>
    <row r="3097">
      <c r="H3097" s="273" t="s">
        <v>325</v>
      </c>
    </row>
    <row r="3098">
      <c r="H3098" s="273" t="s">
        <v>325</v>
      </c>
    </row>
    <row r="3099">
      <c r="H3099" s="273" t="s">
        <v>325</v>
      </c>
    </row>
    <row r="3100">
      <c r="H3100" s="273" t="s">
        <v>325</v>
      </c>
    </row>
    <row r="3101">
      <c r="H3101" s="273" t="s">
        <v>325</v>
      </c>
    </row>
    <row r="3102">
      <c r="H3102" s="273" t="s">
        <v>325</v>
      </c>
    </row>
    <row r="3103">
      <c r="H3103" s="273" t="s">
        <v>325</v>
      </c>
    </row>
    <row r="3104">
      <c r="H3104" s="273" t="s">
        <v>325</v>
      </c>
    </row>
    <row r="3105">
      <c r="H3105" s="273" t="s">
        <v>325</v>
      </c>
    </row>
    <row r="3106">
      <c r="H3106" s="273" t="s">
        <v>325</v>
      </c>
    </row>
    <row r="3107">
      <c r="H3107" s="273" t="s">
        <v>325</v>
      </c>
    </row>
    <row r="3108">
      <c r="H3108" s="273" t="s">
        <v>325</v>
      </c>
    </row>
    <row r="3109">
      <c r="H3109" s="273" t="s">
        <v>325</v>
      </c>
    </row>
    <row r="3110">
      <c r="H3110" s="273" t="s">
        <v>325</v>
      </c>
    </row>
    <row r="3111">
      <c r="H3111" s="273" t="s">
        <v>325</v>
      </c>
    </row>
    <row r="3112">
      <c r="H3112" s="273" t="s">
        <v>325</v>
      </c>
    </row>
    <row r="3113">
      <c r="H3113" s="273" t="s">
        <v>325</v>
      </c>
    </row>
    <row r="3114">
      <c r="H3114" s="273" t="s">
        <v>325</v>
      </c>
    </row>
    <row r="3115">
      <c r="H3115" s="273" t="s">
        <v>325</v>
      </c>
    </row>
    <row r="3116">
      <c r="H3116" s="273" t="s">
        <v>325</v>
      </c>
    </row>
    <row r="3117">
      <c r="H3117" s="273" t="s">
        <v>325</v>
      </c>
    </row>
    <row r="3118">
      <c r="H3118" s="273" t="s">
        <v>325</v>
      </c>
    </row>
    <row r="3119">
      <c r="H3119" s="273" t="s">
        <v>325</v>
      </c>
    </row>
    <row r="3120">
      <c r="H3120" s="273" t="s">
        <v>325</v>
      </c>
    </row>
    <row r="3121">
      <c r="H3121" s="273" t="s">
        <v>325</v>
      </c>
    </row>
    <row r="3122">
      <c r="H3122" s="273" t="s">
        <v>325</v>
      </c>
    </row>
    <row r="3123">
      <c r="H3123" s="273" t="s">
        <v>325</v>
      </c>
    </row>
    <row r="3124">
      <c r="H3124" s="273" t="s">
        <v>325</v>
      </c>
    </row>
    <row r="3125">
      <c r="H3125" s="273" t="s">
        <v>325</v>
      </c>
    </row>
    <row r="3126">
      <c r="H3126" s="273" t="s">
        <v>325</v>
      </c>
    </row>
    <row r="3127">
      <c r="H3127" s="273" t="s">
        <v>325</v>
      </c>
    </row>
    <row r="3128">
      <c r="H3128" s="273" t="s">
        <v>325</v>
      </c>
    </row>
    <row r="3129">
      <c r="H3129" s="273" t="s">
        <v>325</v>
      </c>
    </row>
    <row r="3130">
      <c r="H3130" s="273" t="s">
        <v>325</v>
      </c>
    </row>
    <row r="3131">
      <c r="H3131" s="273" t="s">
        <v>325</v>
      </c>
    </row>
    <row r="3132">
      <c r="H3132" s="273" t="s">
        <v>325</v>
      </c>
    </row>
    <row r="3133">
      <c r="H3133" s="273" t="s">
        <v>325</v>
      </c>
    </row>
    <row r="3134">
      <c r="H3134" s="273" t="s">
        <v>325</v>
      </c>
    </row>
    <row r="3135">
      <c r="H3135" s="273" t="s">
        <v>325</v>
      </c>
    </row>
    <row r="3136">
      <c r="H3136" s="273" t="s">
        <v>325</v>
      </c>
    </row>
    <row r="3137">
      <c r="H3137" s="273" t="s">
        <v>325</v>
      </c>
    </row>
    <row r="3138">
      <c r="H3138" s="273" t="s">
        <v>325</v>
      </c>
    </row>
    <row r="3139">
      <c r="H3139" s="273" t="s">
        <v>325</v>
      </c>
    </row>
    <row r="3140">
      <c r="H3140" s="273" t="s">
        <v>325</v>
      </c>
    </row>
    <row r="3141">
      <c r="H3141" s="273" t="s">
        <v>325</v>
      </c>
    </row>
    <row r="3142">
      <c r="H3142" s="273" t="s">
        <v>325</v>
      </c>
    </row>
    <row r="3143">
      <c r="H3143" s="273" t="s">
        <v>325</v>
      </c>
    </row>
    <row r="3144">
      <c r="H3144" s="273" t="s">
        <v>325</v>
      </c>
    </row>
    <row r="3145">
      <c r="H3145" s="273" t="s">
        <v>325</v>
      </c>
    </row>
    <row r="3146">
      <c r="H3146" s="273" t="s">
        <v>325</v>
      </c>
    </row>
    <row r="3147">
      <c r="H3147" s="273" t="s">
        <v>325</v>
      </c>
    </row>
    <row r="3148">
      <c r="H3148" s="273" t="s">
        <v>325</v>
      </c>
    </row>
    <row r="3149">
      <c r="H3149" s="273" t="s">
        <v>325</v>
      </c>
    </row>
    <row r="3150">
      <c r="H3150" s="273" t="s">
        <v>325</v>
      </c>
    </row>
    <row r="3151">
      <c r="H3151" s="273" t="s">
        <v>325</v>
      </c>
    </row>
    <row r="3152">
      <c r="H3152" s="273" t="s">
        <v>325</v>
      </c>
    </row>
    <row r="3153">
      <c r="H3153" s="273" t="s">
        <v>325</v>
      </c>
    </row>
    <row r="3154">
      <c r="H3154" s="273" t="s">
        <v>325</v>
      </c>
    </row>
    <row r="3155">
      <c r="H3155" s="273" t="s">
        <v>325</v>
      </c>
    </row>
    <row r="3156">
      <c r="H3156" s="273" t="s">
        <v>325</v>
      </c>
    </row>
    <row r="3157">
      <c r="H3157" s="273" t="s">
        <v>325</v>
      </c>
    </row>
    <row r="3158">
      <c r="H3158" s="273" t="s">
        <v>325</v>
      </c>
    </row>
    <row r="3159">
      <c r="H3159" s="273" t="s">
        <v>325</v>
      </c>
    </row>
    <row r="3160">
      <c r="H3160" s="273" t="s">
        <v>325</v>
      </c>
    </row>
    <row r="3161">
      <c r="H3161" s="273" t="s">
        <v>325</v>
      </c>
    </row>
    <row r="3162">
      <c r="H3162" s="273" t="s">
        <v>325</v>
      </c>
    </row>
    <row r="3163">
      <c r="H3163" s="273" t="s">
        <v>325</v>
      </c>
    </row>
    <row r="3164">
      <c r="H3164" s="273" t="s">
        <v>325</v>
      </c>
    </row>
    <row r="3165">
      <c r="H3165" s="273" t="s">
        <v>325</v>
      </c>
    </row>
    <row r="3166">
      <c r="H3166" s="273" t="s">
        <v>325</v>
      </c>
    </row>
    <row r="3167">
      <c r="H3167" s="273" t="s">
        <v>325</v>
      </c>
    </row>
    <row r="3168">
      <c r="H3168" s="273" t="s">
        <v>325</v>
      </c>
    </row>
    <row r="3169">
      <c r="H3169" s="273" t="s">
        <v>325</v>
      </c>
    </row>
    <row r="3170">
      <c r="H3170" s="273" t="s">
        <v>325</v>
      </c>
    </row>
    <row r="3171">
      <c r="H3171" s="273" t="s">
        <v>325</v>
      </c>
    </row>
    <row r="3172">
      <c r="H3172" s="273" t="s">
        <v>325</v>
      </c>
    </row>
    <row r="3173">
      <c r="H3173" s="273" t="s">
        <v>325</v>
      </c>
    </row>
    <row r="3174">
      <c r="H3174" s="273" t="s">
        <v>325</v>
      </c>
    </row>
    <row r="3175">
      <c r="H3175" s="273" t="s">
        <v>325</v>
      </c>
    </row>
    <row r="3176">
      <c r="H3176" s="273" t="s">
        <v>325</v>
      </c>
    </row>
    <row r="3177">
      <c r="H3177" s="273" t="s">
        <v>325</v>
      </c>
    </row>
    <row r="3178">
      <c r="H3178" s="273" t="s">
        <v>325</v>
      </c>
    </row>
    <row r="3179">
      <c r="H3179" s="273" t="s">
        <v>325</v>
      </c>
    </row>
    <row r="3180">
      <c r="H3180" s="273" t="s">
        <v>325</v>
      </c>
    </row>
    <row r="3181">
      <c r="H3181" s="273" t="s">
        <v>325</v>
      </c>
    </row>
    <row r="3182">
      <c r="H3182" s="273" t="s">
        <v>325</v>
      </c>
    </row>
    <row r="3183">
      <c r="H3183" s="273" t="s">
        <v>325</v>
      </c>
    </row>
    <row r="3184">
      <c r="H3184" s="273" t="s">
        <v>325</v>
      </c>
    </row>
    <row r="3185">
      <c r="H3185" s="273" t="s">
        <v>325</v>
      </c>
    </row>
    <row r="3186">
      <c r="H3186" s="273" t="s">
        <v>325</v>
      </c>
    </row>
    <row r="3187">
      <c r="H3187" s="273" t="s">
        <v>325</v>
      </c>
    </row>
    <row r="3188">
      <c r="H3188" s="273" t="s">
        <v>325</v>
      </c>
    </row>
    <row r="3189">
      <c r="H3189" s="273" t="s">
        <v>325</v>
      </c>
    </row>
    <row r="3190">
      <c r="H3190" s="273" t="s">
        <v>325</v>
      </c>
    </row>
    <row r="3191">
      <c r="H3191" s="273" t="s">
        <v>325</v>
      </c>
    </row>
    <row r="3192">
      <c r="H3192" s="273" t="s">
        <v>325</v>
      </c>
    </row>
    <row r="3193">
      <c r="H3193" s="273" t="s">
        <v>325</v>
      </c>
    </row>
    <row r="3194">
      <c r="H3194" s="273" t="s">
        <v>325</v>
      </c>
    </row>
    <row r="3195">
      <c r="H3195" s="273" t="s">
        <v>325</v>
      </c>
    </row>
    <row r="3196">
      <c r="H3196" s="273" t="s">
        <v>325</v>
      </c>
    </row>
    <row r="3197">
      <c r="H3197" s="273" t="s">
        <v>325</v>
      </c>
    </row>
    <row r="3198">
      <c r="H3198" s="273" t="s">
        <v>325</v>
      </c>
    </row>
    <row r="3199">
      <c r="H3199" s="273" t="s">
        <v>325</v>
      </c>
    </row>
    <row r="3200">
      <c r="H3200" s="273" t="s">
        <v>325</v>
      </c>
    </row>
    <row r="3201">
      <c r="H3201" s="273" t="s">
        <v>325</v>
      </c>
    </row>
    <row r="3202">
      <c r="H3202" s="273" t="s">
        <v>325</v>
      </c>
    </row>
    <row r="3203">
      <c r="H3203" s="273" t="s">
        <v>325</v>
      </c>
    </row>
    <row r="3204">
      <c r="H3204" s="273" t="s">
        <v>325</v>
      </c>
    </row>
    <row r="3205">
      <c r="H3205" s="273" t="s">
        <v>325</v>
      </c>
    </row>
    <row r="3206">
      <c r="H3206" s="273" t="s">
        <v>325</v>
      </c>
    </row>
    <row r="3207">
      <c r="H3207" s="273" t="s">
        <v>325</v>
      </c>
    </row>
    <row r="3208">
      <c r="H3208" s="273" t="s">
        <v>325</v>
      </c>
    </row>
    <row r="3209">
      <c r="H3209" s="273" t="s">
        <v>325</v>
      </c>
    </row>
    <row r="3210">
      <c r="H3210" s="273" t="s">
        <v>325</v>
      </c>
    </row>
    <row r="3211">
      <c r="H3211" s="273" t="s">
        <v>325</v>
      </c>
    </row>
    <row r="3212">
      <c r="H3212" s="273" t="s">
        <v>325</v>
      </c>
    </row>
    <row r="3213">
      <c r="H3213" s="273" t="s">
        <v>325</v>
      </c>
    </row>
    <row r="3214">
      <c r="H3214" s="273" t="s">
        <v>325</v>
      </c>
    </row>
    <row r="3215">
      <c r="H3215" s="273" t="s">
        <v>325</v>
      </c>
    </row>
    <row r="3216">
      <c r="H3216" s="273" t="s">
        <v>325</v>
      </c>
    </row>
    <row r="3217">
      <c r="H3217" s="273" t="s">
        <v>325</v>
      </c>
    </row>
    <row r="3218">
      <c r="H3218" s="273" t="s">
        <v>325</v>
      </c>
    </row>
    <row r="3219">
      <c r="H3219" s="273" t="s">
        <v>325</v>
      </c>
    </row>
    <row r="3220">
      <c r="H3220" s="273" t="s">
        <v>325</v>
      </c>
    </row>
    <row r="3221">
      <c r="H3221" s="273" t="s">
        <v>325</v>
      </c>
    </row>
    <row r="3222">
      <c r="H3222" s="273" t="s">
        <v>325</v>
      </c>
    </row>
    <row r="3223">
      <c r="H3223" s="273" t="s">
        <v>325</v>
      </c>
    </row>
    <row r="3224">
      <c r="H3224" s="273" t="s">
        <v>325</v>
      </c>
    </row>
    <row r="3225">
      <c r="H3225" s="273" t="s">
        <v>325</v>
      </c>
    </row>
    <row r="3226">
      <c r="H3226" s="273" t="s">
        <v>325</v>
      </c>
    </row>
    <row r="3227">
      <c r="H3227" s="273" t="s">
        <v>325</v>
      </c>
    </row>
    <row r="3228">
      <c r="H3228" s="273" t="s">
        <v>325</v>
      </c>
    </row>
    <row r="3229">
      <c r="H3229" s="273" t="s">
        <v>325</v>
      </c>
    </row>
    <row r="3230">
      <c r="H3230" s="273" t="s">
        <v>325</v>
      </c>
    </row>
    <row r="3231">
      <c r="H3231" s="273" t="s">
        <v>325</v>
      </c>
    </row>
    <row r="3232">
      <c r="H3232" s="273" t="s">
        <v>325</v>
      </c>
    </row>
    <row r="3233">
      <c r="H3233" s="273" t="s">
        <v>325</v>
      </c>
    </row>
    <row r="3234">
      <c r="H3234" s="273" t="s">
        <v>325</v>
      </c>
    </row>
    <row r="3235">
      <c r="H3235" s="273" t="s">
        <v>325</v>
      </c>
    </row>
    <row r="3236">
      <c r="H3236" s="273" t="s">
        <v>325</v>
      </c>
    </row>
    <row r="3237">
      <c r="H3237" s="273" t="s">
        <v>325</v>
      </c>
    </row>
    <row r="3238">
      <c r="H3238" s="273" t="s">
        <v>325</v>
      </c>
    </row>
    <row r="3239">
      <c r="H3239" s="273" t="s">
        <v>325</v>
      </c>
    </row>
    <row r="3240">
      <c r="H3240" s="273" t="s">
        <v>325</v>
      </c>
    </row>
    <row r="3241">
      <c r="H3241" s="273" t="s">
        <v>325</v>
      </c>
    </row>
    <row r="3242">
      <c r="H3242" s="273" t="s">
        <v>325</v>
      </c>
    </row>
    <row r="3243">
      <c r="H3243" s="273" t="s">
        <v>325</v>
      </c>
    </row>
    <row r="3244">
      <c r="H3244" s="273" t="s">
        <v>325</v>
      </c>
    </row>
    <row r="3245">
      <c r="H3245" s="273" t="s">
        <v>325</v>
      </c>
    </row>
    <row r="3246">
      <c r="H3246" s="273" t="s">
        <v>325</v>
      </c>
    </row>
    <row r="3247">
      <c r="H3247" s="273" t="s">
        <v>325</v>
      </c>
    </row>
    <row r="3248">
      <c r="H3248" s="273" t="s">
        <v>325</v>
      </c>
    </row>
    <row r="3249">
      <c r="H3249" s="273" t="s">
        <v>325</v>
      </c>
    </row>
    <row r="3250">
      <c r="H3250" s="273" t="s">
        <v>325</v>
      </c>
    </row>
    <row r="3251">
      <c r="H3251" s="273" t="s">
        <v>325</v>
      </c>
    </row>
    <row r="3252">
      <c r="H3252" s="273" t="s">
        <v>325</v>
      </c>
    </row>
    <row r="3253">
      <c r="H3253" s="273" t="s">
        <v>325</v>
      </c>
    </row>
    <row r="3254">
      <c r="H3254" s="273" t="s">
        <v>325</v>
      </c>
    </row>
    <row r="3255">
      <c r="H3255" s="273" t="s">
        <v>325</v>
      </c>
    </row>
    <row r="3256">
      <c r="H3256" s="273" t="s">
        <v>325</v>
      </c>
    </row>
    <row r="3257">
      <c r="H3257" s="273" t="s">
        <v>325</v>
      </c>
    </row>
    <row r="3258">
      <c r="H3258" s="273" t="s">
        <v>325</v>
      </c>
    </row>
    <row r="3259">
      <c r="H3259" s="273" t="s">
        <v>325</v>
      </c>
    </row>
    <row r="3260">
      <c r="H3260" s="273" t="s">
        <v>325</v>
      </c>
    </row>
    <row r="3261">
      <c r="H3261" s="273" t="s">
        <v>325</v>
      </c>
    </row>
    <row r="3262">
      <c r="H3262" s="273" t="s">
        <v>325</v>
      </c>
    </row>
    <row r="3263">
      <c r="H3263" s="273" t="s">
        <v>325</v>
      </c>
    </row>
    <row r="3264">
      <c r="H3264" s="273" t="s">
        <v>325</v>
      </c>
    </row>
    <row r="3265">
      <c r="H3265" s="273" t="s">
        <v>325</v>
      </c>
    </row>
    <row r="3266">
      <c r="H3266" s="273" t="s">
        <v>325</v>
      </c>
    </row>
    <row r="3267">
      <c r="H3267" s="273" t="s">
        <v>325</v>
      </c>
    </row>
    <row r="3268">
      <c r="H3268" s="273" t="s">
        <v>325</v>
      </c>
    </row>
    <row r="3269">
      <c r="H3269" s="273" t="s">
        <v>325</v>
      </c>
    </row>
    <row r="3270">
      <c r="H3270" s="273" t="s">
        <v>325</v>
      </c>
    </row>
    <row r="3271">
      <c r="H3271" s="273" t="s">
        <v>325</v>
      </c>
    </row>
    <row r="3272">
      <c r="H3272" s="273" t="s">
        <v>325</v>
      </c>
    </row>
    <row r="3273">
      <c r="H3273" s="273" t="s">
        <v>325</v>
      </c>
    </row>
    <row r="3274">
      <c r="H3274" s="273" t="s">
        <v>325</v>
      </c>
    </row>
    <row r="3275">
      <c r="H3275" s="273" t="s">
        <v>325</v>
      </c>
    </row>
    <row r="3276">
      <c r="H3276" s="273" t="s">
        <v>325</v>
      </c>
    </row>
    <row r="3277">
      <c r="H3277" s="273" t="s">
        <v>325</v>
      </c>
    </row>
    <row r="3278">
      <c r="H3278" s="273" t="s">
        <v>325</v>
      </c>
    </row>
    <row r="3279">
      <c r="H3279" s="273" t="s">
        <v>325</v>
      </c>
    </row>
    <row r="3280">
      <c r="H3280" s="273" t="s">
        <v>325</v>
      </c>
    </row>
    <row r="3281">
      <c r="H3281" s="273" t="s">
        <v>325</v>
      </c>
    </row>
    <row r="3282">
      <c r="H3282" s="273" t="s">
        <v>325</v>
      </c>
    </row>
    <row r="3283">
      <c r="H3283" s="273" t="s">
        <v>325</v>
      </c>
    </row>
    <row r="3284">
      <c r="H3284" s="273" t="s">
        <v>325</v>
      </c>
    </row>
    <row r="3285">
      <c r="H3285" s="273" t="s">
        <v>325</v>
      </c>
    </row>
    <row r="3286">
      <c r="H3286" s="273" t="s">
        <v>325</v>
      </c>
    </row>
    <row r="3287">
      <c r="H3287" s="273" t="s">
        <v>325</v>
      </c>
    </row>
    <row r="3288">
      <c r="H3288" s="273" t="s">
        <v>325</v>
      </c>
    </row>
    <row r="3289">
      <c r="H3289" s="273" t="s">
        <v>325</v>
      </c>
    </row>
    <row r="3290">
      <c r="H3290" s="273" t="s">
        <v>325</v>
      </c>
    </row>
    <row r="3291">
      <c r="H3291" s="273" t="s">
        <v>325</v>
      </c>
    </row>
    <row r="3292">
      <c r="H3292" s="273" t="s">
        <v>325</v>
      </c>
    </row>
    <row r="3293">
      <c r="H3293" s="273" t="s">
        <v>325</v>
      </c>
    </row>
    <row r="3294">
      <c r="H3294" s="273" t="s">
        <v>325</v>
      </c>
    </row>
    <row r="3295">
      <c r="H3295" s="273" t="s">
        <v>325</v>
      </c>
    </row>
    <row r="3296">
      <c r="H3296" s="273" t="s">
        <v>325</v>
      </c>
    </row>
    <row r="3297">
      <c r="H3297" s="273" t="s">
        <v>325</v>
      </c>
    </row>
    <row r="3298">
      <c r="H3298" s="273" t="s">
        <v>325</v>
      </c>
    </row>
    <row r="3299">
      <c r="H3299" s="273" t="s">
        <v>325</v>
      </c>
    </row>
    <row r="3300">
      <c r="H3300" s="273" t="s">
        <v>325</v>
      </c>
    </row>
    <row r="3301">
      <c r="H3301" s="273" t="s">
        <v>325</v>
      </c>
    </row>
    <row r="3302">
      <c r="H3302" s="273" t="s">
        <v>325</v>
      </c>
    </row>
    <row r="3303">
      <c r="H3303" s="273" t="s">
        <v>325</v>
      </c>
    </row>
    <row r="3304">
      <c r="H3304" s="273" t="s">
        <v>325</v>
      </c>
    </row>
    <row r="3305">
      <c r="H3305" s="273" t="s">
        <v>325</v>
      </c>
    </row>
    <row r="3306">
      <c r="H3306" s="273" t="s">
        <v>325</v>
      </c>
    </row>
    <row r="3307">
      <c r="H3307" s="273" t="s">
        <v>325</v>
      </c>
    </row>
    <row r="3308">
      <c r="H3308" s="273" t="s">
        <v>325</v>
      </c>
    </row>
    <row r="3309">
      <c r="H3309" s="273" t="s">
        <v>325</v>
      </c>
    </row>
    <row r="3310">
      <c r="H3310" s="273" t="s">
        <v>325</v>
      </c>
    </row>
    <row r="3311">
      <c r="H3311" s="273" t="s">
        <v>325</v>
      </c>
    </row>
    <row r="3312">
      <c r="H3312" s="273" t="s">
        <v>325</v>
      </c>
    </row>
    <row r="3313">
      <c r="H3313" s="273" t="s">
        <v>325</v>
      </c>
    </row>
    <row r="3314">
      <c r="H3314" s="273" t="s">
        <v>325</v>
      </c>
    </row>
    <row r="3315">
      <c r="H3315" s="273" t="s">
        <v>325</v>
      </c>
    </row>
    <row r="3316">
      <c r="H3316" s="273" t="s">
        <v>325</v>
      </c>
    </row>
    <row r="3317">
      <c r="H3317" s="273" t="s">
        <v>325</v>
      </c>
    </row>
    <row r="3318">
      <c r="H3318" s="273" t="s">
        <v>325</v>
      </c>
    </row>
    <row r="3319">
      <c r="H3319" s="273" t="s">
        <v>325</v>
      </c>
    </row>
    <row r="3320">
      <c r="H3320" s="273" t="s">
        <v>325</v>
      </c>
    </row>
    <row r="3321">
      <c r="H3321" s="273" t="s">
        <v>325</v>
      </c>
    </row>
    <row r="3322">
      <c r="H3322" s="273" t="s">
        <v>325</v>
      </c>
    </row>
    <row r="3323">
      <c r="H3323" s="273" t="s">
        <v>325</v>
      </c>
    </row>
    <row r="3324">
      <c r="H3324" s="273" t="s">
        <v>325</v>
      </c>
    </row>
    <row r="3325">
      <c r="H3325" s="273" t="s">
        <v>325</v>
      </c>
    </row>
    <row r="3326">
      <c r="H3326" s="273" t="s">
        <v>325</v>
      </c>
    </row>
    <row r="3327">
      <c r="H3327" s="273" t="s">
        <v>325</v>
      </c>
    </row>
    <row r="3328">
      <c r="H3328" s="273" t="s">
        <v>325</v>
      </c>
    </row>
    <row r="3329">
      <c r="H3329" s="273" t="s">
        <v>325</v>
      </c>
    </row>
    <row r="3330">
      <c r="H3330" s="273" t="s">
        <v>325</v>
      </c>
    </row>
    <row r="3331">
      <c r="H3331" s="273" t="s">
        <v>325</v>
      </c>
    </row>
    <row r="3332">
      <c r="H3332" s="273" t="s">
        <v>325</v>
      </c>
    </row>
    <row r="3333">
      <c r="H3333" s="273" t="s">
        <v>325</v>
      </c>
    </row>
    <row r="3334">
      <c r="H3334" s="273" t="s">
        <v>325</v>
      </c>
    </row>
    <row r="3335">
      <c r="H3335" s="273" t="s">
        <v>325</v>
      </c>
    </row>
    <row r="3336">
      <c r="H3336" s="273" t="s">
        <v>325</v>
      </c>
    </row>
    <row r="3337">
      <c r="H3337" s="273" t="s">
        <v>325</v>
      </c>
    </row>
    <row r="3338">
      <c r="H3338" s="273" t="s">
        <v>325</v>
      </c>
    </row>
    <row r="3339">
      <c r="H3339" s="273" t="s">
        <v>325</v>
      </c>
    </row>
    <row r="3340">
      <c r="H3340" s="273" t="s">
        <v>325</v>
      </c>
    </row>
    <row r="3341">
      <c r="H3341" s="273" t="s">
        <v>325</v>
      </c>
    </row>
    <row r="3342">
      <c r="H3342" s="273" t="s">
        <v>325</v>
      </c>
    </row>
    <row r="3343">
      <c r="H3343" s="273" t="s">
        <v>325</v>
      </c>
    </row>
    <row r="3344">
      <c r="H3344" s="273" t="s">
        <v>325</v>
      </c>
    </row>
    <row r="3345">
      <c r="H3345" s="273" t="s">
        <v>325</v>
      </c>
    </row>
    <row r="3346">
      <c r="H3346" s="273" t="s">
        <v>325</v>
      </c>
    </row>
    <row r="3347">
      <c r="H3347" s="273" t="s">
        <v>325</v>
      </c>
    </row>
    <row r="3348">
      <c r="H3348" s="273" t="s">
        <v>325</v>
      </c>
    </row>
    <row r="3349">
      <c r="H3349" s="273" t="s">
        <v>325</v>
      </c>
    </row>
    <row r="3350">
      <c r="H3350" s="273" t="s">
        <v>325</v>
      </c>
    </row>
    <row r="3351">
      <c r="H3351" s="273" t="s">
        <v>325</v>
      </c>
    </row>
    <row r="3352">
      <c r="H3352" s="273" t="s">
        <v>325</v>
      </c>
    </row>
    <row r="3353">
      <c r="H3353" s="273" t="s">
        <v>325</v>
      </c>
    </row>
    <row r="3354">
      <c r="H3354" s="273" t="s">
        <v>325</v>
      </c>
    </row>
    <row r="3355">
      <c r="H3355" s="273" t="s">
        <v>325</v>
      </c>
    </row>
    <row r="3356">
      <c r="H3356" s="273" t="s">
        <v>325</v>
      </c>
    </row>
    <row r="3357">
      <c r="H3357" s="273" t="s">
        <v>325</v>
      </c>
    </row>
    <row r="3358">
      <c r="H3358" s="273" t="s">
        <v>325</v>
      </c>
    </row>
    <row r="3359">
      <c r="H3359" s="273" t="s">
        <v>325</v>
      </c>
    </row>
    <row r="3360">
      <c r="H3360" s="273" t="s">
        <v>325</v>
      </c>
    </row>
    <row r="3361">
      <c r="H3361" s="273" t="s">
        <v>325</v>
      </c>
    </row>
    <row r="3362">
      <c r="H3362" s="273" t="s">
        <v>325</v>
      </c>
    </row>
    <row r="3363">
      <c r="H3363" s="273" t="s">
        <v>325</v>
      </c>
    </row>
    <row r="3364">
      <c r="H3364" s="273" t="s">
        <v>325</v>
      </c>
    </row>
    <row r="3365">
      <c r="H3365" s="273" t="s">
        <v>325</v>
      </c>
    </row>
    <row r="3366">
      <c r="H3366" s="273" t="s">
        <v>325</v>
      </c>
    </row>
    <row r="3367">
      <c r="H3367" s="273" t="s">
        <v>325</v>
      </c>
    </row>
    <row r="3368">
      <c r="H3368" s="273" t="s">
        <v>325</v>
      </c>
    </row>
    <row r="3369">
      <c r="H3369" s="273" t="s">
        <v>325</v>
      </c>
    </row>
    <row r="3370">
      <c r="H3370" s="273" t="s">
        <v>325</v>
      </c>
    </row>
    <row r="3371">
      <c r="H3371" s="273" t="s">
        <v>325</v>
      </c>
    </row>
    <row r="3372">
      <c r="H3372" s="273" t="s">
        <v>325</v>
      </c>
    </row>
    <row r="3373">
      <c r="H3373" s="273" t="s">
        <v>325</v>
      </c>
    </row>
    <row r="3374">
      <c r="H3374" s="273" t="s">
        <v>325</v>
      </c>
    </row>
    <row r="3375">
      <c r="H3375" s="273" t="s">
        <v>325</v>
      </c>
    </row>
    <row r="3376">
      <c r="H3376" s="273" t="s">
        <v>325</v>
      </c>
    </row>
    <row r="3377">
      <c r="H3377" s="273" t="s">
        <v>325</v>
      </c>
    </row>
    <row r="3378">
      <c r="H3378" s="273" t="s">
        <v>325</v>
      </c>
    </row>
    <row r="3379">
      <c r="H3379" s="273" t="s">
        <v>325</v>
      </c>
    </row>
    <row r="3380">
      <c r="H3380" s="273" t="s">
        <v>325</v>
      </c>
    </row>
    <row r="3381">
      <c r="H3381" s="273" t="s">
        <v>325</v>
      </c>
    </row>
    <row r="3382">
      <c r="H3382" s="273" t="s">
        <v>325</v>
      </c>
    </row>
    <row r="3383">
      <c r="H3383" s="273" t="s">
        <v>325</v>
      </c>
    </row>
    <row r="3384">
      <c r="H3384" s="273" t="s">
        <v>325</v>
      </c>
    </row>
    <row r="3385">
      <c r="H3385" s="273" t="s">
        <v>325</v>
      </c>
    </row>
    <row r="3386">
      <c r="H3386" s="273" t="s">
        <v>325</v>
      </c>
    </row>
    <row r="3387">
      <c r="H3387" s="273" t="s">
        <v>325</v>
      </c>
    </row>
    <row r="3388">
      <c r="H3388" s="273" t="s">
        <v>325</v>
      </c>
    </row>
    <row r="3389">
      <c r="H3389" s="273" t="s">
        <v>325</v>
      </c>
    </row>
    <row r="3390">
      <c r="H3390" s="273" t="s">
        <v>325</v>
      </c>
    </row>
    <row r="3391">
      <c r="H3391" s="273" t="s">
        <v>325</v>
      </c>
    </row>
    <row r="3392">
      <c r="H3392" s="273" t="s">
        <v>325</v>
      </c>
    </row>
    <row r="3393">
      <c r="H3393" s="273" t="s">
        <v>325</v>
      </c>
    </row>
    <row r="3394">
      <c r="H3394" s="273" t="s">
        <v>325</v>
      </c>
    </row>
    <row r="3395">
      <c r="H3395" s="273" t="s">
        <v>325</v>
      </c>
    </row>
    <row r="3396">
      <c r="H3396" s="273" t="s">
        <v>325</v>
      </c>
    </row>
    <row r="3397">
      <c r="H3397" s="273" t="s">
        <v>325</v>
      </c>
    </row>
    <row r="3398">
      <c r="H3398" s="273" t="s">
        <v>325</v>
      </c>
    </row>
    <row r="3399">
      <c r="H3399" s="273" t="s">
        <v>325</v>
      </c>
    </row>
    <row r="3400">
      <c r="H3400" s="273" t="s">
        <v>325</v>
      </c>
    </row>
    <row r="3401">
      <c r="H3401" s="273" t="s">
        <v>325</v>
      </c>
    </row>
    <row r="3402">
      <c r="H3402" s="273" t="s">
        <v>325</v>
      </c>
    </row>
    <row r="3403">
      <c r="H3403" s="273" t="s">
        <v>325</v>
      </c>
    </row>
    <row r="3404">
      <c r="H3404" s="273" t="s">
        <v>325</v>
      </c>
    </row>
    <row r="3405">
      <c r="H3405" s="273" t="s">
        <v>325</v>
      </c>
    </row>
    <row r="3406">
      <c r="H3406" s="273" t="s">
        <v>325</v>
      </c>
    </row>
    <row r="3407">
      <c r="H3407" s="273" t="s">
        <v>325</v>
      </c>
    </row>
    <row r="3408">
      <c r="H3408" s="273" t="s">
        <v>325</v>
      </c>
    </row>
    <row r="3409">
      <c r="H3409" s="273" t="s">
        <v>325</v>
      </c>
    </row>
    <row r="3410">
      <c r="H3410" s="273" t="s">
        <v>325</v>
      </c>
    </row>
    <row r="3411">
      <c r="H3411" s="273" t="s">
        <v>325</v>
      </c>
    </row>
    <row r="3412">
      <c r="H3412" s="273" t="s">
        <v>325</v>
      </c>
    </row>
    <row r="3413">
      <c r="H3413" s="273" t="s">
        <v>325</v>
      </c>
    </row>
    <row r="3414">
      <c r="H3414" s="273" t="s">
        <v>325</v>
      </c>
    </row>
    <row r="3415">
      <c r="H3415" s="273" t="s">
        <v>325</v>
      </c>
    </row>
    <row r="3416">
      <c r="H3416" s="273" t="s">
        <v>325</v>
      </c>
    </row>
    <row r="3417">
      <c r="H3417" s="273" t="s">
        <v>325</v>
      </c>
    </row>
    <row r="3418">
      <c r="H3418" s="273" t="s">
        <v>325</v>
      </c>
    </row>
    <row r="3419">
      <c r="H3419" s="273" t="s">
        <v>325</v>
      </c>
    </row>
    <row r="3420">
      <c r="H3420" s="273" t="s">
        <v>325</v>
      </c>
    </row>
    <row r="3421">
      <c r="H3421" s="273" t="s">
        <v>325</v>
      </c>
    </row>
    <row r="3422">
      <c r="H3422" s="273" t="s">
        <v>325</v>
      </c>
    </row>
    <row r="3423">
      <c r="H3423" s="273" t="s">
        <v>325</v>
      </c>
    </row>
    <row r="3424">
      <c r="H3424" s="273" t="s">
        <v>325</v>
      </c>
    </row>
    <row r="3425">
      <c r="H3425" s="273" t="s">
        <v>325</v>
      </c>
    </row>
    <row r="3426">
      <c r="H3426" s="273" t="s">
        <v>325</v>
      </c>
    </row>
    <row r="3427">
      <c r="H3427" s="273" t="s">
        <v>325</v>
      </c>
    </row>
    <row r="3428">
      <c r="H3428" s="273" t="s">
        <v>325</v>
      </c>
    </row>
    <row r="3429">
      <c r="H3429" s="273" t="s">
        <v>325</v>
      </c>
    </row>
    <row r="3430">
      <c r="H3430" s="273" t="s">
        <v>325</v>
      </c>
    </row>
    <row r="3431">
      <c r="H3431" s="273" t="s">
        <v>325</v>
      </c>
    </row>
    <row r="3432">
      <c r="H3432" s="273" t="s">
        <v>325</v>
      </c>
    </row>
    <row r="3433">
      <c r="H3433" s="273" t="s">
        <v>325</v>
      </c>
    </row>
    <row r="3434">
      <c r="H3434" s="273" t="s">
        <v>325</v>
      </c>
    </row>
    <row r="3435">
      <c r="H3435" s="273" t="s">
        <v>325</v>
      </c>
    </row>
    <row r="3436">
      <c r="H3436" s="273" t="s">
        <v>325</v>
      </c>
    </row>
    <row r="3437">
      <c r="H3437" s="273" t="s">
        <v>325</v>
      </c>
    </row>
    <row r="3438">
      <c r="H3438" s="273" t="s">
        <v>325</v>
      </c>
    </row>
    <row r="3439">
      <c r="H3439" s="273" t="s">
        <v>325</v>
      </c>
    </row>
    <row r="3440">
      <c r="H3440" s="273" t="s">
        <v>325</v>
      </c>
    </row>
    <row r="3441">
      <c r="H3441" s="273" t="s">
        <v>325</v>
      </c>
    </row>
    <row r="3442">
      <c r="H3442" s="273" t="s">
        <v>325</v>
      </c>
    </row>
    <row r="3443">
      <c r="H3443" s="273" t="s">
        <v>325</v>
      </c>
    </row>
    <row r="3444">
      <c r="H3444" s="273" t="s">
        <v>325</v>
      </c>
    </row>
    <row r="3445">
      <c r="H3445" s="273" t="s">
        <v>325</v>
      </c>
    </row>
    <row r="3446">
      <c r="H3446" s="273" t="s">
        <v>325</v>
      </c>
    </row>
    <row r="3447">
      <c r="H3447" s="273" t="s">
        <v>325</v>
      </c>
    </row>
    <row r="3448">
      <c r="H3448" s="273" t="s">
        <v>325</v>
      </c>
    </row>
    <row r="3449">
      <c r="H3449" s="273" t="s">
        <v>325</v>
      </c>
    </row>
    <row r="3450">
      <c r="H3450" s="273" t="s">
        <v>325</v>
      </c>
    </row>
    <row r="3451">
      <c r="H3451" s="273" t="s">
        <v>325</v>
      </c>
    </row>
    <row r="3452">
      <c r="H3452" s="273" t="s">
        <v>325</v>
      </c>
    </row>
    <row r="3453">
      <c r="H3453" s="273" t="s">
        <v>325</v>
      </c>
    </row>
    <row r="3454">
      <c r="H3454" s="273" t="s">
        <v>325</v>
      </c>
    </row>
    <row r="3455">
      <c r="H3455" s="273" t="s">
        <v>325</v>
      </c>
    </row>
    <row r="3456">
      <c r="H3456" s="273" t="s">
        <v>325</v>
      </c>
    </row>
    <row r="3457">
      <c r="H3457" s="273" t="s">
        <v>325</v>
      </c>
    </row>
    <row r="3458">
      <c r="H3458" s="273" t="s">
        <v>325</v>
      </c>
    </row>
    <row r="3459">
      <c r="H3459" s="273" t="s">
        <v>325</v>
      </c>
    </row>
    <row r="3460">
      <c r="H3460" s="273" t="s">
        <v>325</v>
      </c>
    </row>
    <row r="3461">
      <c r="H3461" s="273" t="s">
        <v>325</v>
      </c>
    </row>
    <row r="3462">
      <c r="H3462" s="273" t="s">
        <v>325</v>
      </c>
    </row>
    <row r="3463">
      <c r="H3463" s="273" t="s">
        <v>325</v>
      </c>
    </row>
    <row r="3464">
      <c r="H3464" s="273" t="s">
        <v>325</v>
      </c>
    </row>
    <row r="3465">
      <c r="H3465" s="273" t="s">
        <v>325</v>
      </c>
    </row>
    <row r="3466">
      <c r="H3466" s="273" t="s">
        <v>325</v>
      </c>
    </row>
    <row r="3467">
      <c r="H3467" s="273" t="s">
        <v>325</v>
      </c>
    </row>
    <row r="3468">
      <c r="H3468" s="273" t="s">
        <v>325</v>
      </c>
    </row>
    <row r="3469">
      <c r="H3469" s="273" t="s">
        <v>325</v>
      </c>
    </row>
    <row r="3470">
      <c r="H3470" s="273" t="s">
        <v>325</v>
      </c>
    </row>
    <row r="3471">
      <c r="H3471" s="273" t="s">
        <v>325</v>
      </c>
    </row>
    <row r="3472">
      <c r="H3472" s="273" t="s">
        <v>325</v>
      </c>
    </row>
    <row r="3473">
      <c r="H3473" s="273" t="s">
        <v>325</v>
      </c>
    </row>
    <row r="3474">
      <c r="H3474" s="273" t="s">
        <v>325</v>
      </c>
    </row>
    <row r="3475">
      <c r="H3475" s="273" t="s">
        <v>325</v>
      </c>
    </row>
    <row r="3476">
      <c r="H3476" s="273" t="s">
        <v>325</v>
      </c>
    </row>
    <row r="3477">
      <c r="H3477" s="273" t="s">
        <v>325</v>
      </c>
    </row>
    <row r="3478">
      <c r="H3478" s="273" t="s">
        <v>325</v>
      </c>
    </row>
    <row r="3479">
      <c r="H3479" s="273" t="s">
        <v>325</v>
      </c>
    </row>
    <row r="3480">
      <c r="H3480" s="273" t="s">
        <v>325</v>
      </c>
    </row>
    <row r="3481">
      <c r="H3481" s="273" t="s">
        <v>325</v>
      </c>
    </row>
    <row r="3482">
      <c r="H3482" s="273" t="s">
        <v>325</v>
      </c>
    </row>
    <row r="3483">
      <c r="H3483" s="273" t="s">
        <v>325</v>
      </c>
    </row>
    <row r="3484">
      <c r="H3484" s="273" t="s">
        <v>325</v>
      </c>
    </row>
    <row r="3485">
      <c r="H3485" s="273" t="s">
        <v>325</v>
      </c>
    </row>
    <row r="3486">
      <c r="H3486" s="273" t="s">
        <v>325</v>
      </c>
    </row>
    <row r="3487">
      <c r="H3487" s="273" t="s">
        <v>325</v>
      </c>
    </row>
    <row r="3488">
      <c r="H3488" s="273" t="s">
        <v>325</v>
      </c>
    </row>
    <row r="3489">
      <c r="H3489" s="273" t="s">
        <v>325</v>
      </c>
    </row>
    <row r="3490">
      <c r="H3490" s="273" t="s">
        <v>325</v>
      </c>
    </row>
    <row r="3491">
      <c r="H3491" s="273" t="s">
        <v>325</v>
      </c>
    </row>
    <row r="3492">
      <c r="H3492" s="273" t="s">
        <v>325</v>
      </c>
    </row>
    <row r="3493">
      <c r="H3493" s="273" t="s">
        <v>325</v>
      </c>
    </row>
    <row r="3494">
      <c r="H3494" s="273" t="s">
        <v>325</v>
      </c>
    </row>
    <row r="3495">
      <c r="H3495" s="273" t="s">
        <v>325</v>
      </c>
    </row>
    <row r="3496">
      <c r="H3496" s="273" t="s">
        <v>325</v>
      </c>
    </row>
    <row r="3497">
      <c r="H3497" s="273" t="s">
        <v>325</v>
      </c>
    </row>
    <row r="3498">
      <c r="H3498" s="273" t="s">
        <v>325</v>
      </c>
    </row>
    <row r="3499">
      <c r="H3499" s="273" t="s">
        <v>325</v>
      </c>
    </row>
    <row r="3500">
      <c r="H3500" s="273" t="s">
        <v>325</v>
      </c>
    </row>
    <row r="3501">
      <c r="H3501" s="273" t="s">
        <v>325</v>
      </c>
    </row>
    <row r="3502">
      <c r="H3502" s="273" t="s">
        <v>325</v>
      </c>
    </row>
    <row r="3503">
      <c r="H3503" s="273" t="s">
        <v>325</v>
      </c>
    </row>
    <row r="3504">
      <c r="H3504" s="273" t="s">
        <v>325</v>
      </c>
    </row>
    <row r="3505">
      <c r="H3505" s="273" t="s">
        <v>325</v>
      </c>
    </row>
    <row r="3506">
      <c r="H3506" s="273" t="s">
        <v>325</v>
      </c>
    </row>
    <row r="3507">
      <c r="H3507" s="273" t="s">
        <v>325</v>
      </c>
    </row>
    <row r="3508">
      <c r="H3508" s="273" t="s">
        <v>325</v>
      </c>
    </row>
    <row r="3509">
      <c r="H3509" s="273" t="s">
        <v>325</v>
      </c>
    </row>
    <row r="3510">
      <c r="H3510" s="273" t="s">
        <v>325</v>
      </c>
    </row>
    <row r="3511">
      <c r="H3511" s="273" t="s">
        <v>325</v>
      </c>
    </row>
    <row r="3512">
      <c r="H3512" s="273" t="s">
        <v>325</v>
      </c>
    </row>
    <row r="3513">
      <c r="H3513" s="273" t="s">
        <v>325</v>
      </c>
    </row>
    <row r="3514">
      <c r="H3514" s="273" t="s">
        <v>325</v>
      </c>
    </row>
    <row r="3515">
      <c r="H3515" s="273" t="s">
        <v>325</v>
      </c>
    </row>
    <row r="3516">
      <c r="H3516" s="273" t="s">
        <v>325</v>
      </c>
    </row>
    <row r="3517">
      <c r="H3517" s="273" t="s">
        <v>325</v>
      </c>
    </row>
    <row r="3518">
      <c r="H3518" s="273" t="s">
        <v>325</v>
      </c>
    </row>
    <row r="3519">
      <c r="H3519" s="273" t="s">
        <v>325</v>
      </c>
    </row>
    <row r="3520">
      <c r="H3520" s="273" t="s">
        <v>325</v>
      </c>
    </row>
    <row r="3521">
      <c r="H3521" s="273" t="s">
        <v>325</v>
      </c>
    </row>
    <row r="3522">
      <c r="H3522" s="273" t="s">
        <v>325</v>
      </c>
    </row>
    <row r="3523">
      <c r="H3523" s="273" t="s">
        <v>325</v>
      </c>
    </row>
    <row r="3524">
      <c r="H3524" s="273" t="s">
        <v>325</v>
      </c>
    </row>
    <row r="3525">
      <c r="H3525" s="273" t="s">
        <v>325</v>
      </c>
    </row>
    <row r="3526">
      <c r="H3526" s="273" t="s">
        <v>325</v>
      </c>
    </row>
    <row r="3527">
      <c r="H3527" s="273" t="s">
        <v>325</v>
      </c>
    </row>
    <row r="3528">
      <c r="H3528" s="273" t="s">
        <v>325</v>
      </c>
    </row>
    <row r="3529">
      <c r="H3529" s="273" t="s">
        <v>325</v>
      </c>
    </row>
    <row r="3530">
      <c r="H3530" s="273" t="s">
        <v>325</v>
      </c>
    </row>
    <row r="3531">
      <c r="H3531" s="273" t="s">
        <v>325</v>
      </c>
    </row>
    <row r="3532">
      <c r="H3532" s="273" t="s">
        <v>325</v>
      </c>
    </row>
    <row r="3533">
      <c r="H3533" s="273" t="s">
        <v>325</v>
      </c>
    </row>
    <row r="3534">
      <c r="H3534" s="273" t="s">
        <v>325</v>
      </c>
    </row>
    <row r="3535">
      <c r="H3535" s="273" t="s">
        <v>325</v>
      </c>
    </row>
    <row r="3536">
      <c r="H3536" s="273" t="s">
        <v>325</v>
      </c>
    </row>
    <row r="3537">
      <c r="H3537" s="273" t="s">
        <v>325</v>
      </c>
    </row>
    <row r="3538">
      <c r="H3538" s="273" t="s">
        <v>325</v>
      </c>
    </row>
    <row r="3539">
      <c r="H3539" s="273" t="s">
        <v>325</v>
      </c>
    </row>
    <row r="3540">
      <c r="H3540" s="273" t="s">
        <v>325</v>
      </c>
    </row>
    <row r="3541">
      <c r="H3541" s="273" t="s">
        <v>325</v>
      </c>
    </row>
    <row r="3542">
      <c r="H3542" s="273" t="s">
        <v>325</v>
      </c>
    </row>
    <row r="3543">
      <c r="H3543" s="273" t="s">
        <v>325</v>
      </c>
    </row>
    <row r="3544">
      <c r="H3544" s="273" t="s">
        <v>325</v>
      </c>
    </row>
    <row r="3545">
      <c r="H3545" s="273" t="s">
        <v>325</v>
      </c>
    </row>
    <row r="3546">
      <c r="H3546" s="273" t="s">
        <v>325</v>
      </c>
    </row>
    <row r="3547">
      <c r="H3547" s="273" t="s">
        <v>325</v>
      </c>
    </row>
    <row r="3548">
      <c r="H3548" s="273" t="s">
        <v>325</v>
      </c>
    </row>
    <row r="3549">
      <c r="H3549" s="273" t="s">
        <v>325</v>
      </c>
    </row>
    <row r="3550">
      <c r="H3550" s="273" t="s">
        <v>325</v>
      </c>
    </row>
    <row r="3551">
      <c r="H3551" s="273" t="s">
        <v>325</v>
      </c>
    </row>
    <row r="3552">
      <c r="H3552" s="273" t="s">
        <v>325</v>
      </c>
    </row>
    <row r="3553">
      <c r="H3553" s="273" t="s">
        <v>325</v>
      </c>
    </row>
    <row r="3554">
      <c r="H3554" s="273" t="s">
        <v>325</v>
      </c>
    </row>
    <row r="3555">
      <c r="H3555" s="273" t="s">
        <v>325</v>
      </c>
    </row>
    <row r="3556">
      <c r="H3556" s="273" t="s">
        <v>325</v>
      </c>
    </row>
    <row r="3557">
      <c r="H3557" s="273" t="s">
        <v>325</v>
      </c>
    </row>
    <row r="3558">
      <c r="H3558" s="273" t="s">
        <v>325</v>
      </c>
    </row>
    <row r="3559">
      <c r="H3559" s="273" t="s">
        <v>325</v>
      </c>
    </row>
    <row r="3560">
      <c r="H3560" s="273" t="s">
        <v>325</v>
      </c>
    </row>
    <row r="3561">
      <c r="H3561" s="273" t="s">
        <v>325</v>
      </c>
    </row>
    <row r="3562">
      <c r="H3562" s="273" t="s">
        <v>325</v>
      </c>
    </row>
    <row r="3563">
      <c r="H3563" s="273" t="s">
        <v>325</v>
      </c>
    </row>
    <row r="3564">
      <c r="H3564" s="273" t="s">
        <v>325</v>
      </c>
    </row>
    <row r="3565">
      <c r="H3565" s="273" t="s">
        <v>325</v>
      </c>
    </row>
    <row r="3566">
      <c r="H3566" s="273" t="s">
        <v>325</v>
      </c>
    </row>
    <row r="3567">
      <c r="H3567" s="273" t="s">
        <v>325</v>
      </c>
    </row>
    <row r="3568">
      <c r="H3568" s="273" t="s">
        <v>325</v>
      </c>
    </row>
    <row r="3569">
      <c r="H3569" s="273" t="s">
        <v>325</v>
      </c>
    </row>
    <row r="3570">
      <c r="H3570" s="273" t="s">
        <v>325</v>
      </c>
    </row>
    <row r="3571">
      <c r="H3571" s="273" t="s">
        <v>325</v>
      </c>
    </row>
    <row r="3572">
      <c r="H3572" s="273" t="s">
        <v>325</v>
      </c>
    </row>
    <row r="3573">
      <c r="H3573" s="273" t="s">
        <v>325</v>
      </c>
    </row>
    <row r="3574">
      <c r="H3574" s="273" t="s">
        <v>325</v>
      </c>
    </row>
    <row r="3575">
      <c r="H3575" s="273" t="s">
        <v>325</v>
      </c>
    </row>
    <row r="3576">
      <c r="H3576" s="273" t="s">
        <v>325</v>
      </c>
    </row>
    <row r="3577">
      <c r="H3577" s="273" t="s">
        <v>325</v>
      </c>
    </row>
    <row r="3578">
      <c r="H3578" s="273" t="s">
        <v>325</v>
      </c>
    </row>
    <row r="3579">
      <c r="H3579" s="273" t="s">
        <v>325</v>
      </c>
    </row>
    <row r="3580">
      <c r="H3580" s="273" t="s">
        <v>325</v>
      </c>
    </row>
    <row r="3581">
      <c r="H3581" s="273" t="s">
        <v>325</v>
      </c>
    </row>
    <row r="3582">
      <c r="H3582" s="273" t="s">
        <v>325</v>
      </c>
    </row>
    <row r="3583">
      <c r="H3583" s="273" t="s">
        <v>325</v>
      </c>
    </row>
    <row r="3584">
      <c r="H3584" s="273" t="s">
        <v>325</v>
      </c>
    </row>
    <row r="3585">
      <c r="H3585" s="273" t="s">
        <v>325</v>
      </c>
    </row>
    <row r="3586">
      <c r="H3586" s="273" t="s">
        <v>325</v>
      </c>
    </row>
    <row r="3587">
      <c r="H3587" s="273" t="s">
        <v>325</v>
      </c>
    </row>
    <row r="3588">
      <c r="H3588" s="273" t="s">
        <v>325</v>
      </c>
    </row>
    <row r="3589">
      <c r="H3589" s="273" t="s">
        <v>325</v>
      </c>
    </row>
    <row r="3590">
      <c r="H3590" s="273" t="s">
        <v>325</v>
      </c>
    </row>
    <row r="3591">
      <c r="H3591" s="273" t="s">
        <v>325</v>
      </c>
    </row>
    <row r="3592">
      <c r="H3592" s="273" t="s">
        <v>325</v>
      </c>
    </row>
    <row r="3593">
      <c r="H3593" s="273" t="s">
        <v>325</v>
      </c>
    </row>
    <row r="3594">
      <c r="H3594" s="273" t="s">
        <v>325</v>
      </c>
    </row>
    <row r="3595">
      <c r="H3595" s="273" t="s">
        <v>325</v>
      </c>
    </row>
    <row r="3596">
      <c r="H3596" s="273" t="s">
        <v>325</v>
      </c>
    </row>
    <row r="3597">
      <c r="H3597" s="273" t="s">
        <v>325</v>
      </c>
    </row>
    <row r="3598">
      <c r="H3598" s="273" t="s">
        <v>325</v>
      </c>
    </row>
    <row r="3599">
      <c r="H3599" s="273" t="s">
        <v>325</v>
      </c>
    </row>
    <row r="3600">
      <c r="H3600" s="273" t="s">
        <v>325</v>
      </c>
    </row>
    <row r="3601">
      <c r="H3601" s="273" t="s">
        <v>325</v>
      </c>
    </row>
    <row r="3602">
      <c r="H3602" s="273" t="s">
        <v>325</v>
      </c>
    </row>
    <row r="3603">
      <c r="H3603" s="273" t="s">
        <v>325</v>
      </c>
    </row>
    <row r="3604">
      <c r="H3604" s="273" t="s">
        <v>325</v>
      </c>
    </row>
    <row r="3605">
      <c r="H3605" s="273" t="s">
        <v>325</v>
      </c>
    </row>
    <row r="3606">
      <c r="H3606" s="273" t="s">
        <v>325</v>
      </c>
    </row>
    <row r="3607">
      <c r="H3607" s="273" t="s">
        <v>325</v>
      </c>
    </row>
    <row r="3608">
      <c r="H3608" s="273" t="s">
        <v>325</v>
      </c>
    </row>
    <row r="3609">
      <c r="H3609" s="273" t="s">
        <v>325</v>
      </c>
    </row>
    <row r="3610">
      <c r="H3610" s="273" t="s">
        <v>325</v>
      </c>
    </row>
    <row r="3611">
      <c r="H3611" s="273" t="s">
        <v>325</v>
      </c>
    </row>
    <row r="3612">
      <c r="H3612" s="273" t="s">
        <v>325</v>
      </c>
    </row>
    <row r="3613">
      <c r="H3613" s="273" t="s">
        <v>325</v>
      </c>
    </row>
    <row r="3614">
      <c r="H3614" s="273" t="s">
        <v>325</v>
      </c>
    </row>
    <row r="3615">
      <c r="H3615" s="273" t="s">
        <v>325</v>
      </c>
    </row>
    <row r="3616">
      <c r="H3616" s="273" t="s">
        <v>325</v>
      </c>
    </row>
    <row r="3617">
      <c r="H3617" s="273" t="s">
        <v>325</v>
      </c>
    </row>
    <row r="3618">
      <c r="H3618" s="273" t="s">
        <v>325</v>
      </c>
    </row>
    <row r="3619">
      <c r="H3619" s="273" t="s">
        <v>325</v>
      </c>
    </row>
    <row r="3620">
      <c r="H3620" s="273" t="s">
        <v>325</v>
      </c>
    </row>
    <row r="3621">
      <c r="H3621" s="273" t="s">
        <v>325</v>
      </c>
    </row>
    <row r="3622">
      <c r="H3622" s="273" t="s">
        <v>325</v>
      </c>
    </row>
    <row r="3623">
      <c r="H3623" s="273" t="s">
        <v>325</v>
      </c>
    </row>
    <row r="3624">
      <c r="H3624" s="273" t="s">
        <v>325</v>
      </c>
    </row>
    <row r="3625">
      <c r="H3625" s="273" t="s">
        <v>325</v>
      </c>
    </row>
    <row r="3626">
      <c r="H3626" s="273" t="s">
        <v>325</v>
      </c>
    </row>
    <row r="3627">
      <c r="H3627" s="273" t="s">
        <v>325</v>
      </c>
    </row>
    <row r="3628">
      <c r="H3628" s="273" t="s">
        <v>325</v>
      </c>
    </row>
    <row r="3629">
      <c r="H3629" s="273" t="s">
        <v>325</v>
      </c>
    </row>
    <row r="3630">
      <c r="H3630" s="273" t="s">
        <v>325</v>
      </c>
    </row>
    <row r="3631">
      <c r="H3631" s="273" t="s">
        <v>325</v>
      </c>
    </row>
    <row r="3632">
      <c r="H3632" s="273" t="s">
        <v>325</v>
      </c>
    </row>
    <row r="3633">
      <c r="H3633" s="273" t="s">
        <v>325</v>
      </c>
    </row>
    <row r="3634">
      <c r="H3634" s="273" t="s">
        <v>325</v>
      </c>
    </row>
    <row r="3635">
      <c r="H3635" s="273" t="s">
        <v>325</v>
      </c>
    </row>
    <row r="3636">
      <c r="H3636" s="273" t="s">
        <v>325</v>
      </c>
    </row>
    <row r="3637">
      <c r="H3637" s="273" t="s">
        <v>325</v>
      </c>
    </row>
    <row r="3638">
      <c r="H3638" s="273" t="s">
        <v>325</v>
      </c>
    </row>
    <row r="3639">
      <c r="H3639" s="273" t="s">
        <v>325</v>
      </c>
    </row>
    <row r="3640">
      <c r="H3640" s="273" t="s">
        <v>325</v>
      </c>
    </row>
    <row r="3641">
      <c r="H3641" s="273" t="s">
        <v>325</v>
      </c>
    </row>
    <row r="3642">
      <c r="H3642" s="273" t="s">
        <v>325</v>
      </c>
    </row>
    <row r="3643">
      <c r="H3643" s="273" t="s">
        <v>325</v>
      </c>
    </row>
    <row r="3644">
      <c r="H3644" s="273" t="s">
        <v>325</v>
      </c>
    </row>
    <row r="3645">
      <c r="H3645" s="273" t="s">
        <v>325</v>
      </c>
    </row>
    <row r="3646">
      <c r="H3646" s="273" t="s">
        <v>325</v>
      </c>
    </row>
    <row r="3647">
      <c r="H3647" s="273" t="s">
        <v>325</v>
      </c>
    </row>
    <row r="3648">
      <c r="H3648" s="273" t="s">
        <v>325</v>
      </c>
    </row>
    <row r="3649">
      <c r="H3649" s="273" t="s">
        <v>325</v>
      </c>
    </row>
    <row r="3650">
      <c r="H3650" s="273" t="s">
        <v>325</v>
      </c>
    </row>
    <row r="3651">
      <c r="H3651" s="273" t="s">
        <v>325</v>
      </c>
    </row>
    <row r="3652">
      <c r="H3652" s="273" t="s">
        <v>325</v>
      </c>
    </row>
    <row r="3653">
      <c r="H3653" s="273" t="s">
        <v>325</v>
      </c>
    </row>
    <row r="3654">
      <c r="H3654" s="273" t="s">
        <v>325</v>
      </c>
    </row>
    <row r="3655">
      <c r="H3655" s="273" t="s">
        <v>325</v>
      </c>
    </row>
    <row r="3656">
      <c r="H3656" s="273" t="s">
        <v>325</v>
      </c>
    </row>
    <row r="3657">
      <c r="H3657" s="273" t="s">
        <v>325</v>
      </c>
    </row>
    <row r="3658">
      <c r="H3658" s="273" t="s">
        <v>325</v>
      </c>
    </row>
    <row r="3659">
      <c r="H3659" s="273" t="s">
        <v>325</v>
      </c>
    </row>
    <row r="3660">
      <c r="H3660" s="273" t="s">
        <v>325</v>
      </c>
    </row>
    <row r="3661">
      <c r="H3661" s="273" t="s">
        <v>325</v>
      </c>
    </row>
    <row r="3662">
      <c r="H3662" s="273" t="s">
        <v>325</v>
      </c>
    </row>
    <row r="3663">
      <c r="H3663" s="273" t="s">
        <v>325</v>
      </c>
    </row>
    <row r="3664">
      <c r="H3664" s="273" t="s">
        <v>325</v>
      </c>
    </row>
    <row r="3665">
      <c r="H3665" s="273" t="s">
        <v>325</v>
      </c>
    </row>
    <row r="3666">
      <c r="H3666" s="273" t="s">
        <v>325</v>
      </c>
    </row>
    <row r="3667">
      <c r="H3667" s="273" t="s">
        <v>325</v>
      </c>
    </row>
    <row r="3668">
      <c r="H3668" s="273" t="s">
        <v>325</v>
      </c>
    </row>
    <row r="3669">
      <c r="H3669" s="273" t="s">
        <v>325</v>
      </c>
    </row>
    <row r="3670">
      <c r="H3670" s="273" t="s">
        <v>325</v>
      </c>
    </row>
    <row r="3671">
      <c r="H3671" s="273" t="s">
        <v>325</v>
      </c>
    </row>
    <row r="3672">
      <c r="H3672" s="273" t="s">
        <v>325</v>
      </c>
    </row>
    <row r="3673">
      <c r="H3673" s="273" t="s">
        <v>325</v>
      </c>
    </row>
    <row r="3674">
      <c r="H3674" s="273" t="s">
        <v>325</v>
      </c>
    </row>
    <row r="3675">
      <c r="H3675" s="273" t="s">
        <v>325</v>
      </c>
    </row>
    <row r="3676">
      <c r="H3676" s="273" t="s">
        <v>325</v>
      </c>
    </row>
    <row r="3677">
      <c r="H3677" s="273" t="s">
        <v>325</v>
      </c>
    </row>
    <row r="3678">
      <c r="H3678" s="273" t="s">
        <v>325</v>
      </c>
    </row>
    <row r="3679">
      <c r="H3679" s="273" t="s">
        <v>325</v>
      </c>
    </row>
    <row r="3680">
      <c r="H3680" s="273" t="s">
        <v>325</v>
      </c>
    </row>
    <row r="3681">
      <c r="H3681" s="273" t="s">
        <v>325</v>
      </c>
    </row>
    <row r="3682">
      <c r="H3682" s="273" t="s">
        <v>325</v>
      </c>
    </row>
    <row r="3683">
      <c r="H3683" s="273" t="s">
        <v>325</v>
      </c>
    </row>
    <row r="3684">
      <c r="H3684" s="273" t="s">
        <v>325</v>
      </c>
    </row>
    <row r="3685">
      <c r="H3685" s="273" t="s">
        <v>325</v>
      </c>
    </row>
    <row r="3686">
      <c r="H3686" s="273" t="s">
        <v>325</v>
      </c>
    </row>
    <row r="3687">
      <c r="H3687" s="273" t="s">
        <v>325</v>
      </c>
    </row>
    <row r="3688">
      <c r="H3688" s="273" t="s">
        <v>325</v>
      </c>
    </row>
    <row r="3689">
      <c r="H3689" s="273" t="s">
        <v>325</v>
      </c>
    </row>
    <row r="3690">
      <c r="H3690" s="273" t="s">
        <v>325</v>
      </c>
    </row>
    <row r="3691">
      <c r="H3691" s="273" t="s">
        <v>325</v>
      </c>
    </row>
    <row r="3692">
      <c r="H3692" s="273" t="s">
        <v>325</v>
      </c>
    </row>
    <row r="3693">
      <c r="H3693" s="273" t="s">
        <v>325</v>
      </c>
    </row>
    <row r="3694">
      <c r="H3694" s="273" t="s">
        <v>325</v>
      </c>
    </row>
    <row r="3695">
      <c r="H3695" s="273" t="s">
        <v>325</v>
      </c>
    </row>
    <row r="3696">
      <c r="H3696" s="273" t="s">
        <v>325</v>
      </c>
    </row>
    <row r="3697">
      <c r="H3697" s="273" t="s">
        <v>325</v>
      </c>
    </row>
    <row r="3698">
      <c r="H3698" s="273" t="s">
        <v>325</v>
      </c>
    </row>
    <row r="3699">
      <c r="H3699" s="273" t="s">
        <v>325</v>
      </c>
    </row>
    <row r="3700">
      <c r="H3700" s="273" t="s">
        <v>325</v>
      </c>
    </row>
    <row r="3701">
      <c r="H3701" s="273" t="s">
        <v>325</v>
      </c>
    </row>
    <row r="3702">
      <c r="H3702" s="273" t="s">
        <v>325</v>
      </c>
    </row>
    <row r="3703">
      <c r="H3703" s="273" t="s">
        <v>325</v>
      </c>
    </row>
    <row r="3704">
      <c r="H3704" s="273" t="s">
        <v>325</v>
      </c>
    </row>
    <row r="3705">
      <c r="H3705" s="273" t="s">
        <v>325</v>
      </c>
    </row>
    <row r="3706">
      <c r="H3706" s="273" t="s">
        <v>325</v>
      </c>
    </row>
    <row r="3707">
      <c r="H3707" s="273" t="s">
        <v>325</v>
      </c>
    </row>
    <row r="3708">
      <c r="H3708" s="273" t="s">
        <v>325</v>
      </c>
    </row>
    <row r="3709">
      <c r="H3709" s="273" t="s">
        <v>325</v>
      </c>
    </row>
    <row r="3710">
      <c r="H3710" s="273" t="s">
        <v>325</v>
      </c>
    </row>
    <row r="3711">
      <c r="H3711" s="273" t="s">
        <v>325</v>
      </c>
    </row>
    <row r="3712">
      <c r="H3712" s="273" t="s">
        <v>325</v>
      </c>
    </row>
    <row r="3713">
      <c r="H3713" s="273" t="s">
        <v>325</v>
      </c>
    </row>
    <row r="3714">
      <c r="H3714" s="273" t="s">
        <v>325</v>
      </c>
    </row>
    <row r="3715">
      <c r="H3715" s="273" t="s">
        <v>325</v>
      </c>
    </row>
    <row r="3716">
      <c r="H3716" s="273" t="s">
        <v>325</v>
      </c>
    </row>
    <row r="3717">
      <c r="H3717" s="273" t="s">
        <v>325</v>
      </c>
    </row>
    <row r="3718">
      <c r="H3718" s="273" t="s">
        <v>325</v>
      </c>
    </row>
    <row r="3719">
      <c r="H3719" s="273" t="s">
        <v>325</v>
      </c>
    </row>
    <row r="3720">
      <c r="H3720" s="273" t="s">
        <v>325</v>
      </c>
    </row>
    <row r="3721">
      <c r="H3721" s="273" t="s">
        <v>325</v>
      </c>
    </row>
    <row r="3722">
      <c r="H3722" s="273" t="s">
        <v>325</v>
      </c>
    </row>
    <row r="3723">
      <c r="H3723" s="273" t="s">
        <v>325</v>
      </c>
    </row>
    <row r="3724">
      <c r="H3724" s="273" t="s">
        <v>325</v>
      </c>
    </row>
    <row r="3725">
      <c r="H3725" s="273" t="s">
        <v>325</v>
      </c>
    </row>
    <row r="3726">
      <c r="H3726" s="273" t="s">
        <v>325</v>
      </c>
    </row>
    <row r="3727">
      <c r="H3727" s="273" t="s">
        <v>325</v>
      </c>
    </row>
    <row r="3728">
      <c r="H3728" s="273" t="s">
        <v>325</v>
      </c>
    </row>
    <row r="3729">
      <c r="H3729" s="273" t="s">
        <v>325</v>
      </c>
    </row>
    <row r="3730">
      <c r="H3730" s="273" t="s">
        <v>325</v>
      </c>
    </row>
    <row r="3731">
      <c r="H3731" s="273" t="s">
        <v>325</v>
      </c>
    </row>
    <row r="3732">
      <c r="H3732" s="273" t="s">
        <v>325</v>
      </c>
    </row>
    <row r="3733">
      <c r="H3733" s="273" t="s">
        <v>325</v>
      </c>
    </row>
    <row r="3734">
      <c r="H3734" s="273" t="s">
        <v>325</v>
      </c>
    </row>
    <row r="3735">
      <c r="H3735" s="273" t="s">
        <v>325</v>
      </c>
    </row>
    <row r="3736">
      <c r="H3736" s="273" t="s">
        <v>325</v>
      </c>
    </row>
    <row r="3737">
      <c r="H3737" s="273" t="s">
        <v>325</v>
      </c>
    </row>
    <row r="3738">
      <c r="H3738" s="273" t="s">
        <v>325</v>
      </c>
    </row>
    <row r="3739">
      <c r="H3739" s="273" t="s">
        <v>325</v>
      </c>
    </row>
    <row r="3740">
      <c r="H3740" s="273" t="s">
        <v>325</v>
      </c>
    </row>
    <row r="3741">
      <c r="H3741" s="273" t="s">
        <v>325</v>
      </c>
    </row>
    <row r="3742">
      <c r="H3742" s="273" t="s">
        <v>325</v>
      </c>
    </row>
    <row r="3743">
      <c r="H3743" s="273" t="s">
        <v>325</v>
      </c>
    </row>
    <row r="3744">
      <c r="H3744" s="273" t="s">
        <v>325</v>
      </c>
    </row>
    <row r="3745">
      <c r="H3745" s="273" t="s">
        <v>325</v>
      </c>
    </row>
    <row r="3746">
      <c r="H3746" s="273" t="s">
        <v>325</v>
      </c>
    </row>
    <row r="3747">
      <c r="H3747" s="273" t="s">
        <v>325</v>
      </c>
    </row>
    <row r="3748">
      <c r="H3748" s="273" t="s">
        <v>325</v>
      </c>
    </row>
    <row r="3749">
      <c r="H3749" s="273" t="s">
        <v>325</v>
      </c>
    </row>
    <row r="3750">
      <c r="H3750" s="273" t="s">
        <v>325</v>
      </c>
    </row>
    <row r="3751">
      <c r="H3751" s="273" t="s">
        <v>325</v>
      </c>
    </row>
    <row r="3752">
      <c r="H3752" s="273" t="s">
        <v>325</v>
      </c>
    </row>
    <row r="3753">
      <c r="H3753" s="273" t="s">
        <v>325</v>
      </c>
    </row>
    <row r="3754">
      <c r="H3754" s="273" t="s">
        <v>325</v>
      </c>
    </row>
    <row r="3755">
      <c r="H3755" s="273" t="s">
        <v>325</v>
      </c>
    </row>
    <row r="3756">
      <c r="H3756" s="273" t="s">
        <v>325</v>
      </c>
    </row>
    <row r="3757">
      <c r="H3757" s="273" t="s">
        <v>325</v>
      </c>
    </row>
    <row r="3758">
      <c r="H3758" s="273" t="s">
        <v>325</v>
      </c>
    </row>
    <row r="3759">
      <c r="H3759" s="273" t="s">
        <v>325</v>
      </c>
    </row>
    <row r="3760">
      <c r="H3760" s="273" t="s">
        <v>325</v>
      </c>
    </row>
    <row r="3761">
      <c r="H3761" s="273" t="s">
        <v>325</v>
      </c>
    </row>
    <row r="3762">
      <c r="H3762" s="273" t="s">
        <v>325</v>
      </c>
    </row>
    <row r="3763">
      <c r="H3763" s="273" t="s">
        <v>325</v>
      </c>
    </row>
    <row r="3764">
      <c r="H3764" s="273" t="s">
        <v>325</v>
      </c>
    </row>
    <row r="3765">
      <c r="H3765" s="273" t="s">
        <v>325</v>
      </c>
    </row>
    <row r="3766">
      <c r="H3766" s="273" t="s">
        <v>325</v>
      </c>
    </row>
    <row r="3767">
      <c r="H3767" s="273" t="s">
        <v>325</v>
      </c>
    </row>
    <row r="3768">
      <c r="H3768" s="273" t="s">
        <v>325</v>
      </c>
    </row>
    <row r="3769">
      <c r="H3769" s="273" t="s">
        <v>325</v>
      </c>
    </row>
    <row r="3770">
      <c r="H3770" s="273" t="s">
        <v>325</v>
      </c>
    </row>
    <row r="3771">
      <c r="H3771" s="273" t="s">
        <v>325</v>
      </c>
    </row>
    <row r="3772">
      <c r="H3772" s="273" t="s">
        <v>325</v>
      </c>
    </row>
    <row r="3773">
      <c r="H3773" s="273" t="s">
        <v>325</v>
      </c>
    </row>
    <row r="3774">
      <c r="H3774" s="273" t="s">
        <v>325</v>
      </c>
    </row>
    <row r="3775">
      <c r="H3775" s="273" t="s">
        <v>325</v>
      </c>
    </row>
    <row r="3776">
      <c r="H3776" s="273" t="s">
        <v>325</v>
      </c>
    </row>
    <row r="3777">
      <c r="H3777" s="273" t="s">
        <v>325</v>
      </c>
    </row>
    <row r="3778">
      <c r="H3778" s="273" t="s">
        <v>325</v>
      </c>
    </row>
    <row r="3779">
      <c r="H3779" s="273" t="s">
        <v>325</v>
      </c>
    </row>
    <row r="3780">
      <c r="H3780" s="273" t="s">
        <v>325</v>
      </c>
    </row>
    <row r="3781">
      <c r="H3781" s="273" t="s">
        <v>325</v>
      </c>
    </row>
    <row r="3782">
      <c r="H3782" s="273" t="s">
        <v>325</v>
      </c>
    </row>
    <row r="3783">
      <c r="H3783" s="273" t="s">
        <v>325</v>
      </c>
    </row>
    <row r="3784">
      <c r="H3784" s="273" t="s">
        <v>325</v>
      </c>
    </row>
    <row r="3785">
      <c r="H3785" s="273" t="s">
        <v>325</v>
      </c>
    </row>
    <row r="3786">
      <c r="H3786" s="273" t="s">
        <v>325</v>
      </c>
    </row>
    <row r="3787">
      <c r="H3787" s="273" t="s">
        <v>325</v>
      </c>
    </row>
    <row r="3788">
      <c r="H3788" s="273" t="s">
        <v>325</v>
      </c>
    </row>
    <row r="3789">
      <c r="H3789" s="273" t="s">
        <v>325</v>
      </c>
    </row>
    <row r="3790">
      <c r="H3790" s="273" t="s">
        <v>325</v>
      </c>
    </row>
    <row r="3791">
      <c r="H3791" s="273" t="s">
        <v>325</v>
      </c>
    </row>
    <row r="3792">
      <c r="H3792" s="273" t="s">
        <v>325</v>
      </c>
    </row>
    <row r="3793">
      <c r="H3793" s="273" t="s">
        <v>325</v>
      </c>
    </row>
    <row r="3794">
      <c r="H3794" s="273" t="s">
        <v>325</v>
      </c>
    </row>
    <row r="3795">
      <c r="H3795" s="273" t="s">
        <v>325</v>
      </c>
    </row>
    <row r="3796">
      <c r="H3796" s="273" t="s">
        <v>325</v>
      </c>
    </row>
    <row r="3797">
      <c r="H3797" s="273" t="s">
        <v>325</v>
      </c>
    </row>
    <row r="3798">
      <c r="H3798" s="273" t="s">
        <v>325</v>
      </c>
    </row>
    <row r="3799">
      <c r="H3799" s="273" t="s">
        <v>325</v>
      </c>
    </row>
    <row r="3800">
      <c r="H3800" s="273" t="s">
        <v>325</v>
      </c>
    </row>
    <row r="3801">
      <c r="H3801" s="273" t="s">
        <v>325</v>
      </c>
    </row>
    <row r="3802">
      <c r="H3802" s="273" t="s">
        <v>325</v>
      </c>
    </row>
    <row r="3803">
      <c r="H3803" s="273" t="s">
        <v>325</v>
      </c>
    </row>
    <row r="3804">
      <c r="H3804" s="273" t="s">
        <v>325</v>
      </c>
    </row>
    <row r="3805">
      <c r="H3805" s="273" t="s">
        <v>325</v>
      </c>
    </row>
    <row r="3806">
      <c r="H3806" s="273" t="s">
        <v>325</v>
      </c>
    </row>
    <row r="3807">
      <c r="H3807" s="273" t="s">
        <v>325</v>
      </c>
    </row>
    <row r="3808">
      <c r="H3808" s="273" t="s">
        <v>325</v>
      </c>
    </row>
    <row r="3809">
      <c r="H3809" s="273" t="s">
        <v>325</v>
      </c>
    </row>
    <row r="3810">
      <c r="H3810" s="273" t="s">
        <v>325</v>
      </c>
    </row>
    <row r="3811">
      <c r="H3811" s="273" t="s">
        <v>325</v>
      </c>
    </row>
    <row r="3812">
      <c r="H3812" s="273" t="s">
        <v>325</v>
      </c>
    </row>
    <row r="3813">
      <c r="H3813" s="273" t="s">
        <v>325</v>
      </c>
    </row>
    <row r="3814">
      <c r="H3814" s="273" t="s">
        <v>325</v>
      </c>
    </row>
    <row r="3815">
      <c r="H3815" s="273" t="s">
        <v>325</v>
      </c>
    </row>
    <row r="3816">
      <c r="H3816" s="273" t="s">
        <v>325</v>
      </c>
    </row>
    <row r="3817">
      <c r="H3817" s="273" t="s">
        <v>325</v>
      </c>
    </row>
    <row r="3818">
      <c r="H3818" s="273" t="s">
        <v>325</v>
      </c>
    </row>
    <row r="3819">
      <c r="H3819" s="273" t="s">
        <v>325</v>
      </c>
    </row>
    <row r="3820">
      <c r="H3820" s="273" t="s">
        <v>325</v>
      </c>
    </row>
    <row r="3821">
      <c r="H3821" s="273" t="s">
        <v>325</v>
      </c>
    </row>
    <row r="3822">
      <c r="H3822" s="273" t="s">
        <v>325</v>
      </c>
    </row>
    <row r="3823">
      <c r="H3823" s="273" t="s">
        <v>325</v>
      </c>
    </row>
    <row r="3824">
      <c r="H3824" s="273" t="s">
        <v>325</v>
      </c>
    </row>
    <row r="3825">
      <c r="H3825" s="273" t="s">
        <v>325</v>
      </c>
    </row>
    <row r="3826">
      <c r="H3826" s="273" t="s">
        <v>325</v>
      </c>
    </row>
    <row r="3827">
      <c r="H3827" s="273" t="s">
        <v>325</v>
      </c>
    </row>
    <row r="3828">
      <c r="H3828" s="273" t="s">
        <v>325</v>
      </c>
    </row>
    <row r="3829">
      <c r="H3829" s="273" t="s">
        <v>325</v>
      </c>
    </row>
    <row r="3830">
      <c r="H3830" s="273" t="s">
        <v>325</v>
      </c>
    </row>
    <row r="3831">
      <c r="H3831" s="273" t="s">
        <v>325</v>
      </c>
    </row>
    <row r="3832">
      <c r="H3832" s="273" t="s">
        <v>325</v>
      </c>
    </row>
    <row r="3833">
      <c r="H3833" s="273" t="s">
        <v>325</v>
      </c>
    </row>
    <row r="3834">
      <c r="H3834" s="273" t="s">
        <v>325</v>
      </c>
    </row>
    <row r="3835">
      <c r="H3835" s="273" t="s">
        <v>325</v>
      </c>
    </row>
    <row r="3836">
      <c r="H3836" s="273" t="s">
        <v>325</v>
      </c>
    </row>
    <row r="3837">
      <c r="H3837" s="273" t="s">
        <v>325</v>
      </c>
    </row>
    <row r="3838">
      <c r="H3838" s="273" t="s">
        <v>325</v>
      </c>
    </row>
    <row r="3839">
      <c r="H3839" s="273" t="s">
        <v>325</v>
      </c>
    </row>
    <row r="3840">
      <c r="H3840" s="273" t="s">
        <v>325</v>
      </c>
    </row>
    <row r="3841">
      <c r="H3841" s="273" t="s">
        <v>325</v>
      </c>
    </row>
    <row r="3842">
      <c r="H3842" s="273" t="s">
        <v>325</v>
      </c>
    </row>
    <row r="3843">
      <c r="H3843" s="273" t="s">
        <v>325</v>
      </c>
    </row>
    <row r="3844">
      <c r="H3844" s="273" t="s">
        <v>325</v>
      </c>
    </row>
    <row r="3845">
      <c r="H3845" s="273" t="s">
        <v>325</v>
      </c>
    </row>
    <row r="3846">
      <c r="H3846" s="273" t="s">
        <v>325</v>
      </c>
    </row>
    <row r="3847">
      <c r="H3847" s="273" t="s">
        <v>325</v>
      </c>
    </row>
    <row r="3848">
      <c r="H3848" s="273" t="s">
        <v>325</v>
      </c>
    </row>
    <row r="3849">
      <c r="H3849" s="273" t="s">
        <v>325</v>
      </c>
    </row>
    <row r="3850">
      <c r="H3850" s="273" t="s">
        <v>325</v>
      </c>
    </row>
    <row r="3851">
      <c r="H3851" s="273" t="s">
        <v>325</v>
      </c>
    </row>
    <row r="3852">
      <c r="H3852" s="273" t="s">
        <v>325</v>
      </c>
    </row>
    <row r="3853">
      <c r="H3853" s="273" t="s">
        <v>325</v>
      </c>
    </row>
    <row r="3854">
      <c r="H3854" s="273" t="s">
        <v>325</v>
      </c>
    </row>
    <row r="3855">
      <c r="H3855" s="273" t="s">
        <v>325</v>
      </c>
    </row>
    <row r="3856">
      <c r="H3856" s="273" t="s">
        <v>325</v>
      </c>
    </row>
    <row r="3857">
      <c r="H3857" s="273" t="s">
        <v>325</v>
      </c>
    </row>
    <row r="3858">
      <c r="H3858" s="273" t="s">
        <v>325</v>
      </c>
    </row>
    <row r="3859">
      <c r="H3859" s="273" t="s">
        <v>325</v>
      </c>
    </row>
    <row r="3860">
      <c r="H3860" s="273" t="s">
        <v>325</v>
      </c>
    </row>
    <row r="3861">
      <c r="H3861" s="273" t="s">
        <v>325</v>
      </c>
    </row>
    <row r="3862">
      <c r="H3862" s="273" t="s">
        <v>325</v>
      </c>
    </row>
    <row r="3863">
      <c r="H3863" s="273" t="s">
        <v>325</v>
      </c>
    </row>
    <row r="3864">
      <c r="H3864" s="273" t="s">
        <v>325</v>
      </c>
    </row>
    <row r="3865">
      <c r="H3865" s="273" t="s">
        <v>325</v>
      </c>
    </row>
    <row r="3866">
      <c r="H3866" s="273" t="s">
        <v>325</v>
      </c>
    </row>
    <row r="3867">
      <c r="H3867" s="273" t="s">
        <v>325</v>
      </c>
    </row>
    <row r="3868">
      <c r="H3868" s="273" t="s">
        <v>325</v>
      </c>
    </row>
    <row r="3869">
      <c r="H3869" s="273" t="s">
        <v>325</v>
      </c>
    </row>
    <row r="3870">
      <c r="H3870" s="273" t="s">
        <v>325</v>
      </c>
    </row>
    <row r="3871">
      <c r="H3871" s="273" t="s">
        <v>325</v>
      </c>
    </row>
    <row r="3872">
      <c r="H3872" s="273" t="s">
        <v>325</v>
      </c>
    </row>
    <row r="3873">
      <c r="H3873" s="273" t="s">
        <v>325</v>
      </c>
    </row>
    <row r="3874">
      <c r="H3874" s="273" t="s">
        <v>325</v>
      </c>
    </row>
    <row r="3875">
      <c r="H3875" s="273" t="s">
        <v>325</v>
      </c>
    </row>
    <row r="3876">
      <c r="H3876" s="273" t="s">
        <v>325</v>
      </c>
    </row>
    <row r="3877">
      <c r="H3877" s="273" t="s">
        <v>325</v>
      </c>
    </row>
    <row r="3878">
      <c r="H3878" s="273" t="s">
        <v>325</v>
      </c>
    </row>
    <row r="3879">
      <c r="H3879" s="273" t="s">
        <v>325</v>
      </c>
    </row>
    <row r="3880">
      <c r="H3880" s="273" t="s">
        <v>325</v>
      </c>
    </row>
    <row r="3881">
      <c r="H3881" s="273" t="s">
        <v>325</v>
      </c>
    </row>
    <row r="3882">
      <c r="H3882" s="273" t="s">
        <v>325</v>
      </c>
    </row>
    <row r="3883">
      <c r="H3883" s="273" t="s">
        <v>325</v>
      </c>
    </row>
    <row r="3884">
      <c r="H3884" s="273" t="s">
        <v>325</v>
      </c>
    </row>
    <row r="3885">
      <c r="H3885" s="273" t="s">
        <v>325</v>
      </c>
    </row>
    <row r="3886">
      <c r="H3886" s="273" t="s">
        <v>325</v>
      </c>
    </row>
    <row r="3887">
      <c r="H3887" s="273" t="s">
        <v>325</v>
      </c>
    </row>
    <row r="3888">
      <c r="H3888" s="273" t="s">
        <v>325</v>
      </c>
    </row>
    <row r="3889">
      <c r="H3889" s="273" t="s">
        <v>325</v>
      </c>
    </row>
    <row r="3890">
      <c r="H3890" s="273" t="s">
        <v>325</v>
      </c>
    </row>
    <row r="3891">
      <c r="H3891" s="273" t="s">
        <v>325</v>
      </c>
    </row>
    <row r="3892">
      <c r="H3892" s="273" t="s">
        <v>325</v>
      </c>
    </row>
    <row r="3893">
      <c r="H3893" s="273" t="s">
        <v>325</v>
      </c>
    </row>
    <row r="3894">
      <c r="H3894" s="273" t="s">
        <v>325</v>
      </c>
    </row>
    <row r="3895">
      <c r="H3895" s="273" t="s">
        <v>325</v>
      </c>
    </row>
    <row r="3896">
      <c r="H3896" s="273" t="s">
        <v>325</v>
      </c>
    </row>
    <row r="3897">
      <c r="H3897" s="273" t="s">
        <v>325</v>
      </c>
    </row>
    <row r="3898">
      <c r="H3898" s="273" t="s">
        <v>325</v>
      </c>
    </row>
    <row r="3899">
      <c r="H3899" s="273" t="s">
        <v>325</v>
      </c>
    </row>
    <row r="3900">
      <c r="H3900" s="273" t="s">
        <v>325</v>
      </c>
    </row>
    <row r="3901">
      <c r="H3901" s="273" t="s">
        <v>325</v>
      </c>
    </row>
    <row r="3902">
      <c r="H3902" s="273" t="s">
        <v>325</v>
      </c>
    </row>
    <row r="3903">
      <c r="H3903" s="273" t="s">
        <v>325</v>
      </c>
    </row>
    <row r="3904">
      <c r="H3904" s="273" t="s">
        <v>325</v>
      </c>
    </row>
    <row r="3905">
      <c r="H3905" s="273" t="s">
        <v>325</v>
      </c>
    </row>
    <row r="3906">
      <c r="H3906" s="273" t="s">
        <v>325</v>
      </c>
    </row>
    <row r="3907">
      <c r="H3907" s="273" t="s">
        <v>325</v>
      </c>
    </row>
    <row r="3908">
      <c r="H3908" s="273" t="s">
        <v>325</v>
      </c>
    </row>
    <row r="3909">
      <c r="H3909" s="273" t="s">
        <v>325</v>
      </c>
    </row>
    <row r="3910">
      <c r="H3910" s="273" t="s">
        <v>325</v>
      </c>
    </row>
    <row r="3911">
      <c r="H3911" s="273" t="s">
        <v>325</v>
      </c>
    </row>
    <row r="3912">
      <c r="H3912" s="273" t="s">
        <v>325</v>
      </c>
    </row>
    <row r="3913">
      <c r="H3913" s="273" t="s">
        <v>325</v>
      </c>
    </row>
    <row r="3914">
      <c r="H3914" s="273" t="s">
        <v>325</v>
      </c>
    </row>
    <row r="3915">
      <c r="H3915" s="273" t="s">
        <v>325</v>
      </c>
    </row>
    <row r="3916">
      <c r="H3916" s="273" t="s">
        <v>325</v>
      </c>
    </row>
    <row r="3917">
      <c r="H3917" s="273" t="s">
        <v>325</v>
      </c>
    </row>
    <row r="3918">
      <c r="H3918" s="273" t="s">
        <v>325</v>
      </c>
    </row>
    <row r="3919">
      <c r="H3919" s="273" t="s">
        <v>325</v>
      </c>
    </row>
    <row r="3920">
      <c r="H3920" s="273" t="s">
        <v>325</v>
      </c>
    </row>
    <row r="3921">
      <c r="H3921" s="273" t="s">
        <v>325</v>
      </c>
    </row>
    <row r="3922">
      <c r="H3922" s="273" t="s">
        <v>325</v>
      </c>
    </row>
    <row r="3923">
      <c r="H3923" s="273" t="s">
        <v>325</v>
      </c>
    </row>
    <row r="3924">
      <c r="H3924" s="273" t="s">
        <v>325</v>
      </c>
    </row>
    <row r="3925">
      <c r="H3925" s="273" t="s">
        <v>325</v>
      </c>
    </row>
    <row r="3926">
      <c r="H3926" s="273" t="s">
        <v>325</v>
      </c>
    </row>
    <row r="3927">
      <c r="H3927" s="273" t="s">
        <v>325</v>
      </c>
    </row>
    <row r="3928">
      <c r="H3928" s="273" t="s">
        <v>325</v>
      </c>
    </row>
    <row r="3929">
      <c r="H3929" s="273" t="s">
        <v>325</v>
      </c>
    </row>
    <row r="3930">
      <c r="H3930" s="273" t="s">
        <v>325</v>
      </c>
    </row>
    <row r="3931">
      <c r="H3931" s="273" t="s">
        <v>325</v>
      </c>
    </row>
    <row r="3932">
      <c r="H3932" s="273" t="s">
        <v>325</v>
      </c>
    </row>
    <row r="3933">
      <c r="H3933" s="273" t="s">
        <v>325</v>
      </c>
    </row>
    <row r="3934">
      <c r="H3934" s="273" t="s">
        <v>325</v>
      </c>
    </row>
    <row r="3935">
      <c r="H3935" s="273" t="s">
        <v>325</v>
      </c>
    </row>
    <row r="3936">
      <c r="H3936" s="273" t="s">
        <v>325</v>
      </c>
    </row>
    <row r="3937">
      <c r="H3937" s="273" t="s">
        <v>325</v>
      </c>
    </row>
    <row r="3938">
      <c r="H3938" s="273" t="s">
        <v>325</v>
      </c>
    </row>
    <row r="3939">
      <c r="H3939" s="273" t="s">
        <v>325</v>
      </c>
    </row>
    <row r="3940">
      <c r="H3940" s="273" t="s">
        <v>325</v>
      </c>
    </row>
    <row r="3941">
      <c r="H3941" s="273" t="s">
        <v>325</v>
      </c>
    </row>
    <row r="3942">
      <c r="H3942" s="273" t="s">
        <v>325</v>
      </c>
    </row>
    <row r="3943">
      <c r="H3943" s="273" t="s">
        <v>325</v>
      </c>
    </row>
    <row r="3944">
      <c r="H3944" s="273" t="s">
        <v>325</v>
      </c>
    </row>
    <row r="3945">
      <c r="H3945" s="273" t="s">
        <v>325</v>
      </c>
    </row>
    <row r="3946">
      <c r="H3946" s="273" t="s">
        <v>325</v>
      </c>
    </row>
    <row r="3947">
      <c r="H3947" s="273" t="s">
        <v>325</v>
      </c>
    </row>
    <row r="3948">
      <c r="H3948" s="273" t="s">
        <v>325</v>
      </c>
    </row>
    <row r="3949">
      <c r="H3949" s="273" t="s">
        <v>325</v>
      </c>
    </row>
    <row r="3950">
      <c r="H3950" s="273" t="s">
        <v>325</v>
      </c>
    </row>
    <row r="3951">
      <c r="H3951" s="273" t="s">
        <v>325</v>
      </c>
    </row>
    <row r="3952">
      <c r="H3952" s="273" t="s">
        <v>325</v>
      </c>
    </row>
    <row r="3953">
      <c r="H3953" s="273" t="s">
        <v>325</v>
      </c>
    </row>
    <row r="3954">
      <c r="H3954" s="273" t="s">
        <v>325</v>
      </c>
    </row>
    <row r="3955">
      <c r="H3955" s="273" t="s">
        <v>325</v>
      </c>
    </row>
    <row r="3956">
      <c r="H3956" s="273" t="s">
        <v>325</v>
      </c>
    </row>
    <row r="3957">
      <c r="H3957" s="273" t="s">
        <v>325</v>
      </c>
    </row>
    <row r="3958">
      <c r="H3958" s="273" t="s">
        <v>325</v>
      </c>
    </row>
    <row r="3959">
      <c r="H3959" s="273" t="s">
        <v>325</v>
      </c>
    </row>
    <row r="3960">
      <c r="H3960" s="273" t="s">
        <v>325</v>
      </c>
    </row>
    <row r="3961">
      <c r="H3961" s="273" t="s">
        <v>325</v>
      </c>
    </row>
    <row r="3962">
      <c r="H3962" s="273" t="s">
        <v>325</v>
      </c>
    </row>
    <row r="3963">
      <c r="H3963" s="273" t="s">
        <v>325</v>
      </c>
    </row>
    <row r="3964">
      <c r="H3964" s="273" t="s">
        <v>325</v>
      </c>
    </row>
    <row r="3965">
      <c r="H3965" s="273" t="s">
        <v>325</v>
      </c>
    </row>
    <row r="3966">
      <c r="H3966" s="273" t="s">
        <v>325</v>
      </c>
    </row>
    <row r="3967">
      <c r="H3967" s="273" t="s">
        <v>325</v>
      </c>
    </row>
    <row r="3968">
      <c r="H3968" s="273" t="s">
        <v>325</v>
      </c>
    </row>
    <row r="3969">
      <c r="H3969" s="273" t="s">
        <v>325</v>
      </c>
    </row>
    <row r="3970">
      <c r="H3970" s="273" t="s">
        <v>325</v>
      </c>
    </row>
    <row r="3971">
      <c r="H3971" s="273" t="s">
        <v>325</v>
      </c>
    </row>
    <row r="3972">
      <c r="H3972" s="273" t="s">
        <v>325</v>
      </c>
    </row>
    <row r="3973">
      <c r="H3973" s="273" t="s">
        <v>325</v>
      </c>
    </row>
    <row r="3974">
      <c r="H3974" s="273" t="s">
        <v>325</v>
      </c>
    </row>
    <row r="3975">
      <c r="H3975" s="273" t="s">
        <v>325</v>
      </c>
    </row>
    <row r="3976">
      <c r="H3976" s="273" t="s">
        <v>325</v>
      </c>
    </row>
    <row r="3977">
      <c r="H3977" s="273" t="s">
        <v>325</v>
      </c>
    </row>
    <row r="3978">
      <c r="H3978" s="273" t="s">
        <v>325</v>
      </c>
    </row>
    <row r="3979">
      <c r="H3979" s="273" t="s">
        <v>325</v>
      </c>
    </row>
    <row r="3980">
      <c r="H3980" s="273" t="s">
        <v>325</v>
      </c>
    </row>
    <row r="3981">
      <c r="H3981" s="273" t="s">
        <v>325</v>
      </c>
    </row>
    <row r="3982">
      <c r="H3982" s="273" t="s">
        <v>325</v>
      </c>
    </row>
    <row r="3983">
      <c r="H3983" s="273" t="s">
        <v>325</v>
      </c>
    </row>
    <row r="3984">
      <c r="H3984" s="273" t="s">
        <v>325</v>
      </c>
    </row>
    <row r="3985">
      <c r="H3985" s="273" t="s">
        <v>325</v>
      </c>
    </row>
    <row r="3986">
      <c r="H3986" s="273" t="s">
        <v>325</v>
      </c>
    </row>
    <row r="3987">
      <c r="H3987" s="273" t="s">
        <v>325</v>
      </c>
    </row>
    <row r="3988">
      <c r="H3988" s="273" t="s">
        <v>325</v>
      </c>
    </row>
    <row r="3989">
      <c r="H3989" s="273" t="s">
        <v>325</v>
      </c>
    </row>
    <row r="3990">
      <c r="H3990" s="273" t="s">
        <v>325</v>
      </c>
    </row>
    <row r="3991">
      <c r="H3991" s="273" t="s">
        <v>325</v>
      </c>
    </row>
    <row r="3992">
      <c r="H3992" s="273" t="s">
        <v>325</v>
      </c>
    </row>
    <row r="3993">
      <c r="H3993" s="273" t="s">
        <v>325</v>
      </c>
    </row>
    <row r="3994">
      <c r="H3994" s="273" t="s">
        <v>325</v>
      </c>
    </row>
    <row r="3995">
      <c r="H3995" s="273" t="s">
        <v>325</v>
      </c>
    </row>
    <row r="3996">
      <c r="H3996" s="273" t="s">
        <v>325</v>
      </c>
    </row>
    <row r="3997">
      <c r="H3997" s="273" t="s">
        <v>325</v>
      </c>
    </row>
    <row r="3998">
      <c r="H3998" s="273" t="s">
        <v>325</v>
      </c>
    </row>
    <row r="3999">
      <c r="H3999" s="273" t="s">
        <v>325</v>
      </c>
    </row>
    <row r="4000">
      <c r="H4000" s="273" t="s">
        <v>325</v>
      </c>
    </row>
    <row r="4001">
      <c r="H4001" s="273" t="s">
        <v>325</v>
      </c>
    </row>
    <row r="4002">
      <c r="H4002" s="273" t="s">
        <v>325</v>
      </c>
    </row>
    <row r="4003">
      <c r="H4003" s="273" t="s">
        <v>325</v>
      </c>
    </row>
    <row r="4004">
      <c r="H4004" s="273" t="s">
        <v>325</v>
      </c>
    </row>
    <row r="4005">
      <c r="H4005" s="273" t="s">
        <v>325</v>
      </c>
    </row>
    <row r="4006">
      <c r="H4006" s="273" t="s">
        <v>325</v>
      </c>
    </row>
    <row r="4007">
      <c r="H4007" s="273" t="s">
        <v>325</v>
      </c>
    </row>
    <row r="4008">
      <c r="H4008" s="273" t="s">
        <v>325</v>
      </c>
    </row>
    <row r="4009">
      <c r="H4009" s="273" t="s">
        <v>325</v>
      </c>
    </row>
    <row r="4010">
      <c r="H4010" s="273" t="s">
        <v>325</v>
      </c>
    </row>
    <row r="4011">
      <c r="H4011" s="273" t="s">
        <v>325</v>
      </c>
    </row>
    <row r="4012">
      <c r="H4012" s="273" t="s">
        <v>325</v>
      </c>
    </row>
    <row r="4013">
      <c r="H4013" s="273" t="s">
        <v>325</v>
      </c>
    </row>
    <row r="4014">
      <c r="H4014" s="273" t="s">
        <v>325</v>
      </c>
    </row>
    <row r="4015">
      <c r="H4015" s="273" t="s">
        <v>325</v>
      </c>
    </row>
    <row r="4016">
      <c r="H4016" s="273" t="s">
        <v>325</v>
      </c>
    </row>
    <row r="4017">
      <c r="H4017" s="273" t="s">
        <v>325</v>
      </c>
    </row>
    <row r="4018">
      <c r="H4018" s="273" t="s">
        <v>325</v>
      </c>
    </row>
    <row r="4019">
      <c r="H4019" s="273" t="s">
        <v>325</v>
      </c>
    </row>
    <row r="4020">
      <c r="H4020" s="273" t="s">
        <v>325</v>
      </c>
    </row>
    <row r="4021">
      <c r="H4021" s="273" t="s">
        <v>325</v>
      </c>
    </row>
    <row r="4022">
      <c r="H4022" s="273" t="s">
        <v>325</v>
      </c>
    </row>
    <row r="4023">
      <c r="H4023" s="273" t="s">
        <v>325</v>
      </c>
    </row>
    <row r="4024">
      <c r="H4024" s="273" t="s">
        <v>325</v>
      </c>
    </row>
    <row r="4025">
      <c r="H4025" s="273" t="s">
        <v>325</v>
      </c>
    </row>
    <row r="4026">
      <c r="H4026" s="273" t="s">
        <v>325</v>
      </c>
    </row>
    <row r="4027">
      <c r="H4027" s="273" t="s">
        <v>325</v>
      </c>
    </row>
    <row r="4028">
      <c r="H4028" s="273" t="s">
        <v>325</v>
      </c>
    </row>
    <row r="4029">
      <c r="H4029" s="273" t="s">
        <v>325</v>
      </c>
    </row>
    <row r="4030">
      <c r="H4030" s="273" t="s">
        <v>325</v>
      </c>
    </row>
    <row r="4031">
      <c r="H4031" s="273" t="s">
        <v>325</v>
      </c>
    </row>
    <row r="4032">
      <c r="H4032" s="273" t="s">
        <v>325</v>
      </c>
    </row>
    <row r="4033">
      <c r="H4033" s="273" t="s">
        <v>325</v>
      </c>
    </row>
    <row r="4034">
      <c r="H4034" s="273" t="s">
        <v>325</v>
      </c>
    </row>
    <row r="4035">
      <c r="H4035" s="273" t="s">
        <v>325</v>
      </c>
    </row>
    <row r="4036">
      <c r="H4036" s="273" t="s">
        <v>325</v>
      </c>
    </row>
    <row r="4037">
      <c r="H4037" s="273" t="s">
        <v>325</v>
      </c>
    </row>
    <row r="4038">
      <c r="H4038" s="273" t="s">
        <v>325</v>
      </c>
    </row>
    <row r="4039">
      <c r="H4039" s="273" t="s">
        <v>325</v>
      </c>
    </row>
    <row r="4040">
      <c r="H4040" s="273" t="s">
        <v>325</v>
      </c>
    </row>
    <row r="4041">
      <c r="H4041" s="273" t="s">
        <v>325</v>
      </c>
    </row>
    <row r="4042">
      <c r="H4042" s="273" t="s">
        <v>325</v>
      </c>
    </row>
    <row r="4043">
      <c r="H4043" s="273" t="s">
        <v>325</v>
      </c>
    </row>
    <row r="4044">
      <c r="H4044" s="273" t="s">
        <v>325</v>
      </c>
    </row>
    <row r="4045">
      <c r="H4045" s="273" t="s">
        <v>325</v>
      </c>
    </row>
    <row r="4046">
      <c r="H4046" s="273" t="s">
        <v>325</v>
      </c>
    </row>
    <row r="4047">
      <c r="H4047" s="273" t="s">
        <v>325</v>
      </c>
    </row>
    <row r="4048">
      <c r="H4048" s="273" t="s">
        <v>325</v>
      </c>
    </row>
    <row r="4049">
      <c r="H4049" s="273" t="s">
        <v>325</v>
      </c>
    </row>
    <row r="4050">
      <c r="H4050" s="273" t="s">
        <v>325</v>
      </c>
    </row>
    <row r="4051">
      <c r="H4051" s="273" t="s">
        <v>325</v>
      </c>
    </row>
    <row r="4052">
      <c r="H4052" s="273" t="s">
        <v>325</v>
      </c>
    </row>
    <row r="4053">
      <c r="H4053" s="273" t="s">
        <v>325</v>
      </c>
    </row>
    <row r="4054">
      <c r="H4054" s="273" t="s">
        <v>325</v>
      </c>
    </row>
    <row r="4055">
      <c r="H4055" s="273" t="s">
        <v>325</v>
      </c>
    </row>
    <row r="4056">
      <c r="H4056" s="273" t="s">
        <v>325</v>
      </c>
    </row>
    <row r="4057">
      <c r="H4057" s="273" t="s">
        <v>325</v>
      </c>
    </row>
    <row r="4058">
      <c r="H4058" s="273" t="s">
        <v>325</v>
      </c>
    </row>
    <row r="4059">
      <c r="H4059" s="273" t="s">
        <v>325</v>
      </c>
    </row>
    <row r="4060">
      <c r="H4060" s="273" t="s">
        <v>325</v>
      </c>
    </row>
    <row r="4061">
      <c r="H4061" s="273" t="s">
        <v>325</v>
      </c>
    </row>
    <row r="4062">
      <c r="H4062" s="273" t="s">
        <v>325</v>
      </c>
    </row>
    <row r="4063">
      <c r="H4063" s="273" t="s">
        <v>325</v>
      </c>
    </row>
    <row r="4064">
      <c r="H4064" s="273" t="s">
        <v>325</v>
      </c>
    </row>
    <row r="4065">
      <c r="H4065" s="273" t="s">
        <v>325</v>
      </c>
    </row>
    <row r="4066">
      <c r="H4066" s="273" t="s">
        <v>325</v>
      </c>
    </row>
    <row r="4067">
      <c r="H4067" s="273" t="s">
        <v>325</v>
      </c>
    </row>
    <row r="4068">
      <c r="H4068" s="273" t="s">
        <v>325</v>
      </c>
    </row>
    <row r="4069">
      <c r="H4069" s="273" t="s">
        <v>325</v>
      </c>
    </row>
    <row r="4070">
      <c r="H4070" s="273" t="s">
        <v>325</v>
      </c>
    </row>
    <row r="4071">
      <c r="H4071" s="273" t="s">
        <v>325</v>
      </c>
    </row>
    <row r="4072">
      <c r="H4072" s="273" t="s">
        <v>325</v>
      </c>
    </row>
    <row r="4073">
      <c r="H4073" s="273" t="s">
        <v>325</v>
      </c>
    </row>
    <row r="4074">
      <c r="H4074" s="273" t="s">
        <v>325</v>
      </c>
    </row>
    <row r="4075">
      <c r="H4075" s="273" t="s">
        <v>325</v>
      </c>
    </row>
    <row r="4076">
      <c r="H4076" s="273" t="s">
        <v>325</v>
      </c>
    </row>
    <row r="4077">
      <c r="H4077" s="273" t="s">
        <v>325</v>
      </c>
    </row>
    <row r="4078">
      <c r="H4078" s="273" t="s">
        <v>325</v>
      </c>
    </row>
    <row r="4079">
      <c r="H4079" s="273" t="s">
        <v>325</v>
      </c>
    </row>
    <row r="4080">
      <c r="H4080" s="273" t="s">
        <v>325</v>
      </c>
    </row>
    <row r="4081">
      <c r="H4081" s="273" t="s">
        <v>325</v>
      </c>
    </row>
    <row r="4082">
      <c r="H4082" s="273" t="s">
        <v>325</v>
      </c>
    </row>
    <row r="4083">
      <c r="H4083" s="273" t="s">
        <v>325</v>
      </c>
    </row>
    <row r="4084">
      <c r="H4084" s="273" t="s">
        <v>325</v>
      </c>
    </row>
    <row r="4085">
      <c r="H4085" s="273" t="s">
        <v>325</v>
      </c>
    </row>
    <row r="4086">
      <c r="H4086" s="273" t="s">
        <v>325</v>
      </c>
    </row>
    <row r="4087">
      <c r="H4087" s="273" t="s">
        <v>325</v>
      </c>
    </row>
    <row r="4088">
      <c r="H4088" s="273" t="s">
        <v>325</v>
      </c>
    </row>
    <row r="4089">
      <c r="H4089" s="273" t="s">
        <v>325</v>
      </c>
    </row>
    <row r="4090">
      <c r="H4090" s="273" t="s">
        <v>325</v>
      </c>
    </row>
    <row r="4091">
      <c r="H4091" s="273" t="s">
        <v>325</v>
      </c>
    </row>
    <row r="4092">
      <c r="H4092" s="273" t="s">
        <v>325</v>
      </c>
    </row>
    <row r="4093">
      <c r="H4093" s="273" t="s">
        <v>325</v>
      </c>
    </row>
    <row r="4094">
      <c r="H4094" s="273" t="s">
        <v>325</v>
      </c>
    </row>
    <row r="4095">
      <c r="H4095" s="273" t="s">
        <v>325</v>
      </c>
    </row>
    <row r="4096">
      <c r="H4096" s="273" t="s">
        <v>325</v>
      </c>
    </row>
    <row r="4097">
      <c r="H4097" s="273" t="s">
        <v>325</v>
      </c>
    </row>
    <row r="4098">
      <c r="H4098" s="273" t="s">
        <v>325</v>
      </c>
    </row>
    <row r="4099">
      <c r="H4099" s="273" t="s">
        <v>325</v>
      </c>
    </row>
    <row r="4100">
      <c r="H4100" s="273" t="s">
        <v>325</v>
      </c>
    </row>
    <row r="4101">
      <c r="H4101" s="273" t="s">
        <v>325</v>
      </c>
    </row>
    <row r="4102">
      <c r="H4102" s="273" t="s">
        <v>325</v>
      </c>
    </row>
    <row r="4103">
      <c r="H4103" s="273" t="s">
        <v>325</v>
      </c>
    </row>
    <row r="4104">
      <c r="H4104" s="273" t="s">
        <v>325</v>
      </c>
    </row>
    <row r="4105">
      <c r="H4105" s="273" t="s">
        <v>325</v>
      </c>
    </row>
    <row r="4106">
      <c r="H4106" s="273" t="s">
        <v>325</v>
      </c>
    </row>
    <row r="4107">
      <c r="H4107" s="273" t="s">
        <v>325</v>
      </c>
    </row>
    <row r="4108">
      <c r="H4108" s="273" t="s">
        <v>325</v>
      </c>
    </row>
    <row r="4109">
      <c r="H4109" s="273" t="s">
        <v>325</v>
      </c>
    </row>
    <row r="4110">
      <c r="H4110" s="273" t="s">
        <v>325</v>
      </c>
    </row>
    <row r="4111">
      <c r="H4111" s="273" t="s">
        <v>325</v>
      </c>
    </row>
    <row r="4112">
      <c r="H4112" s="273" t="s">
        <v>325</v>
      </c>
    </row>
    <row r="4113">
      <c r="H4113" s="273" t="s">
        <v>325</v>
      </c>
    </row>
    <row r="4114">
      <c r="H4114" s="273" t="s">
        <v>325</v>
      </c>
    </row>
    <row r="4115">
      <c r="H4115" s="273" t="s">
        <v>325</v>
      </c>
    </row>
    <row r="4116">
      <c r="H4116" s="273" t="s">
        <v>325</v>
      </c>
    </row>
    <row r="4117">
      <c r="H4117" s="273" t="s">
        <v>325</v>
      </c>
    </row>
    <row r="4118">
      <c r="H4118" s="273" t="s">
        <v>325</v>
      </c>
    </row>
    <row r="4119">
      <c r="H4119" s="273" t="s">
        <v>325</v>
      </c>
    </row>
    <row r="4120">
      <c r="H4120" s="273" t="s">
        <v>325</v>
      </c>
    </row>
    <row r="4121">
      <c r="H4121" s="273" t="s">
        <v>325</v>
      </c>
    </row>
    <row r="4122">
      <c r="H4122" s="273" t="s">
        <v>325</v>
      </c>
    </row>
    <row r="4123">
      <c r="H4123" s="273" t="s">
        <v>325</v>
      </c>
    </row>
    <row r="4124">
      <c r="H4124" s="273" t="s">
        <v>325</v>
      </c>
    </row>
    <row r="4125">
      <c r="H4125" s="273" t="s">
        <v>325</v>
      </c>
    </row>
    <row r="4126">
      <c r="H4126" s="273" t="s">
        <v>325</v>
      </c>
    </row>
    <row r="4127">
      <c r="H4127" s="273" t="s">
        <v>325</v>
      </c>
    </row>
    <row r="4128">
      <c r="H4128" s="273" t="s">
        <v>325</v>
      </c>
    </row>
    <row r="4129">
      <c r="H4129" s="273" t="s">
        <v>325</v>
      </c>
    </row>
    <row r="4130">
      <c r="H4130" s="273" t="s">
        <v>325</v>
      </c>
    </row>
    <row r="4131">
      <c r="H4131" s="273" t="s">
        <v>325</v>
      </c>
    </row>
    <row r="4132">
      <c r="H4132" s="273" t="s">
        <v>325</v>
      </c>
    </row>
    <row r="4133">
      <c r="H4133" s="273" t="s">
        <v>325</v>
      </c>
    </row>
    <row r="4134">
      <c r="H4134" s="273" t="s">
        <v>325</v>
      </c>
    </row>
    <row r="4135">
      <c r="H4135" s="273" t="s">
        <v>325</v>
      </c>
    </row>
    <row r="4136">
      <c r="H4136" s="273" t="s">
        <v>325</v>
      </c>
    </row>
    <row r="4137">
      <c r="H4137" s="273" t="s">
        <v>325</v>
      </c>
    </row>
    <row r="4138">
      <c r="H4138" s="273" t="s">
        <v>325</v>
      </c>
    </row>
    <row r="4139">
      <c r="H4139" s="273" t="s">
        <v>325</v>
      </c>
    </row>
    <row r="4140">
      <c r="H4140" s="273" t="s">
        <v>325</v>
      </c>
    </row>
    <row r="4141">
      <c r="H4141" s="273" t="s">
        <v>325</v>
      </c>
    </row>
    <row r="4142">
      <c r="H4142" s="273" t="s">
        <v>325</v>
      </c>
    </row>
    <row r="4143">
      <c r="H4143" s="273" t="s">
        <v>325</v>
      </c>
    </row>
    <row r="4144">
      <c r="H4144" s="273" t="s">
        <v>325</v>
      </c>
    </row>
    <row r="4145">
      <c r="H4145" s="273" t="s">
        <v>325</v>
      </c>
    </row>
    <row r="4146">
      <c r="H4146" s="273" t="s">
        <v>325</v>
      </c>
    </row>
    <row r="4147">
      <c r="H4147" s="273" t="s">
        <v>325</v>
      </c>
    </row>
    <row r="4148">
      <c r="H4148" s="273" t="s">
        <v>325</v>
      </c>
    </row>
    <row r="4149">
      <c r="H4149" s="273" t="s">
        <v>325</v>
      </c>
    </row>
    <row r="4150">
      <c r="H4150" s="273" t="s">
        <v>325</v>
      </c>
    </row>
    <row r="4151">
      <c r="H4151" s="273" t="s">
        <v>325</v>
      </c>
    </row>
    <row r="4152">
      <c r="H4152" s="273" t="s">
        <v>325</v>
      </c>
    </row>
    <row r="4153">
      <c r="H4153" s="273" t="s">
        <v>325</v>
      </c>
    </row>
    <row r="4154">
      <c r="H4154" s="273" t="s">
        <v>325</v>
      </c>
    </row>
    <row r="4155">
      <c r="H4155" s="273" t="s">
        <v>325</v>
      </c>
    </row>
    <row r="4156">
      <c r="H4156" s="273" t="s">
        <v>325</v>
      </c>
    </row>
    <row r="4157">
      <c r="H4157" s="273" t="s">
        <v>325</v>
      </c>
    </row>
    <row r="4158">
      <c r="H4158" s="273" t="s">
        <v>325</v>
      </c>
    </row>
    <row r="4159">
      <c r="H4159" s="273" t="s">
        <v>325</v>
      </c>
    </row>
    <row r="4160">
      <c r="H4160" s="273" t="s">
        <v>325</v>
      </c>
    </row>
    <row r="4161">
      <c r="H4161" s="273" t="s">
        <v>325</v>
      </c>
    </row>
    <row r="4162">
      <c r="H4162" s="273" t="s">
        <v>325</v>
      </c>
    </row>
    <row r="4163">
      <c r="H4163" s="273" t="s">
        <v>325</v>
      </c>
    </row>
    <row r="4164">
      <c r="H4164" s="273" t="s">
        <v>325</v>
      </c>
    </row>
    <row r="4165">
      <c r="H4165" s="273" t="s">
        <v>325</v>
      </c>
    </row>
    <row r="4166">
      <c r="H4166" s="273" t="s">
        <v>325</v>
      </c>
    </row>
    <row r="4167">
      <c r="H4167" s="273" t="s">
        <v>325</v>
      </c>
    </row>
    <row r="4168">
      <c r="H4168" s="273" t="s">
        <v>325</v>
      </c>
    </row>
    <row r="4169">
      <c r="H4169" s="273" t="s">
        <v>325</v>
      </c>
    </row>
    <row r="4170">
      <c r="H4170" s="273" t="s">
        <v>325</v>
      </c>
    </row>
    <row r="4171">
      <c r="H4171" s="273" t="s">
        <v>325</v>
      </c>
    </row>
    <row r="4172">
      <c r="H4172" s="273" t="s">
        <v>325</v>
      </c>
    </row>
    <row r="4173">
      <c r="H4173" s="273" t="s">
        <v>325</v>
      </c>
    </row>
    <row r="4174">
      <c r="H4174" s="273" t="s">
        <v>325</v>
      </c>
    </row>
    <row r="4175">
      <c r="H4175" s="273" t="s">
        <v>325</v>
      </c>
    </row>
    <row r="4176">
      <c r="H4176" s="273" t="s">
        <v>325</v>
      </c>
    </row>
    <row r="4177">
      <c r="H4177" s="273" t="s">
        <v>325</v>
      </c>
    </row>
    <row r="4178">
      <c r="H4178" s="273" t="s">
        <v>325</v>
      </c>
    </row>
    <row r="4179">
      <c r="H4179" s="273" t="s">
        <v>325</v>
      </c>
    </row>
    <row r="4180">
      <c r="H4180" s="273" t="s">
        <v>325</v>
      </c>
    </row>
    <row r="4181">
      <c r="H4181" s="273" t="s">
        <v>325</v>
      </c>
    </row>
    <row r="4182">
      <c r="H4182" s="273" t="s">
        <v>325</v>
      </c>
    </row>
    <row r="4183">
      <c r="H4183" s="273" t="s">
        <v>325</v>
      </c>
    </row>
    <row r="4184">
      <c r="H4184" s="273" t="s">
        <v>325</v>
      </c>
    </row>
    <row r="4185">
      <c r="H4185" s="273" t="s">
        <v>325</v>
      </c>
    </row>
    <row r="4186">
      <c r="H4186" s="273" t="s">
        <v>325</v>
      </c>
    </row>
    <row r="4187">
      <c r="H4187" s="273" t="s">
        <v>325</v>
      </c>
    </row>
    <row r="4188">
      <c r="H4188" s="273" t="s">
        <v>325</v>
      </c>
    </row>
    <row r="4189">
      <c r="H4189" s="273" t="s">
        <v>325</v>
      </c>
    </row>
    <row r="4190">
      <c r="H4190" s="273" t="s">
        <v>325</v>
      </c>
    </row>
    <row r="4191">
      <c r="H4191" s="273" t="s">
        <v>325</v>
      </c>
    </row>
    <row r="4192">
      <c r="H4192" s="273" t="s">
        <v>325</v>
      </c>
    </row>
    <row r="4193">
      <c r="H4193" s="273" t="s">
        <v>325</v>
      </c>
    </row>
    <row r="4194">
      <c r="H4194" s="273" t="s">
        <v>325</v>
      </c>
    </row>
    <row r="4195">
      <c r="H4195" s="273" t="s">
        <v>325</v>
      </c>
    </row>
    <row r="4196">
      <c r="H4196" s="273" t="s">
        <v>325</v>
      </c>
    </row>
    <row r="4197">
      <c r="H4197" s="273" t="s">
        <v>325</v>
      </c>
    </row>
    <row r="4198">
      <c r="H4198" s="273" t="s">
        <v>325</v>
      </c>
    </row>
    <row r="4199">
      <c r="H4199" s="273" t="s">
        <v>325</v>
      </c>
    </row>
    <row r="4200">
      <c r="H4200" s="273" t="s">
        <v>325</v>
      </c>
    </row>
    <row r="4201">
      <c r="H4201" s="273" t="s">
        <v>325</v>
      </c>
    </row>
    <row r="4202">
      <c r="H4202" s="273" t="s">
        <v>325</v>
      </c>
    </row>
    <row r="4203">
      <c r="H4203" s="273" t="s">
        <v>325</v>
      </c>
    </row>
    <row r="4204">
      <c r="H4204" s="273" t="s">
        <v>325</v>
      </c>
    </row>
    <row r="4205">
      <c r="H4205" s="273" t="s">
        <v>325</v>
      </c>
    </row>
    <row r="4206">
      <c r="H4206" s="273" t="s">
        <v>325</v>
      </c>
    </row>
    <row r="4207">
      <c r="H4207" s="273" t="s">
        <v>325</v>
      </c>
    </row>
    <row r="4208">
      <c r="H4208" s="273" t="s">
        <v>325</v>
      </c>
    </row>
    <row r="4209">
      <c r="H4209" s="273" t="s">
        <v>325</v>
      </c>
    </row>
    <row r="4210">
      <c r="H4210" s="273" t="s">
        <v>325</v>
      </c>
    </row>
    <row r="4211">
      <c r="H4211" s="273" t="s">
        <v>325</v>
      </c>
    </row>
    <row r="4212">
      <c r="H4212" s="273" t="s">
        <v>325</v>
      </c>
    </row>
    <row r="4213">
      <c r="H4213" s="273" t="s">
        <v>325</v>
      </c>
    </row>
    <row r="4214">
      <c r="H4214" s="273" t="s">
        <v>325</v>
      </c>
    </row>
    <row r="4215">
      <c r="H4215" s="273" t="s">
        <v>325</v>
      </c>
    </row>
    <row r="4216">
      <c r="H4216" s="273" t="s">
        <v>325</v>
      </c>
    </row>
    <row r="4217">
      <c r="H4217" s="273" t="s">
        <v>325</v>
      </c>
    </row>
    <row r="4218">
      <c r="H4218" s="273" t="s">
        <v>325</v>
      </c>
    </row>
    <row r="4219">
      <c r="H4219" s="273" t="s">
        <v>325</v>
      </c>
    </row>
    <row r="4220">
      <c r="H4220" s="273" t="s">
        <v>325</v>
      </c>
    </row>
    <row r="4221">
      <c r="H4221" s="273" t="s">
        <v>325</v>
      </c>
    </row>
    <row r="4222">
      <c r="H4222" s="273" t="s">
        <v>325</v>
      </c>
    </row>
    <row r="4223">
      <c r="H4223" s="273" t="s">
        <v>325</v>
      </c>
    </row>
    <row r="4224">
      <c r="H4224" s="273" t="s">
        <v>325</v>
      </c>
    </row>
    <row r="4225">
      <c r="H4225" s="273" t="s">
        <v>325</v>
      </c>
    </row>
    <row r="4226">
      <c r="H4226" s="273" t="s">
        <v>325</v>
      </c>
    </row>
    <row r="4227">
      <c r="H4227" s="273" t="s">
        <v>325</v>
      </c>
    </row>
    <row r="4228">
      <c r="H4228" s="273" t="s">
        <v>325</v>
      </c>
    </row>
    <row r="4229">
      <c r="H4229" s="273" t="s">
        <v>325</v>
      </c>
    </row>
    <row r="4230">
      <c r="H4230" s="273" t="s">
        <v>325</v>
      </c>
    </row>
    <row r="4231">
      <c r="H4231" s="273" t="s">
        <v>325</v>
      </c>
    </row>
    <row r="4232">
      <c r="H4232" s="273" t="s">
        <v>325</v>
      </c>
    </row>
    <row r="4233">
      <c r="H4233" s="273" t="s">
        <v>325</v>
      </c>
    </row>
    <row r="4234">
      <c r="H4234" s="273" t="s">
        <v>325</v>
      </c>
    </row>
    <row r="4235">
      <c r="H4235" s="273" t="s">
        <v>325</v>
      </c>
    </row>
    <row r="4236">
      <c r="H4236" s="273" t="s">
        <v>325</v>
      </c>
    </row>
    <row r="4237">
      <c r="H4237" s="273" t="s">
        <v>325</v>
      </c>
    </row>
    <row r="4238">
      <c r="H4238" s="273" t="s">
        <v>325</v>
      </c>
    </row>
    <row r="4239">
      <c r="H4239" s="273" t="s">
        <v>325</v>
      </c>
    </row>
    <row r="4240">
      <c r="H4240" s="273" t="s">
        <v>325</v>
      </c>
    </row>
    <row r="4241">
      <c r="H4241" s="273" t="s">
        <v>325</v>
      </c>
    </row>
    <row r="4242">
      <c r="H4242" s="273" t="s">
        <v>325</v>
      </c>
    </row>
    <row r="4243">
      <c r="H4243" s="273" t="s">
        <v>325</v>
      </c>
    </row>
    <row r="4244">
      <c r="H4244" s="273" t="s">
        <v>325</v>
      </c>
    </row>
    <row r="4245">
      <c r="H4245" s="273" t="s">
        <v>325</v>
      </c>
    </row>
    <row r="4246">
      <c r="H4246" s="273" t="s">
        <v>325</v>
      </c>
    </row>
    <row r="4247">
      <c r="H4247" s="273" t="s">
        <v>325</v>
      </c>
    </row>
    <row r="4248">
      <c r="H4248" s="273" t="s">
        <v>325</v>
      </c>
    </row>
    <row r="4249">
      <c r="H4249" s="273" t="s">
        <v>325</v>
      </c>
    </row>
    <row r="4250">
      <c r="H4250" s="273" t="s">
        <v>325</v>
      </c>
    </row>
    <row r="4251">
      <c r="H4251" s="273" t="s">
        <v>325</v>
      </c>
    </row>
    <row r="4252">
      <c r="H4252" s="273" t="s">
        <v>325</v>
      </c>
    </row>
    <row r="4253">
      <c r="H4253" s="273" t="s">
        <v>325</v>
      </c>
    </row>
    <row r="4254">
      <c r="H4254" s="273" t="s">
        <v>325</v>
      </c>
    </row>
    <row r="4255">
      <c r="H4255" s="273" t="s">
        <v>325</v>
      </c>
    </row>
    <row r="4256">
      <c r="H4256" s="273" t="s">
        <v>325</v>
      </c>
    </row>
    <row r="4257">
      <c r="H4257" s="273" t="s">
        <v>325</v>
      </c>
    </row>
    <row r="4258">
      <c r="H4258" s="273" t="s">
        <v>325</v>
      </c>
    </row>
    <row r="4259">
      <c r="H4259" s="273" t="s">
        <v>325</v>
      </c>
    </row>
    <row r="4260">
      <c r="H4260" s="273" t="s">
        <v>325</v>
      </c>
    </row>
    <row r="4261">
      <c r="H4261" s="273" t="s">
        <v>325</v>
      </c>
    </row>
    <row r="4262">
      <c r="H4262" s="273" t="s">
        <v>325</v>
      </c>
    </row>
    <row r="4263">
      <c r="H4263" s="273" t="s">
        <v>325</v>
      </c>
    </row>
    <row r="4264">
      <c r="H4264" s="273" t="s">
        <v>325</v>
      </c>
    </row>
    <row r="4265">
      <c r="H4265" s="273" t="s">
        <v>325</v>
      </c>
    </row>
    <row r="4266">
      <c r="H4266" s="273" t="s">
        <v>325</v>
      </c>
    </row>
    <row r="4267">
      <c r="H4267" s="273" t="s">
        <v>325</v>
      </c>
    </row>
    <row r="4268">
      <c r="H4268" s="273" t="s">
        <v>325</v>
      </c>
    </row>
    <row r="4269">
      <c r="H4269" s="273" t="s">
        <v>325</v>
      </c>
    </row>
    <row r="4270">
      <c r="H4270" s="273" t="s">
        <v>325</v>
      </c>
    </row>
    <row r="4271">
      <c r="H4271" s="273" t="s">
        <v>325</v>
      </c>
    </row>
    <row r="4272">
      <c r="H4272" s="273" t="s">
        <v>325</v>
      </c>
    </row>
    <row r="4273">
      <c r="H4273" s="273" t="s">
        <v>325</v>
      </c>
    </row>
    <row r="4274">
      <c r="H4274" s="273" t="s">
        <v>325</v>
      </c>
    </row>
    <row r="4275">
      <c r="H4275" s="273" t="s">
        <v>325</v>
      </c>
    </row>
    <row r="4276">
      <c r="H4276" s="273" t="s">
        <v>325</v>
      </c>
    </row>
    <row r="4277">
      <c r="H4277" s="273" t="s">
        <v>325</v>
      </c>
    </row>
    <row r="4278">
      <c r="H4278" s="273" t="s">
        <v>325</v>
      </c>
    </row>
    <row r="4279">
      <c r="H4279" s="273" t="s">
        <v>325</v>
      </c>
    </row>
    <row r="4280">
      <c r="H4280" s="273" t="s">
        <v>325</v>
      </c>
    </row>
    <row r="4281">
      <c r="H4281" s="273" t="s">
        <v>325</v>
      </c>
    </row>
    <row r="4282">
      <c r="H4282" s="273" t="s">
        <v>325</v>
      </c>
    </row>
    <row r="4283">
      <c r="H4283" s="273" t="s">
        <v>325</v>
      </c>
    </row>
    <row r="4284">
      <c r="H4284" s="273" t="s">
        <v>325</v>
      </c>
    </row>
    <row r="4285">
      <c r="H4285" s="273" t="s">
        <v>325</v>
      </c>
    </row>
    <row r="4286">
      <c r="H4286" s="273" t="s">
        <v>325</v>
      </c>
    </row>
    <row r="4287">
      <c r="H4287" s="273" t="s">
        <v>325</v>
      </c>
    </row>
    <row r="4288">
      <c r="H4288" s="273" t="s">
        <v>325</v>
      </c>
    </row>
    <row r="4289">
      <c r="H4289" s="273" t="s">
        <v>325</v>
      </c>
    </row>
    <row r="4290">
      <c r="H4290" s="273" t="s">
        <v>325</v>
      </c>
    </row>
    <row r="4291">
      <c r="H4291" s="273" t="s">
        <v>325</v>
      </c>
    </row>
    <row r="4292">
      <c r="H4292" s="273" t="s">
        <v>325</v>
      </c>
    </row>
    <row r="4293">
      <c r="H4293" s="273" t="s">
        <v>325</v>
      </c>
    </row>
    <row r="4294">
      <c r="H4294" s="273" t="s">
        <v>325</v>
      </c>
    </row>
    <row r="4295">
      <c r="H4295" s="273" t="s">
        <v>325</v>
      </c>
    </row>
    <row r="4296">
      <c r="H4296" s="273" t="s">
        <v>325</v>
      </c>
    </row>
    <row r="4297">
      <c r="H4297" s="273" t="s">
        <v>325</v>
      </c>
    </row>
    <row r="4298">
      <c r="H4298" s="273" t="s">
        <v>325</v>
      </c>
    </row>
    <row r="4299">
      <c r="H4299" s="273" t="s">
        <v>325</v>
      </c>
    </row>
    <row r="4300">
      <c r="H4300" s="273" t="s">
        <v>325</v>
      </c>
    </row>
    <row r="4301">
      <c r="H4301" s="273" t="s">
        <v>325</v>
      </c>
    </row>
    <row r="4302">
      <c r="H4302" s="273" t="s">
        <v>325</v>
      </c>
    </row>
    <row r="4303">
      <c r="H4303" s="273" t="s">
        <v>325</v>
      </c>
    </row>
    <row r="4304">
      <c r="H4304" s="273" t="s">
        <v>325</v>
      </c>
    </row>
    <row r="4305">
      <c r="H4305" s="273" t="s">
        <v>325</v>
      </c>
    </row>
    <row r="4306">
      <c r="H4306" s="273" t="s">
        <v>325</v>
      </c>
    </row>
    <row r="4307">
      <c r="H4307" s="273" t="s">
        <v>325</v>
      </c>
    </row>
    <row r="4308">
      <c r="H4308" s="273" t="s">
        <v>325</v>
      </c>
    </row>
    <row r="4309">
      <c r="H4309" s="273" t="s">
        <v>325</v>
      </c>
    </row>
    <row r="4310">
      <c r="H4310" s="273" t="s">
        <v>325</v>
      </c>
    </row>
    <row r="4311">
      <c r="H4311" s="273" t="s">
        <v>325</v>
      </c>
    </row>
    <row r="4312">
      <c r="H4312" s="273" t="s">
        <v>325</v>
      </c>
    </row>
    <row r="4313">
      <c r="H4313" s="273" t="s">
        <v>325</v>
      </c>
    </row>
    <row r="4314">
      <c r="H4314" s="273" t="s">
        <v>325</v>
      </c>
    </row>
    <row r="4315">
      <c r="H4315" s="273" t="s">
        <v>325</v>
      </c>
    </row>
    <row r="4316">
      <c r="H4316" s="273" t="s">
        <v>325</v>
      </c>
    </row>
    <row r="4317">
      <c r="H4317" s="273" t="s">
        <v>325</v>
      </c>
    </row>
    <row r="4318">
      <c r="H4318" s="273" t="s">
        <v>325</v>
      </c>
    </row>
    <row r="4319">
      <c r="H4319" s="273" t="s">
        <v>325</v>
      </c>
    </row>
    <row r="4320">
      <c r="H4320" s="273" t="s">
        <v>325</v>
      </c>
    </row>
    <row r="4321">
      <c r="H4321" s="273" t="s">
        <v>325</v>
      </c>
    </row>
    <row r="4322">
      <c r="H4322" s="273" t="s">
        <v>325</v>
      </c>
    </row>
    <row r="4323">
      <c r="H4323" s="273" t="s">
        <v>325</v>
      </c>
    </row>
    <row r="4324">
      <c r="H4324" s="273" t="s">
        <v>325</v>
      </c>
    </row>
    <row r="4325">
      <c r="H4325" s="273" t="s">
        <v>325</v>
      </c>
    </row>
    <row r="4326">
      <c r="H4326" s="273" t="s">
        <v>325</v>
      </c>
    </row>
    <row r="4327">
      <c r="H4327" s="273" t="s">
        <v>325</v>
      </c>
    </row>
    <row r="4328">
      <c r="H4328" s="273" t="s">
        <v>325</v>
      </c>
    </row>
    <row r="4329">
      <c r="H4329" s="273" t="s">
        <v>325</v>
      </c>
    </row>
    <row r="4330">
      <c r="H4330" s="273" t="s">
        <v>325</v>
      </c>
    </row>
    <row r="4331">
      <c r="H4331" s="273" t="s">
        <v>325</v>
      </c>
    </row>
    <row r="4332">
      <c r="H4332" s="273" t="s">
        <v>325</v>
      </c>
    </row>
    <row r="4333">
      <c r="H4333" s="273" t="s">
        <v>325</v>
      </c>
    </row>
    <row r="4334">
      <c r="H4334" s="273" t="s">
        <v>325</v>
      </c>
    </row>
    <row r="4335">
      <c r="H4335" s="273" t="s">
        <v>325</v>
      </c>
    </row>
    <row r="4336">
      <c r="H4336" s="273" t="s">
        <v>325</v>
      </c>
    </row>
    <row r="4337">
      <c r="H4337" s="273" t="s">
        <v>325</v>
      </c>
    </row>
    <row r="4338">
      <c r="H4338" s="273" t="s">
        <v>325</v>
      </c>
    </row>
    <row r="4339">
      <c r="H4339" s="273" t="s">
        <v>325</v>
      </c>
    </row>
    <row r="4340">
      <c r="H4340" s="273" t="s">
        <v>325</v>
      </c>
    </row>
    <row r="4341">
      <c r="H4341" s="273" t="s">
        <v>325</v>
      </c>
    </row>
    <row r="4342">
      <c r="H4342" s="273" t="s">
        <v>325</v>
      </c>
    </row>
    <row r="4343">
      <c r="H4343" s="273" t="s">
        <v>325</v>
      </c>
    </row>
    <row r="4344">
      <c r="H4344" s="273" t="s">
        <v>325</v>
      </c>
    </row>
    <row r="4345">
      <c r="H4345" s="273" t="s">
        <v>325</v>
      </c>
    </row>
    <row r="4346">
      <c r="H4346" s="273" t="s">
        <v>325</v>
      </c>
    </row>
    <row r="4347">
      <c r="H4347" s="273" t="s">
        <v>325</v>
      </c>
    </row>
    <row r="4348">
      <c r="H4348" s="273" t="s">
        <v>325</v>
      </c>
    </row>
    <row r="4349">
      <c r="H4349" s="273" t="s">
        <v>325</v>
      </c>
    </row>
    <row r="4350">
      <c r="H4350" s="273" t="s">
        <v>325</v>
      </c>
    </row>
    <row r="4351">
      <c r="H4351" s="273" t="s">
        <v>325</v>
      </c>
    </row>
    <row r="4352">
      <c r="H4352" s="273" t="s">
        <v>325</v>
      </c>
    </row>
    <row r="4353">
      <c r="H4353" s="273" t="s">
        <v>325</v>
      </c>
    </row>
    <row r="4354">
      <c r="H4354" s="273" t="s">
        <v>325</v>
      </c>
    </row>
    <row r="4355">
      <c r="H4355" s="273" t="s">
        <v>325</v>
      </c>
    </row>
    <row r="4356">
      <c r="H4356" s="273" t="s">
        <v>325</v>
      </c>
    </row>
    <row r="4357">
      <c r="H4357" s="273" t="s">
        <v>325</v>
      </c>
    </row>
    <row r="4358">
      <c r="H4358" s="273" t="s">
        <v>325</v>
      </c>
    </row>
    <row r="4359">
      <c r="H4359" s="273" t="s">
        <v>325</v>
      </c>
    </row>
    <row r="4360">
      <c r="H4360" s="273" t="s">
        <v>325</v>
      </c>
    </row>
    <row r="4361">
      <c r="H4361" s="273" t="s">
        <v>325</v>
      </c>
    </row>
    <row r="4362">
      <c r="H4362" s="273" t="s">
        <v>325</v>
      </c>
    </row>
    <row r="4363">
      <c r="H4363" s="273" t="s">
        <v>325</v>
      </c>
    </row>
    <row r="4364">
      <c r="H4364" s="273" t="s">
        <v>325</v>
      </c>
    </row>
    <row r="4365">
      <c r="H4365" s="273" t="s">
        <v>325</v>
      </c>
    </row>
    <row r="4366">
      <c r="H4366" s="273" t="s">
        <v>325</v>
      </c>
    </row>
    <row r="4367">
      <c r="H4367" s="273" t="s">
        <v>325</v>
      </c>
    </row>
    <row r="4368">
      <c r="H4368" s="273" t="s">
        <v>325</v>
      </c>
    </row>
    <row r="4369">
      <c r="H4369" s="273" t="s">
        <v>325</v>
      </c>
    </row>
    <row r="4370">
      <c r="H4370" s="273" t="s">
        <v>325</v>
      </c>
    </row>
    <row r="4371">
      <c r="H4371" s="273" t="s">
        <v>325</v>
      </c>
    </row>
    <row r="4372">
      <c r="H4372" s="273" t="s">
        <v>325</v>
      </c>
    </row>
    <row r="4373">
      <c r="H4373" s="273" t="s">
        <v>325</v>
      </c>
    </row>
    <row r="4374">
      <c r="H4374" s="273" t="s">
        <v>325</v>
      </c>
    </row>
    <row r="4375">
      <c r="H4375" s="273" t="s">
        <v>325</v>
      </c>
    </row>
    <row r="4376">
      <c r="H4376" s="273" t="s">
        <v>325</v>
      </c>
    </row>
    <row r="4377">
      <c r="H4377" s="273" t="s">
        <v>325</v>
      </c>
    </row>
    <row r="4378">
      <c r="H4378" s="273" t="s">
        <v>325</v>
      </c>
    </row>
    <row r="4379">
      <c r="H4379" s="273" t="s">
        <v>325</v>
      </c>
    </row>
    <row r="4380">
      <c r="H4380" s="273" t="s">
        <v>325</v>
      </c>
    </row>
    <row r="4381">
      <c r="H4381" s="273" t="s">
        <v>325</v>
      </c>
    </row>
    <row r="4382">
      <c r="H4382" s="273" t="s">
        <v>325</v>
      </c>
    </row>
    <row r="4383">
      <c r="H4383" s="273" t="s">
        <v>325</v>
      </c>
    </row>
    <row r="4384">
      <c r="H4384" s="273" t="s">
        <v>325</v>
      </c>
    </row>
    <row r="4385">
      <c r="H4385" s="273" t="s">
        <v>325</v>
      </c>
    </row>
    <row r="4386">
      <c r="H4386" s="273" t="s">
        <v>325</v>
      </c>
    </row>
    <row r="4387">
      <c r="H4387" s="273" t="s">
        <v>325</v>
      </c>
    </row>
    <row r="4388">
      <c r="H4388" s="273" t="s">
        <v>325</v>
      </c>
    </row>
    <row r="4389">
      <c r="H4389" s="273" t="s">
        <v>325</v>
      </c>
    </row>
    <row r="4390">
      <c r="H4390" s="273" t="s">
        <v>325</v>
      </c>
    </row>
    <row r="4391">
      <c r="H4391" s="273" t="s">
        <v>325</v>
      </c>
    </row>
    <row r="4392">
      <c r="H4392" s="273" t="s">
        <v>325</v>
      </c>
    </row>
    <row r="4393">
      <c r="H4393" s="273" t="s">
        <v>325</v>
      </c>
    </row>
    <row r="4394">
      <c r="H4394" s="273" t="s">
        <v>325</v>
      </c>
    </row>
    <row r="4395">
      <c r="H4395" s="273" t="s">
        <v>325</v>
      </c>
    </row>
    <row r="4396">
      <c r="H4396" s="273" t="s">
        <v>325</v>
      </c>
    </row>
    <row r="4397">
      <c r="H4397" s="273" t="s">
        <v>325</v>
      </c>
    </row>
    <row r="4398">
      <c r="H4398" s="273" t="s">
        <v>325</v>
      </c>
    </row>
    <row r="4399">
      <c r="H4399" s="273" t="s">
        <v>325</v>
      </c>
    </row>
    <row r="4400">
      <c r="H4400" s="273" t="s">
        <v>325</v>
      </c>
    </row>
    <row r="4401">
      <c r="H4401" s="273" t="s">
        <v>325</v>
      </c>
    </row>
    <row r="4402">
      <c r="H4402" s="273" t="s">
        <v>325</v>
      </c>
    </row>
    <row r="4403">
      <c r="H4403" s="273" t="s">
        <v>325</v>
      </c>
    </row>
    <row r="4404">
      <c r="H4404" s="273" t="s">
        <v>325</v>
      </c>
    </row>
    <row r="4405">
      <c r="H4405" s="273" t="s">
        <v>325</v>
      </c>
    </row>
    <row r="4406">
      <c r="H4406" s="273" t="s">
        <v>325</v>
      </c>
    </row>
    <row r="4407">
      <c r="H4407" s="273" t="s">
        <v>325</v>
      </c>
    </row>
    <row r="4408">
      <c r="H4408" s="273" t="s">
        <v>325</v>
      </c>
    </row>
    <row r="4409">
      <c r="H4409" s="273" t="s">
        <v>325</v>
      </c>
    </row>
    <row r="4410">
      <c r="H4410" s="273" t="s">
        <v>325</v>
      </c>
    </row>
    <row r="4411">
      <c r="H4411" s="273" t="s">
        <v>325</v>
      </c>
    </row>
    <row r="4412">
      <c r="H4412" s="273" t="s">
        <v>325</v>
      </c>
    </row>
    <row r="4413">
      <c r="H4413" s="273" t="s">
        <v>325</v>
      </c>
    </row>
    <row r="4414">
      <c r="H4414" s="273" t="s">
        <v>325</v>
      </c>
    </row>
    <row r="4415">
      <c r="H4415" s="273" t="s">
        <v>325</v>
      </c>
    </row>
    <row r="4416">
      <c r="H4416" s="273" t="s">
        <v>325</v>
      </c>
    </row>
    <row r="4417">
      <c r="H4417" s="273" t="s">
        <v>325</v>
      </c>
    </row>
    <row r="4418">
      <c r="H4418" s="273" t="s">
        <v>325</v>
      </c>
    </row>
    <row r="4419">
      <c r="H4419" s="273" t="s">
        <v>325</v>
      </c>
    </row>
    <row r="4420">
      <c r="H4420" s="273" t="s">
        <v>325</v>
      </c>
    </row>
    <row r="4421">
      <c r="H4421" s="273" t="s">
        <v>325</v>
      </c>
    </row>
    <row r="4422">
      <c r="H4422" s="273" t="s">
        <v>325</v>
      </c>
    </row>
    <row r="4423">
      <c r="H4423" s="273" t="s">
        <v>325</v>
      </c>
    </row>
    <row r="4424">
      <c r="H4424" s="273" t="s">
        <v>325</v>
      </c>
    </row>
    <row r="4425">
      <c r="H4425" s="273" t="s">
        <v>325</v>
      </c>
    </row>
    <row r="4426">
      <c r="H4426" s="273" t="s">
        <v>325</v>
      </c>
    </row>
    <row r="4427">
      <c r="H4427" s="273" t="s">
        <v>325</v>
      </c>
    </row>
    <row r="4428">
      <c r="H4428" s="273" t="s">
        <v>325</v>
      </c>
    </row>
    <row r="4429">
      <c r="H4429" s="273" t="s">
        <v>325</v>
      </c>
    </row>
    <row r="4430">
      <c r="H4430" s="273" t="s">
        <v>325</v>
      </c>
    </row>
    <row r="4431">
      <c r="H4431" s="273" t="s">
        <v>325</v>
      </c>
    </row>
    <row r="4432">
      <c r="H4432" s="273" t="s">
        <v>325</v>
      </c>
    </row>
    <row r="4433">
      <c r="H4433" s="273" t="s">
        <v>325</v>
      </c>
    </row>
    <row r="4434">
      <c r="H4434" s="273" t="s">
        <v>325</v>
      </c>
    </row>
    <row r="4435">
      <c r="H4435" s="273" t="s">
        <v>325</v>
      </c>
    </row>
    <row r="4436">
      <c r="H4436" s="273" t="s">
        <v>325</v>
      </c>
    </row>
    <row r="4437">
      <c r="H4437" s="273" t="s">
        <v>325</v>
      </c>
    </row>
    <row r="4438">
      <c r="H4438" s="273" t="s">
        <v>325</v>
      </c>
    </row>
    <row r="4439">
      <c r="H4439" s="273" t="s">
        <v>325</v>
      </c>
    </row>
    <row r="4440">
      <c r="H4440" s="273" t="s">
        <v>325</v>
      </c>
    </row>
    <row r="4441">
      <c r="H4441" s="273" t="s">
        <v>325</v>
      </c>
    </row>
    <row r="4442">
      <c r="H4442" s="273" t="s">
        <v>325</v>
      </c>
    </row>
    <row r="4443">
      <c r="H4443" s="273" t="s">
        <v>325</v>
      </c>
    </row>
    <row r="4444">
      <c r="H4444" s="273" t="s">
        <v>325</v>
      </c>
    </row>
    <row r="4445">
      <c r="H4445" s="273" t="s">
        <v>325</v>
      </c>
    </row>
    <row r="4446">
      <c r="H4446" s="273" t="s">
        <v>325</v>
      </c>
    </row>
    <row r="4447">
      <c r="H4447" s="273" t="s">
        <v>325</v>
      </c>
    </row>
    <row r="4448">
      <c r="H4448" s="273" t="s">
        <v>325</v>
      </c>
    </row>
    <row r="4449">
      <c r="H4449" s="273" t="s">
        <v>325</v>
      </c>
    </row>
    <row r="4450">
      <c r="H4450" s="273" t="s">
        <v>325</v>
      </c>
    </row>
    <row r="4451">
      <c r="H4451" s="273" t="s">
        <v>325</v>
      </c>
    </row>
    <row r="4452">
      <c r="H4452" s="273" t="s">
        <v>325</v>
      </c>
    </row>
    <row r="4453">
      <c r="H4453" s="273" t="s">
        <v>325</v>
      </c>
    </row>
    <row r="4454">
      <c r="H4454" s="273" t="s">
        <v>325</v>
      </c>
    </row>
    <row r="4455">
      <c r="H4455" s="273" t="s">
        <v>325</v>
      </c>
    </row>
    <row r="4456">
      <c r="H4456" s="273" t="s">
        <v>325</v>
      </c>
    </row>
    <row r="4457">
      <c r="H4457" s="273" t="s">
        <v>325</v>
      </c>
    </row>
    <row r="4458">
      <c r="H4458" s="273" t="s">
        <v>325</v>
      </c>
    </row>
    <row r="4459">
      <c r="H4459" s="273" t="s">
        <v>325</v>
      </c>
    </row>
    <row r="4460">
      <c r="H4460" s="273" t="s">
        <v>325</v>
      </c>
    </row>
    <row r="4461">
      <c r="H4461" s="273" t="s">
        <v>325</v>
      </c>
    </row>
    <row r="4462">
      <c r="H4462" s="273" t="s">
        <v>325</v>
      </c>
    </row>
    <row r="4463">
      <c r="H4463" s="273" t="s">
        <v>325</v>
      </c>
    </row>
    <row r="4464">
      <c r="H4464" s="273" t="s">
        <v>325</v>
      </c>
    </row>
    <row r="4465">
      <c r="H4465" s="273" t="s">
        <v>325</v>
      </c>
    </row>
    <row r="4466">
      <c r="H4466" s="273" t="s">
        <v>325</v>
      </c>
    </row>
    <row r="4467">
      <c r="H4467" s="273" t="s">
        <v>325</v>
      </c>
    </row>
    <row r="4468">
      <c r="H4468" s="273" t="s">
        <v>325</v>
      </c>
    </row>
    <row r="4469">
      <c r="H4469" s="273" t="s">
        <v>325</v>
      </c>
    </row>
    <row r="4470">
      <c r="H4470" s="273" t="s">
        <v>325</v>
      </c>
    </row>
    <row r="4471">
      <c r="H4471" s="273" t="s">
        <v>325</v>
      </c>
    </row>
    <row r="4472">
      <c r="H4472" s="273" t="s">
        <v>325</v>
      </c>
    </row>
    <row r="4473">
      <c r="H4473" s="273" t="s">
        <v>325</v>
      </c>
    </row>
    <row r="4474">
      <c r="H4474" s="273" t="s">
        <v>325</v>
      </c>
    </row>
    <row r="4475">
      <c r="H4475" s="273" t="s">
        <v>325</v>
      </c>
    </row>
    <row r="4476">
      <c r="H4476" s="273" t="s">
        <v>325</v>
      </c>
    </row>
    <row r="4477">
      <c r="H4477" s="273" t="s">
        <v>325</v>
      </c>
    </row>
    <row r="4478">
      <c r="H4478" s="273" t="s">
        <v>325</v>
      </c>
    </row>
    <row r="4479">
      <c r="H4479" s="273" t="s">
        <v>325</v>
      </c>
    </row>
    <row r="4480">
      <c r="H4480" s="273" t="s">
        <v>325</v>
      </c>
    </row>
    <row r="4481">
      <c r="H4481" s="273" t="s">
        <v>325</v>
      </c>
    </row>
    <row r="4482">
      <c r="H4482" s="273" t="s">
        <v>325</v>
      </c>
    </row>
    <row r="4483">
      <c r="H4483" s="273" t="s">
        <v>325</v>
      </c>
    </row>
    <row r="4484">
      <c r="H4484" s="273" t="s">
        <v>325</v>
      </c>
    </row>
    <row r="4485">
      <c r="H4485" s="273" t="s">
        <v>325</v>
      </c>
    </row>
    <row r="4486">
      <c r="H4486" s="273" t="s">
        <v>325</v>
      </c>
    </row>
    <row r="4487">
      <c r="H4487" s="273" t="s">
        <v>325</v>
      </c>
    </row>
    <row r="4488">
      <c r="H4488" s="273" t="s">
        <v>325</v>
      </c>
    </row>
    <row r="4489">
      <c r="H4489" s="273" t="s">
        <v>325</v>
      </c>
    </row>
    <row r="4490">
      <c r="H4490" s="273" t="s">
        <v>325</v>
      </c>
    </row>
    <row r="4491">
      <c r="H4491" s="273" t="s">
        <v>325</v>
      </c>
    </row>
    <row r="4492">
      <c r="H4492" s="273" t="s">
        <v>325</v>
      </c>
    </row>
    <row r="4493">
      <c r="H4493" s="273" t="s">
        <v>325</v>
      </c>
    </row>
    <row r="4494">
      <c r="H4494" s="273" t="s">
        <v>325</v>
      </c>
    </row>
    <row r="4495">
      <c r="H4495" s="273" t="s">
        <v>325</v>
      </c>
    </row>
    <row r="4496">
      <c r="H4496" s="273" t="s">
        <v>325</v>
      </c>
    </row>
    <row r="4497">
      <c r="H4497" s="273" t="s">
        <v>325</v>
      </c>
    </row>
    <row r="4498">
      <c r="H4498" s="273" t="s">
        <v>325</v>
      </c>
    </row>
    <row r="4499">
      <c r="H4499" s="273" t="s">
        <v>325</v>
      </c>
    </row>
    <row r="4500">
      <c r="H4500" s="273" t="s">
        <v>325</v>
      </c>
    </row>
    <row r="4501">
      <c r="H4501" s="273" t="s">
        <v>325</v>
      </c>
    </row>
    <row r="4502">
      <c r="H4502" s="273" t="s">
        <v>325</v>
      </c>
    </row>
    <row r="4503">
      <c r="H4503" s="273" t="s">
        <v>325</v>
      </c>
    </row>
    <row r="4504">
      <c r="H4504" s="273" t="s">
        <v>325</v>
      </c>
    </row>
    <row r="4505">
      <c r="H4505" s="273" t="s">
        <v>325</v>
      </c>
    </row>
    <row r="4506">
      <c r="H4506" s="273" t="s">
        <v>325</v>
      </c>
    </row>
    <row r="4507">
      <c r="H4507" s="273" t="s">
        <v>325</v>
      </c>
    </row>
    <row r="4508">
      <c r="H4508" s="273" t="s">
        <v>325</v>
      </c>
    </row>
    <row r="4509">
      <c r="H4509" s="273" t="s">
        <v>325</v>
      </c>
    </row>
    <row r="4510">
      <c r="H4510" s="273" t="s">
        <v>325</v>
      </c>
    </row>
    <row r="4511">
      <c r="H4511" s="273" t="s">
        <v>325</v>
      </c>
    </row>
    <row r="4512">
      <c r="H4512" s="273" t="s">
        <v>325</v>
      </c>
    </row>
    <row r="4513">
      <c r="H4513" s="273" t="s">
        <v>325</v>
      </c>
    </row>
    <row r="4514">
      <c r="H4514" s="273" t="s">
        <v>325</v>
      </c>
    </row>
    <row r="4515">
      <c r="H4515" s="273" t="s">
        <v>325</v>
      </c>
    </row>
    <row r="4516">
      <c r="H4516" s="273" t="s">
        <v>325</v>
      </c>
    </row>
    <row r="4517">
      <c r="H4517" s="273" t="s">
        <v>325</v>
      </c>
    </row>
    <row r="4518">
      <c r="H4518" s="273" t="s">
        <v>325</v>
      </c>
    </row>
    <row r="4519">
      <c r="H4519" s="273" t="s">
        <v>325</v>
      </c>
    </row>
    <row r="4520">
      <c r="H4520" s="273" t="s">
        <v>325</v>
      </c>
    </row>
    <row r="4521">
      <c r="H4521" s="273" t="s">
        <v>325</v>
      </c>
    </row>
    <row r="4522">
      <c r="H4522" s="273" t="s">
        <v>325</v>
      </c>
    </row>
    <row r="4523">
      <c r="H4523" s="273" t="s">
        <v>325</v>
      </c>
    </row>
    <row r="4524">
      <c r="H4524" s="273" t="s">
        <v>325</v>
      </c>
    </row>
    <row r="4525">
      <c r="H4525" s="273" t="s">
        <v>325</v>
      </c>
    </row>
    <row r="4526">
      <c r="H4526" s="273" t="s">
        <v>325</v>
      </c>
    </row>
    <row r="4527">
      <c r="H4527" s="273" t="s">
        <v>325</v>
      </c>
    </row>
    <row r="4528">
      <c r="H4528" s="273" t="s">
        <v>325</v>
      </c>
    </row>
    <row r="4529">
      <c r="H4529" s="273" t="s">
        <v>325</v>
      </c>
    </row>
    <row r="4530">
      <c r="H4530" s="273" t="s">
        <v>325</v>
      </c>
    </row>
    <row r="4531">
      <c r="H4531" s="273" t="s">
        <v>325</v>
      </c>
    </row>
    <row r="4532">
      <c r="H4532" s="273" t="s">
        <v>325</v>
      </c>
    </row>
    <row r="4533">
      <c r="H4533" s="273" t="s">
        <v>325</v>
      </c>
    </row>
    <row r="4534">
      <c r="H4534" s="273" t="s">
        <v>325</v>
      </c>
    </row>
    <row r="4535">
      <c r="H4535" s="273" t="s">
        <v>325</v>
      </c>
    </row>
    <row r="4536">
      <c r="H4536" s="273" t="s">
        <v>325</v>
      </c>
    </row>
    <row r="4537">
      <c r="H4537" s="273" t="s">
        <v>325</v>
      </c>
    </row>
    <row r="4538">
      <c r="H4538" s="273" t="s">
        <v>325</v>
      </c>
    </row>
    <row r="4539">
      <c r="H4539" s="273" t="s">
        <v>325</v>
      </c>
    </row>
    <row r="4540">
      <c r="H4540" s="273" t="s">
        <v>325</v>
      </c>
    </row>
    <row r="4541">
      <c r="H4541" s="273" t="s">
        <v>325</v>
      </c>
    </row>
    <row r="4542">
      <c r="H4542" s="273" t="s">
        <v>325</v>
      </c>
    </row>
    <row r="4543">
      <c r="H4543" s="273" t="s">
        <v>325</v>
      </c>
    </row>
    <row r="4544">
      <c r="H4544" s="273" t="s">
        <v>325</v>
      </c>
    </row>
    <row r="4545">
      <c r="H4545" s="273" t="s">
        <v>325</v>
      </c>
    </row>
    <row r="4546">
      <c r="H4546" s="273" t="s">
        <v>325</v>
      </c>
    </row>
    <row r="4547">
      <c r="H4547" s="273" t="s">
        <v>325</v>
      </c>
    </row>
    <row r="4548">
      <c r="H4548" s="273" t="s">
        <v>325</v>
      </c>
    </row>
    <row r="4549">
      <c r="H4549" s="273" t="s">
        <v>325</v>
      </c>
    </row>
    <row r="4550">
      <c r="H4550" s="273" t="s">
        <v>325</v>
      </c>
    </row>
    <row r="4551">
      <c r="H4551" s="273" t="s">
        <v>325</v>
      </c>
    </row>
    <row r="4552">
      <c r="H4552" s="273" t="s">
        <v>325</v>
      </c>
    </row>
    <row r="4553">
      <c r="H4553" s="273" t="s">
        <v>325</v>
      </c>
    </row>
    <row r="4554">
      <c r="H4554" s="273" t="s">
        <v>325</v>
      </c>
    </row>
    <row r="4555">
      <c r="H4555" s="273" t="s">
        <v>325</v>
      </c>
    </row>
    <row r="4556">
      <c r="H4556" s="273" t="s">
        <v>325</v>
      </c>
    </row>
    <row r="4557">
      <c r="H4557" s="273" t="s">
        <v>325</v>
      </c>
    </row>
    <row r="4558">
      <c r="H4558" s="273" t="s">
        <v>325</v>
      </c>
    </row>
    <row r="4559">
      <c r="H4559" s="273" t="s">
        <v>325</v>
      </c>
    </row>
    <row r="4560">
      <c r="H4560" s="273" t="s">
        <v>325</v>
      </c>
    </row>
    <row r="4561">
      <c r="H4561" s="273" t="s">
        <v>325</v>
      </c>
    </row>
    <row r="4562">
      <c r="H4562" s="273" t="s">
        <v>325</v>
      </c>
    </row>
    <row r="4563">
      <c r="H4563" s="273" t="s">
        <v>325</v>
      </c>
    </row>
    <row r="4564">
      <c r="H4564" s="273" t="s">
        <v>325</v>
      </c>
    </row>
    <row r="4565">
      <c r="H4565" s="273" t="s">
        <v>325</v>
      </c>
    </row>
    <row r="4566">
      <c r="H4566" s="273" t="s">
        <v>325</v>
      </c>
    </row>
    <row r="4567">
      <c r="H4567" s="273" t="s">
        <v>325</v>
      </c>
    </row>
    <row r="4568">
      <c r="H4568" s="273" t="s">
        <v>325</v>
      </c>
    </row>
    <row r="4569">
      <c r="H4569" s="273" t="s">
        <v>325</v>
      </c>
    </row>
    <row r="4570">
      <c r="H4570" s="273" t="s">
        <v>325</v>
      </c>
    </row>
    <row r="4571">
      <c r="H4571" s="273" t="s">
        <v>325</v>
      </c>
    </row>
    <row r="4572">
      <c r="H4572" s="273" t="s">
        <v>325</v>
      </c>
    </row>
    <row r="4573">
      <c r="H4573" s="273" t="s">
        <v>325</v>
      </c>
    </row>
    <row r="4574">
      <c r="H4574" s="273" t="s">
        <v>325</v>
      </c>
    </row>
    <row r="4575">
      <c r="H4575" s="273" t="s">
        <v>325</v>
      </c>
    </row>
    <row r="4576">
      <c r="H4576" s="273" t="s">
        <v>325</v>
      </c>
    </row>
    <row r="4577">
      <c r="H4577" s="273" t="s">
        <v>325</v>
      </c>
    </row>
    <row r="4578">
      <c r="H4578" s="273" t="s">
        <v>325</v>
      </c>
    </row>
    <row r="4579">
      <c r="H4579" s="273" t="s">
        <v>325</v>
      </c>
    </row>
    <row r="4580">
      <c r="H4580" s="273" t="s">
        <v>325</v>
      </c>
    </row>
    <row r="4581">
      <c r="H4581" s="273" t="s">
        <v>325</v>
      </c>
    </row>
    <row r="4582">
      <c r="H4582" s="273" t="s">
        <v>325</v>
      </c>
    </row>
    <row r="4583">
      <c r="H4583" s="273" t="s">
        <v>325</v>
      </c>
    </row>
    <row r="4584">
      <c r="H4584" s="273" t="s">
        <v>325</v>
      </c>
    </row>
    <row r="4585">
      <c r="H4585" s="273" t="s">
        <v>325</v>
      </c>
    </row>
    <row r="4586">
      <c r="H4586" s="273" t="s">
        <v>325</v>
      </c>
    </row>
    <row r="4587">
      <c r="H4587" s="273" t="s">
        <v>325</v>
      </c>
    </row>
    <row r="4588">
      <c r="H4588" s="273" t="s">
        <v>325</v>
      </c>
    </row>
    <row r="4589">
      <c r="H4589" s="273" t="s">
        <v>325</v>
      </c>
    </row>
    <row r="4590">
      <c r="H4590" s="273" t="s">
        <v>325</v>
      </c>
    </row>
    <row r="4591">
      <c r="H4591" s="273" t="s">
        <v>325</v>
      </c>
    </row>
    <row r="4592">
      <c r="H4592" s="273" t="s">
        <v>325</v>
      </c>
    </row>
    <row r="4593">
      <c r="H4593" s="273" t="s">
        <v>325</v>
      </c>
    </row>
    <row r="4594">
      <c r="H4594" s="273" t="s">
        <v>325</v>
      </c>
    </row>
    <row r="4595">
      <c r="H4595" s="273" t="s">
        <v>325</v>
      </c>
    </row>
    <row r="4596">
      <c r="H4596" s="273" t="s">
        <v>325</v>
      </c>
    </row>
    <row r="4597">
      <c r="H4597" s="273" t="s">
        <v>325</v>
      </c>
    </row>
    <row r="4598">
      <c r="H4598" s="273" t="s">
        <v>325</v>
      </c>
    </row>
    <row r="4599">
      <c r="H4599" s="273" t="s">
        <v>325</v>
      </c>
    </row>
    <row r="4600">
      <c r="H4600" s="273" t="s">
        <v>325</v>
      </c>
    </row>
    <row r="4601">
      <c r="H4601" s="273" t="s">
        <v>325</v>
      </c>
    </row>
    <row r="4602">
      <c r="H4602" s="273" t="s">
        <v>325</v>
      </c>
    </row>
    <row r="4603">
      <c r="H4603" s="273" t="s">
        <v>325</v>
      </c>
    </row>
    <row r="4604">
      <c r="H4604" s="273" t="s">
        <v>325</v>
      </c>
    </row>
    <row r="4605">
      <c r="H4605" s="273" t="s">
        <v>325</v>
      </c>
    </row>
    <row r="4606">
      <c r="H4606" s="273" t="s">
        <v>325</v>
      </c>
    </row>
    <row r="4607">
      <c r="H4607" s="273" t="s">
        <v>325</v>
      </c>
    </row>
    <row r="4608">
      <c r="H4608" s="273" t="s">
        <v>325</v>
      </c>
    </row>
    <row r="4609">
      <c r="H4609" s="273" t="s">
        <v>325</v>
      </c>
    </row>
    <row r="4610">
      <c r="H4610" s="273" t="s">
        <v>325</v>
      </c>
    </row>
    <row r="4611">
      <c r="H4611" s="273" t="s">
        <v>325</v>
      </c>
    </row>
    <row r="4612">
      <c r="H4612" s="273" t="s">
        <v>325</v>
      </c>
    </row>
    <row r="4613">
      <c r="H4613" s="273" t="s">
        <v>325</v>
      </c>
    </row>
    <row r="4614">
      <c r="H4614" s="273" t="s">
        <v>325</v>
      </c>
    </row>
    <row r="4615">
      <c r="H4615" s="273" t="s">
        <v>325</v>
      </c>
    </row>
    <row r="4616">
      <c r="H4616" s="273" t="s">
        <v>325</v>
      </c>
    </row>
    <row r="4617">
      <c r="H4617" s="273" t="s">
        <v>325</v>
      </c>
    </row>
    <row r="4618">
      <c r="H4618" s="273" t="s">
        <v>325</v>
      </c>
    </row>
    <row r="4619">
      <c r="H4619" s="273" t="s">
        <v>325</v>
      </c>
    </row>
    <row r="4620">
      <c r="H4620" s="273" t="s">
        <v>325</v>
      </c>
    </row>
    <row r="4621">
      <c r="H4621" s="273" t="s">
        <v>325</v>
      </c>
    </row>
    <row r="4622">
      <c r="H4622" s="273" t="s">
        <v>325</v>
      </c>
    </row>
    <row r="4623">
      <c r="H4623" s="273" t="s">
        <v>325</v>
      </c>
    </row>
    <row r="4624">
      <c r="H4624" s="273" t="s">
        <v>325</v>
      </c>
    </row>
    <row r="4625">
      <c r="H4625" s="273" t="s">
        <v>325</v>
      </c>
    </row>
    <row r="4626">
      <c r="H4626" s="273" t="s">
        <v>325</v>
      </c>
    </row>
    <row r="4627">
      <c r="H4627" s="273" t="s">
        <v>325</v>
      </c>
    </row>
    <row r="4628">
      <c r="H4628" s="273" t="s">
        <v>325</v>
      </c>
    </row>
    <row r="4629">
      <c r="H4629" s="273" t="s">
        <v>325</v>
      </c>
    </row>
    <row r="4630">
      <c r="H4630" s="273" t="s">
        <v>325</v>
      </c>
    </row>
    <row r="4631">
      <c r="H4631" s="273" t="s">
        <v>325</v>
      </c>
    </row>
    <row r="4632">
      <c r="H4632" s="273" t="s">
        <v>325</v>
      </c>
    </row>
    <row r="4633">
      <c r="H4633" s="273" t="s">
        <v>325</v>
      </c>
    </row>
    <row r="4634">
      <c r="H4634" s="273" t="s">
        <v>325</v>
      </c>
    </row>
    <row r="4635">
      <c r="H4635" s="273" t="s">
        <v>325</v>
      </c>
    </row>
    <row r="4636">
      <c r="H4636" s="273" t="s">
        <v>325</v>
      </c>
    </row>
    <row r="4637">
      <c r="H4637" s="273" t="s">
        <v>325</v>
      </c>
    </row>
    <row r="4638">
      <c r="H4638" s="273" t="s">
        <v>325</v>
      </c>
    </row>
    <row r="4639">
      <c r="H4639" s="273" t="s">
        <v>325</v>
      </c>
    </row>
    <row r="4640">
      <c r="H4640" s="273" t="s">
        <v>325</v>
      </c>
    </row>
    <row r="4641">
      <c r="H4641" s="273" t="s">
        <v>325</v>
      </c>
    </row>
    <row r="4642">
      <c r="H4642" s="273" t="s">
        <v>325</v>
      </c>
    </row>
    <row r="4643">
      <c r="H4643" s="273" t="s">
        <v>325</v>
      </c>
    </row>
    <row r="4644">
      <c r="H4644" s="273" t="s">
        <v>325</v>
      </c>
    </row>
    <row r="4645">
      <c r="H4645" s="273" t="s">
        <v>325</v>
      </c>
    </row>
    <row r="4646">
      <c r="H4646" s="273" t="s">
        <v>325</v>
      </c>
    </row>
    <row r="4647">
      <c r="H4647" s="273" t="s">
        <v>325</v>
      </c>
    </row>
    <row r="4648">
      <c r="H4648" s="273" t="s">
        <v>325</v>
      </c>
    </row>
    <row r="4649">
      <c r="H4649" s="273" t="s">
        <v>325</v>
      </c>
    </row>
    <row r="4650">
      <c r="H4650" s="273" t="s">
        <v>325</v>
      </c>
    </row>
    <row r="4651">
      <c r="H4651" s="273" t="s">
        <v>325</v>
      </c>
    </row>
    <row r="4652">
      <c r="H4652" s="273" t="s">
        <v>325</v>
      </c>
    </row>
    <row r="4653">
      <c r="H4653" s="273" t="s">
        <v>325</v>
      </c>
    </row>
    <row r="4654">
      <c r="H4654" s="273" t="s">
        <v>325</v>
      </c>
    </row>
    <row r="4655">
      <c r="H4655" s="273" t="s">
        <v>325</v>
      </c>
    </row>
    <row r="4656">
      <c r="H4656" s="273" t="s">
        <v>325</v>
      </c>
    </row>
    <row r="4657">
      <c r="H4657" s="273" t="s">
        <v>325</v>
      </c>
    </row>
    <row r="4658">
      <c r="H4658" s="273" t="s">
        <v>325</v>
      </c>
    </row>
    <row r="4659">
      <c r="H4659" s="273" t="s">
        <v>325</v>
      </c>
    </row>
    <row r="4660">
      <c r="H4660" s="273" t="s">
        <v>325</v>
      </c>
    </row>
    <row r="4661">
      <c r="H4661" s="273" t="s">
        <v>325</v>
      </c>
    </row>
    <row r="4662">
      <c r="H4662" s="273" t="s">
        <v>325</v>
      </c>
    </row>
    <row r="4663">
      <c r="H4663" s="273" t="s">
        <v>325</v>
      </c>
    </row>
    <row r="4664">
      <c r="H4664" s="273" t="s">
        <v>325</v>
      </c>
    </row>
    <row r="4665">
      <c r="H4665" s="273" t="s">
        <v>325</v>
      </c>
    </row>
    <row r="4666">
      <c r="H4666" s="273" t="s">
        <v>325</v>
      </c>
    </row>
    <row r="4667">
      <c r="H4667" s="273" t="s">
        <v>325</v>
      </c>
    </row>
    <row r="4668">
      <c r="H4668" s="273" t="s">
        <v>325</v>
      </c>
    </row>
    <row r="4669">
      <c r="H4669" s="273" t="s">
        <v>325</v>
      </c>
    </row>
    <row r="4670">
      <c r="H4670" s="273" t="s">
        <v>325</v>
      </c>
    </row>
    <row r="4671">
      <c r="H4671" s="273" t="s">
        <v>325</v>
      </c>
    </row>
    <row r="4672">
      <c r="H4672" s="273" t="s">
        <v>325</v>
      </c>
    </row>
    <row r="4673">
      <c r="H4673" s="273" t="s">
        <v>325</v>
      </c>
    </row>
    <row r="4674">
      <c r="H4674" s="273" t="s">
        <v>325</v>
      </c>
    </row>
    <row r="4675">
      <c r="H4675" s="273" t="s">
        <v>325</v>
      </c>
    </row>
    <row r="4676">
      <c r="H4676" s="273" t="s">
        <v>325</v>
      </c>
    </row>
    <row r="4677">
      <c r="H4677" s="273" t="s">
        <v>325</v>
      </c>
    </row>
    <row r="4678">
      <c r="H4678" s="273" t="s">
        <v>325</v>
      </c>
    </row>
    <row r="4679">
      <c r="H4679" s="273" t="s">
        <v>325</v>
      </c>
    </row>
    <row r="4680">
      <c r="H4680" s="273" t="s">
        <v>325</v>
      </c>
    </row>
    <row r="4681">
      <c r="H4681" s="273" t="s">
        <v>325</v>
      </c>
    </row>
    <row r="4682">
      <c r="H4682" s="273" t="s">
        <v>325</v>
      </c>
    </row>
    <row r="4683">
      <c r="H4683" s="273" t="s">
        <v>325</v>
      </c>
    </row>
    <row r="4684">
      <c r="H4684" s="273" t="s">
        <v>325</v>
      </c>
    </row>
    <row r="4685">
      <c r="H4685" s="273" t="s">
        <v>325</v>
      </c>
    </row>
    <row r="4686">
      <c r="H4686" s="273" t="s">
        <v>325</v>
      </c>
    </row>
    <row r="4687">
      <c r="H4687" s="273" t="s">
        <v>325</v>
      </c>
    </row>
    <row r="4688">
      <c r="H4688" s="273" t="s">
        <v>325</v>
      </c>
    </row>
    <row r="4689">
      <c r="H4689" s="273" t="s">
        <v>325</v>
      </c>
    </row>
    <row r="4690">
      <c r="H4690" s="273" t="s">
        <v>325</v>
      </c>
    </row>
    <row r="4691">
      <c r="H4691" s="273" t="s">
        <v>325</v>
      </c>
    </row>
    <row r="4692">
      <c r="H4692" s="273" t="s">
        <v>325</v>
      </c>
    </row>
    <row r="4693">
      <c r="H4693" s="273" t="s">
        <v>325</v>
      </c>
    </row>
    <row r="4694">
      <c r="H4694" s="273" t="s">
        <v>325</v>
      </c>
    </row>
    <row r="4695">
      <c r="H4695" s="273" t="s">
        <v>325</v>
      </c>
    </row>
    <row r="4696">
      <c r="H4696" s="273" t="s">
        <v>325</v>
      </c>
    </row>
    <row r="4697">
      <c r="H4697" s="273" t="s">
        <v>325</v>
      </c>
    </row>
    <row r="4698">
      <c r="H4698" s="273" t="s">
        <v>325</v>
      </c>
    </row>
    <row r="4699">
      <c r="H4699" s="273" t="s">
        <v>325</v>
      </c>
    </row>
    <row r="4700">
      <c r="H4700" s="273" t="s">
        <v>325</v>
      </c>
    </row>
    <row r="4701">
      <c r="H4701" s="273" t="s">
        <v>325</v>
      </c>
    </row>
    <row r="4702">
      <c r="H4702" s="273" t="s">
        <v>325</v>
      </c>
    </row>
    <row r="4703">
      <c r="H4703" s="273" t="s">
        <v>325</v>
      </c>
    </row>
    <row r="4704">
      <c r="H4704" s="273" t="s">
        <v>325</v>
      </c>
    </row>
    <row r="4705">
      <c r="H4705" s="273" t="s">
        <v>325</v>
      </c>
    </row>
    <row r="4706">
      <c r="H4706" s="273" t="s">
        <v>325</v>
      </c>
    </row>
    <row r="4707">
      <c r="H4707" s="273" t="s">
        <v>325</v>
      </c>
    </row>
    <row r="4708">
      <c r="H4708" s="273" t="s">
        <v>325</v>
      </c>
    </row>
    <row r="4709">
      <c r="H4709" s="273" t="s">
        <v>325</v>
      </c>
    </row>
    <row r="4710">
      <c r="H4710" s="273" t="s">
        <v>325</v>
      </c>
    </row>
    <row r="4711">
      <c r="H4711" s="273" t="s">
        <v>325</v>
      </c>
    </row>
    <row r="4712">
      <c r="H4712" s="273" t="s">
        <v>325</v>
      </c>
    </row>
    <row r="4713">
      <c r="H4713" s="273" t="s">
        <v>325</v>
      </c>
    </row>
    <row r="4714">
      <c r="H4714" s="273" t="s">
        <v>325</v>
      </c>
    </row>
    <row r="4715">
      <c r="H4715" s="273" t="s">
        <v>325</v>
      </c>
    </row>
    <row r="4716">
      <c r="H4716" s="273" t="s">
        <v>325</v>
      </c>
    </row>
    <row r="4717">
      <c r="H4717" s="273" t="s">
        <v>325</v>
      </c>
    </row>
    <row r="4718">
      <c r="H4718" s="273" t="s">
        <v>325</v>
      </c>
    </row>
    <row r="4719">
      <c r="H4719" s="273" t="s">
        <v>325</v>
      </c>
    </row>
    <row r="4720">
      <c r="H4720" s="273" t="s">
        <v>325</v>
      </c>
    </row>
    <row r="4721">
      <c r="H4721" s="273" t="s">
        <v>325</v>
      </c>
    </row>
    <row r="4722">
      <c r="H4722" s="273" t="s">
        <v>325</v>
      </c>
    </row>
    <row r="4723">
      <c r="H4723" s="273" t="s">
        <v>325</v>
      </c>
    </row>
    <row r="4724">
      <c r="H4724" s="273" t="s">
        <v>325</v>
      </c>
    </row>
    <row r="4725">
      <c r="H4725" s="273" t="s">
        <v>325</v>
      </c>
    </row>
    <row r="4726">
      <c r="H4726" s="273" t="s">
        <v>325</v>
      </c>
    </row>
    <row r="4727">
      <c r="H4727" s="273" t="s">
        <v>325</v>
      </c>
    </row>
    <row r="4728">
      <c r="H4728" s="273" t="s">
        <v>325</v>
      </c>
    </row>
    <row r="4729">
      <c r="H4729" s="273" t="s">
        <v>325</v>
      </c>
    </row>
    <row r="4730">
      <c r="H4730" s="273" t="s">
        <v>325</v>
      </c>
    </row>
    <row r="4731">
      <c r="H4731" s="273" t="s">
        <v>325</v>
      </c>
    </row>
    <row r="4732">
      <c r="H4732" s="273" t="s">
        <v>325</v>
      </c>
    </row>
    <row r="4733">
      <c r="H4733" s="273" t="s">
        <v>325</v>
      </c>
    </row>
    <row r="4734">
      <c r="H4734" s="273" t="s">
        <v>325</v>
      </c>
    </row>
    <row r="4735">
      <c r="H4735" s="273" t="s">
        <v>325</v>
      </c>
    </row>
    <row r="4736">
      <c r="H4736" s="273" t="s">
        <v>325</v>
      </c>
    </row>
    <row r="4737">
      <c r="H4737" s="273" t="s">
        <v>325</v>
      </c>
    </row>
    <row r="4738">
      <c r="H4738" s="273" t="s">
        <v>325</v>
      </c>
    </row>
    <row r="4739">
      <c r="H4739" s="273" t="s">
        <v>325</v>
      </c>
    </row>
    <row r="4740">
      <c r="H4740" s="273" t="s">
        <v>325</v>
      </c>
    </row>
    <row r="4741">
      <c r="H4741" s="273" t="s">
        <v>325</v>
      </c>
    </row>
    <row r="4742">
      <c r="H4742" s="273" t="s">
        <v>325</v>
      </c>
    </row>
    <row r="4743">
      <c r="H4743" s="273" t="s">
        <v>325</v>
      </c>
    </row>
    <row r="4744">
      <c r="H4744" s="273" t="s">
        <v>325</v>
      </c>
    </row>
    <row r="4745">
      <c r="H4745" s="273" t="s">
        <v>325</v>
      </c>
    </row>
    <row r="4746">
      <c r="H4746" s="273" t="s">
        <v>325</v>
      </c>
    </row>
    <row r="4747">
      <c r="H4747" s="273" t="s">
        <v>325</v>
      </c>
    </row>
    <row r="4748">
      <c r="H4748" s="273" t="s">
        <v>325</v>
      </c>
    </row>
    <row r="4749">
      <c r="H4749" s="273" t="s">
        <v>325</v>
      </c>
    </row>
    <row r="4750">
      <c r="H4750" s="273" t="s">
        <v>325</v>
      </c>
    </row>
    <row r="4751">
      <c r="H4751" s="273" t="s">
        <v>325</v>
      </c>
    </row>
    <row r="4752">
      <c r="H4752" s="273" t="s">
        <v>325</v>
      </c>
    </row>
    <row r="4753">
      <c r="H4753" s="273" t="s">
        <v>325</v>
      </c>
    </row>
    <row r="4754">
      <c r="H4754" s="273" t="s">
        <v>325</v>
      </c>
    </row>
    <row r="4755">
      <c r="H4755" s="273" t="s">
        <v>325</v>
      </c>
    </row>
    <row r="4756">
      <c r="H4756" s="273" t="s">
        <v>325</v>
      </c>
    </row>
    <row r="4757">
      <c r="H4757" s="273" t="s">
        <v>325</v>
      </c>
    </row>
    <row r="4758">
      <c r="H4758" s="273" t="s">
        <v>325</v>
      </c>
    </row>
    <row r="4759">
      <c r="H4759" s="273" t="s">
        <v>325</v>
      </c>
    </row>
    <row r="4760">
      <c r="H4760" s="273" t="s">
        <v>325</v>
      </c>
    </row>
    <row r="4761">
      <c r="H4761" s="273" t="s">
        <v>325</v>
      </c>
    </row>
    <row r="4762">
      <c r="H4762" s="273" t="s">
        <v>325</v>
      </c>
    </row>
    <row r="4763">
      <c r="H4763" s="273" t="s">
        <v>325</v>
      </c>
    </row>
    <row r="4764">
      <c r="H4764" s="273" t="s">
        <v>325</v>
      </c>
    </row>
    <row r="4765">
      <c r="H4765" s="273" t="s">
        <v>325</v>
      </c>
    </row>
    <row r="4766">
      <c r="H4766" s="273" t="s">
        <v>325</v>
      </c>
    </row>
    <row r="4767">
      <c r="H4767" s="273" t="s">
        <v>325</v>
      </c>
    </row>
    <row r="4768">
      <c r="H4768" s="273" t="s">
        <v>325</v>
      </c>
    </row>
    <row r="4769">
      <c r="H4769" s="273" t="s">
        <v>325</v>
      </c>
    </row>
    <row r="4770">
      <c r="H4770" s="273" t="s">
        <v>325</v>
      </c>
    </row>
    <row r="4771">
      <c r="H4771" s="273" t="s">
        <v>325</v>
      </c>
    </row>
    <row r="4772">
      <c r="H4772" s="273" t="s">
        <v>325</v>
      </c>
    </row>
    <row r="4773">
      <c r="H4773" s="273" t="s">
        <v>325</v>
      </c>
    </row>
    <row r="4774">
      <c r="H4774" s="273" t="s">
        <v>325</v>
      </c>
    </row>
    <row r="4775">
      <c r="H4775" s="273" t="s">
        <v>325</v>
      </c>
    </row>
    <row r="4776">
      <c r="H4776" s="273" t="s">
        <v>325</v>
      </c>
    </row>
    <row r="4777">
      <c r="H4777" s="273" t="s">
        <v>325</v>
      </c>
    </row>
    <row r="4778">
      <c r="H4778" s="273" t="s">
        <v>325</v>
      </c>
    </row>
    <row r="4779">
      <c r="H4779" s="273" t="s">
        <v>325</v>
      </c>
    </row>
    <row r="4780">
      <c r="H4780" s="273" t="s">
        <v>325</v>
      </c>
    </row>
    <row r="4781">
      <c r="H4781" s="273" t="s">
        <v>325</v>
      </c>
    </row>
    <row r="4782">
      <c r="H4782" s="273" t="s">
        <v>325</v>
      </c>
    </row>
    <row r="4783">
      <c r="H4783" s="273" t="s">
        <v>325</v>
      </c>
    </row>
    <row r="4784">
      <c r="H4784" s="273" t="s">
        <v>325</v>
      </c>
    </row>
    <row r="4785">
      <c r="H4785" s="273" t="s">
        <v>325</v>
      </c>
    </row>
    <row r="4786">
      <c r="H4786" s="273" t="s">
        <v>325</v>
      </c>
    </row>
    <row r="4787">
      <c r="H4787" s="273" t="s">
        <v>325</v>
      </c>
    </row>
    <row r="4788">
      <c r="H4788" s="273" t="s">
        <v>325</v>
      </c>
    </row>
    <row r="4789">
      <c r="H4789" s="273" t="s">
        <v>325</v>
      </c>
    </row>
    <row r="4790">
      <c r="H4790" s="273" t="s">
        <v>325</v>
      </c>
    </row>
    <row r="4791">
      <c r="H4791" s="273" t="s">
        <v>325</v>
      </c>
    </row>
    <row r="4792">
      <c r="H4792" s="273" t="s">
        <v>325</v>
      </c>
    </row>
    <row r="4793">
      <c r="H4793" s="273" t="s">
        <v>325</v>
      </c>
    </row>
    <row r="4794">
      <c r="H4794" s="273" t="s">
        <v>325</v>
      </c>
    </row>
    <row r="4795">
      <c r="H4795" s="273" t="s">
        <v>325</v>
      </c>
    </row>
    <row r="4796">
      <c r="H4796" s="273" t="s">
        <v>325</v>
      </c>
    </row>
    <row r="4797">
      <c r="H4797" s="273" t="s">
        <v>325</v>
      </c>
    </row>
    <row r="4798">
      <c r="H4798" s="273" t="s">
        <v>325</v>
      </c>
    </row>
    <row r="4799">
      <c r="H4799" s="273" t="s">
        <v>325</v>
      </c>
    </row>
    <row r="4800">
      <c r="H4800" s="273" t="s">
        <v>325</v>
      </c>
    </row>
    <row r="4801">
      <c r="H4801" s="273" t="s">
        <v>325</v>
      </c>
    </row>
    <row r="4802">
      <c r="H4802" s="273" t="s">
        <v>325</v>
      </c>
    </row>
    <row r="4803">
      <c r="H4803" s="273" t="s">
        <v>325</v>
      </c>
    </row>
    <row r="4804">
      <c r="H4804" s="273" t="s">
        <v>325</v>
      </c>
    </row>
    <row r="4805">
      <c r="H4805" s="273" t="s">
        <v>325</v>
      </c>
    </row>
    <row r="4806">
      <c r="H4806" s="273" t="s">
        <v>325</v>
      </c>
    </row>
    <row r="4807">
      <c r="H4807" s="273" t="s">
        <v>325</v>
      </c>
    </row>
    <row r="4808">
      <c r="H4808" s="273" t="s">
        <v>325</v>
      </c>
    </row>
    <row r="4809">
      <c r="H4809" s="273" t="s">
        <v>325</v>
      </c>
    </row>
    <row r="4810">
      <c r="H4810" s="273" t="s">
        <v>325</v>
      </c>
    </row>
    <row r="4811">
      <c r="H4811" s="273" t="s">
        <v>325</v>
      </c>
    </row>
    <row r="4812">
      <c r="H4812" s="273" t="s">
        <v>325</v>
      </c>
    </row>
    <row r="4813">
      <c r="H4813" s="273" t="s">
        <v>325</v>
      </c>
    </row>
    <row r="4814">
      <c r="H4814" s="273" t="s">
        <v>325</v>
      </c>
    </row>
    <row r="4815">
      <c r="H4815" s="273" t="s">
        <v>325</v>
      </c>
    </row>
    <row r="4816">
      <c r="H4816" s="273" t="s">
        <v>325</v>
      </c>
    </row>
    <row r="4817">
      <c r="H4817" s="273" t="s">
        <v>325</v>
      </c>
    </row>
    <row r="4818">
      <c r="H4818" s="273" t="s">
        <v>325</v>
      </c>
    </row>
    <row r="4819">
      <c r="H4819" s="273" t="s">
        <v>325</v>
      </c>
    </row>
    <row r="4820">
      <c r="H4820" s="273" t="s">
        <v>325</v>
      </c>
    </row>
    <row r="4821">
      <c r="H4821" s="273" t="s">
        <v>325</v>
      </c>
    </row>
    <row r="4822">
      <c r="H4822" s="273" t="s">
        <v>325</v>
      </c>
    </row>
    <row r="4823">
      <c r="H4823" s="273" t="s">
        <v>325</v>
      </c>
    </row>
    <row r="4824">
      <c r="H4824" s="273" t="s">
        <v>325</v>
      </c>
    </row>
    <row r="4825">
      <c r="H4825" s="273" t="s">
        <v>325</v>
      </c>
    </row>
    <row r="4826">
      <c r="H4826" s="273" t="s">
        <v>325</v>
      </c>
    </row>
    <row r="4827">
      <c r="H4827" s="273" t="s">
        <v>325</v>
      </c>
    </row>
    <row r="4828">
      <c r="H4828" s="273" t="s">
        <v>325</v>
      </c>
    </row>
    <row r="4829">
      <c r="H4829" s="273" t="s">
        <v>325</v>
      </c>
    </row>
    <row r="4830">
      <c r="H4830" s="273" t="s">
        <v>325</v>
      </c>
    </row>
    <row r="4831">
      <c r="H4831" s="273" t="s">
        <v>325</v>
      </c>
    </row>
    <row r="4832">
      <c r="H4832" s="273" t="s">
        <v>325</v>
      </c>
    </row>
    <row r="4833">
      <c r="H4833" s="273" t="s">
        <v>325</v>
      </c>
    </row>
    <row r="4834">
      <c r="H4834" s="273" t="s">
        <v>325</v>
      </c>
    </row>
    <row r="4835">
      <c r="H4835" s="273" t="s">
        <v>325</v>
      </c>
    </row>
    <row r="4836">
      <c r="H4836" s="273" t="s">
        <v>325</v>
      </c>
    </row>
    <row r="4837">
      <c r="H4837" s="273" t="s">
        <v>325</v>
      </c>
    </row>
    <row r="4838">
      <c r="H4838" s="273" t="s">
        <v>325</v>
      </c>
    </row>
    <row r="4839">
      <c r="H4839" s="273" t="s">
        <v>325</v>
      </c>
    </row>
    <row r="4840">
      <c r="H4840" s="273" t="s">
        <v>325</v>
      </c>
    </row>
    <row r="4841">
      <c r="H4841" s="273" t="s">
        <v>325</v>
      </c>
    </row>
    <row r="4842">
      <c r="H4842" s="273" t="s">
        <v>325</v>
      </c>
    </row>
    <row r="4843">
      <c r="H4843" s="273" t="s">
        <v>325</v>
      </c>
    </row>
    <row r="4844">
      <c r="H4844" s="273" t="s">
        <v>325</v>
      </c>
    </row>
    <row r="4845">
      <c r="H4845" s="273" t="s">
        <v>325</v>
      </c>
    </row>
    <row r="4846">
      <c r="H4846" s="273" t="s">
        <v>325</v>
      </c>
    </row>
    <row r="4847">
      <c r="H4847" s="273" t="s">
        <v>325</v>
      </c>
    </row>
    <row r="4848">
      <c r="H4848" s="273" t="s">
        <v>325</v>
      </c>
    </row>
    <row r="4849">
      <c r="H4849" s="273" t="s">
        <v>325</v>
      </c>
    </row>
    <row r="4850">
      <c r="H4850" s="273" t="s">
        <v>325</v>
      </c>
    </row>
    <row r="4851">
      <c r="H4851" s="273" t="s">
        <v>325</v>
      </c>
    </row>
    <row r="4852">
      <c r="H4852" s="273" t="s">
        <v>325</v>
      </c>
    </row>
    <row r="4853">
      <c r="H4853" s="273" t="s">
        <v>325</v>
      </c>
    </row>
    <row r="4854">
      <c r="H4854" s="273" t="s">
        <v>325</v>
      </c>
    </row>
    <row r="4855">
      <c r="H4855" s="273" t="s">
        <v>325</v>
      </c>
    </row>
    <row r="4856">
      <c r="H4856" s="273" t="s">
        <v>325</v>
      </c>
    </row>
    <row r="4857">
      <c r="H4857" s="273" t="s">
        <v>325</v>
      </c>
    </row>
    <row r="4858">
      <c r="H4858" s="273" t="s">
        <v>325</v>
      </c>
    </row>
    <row r="4859">
      <c r="H4859" s="273" t="s">
        <v>325</v>
      </c>
    </row>
    <row r="4860">
      <c r="H4860" s="273" t="s">
        <v>325</v>
      </c>
    </row>
    <row r="4861">
      <c r="H4861" s="273" t="s">
        <v>325</v>
      </c>
    </row>
    <row r="4862">
      <c r="H4862" s="273" t="s">
        <v>325</v>
      </c>
    </row>
    <row r="4863">
      <c r="H4863" s="273" t="s">
        <v>325</v>
      </c>
    </row>
    <row r="4864">
      <c r="H4864" s="273" t="s">
        <v>325</v>
      </c>
    </row>
    <row r="4865">
      <c r="H4865" s="273" t="s">
        <v>325</v>
      </c>
    </row>
    <row r="4866">
      <c r="H4866" s="273" t="s">
        <v>325</v>
      </c>
    </row>
    <row r="4867">
      <c r="H4867" s="273" t="s">
        <v>325</v>
      </c>
    </row>
    <row r="4868">
      <c r="H4868" s="273" t="s">
        <v>325</v>
      </c>
    </row>
    <row r="4869">
      <c r="H4869" s="273" t="s">
        <v>325</v>
      </c>
    </row>
    <row r="4870">
      <c r="H4870" s="273" t="s">
        <v>325</v>
      </c>
    </row>
    <row r="4871">
      <c r="H4871" s="273" t="s">
        <v>325</v>
      </c>
    </row>
    <row r="4872">
      <c r="H4872" s="273" t="s">
        <v>325</v>
      </c>
    </row>
    <row r="4873">
      <c r="H4873" s="273" t="s">
        <v>325</v>
      </c>
    </row>
    <row r="4874">
      <c r="H4874" s="273" t="s">
        <v>325</v>
      </c>
    </row>
    <row r="4875">
      <c r="H4875" s="273" t="s">
        <v>325</v>
      </c>
    </row>
    <row r="4876">
      <c r="H4876" s="273" t="s">
        <v>325</v>
      </c>
    </row>
    <row r="4877">
      <c r="H4877" s="273" t="s">
        <v>325</v>
      </c>
    </row>
    <row r="4878">
      <c r="H4878" s="273" t="s">
        <v>325</v>
      </c>
    </row>
    <row r="4879">
      <c r="H4879" s="273" t="s">
        <v>325</v>
      </c>
    </row>
    <row r="4880">
      <c r="H4880" s="273" t="s">
        <v>325</v>
      </c>
    </row>
    <row r="4881">
      <c r="H4881" s="273" t="s">
        <v>325</v>
      </c>
    </row>
    <row r="4882">
      <c r="H4882" s="273" t="s">
        <v>325</v>
      </c>
    </row>
    <row r="4883">
      <c r="H4883" s="273" t="s">
        <v>325</v>
      </c>
    </row>
    <row r="4884">
      <c r="H4884" s="273" t="s">
        <v>325</v>
      </c>
    </row>
    <row r="4885">
      <c r="H4885" s="273" t="s">
        <v>325</v>
      </c>
    </row>
    <row r="4886">
      <c r="H4886" s="273" t="s">
        <v>325</v>
      </c>
    </row>
    <row r="4887">
      <c r="H4887" s="273" t="s">
        <v>325</v>
      </c>
    </row>
    <row r="4888">
      <c r="H4888" s="273" t="s">
        <v>325</v>
      </c>
    </row>
    <row r="4889">
      <c r="H4889" s="273" t="s">
        <v>325</v>
      </c>
    </row>
    <row r="4890">
      <c r="H4890" s="273" t="s">
        <v>325</v>
      </c>
    </row>
    <row r="4891">
      <c r="H4891" s="273" t="s">
        <v>325</v>
      </c>
    </row>
    <row r="4892">
      <c r="H4892" s="273" t="s">
        <v>325</v>
      </c>
    </row>
    <row r="4893">
      <c r="H4893" s="273" t="s">
        <v>325</v>
      </c>
    </row>
    <row r="4894">
      <c r="H4894" s="273" t="s">
        <v>325</v>
      </c>
    </row>
    <row r="4895">
      <c r="H4895" s="273" t="s">
        <v>325</v>
      </c>
    </row>
    <row r="4896">
      <c r="H4896" s="273" t="s">
        <v>325</v>
      </c>
    </row>
    <row r="4897">
      <c r="H4897" s="273" t="s">
        <v>325</v>
      </c>
    </row>
    <row r="4898">
      <c r="H4898" s="273" t="s">
        <v>325</v>
      </c>
    </row>
    <row r="4899">
      <c r="H4899" s="273" t="s">
        <v>325</v>
      </c>
    </row>
    <row r="4900">
      <c r="H4900" s="273" t="s">
        <v>325</v>
      </c>
    </row>
    <row r="4901">
      <c r="H4901" s="273" t="s">
        <v>325</v>
      </c>
    </row>
    <row r="4902">
      <c r="H4902" s="273" t="s">
        <v>325</v>
      </c>
    </row>
    <row r="4903">
      <c r="H4903" s="273" t="s">
        <v>325</v>
      </c>
    </row>
    <row r="4904">
      <c r="H4904" s="273" t="s">
        <v>325</v>
      </c>
    </row>
    <row r="4905">
      <c r="H4905" s="273" t="s">
        <v>325</v>
      </c>
    </row>
    <row r="4906">
      <c r="H4906" s="273" t="s">
        <v>325</v>
      </c>
    </row>
    <row r="4907">
      <c r="H4907" s="273" t="s">
        <v>325</v>
      </c>
    </row>
    <row r="4908">
      <c r="H4908" s="273" t="s">
        <v>325</v>
      </c>
    </row>
    <row r="4909">
      <c r="H4909" s="273" t="s">
        <v>325</v>
      </c>
    </row>
    <row r="4910">
      <c r="H4910" s="273" t="s">
        <v>325</v>
      </c>
    </row>
    <row r="4911">
      <c r="H4911" s="273" t="s">
        <v>325</v>
      </c>
    </row>
    <row r="4912">
      <c r="H4912" s="273" t="s">
        <v>325</v>
      </c>
    </row>
    <row r="4913">
      <c r="H4913" s="273" t="s">
        <v>325</v>
      </c>
    </row>
    <row r="4914">
      <c r="H4914" s="273" t="s">
        <v>325</v>
      </c>
    </row>
    <row r="4915">
      <c r="H4915" s="273" t="s">
        <v>325</v>
      </c>
    </row>
    <row r="4916">
      <c r="H4916" s="273" t="s">
        <v>325</v>
      </c>
    </row>
    <row r="4917">
      <c r="H4917" s="273" t="s">
        <v>325</v>
      </c>
    </row>
    <row r="4918">
      <c r="H4918" s="273" t="s">
        <v>325</v>
      </c>
    </row>
    <row r="4919">
      <c r="H4919" s="273" t="s">
        <v>325</v>
      </c>
    </row>
    <row r="4920">
      <c r="H4920" s="273" t="s">
        <v>325</v>
      </c>
    </row>
    <row r="4921">
      <c r="H4921" s="273" t="s">
        <v>325</v>
      </c>
    </row>
    <row r="4922">
      <c r="H4922" s="273" t="s">
        <v>325</v>
      </c>
    </row>
    <row r="4923">
      <c r="H4923" s="273" t="s">
        <v>325</v>
      </c>
    </row>
    <row r="4924">
      <c r="H4924" s="273" t="s">
        <v>325</v>
      </c>
    </row>
    <row r="4925">
      <c r="H4925" s="273" t="s">
        <v>325</v>
      </c>
    </row>
    <row r="4926">
      <c r="H4926" s="273" t="s">
        <v>325</v>
      </c>
    </row>
    <row r="4927">
      <c r="H4927" s="273" t="s">
        <v>325</v>
      </c>
    </row>
    <row r="4928">
      <c r="H4928" s="273" t="s">
        <v>325</v>
      </c>
    </row>
    <row r="4929">
      <c r="H4929" s="273" t="s">
        <v>325</v>
      </c>
    </row>
    <row r="4930">
      <c r="H4930" s="273" t="s">
        <v>325</v>
      </c>
    </row>
    <row r="4931">
      <c r="H4931" s="273" t="s">
        <v>325</v>
      </c>
    </row>
    <row r="4932">
      <c r="H4932" s="273" t="s">
        <v>325</v>
      </c>
    </row>
    <row r="4933">
      <c r="H4933" s="273" t="s">
        <v>325</v>
      </c>
    </row>
    <row r="4934">
      <c r="H4934" s="273" t="s">
        <v>325</v>
      </c>
    </row>
    <row r="4935">
      <c r="H4935" s="273" t="s">
        <v>325</v>
      </c>
    </row>
    <row r="4936">
      <c r="H4936" s="273" t="s">
        <v>325</v>
      </c>
    </row>
    <row r="4937">
      <c r="H4937" s="273" t="s">
        <v>325</v>
      </c>
    </row>
    <row r="4938">
      <c r="H4938" s="273" t="s">
        <v>325</v>
      </c>
    </row>
    <row r="4939">
      <c r="H4939" s="273" t="s">
        <v>325</v>
      </c>
    </row>
    <row r="4940">
      <c r="H4940" s="273" t="s">
        <v>325</v>
      </c>
    </row>
    <row r="4941">
      <c r="H4941" s="273" t="s">
        <v>325</v>
      </c>
    </row>
    <row r="4942">
      <c r="H4942" s="273" t="s">
        <v>325</v>
      </c>
    </row>
    <row r="4943">
      <c r="H4943" s="273" t="s">
        <v>325</v>
      </c>
    </row>
    <row r="4944">
      <c r="H4944" s="273" t="s">
        <v>325</v>
      </c>
    </row>
    <row r="4945">
      <c r="H4945" s="273" t="s">
        <v>325</v>
      </c>
    </row>
    <row r="4946">
      <c r="H4946" s="273" t="s">
        <v>325</v>
      </c>
    </row>
    <row r="4947">
      <c r="H4947" s="273" t="s">
        <v>325</v>
      </c>
    </row>
    <row r="4948">
      <c r="H4948" s="273" t="s">
        <v>325</v>
      </c>
    </row>
    <row r="4949">
      <c r="H4949" s="273" t="s">
        <v>325</v>
      </c>
    </row>
    <row r="4950">
      <c r="H4950" s="273" t="s">
        <v>325</v>
      </c>
    </row>
    <row r="4951">
      <c r="H4951" s="273" t="s">
        <v>325</v>
      </c>
    </row>
    <row r="4952">
      <c r="H4952" s="273" t="s">
        <v>325</v>
      </c>
    </row>
    <row r="4953">
      <c r="H4953" s="273" t="s">
        <v>325</v>
      </c>
    </row>
    <row r="4954">
      <c r="H4954" s="273" t="s">
        <v>325</v>
      </c>
    </row>
    <row r="4955">
      <c r="H4955" s="273" t="s">
        <v>325</v>
      </c>
    </row>
    <row r="4956">
      <c r="H4956" s="273" t="s">
        <v>325</v>
      </c>
    </row>
    <row r="4957">
      <c r="H4957" s="273" t="s">
        <v>325</v>
      </c>
    </row>
    <row r="4958">
      <c r="H4958" s="273" t="s">
        <v>325</v>
      </c>
    </row>
    <row r="4959">
      <c r="H4959" s="273" t="s">
        <v>325</v>
      </c>
    </row>
    <row r="4960">
      <c r="H4960" s="273" t="s">
        <v>325</v>
      </c>
    </row>
    <row r="4961">
      <c r="H4961" s="273" t="s">
        <v>325</v>
      </c>
    </row>
    <row r="4962">
      <c r="H4962" s="273" t="s">
        <v>325</v>
      </c>
    </row>
    <row r="4963">
      <c r="H4963" s="273" t="s">
        <v>325</v>
      </c>
    </row>
    <row r="4964">
      <c r="H4964" s="273" t="s">
        <v>325</v>
      </c>
    </row>
    <row r="4965">
      <c r="H4965" s="273" t="s">
        <v>325</v>
      </c>
    </row>
    <row r="4966">
      <c r="H4966" s="273" t="s">
        <v>325</v>
      </c>
    </row>
    <row r="4967">
      <c r="H4967" s="273" t="s">
        <v>325</v>
      </c>
    </row>
    <row r="4968">
      <c r="H4968" s="273" t="s">
        <v>325</v>
      </c>
    </row>
    <row r="4969">
      <c r="H4969" s="273" t="s">
        <v>325</v>
      </c>
    </row>
    <row r="4970">
      <c r="H4970" s="273" t="s">
        <v>325</v>
      </c>
    </row>
    <row r="4971">
      <c r="H4971" s="273" t="s">
        <v>325</v>
      </c>
    </row>
    <row r="4972">
      <c r="H4972" s="273" t="s">
        <v>325</v>
      </c>
    </row>
    <row r="4973">
      <c r="H4973" s="273" t="s">
        <v>325</v>
      </c>
    </row>
    <row r="4974">
      <c r="H4974" s="273" t="s">
        <v>325</v>
      </c>
    </row>
    <row r="4975">
      <c r="H4975" s="273" t="s">
        <v>325</v>
      </c>
    </row>
    <row r="4976">
      <c r="H4976" s="273" t="s">
        <v>325</v>
      </c>
    </row>
    <row r="4977">
      <c r="H4977" s="273" t="s">
        <v>325</v>
      </c>
    </row>
    <row r="4978">
      <c r="H4978" s="273" t="s">
        <v>325</v>
      </c>
    </row>
    <row r="4979">
      <c r="H4979" s="273" t="s">
        <v>325</v>
      </c>
    </row>
    <row r="4980">
      <c r="H4980" s="273" t="s">
        <v>325</v>
      </c>
    </row>
    <row r="4981">
      <c r="H4981" s="273" t="s">
        <v>325</v>
      </c>
    </row>
    <row r="4982">
      <c r="H4982" s="273" t="s">
        <v>325</v>
      </c>
    </row>
    <row r="4983">
      <c r="H4983" s="273" t="s">
        <v>325</v>
      </c>
    </row>
    <row r="4984">
      <c r="H4984" s="273" t="s">
        <v>325</v>
      </c>
    </row>
    <row r="4985">
      <c r="H4985" s="273" t="s">
        <v>325</v>
      </c>
    </row>
    <row r="4986">
      <c r="H4986" s="273" t="s">
        <v>325</v>
      </c>
    </row>
    <row r="4987">
      <c r="H4987" s="273" t="s">
        <v>325</v>
      </c>
    </row>
    <row r="4988">
      <c r="H4988" s="273" t="s">
        <v>325</v>
      </c>
    </row>
    <row r="4989">
      <c r="H4989" s="273" t="s">
        <v>325</v>
      </c>
    </row>
    <row r="4990">
      <c r="H4990" s="273" t="s">
        <v>325</v>
      </c>
    </row>
    <row r="4991">
      <c r="H4991" s="273" t="s">
        <v>325</v>
      </c>
    </row>
    <row r="4992">
      <c r="H4992" s="273" t="s">
        <v>325</v>
      </c>
    </row>
    <row r="4993">
      <c r="H4993" s="273" t="s">
        <v>325</v>
      </c>
    </row>
    <row r="4994">
      <c r="H4994" s="273" t="s">
        <v>325</v>
      </c>
    </row>
    <row r="4995">
      <c r="H4995" s="273" t="s">
        <v>325</v>
      </c>
    </row>
    <row r="4996">
      <c r="H4996" s="273" t="s">
        <v>325</v>
      </c>
    </row>
    <row r="4997">
      <c r="H4997" s="273" t="s">
        <v>325</v>
      </c>
    </row>
    <row r="4998">
      <c r="H4998" s="273" t="s">
        <v>325</v>
      </c>
    </row>
    <row r="4999">
      <c r="H4999" s="273" t="s">
        <v>325</v>
      </c>
    </row>
    <row r="5000">
      <c r="H5000" s="273" t="s">
        <v>325</v>
      </c>
    </row>
    <row r="5001">
      <c r="H5001" s="273" t="s">
        <v>325</v>
      </c>
    </row>
    <row r="5002">
      <c r="H5002" s="273" t="s">
        <v>325</v>
      </c>
    </row>
    <row r="5003">
      <c r="H5003" s="273" t="s">
        <v>325</v>
      </c>
    </row>
    <row r="5004">
      <c r="H5004" s="273" t="s">
        <v>325</v>
      </c>
    </row>
    <row r="5005">
      <c r="H5005" s="273" t="s">
        <v>325</v>
      </c>
    </row>
    <row r="5006">
      <c r="H5006" s="273" t="s">
        <v>325</v>
      </c>
    </row>
    <row r="5007">
      <c r="H5007" s="273" t="s">
        <v>325</v>
      </c>
    </row>
    <row r="5008">
      <c r="H5008" s="273" t="s">
        <v>325</v>
      </c>
    </row>
    <row r="5009">
      <c r="H5009" s="273" t="s">
        <v>325</v>
      </c>
    </row>
    <row r="5010">
      <c r="H5010" s="273" t="s">
        <v>325</v>
      </c>
    </row>
    <row r="5011">
      <c r="H5011" s="273" t="s">
        <v>325</v>
      </c>
    </row>
    <row r="5012">
      <c r="H5012" s="273" t="s">
        <v>325</v>
      </c>
    </row>
    <row r="5013">
      <c r="H5013" s="273" t="s">
        <v>325</v>
      </c>
    </row>
    <row r="5014">
      <c r="H5014" s="273" t="s">
        <v>325</v>
      </c>
    </row>
    <row r="5015">
      <c r="H5015" s="273" t="s">
        <v>325</v>
      </c>
    </row>
    <row r="5016">
      <c r="H5016" s="273" t="s">
        <v>325</v>
      </c>
    </row>
    <row r="5017">
      <c r="H5017" s="273" t="s">
        <v>325</v>
      </c>
    </row>
    <row r="5018">
      <c r="H5018" s="273" t="s">
        <v>325</v>
      </c>
    </row>
    <row r="5019">
      <c r="H5019" s="273" t="s">
        <v>325</v>
      </c>
    </row>
    <row r="5020">
      <c r="H5020" s="273" t="s">
        <v>325</v>
      </c>
    </row>
    <row r="5021">
      <c r="H5021" s="273" t="s">
        <v>325</v>
      </c>
    </row>
    <row r="5022">
      <c r="H5022" s="273" t="s">
        <v>325</v>
      </c>
    </row>
    <row r="5023">
      <c r="H5023" s="273" t="s">
        <v>325</v>
      </c>
    </row>
    <row r="5024">
      <c r="H5024" s="273" t="s">
        <v>325</v>
      </c>
    </row>
    <row r="5025">
      <c r="H5025" s="273" t="s">
        <v>325</v>
      </c>
    </row>
    <row r="5026">
      <c r="H5026" s="273" t="s">
        <v>325</v>
      </c>
    </row>
    <row r="5027">
      <c r="H5027" s="273" t="s">
        <v>325</v>
      </c>
    </row>
    <row r="5028">
      <c r="H5028" s="273" t="s">
        <v>325</v>
      </c>
    </row>
    <row r="5029">
      <c r="H5029" s="273" t="s">
        <v>325</v>
      </c>
    </row>
    <row r="5030">
      <c r="H5030" s="273" t="s">
        <v>325</v>
      </c>
    </row>
    <row r="5031">
      <c r="H5031" s="273" t="s">
        <v>325</v>
      </c>
    </row>
    <row r="5032">
      <c r="H5032" s="273" t="s">
        <v>325</v>
      </c>
    </row>
    <row r="5033">
      <c r="H5033" s="273" t="s">
        <v>325</v>
      </c>
    </row>
    <row r="5034">
      <c r="H5034" s="273" t="s">
        <v>325</v>
      </c>
    </row>
    <row r="5035">
      <c r="H5035" s="273" t="s">
        <v>325</v>
      </c>
    </row>
    <row r="5036">
      <c r="H5036" s="273" t="s">
        <v>325</v>
      </c>
    </row>
    <row r="5037">
      <c r="H5037" s="273" t="s">
        <v>325</v>
      </c>
    </row>
    <row r="5038">
      <c r="H5038" s="273" t="s">
        <v>325</v>
      </c>
    </row>
    <row r="5039">
      <c r="H5039" s="273" t="s">
        <v>325</v>
      </c>
    </row>
    <row r="5040">
      <c r="H5040" s="273" t="s">
        <v>325</v>
      </c>
    </row>
    <row r="5041">
      <c r="H5041" s="273" t="s">
        <v>325</v>
      </c>
    </row>
    <row r="5042">
      <c r="H5042" s="273" t="s">
        <v>325</v>
      </c>
    </row>
    <row r="5043">
      <c r="H5043" s="273" t="s">
        <v>325</v>
      </c>
    </row>
    <row r="5044">
      <c r="H5044" s="273" t="s">
        <v>325</v>
      </c>
    </row>
    <row r="5045">
      <c r="H5045" s="273" t="s">
        <v>325</v>
      </c>
    </row>
    <row r="5046">
      <c r="H5046" s="273" t="s">
        <v>325</v>
      </c>
    </row>
    <row r="5047">
      <c r="H5047" s="273" t="s">
        <v>325</v>
      </c>
    </row>
    <row r="5048">
      <c r="H5048" s="273" t="s">
        <v>325</v>
      </c>
    </row>
    <row r="5049">
      <c r="H5049" s="273" t="s">
        <v>325</v>
      </c>
    </row>
    <row r="5050">
      <c r="H5050" s="273" t="s">
        <v>325</v>
      </c>
    </row>
    <row r="5051">
      <c r="H5051" s="273" t="s">
        <v>325</v>
      </c>
    </row>
    <row r="5052">
      <c r="H5052" s="273" t="s">
        <v>325</v>
      </c>
    </row>
    <row r="5053">
      <c r="H5053" s="273" t="s">
        <v>325</v>
      </c>
    </row>
    <row r="5054">
      <c r="H5054" s="273" t="s">
        <v>325</v>
      </c>
    </row>
    <row r="5055">
      <c r="H5055" s="273" t="s">
        <v>325</v>
      </c>
    </row>
    <row r="5056">
      <c r="H5056" s="273" t="s">
        <v>325</v>
      </c>
    </row>
    <row r="5057">
      <c r="H5057" s="273" t="s">
        <v>325</v>
      </c>
    </row>
    <row r="5058">
      <c r="H5058" s="273" t="s">
        <v>325</v>
      </c>
    </row>
    <row r="5059">
      <c r="H5059" s="273" t="s">
        <v>325</v>
      </c>
    </row>
    <row r="5060">
      <c r="H5060" s="273" t="s">
        <v>325</v>
      </c>
    </row>
    <row r="5061">
      <c r="H5061" s="273" t="s">
        <v>325</v>
      </c>
    </row>
    <row r="5062">
      <c r="H5062" s="273" t="s">
        <v>325</v>
      </c>
    </row>
    <row r="5063">
      <c r="H5063" s="273" t="s">
        <v>325</v>
      </c>
    </row>
    <row r="5064">
      <c r="H5064" s="273" t="s">
        <v>325</v>
      </c>
    </row>
    <row r="5065">
      <c r="H5065" s="273" t="s">
        <v>325</v>
      </c>
    </row>
    <row r="5066">
      <c r="H5066" s="273" t="s">
        <v>325</v>
      </c>
    </row>
    <row r="5067">
      <c r="H5067" s="273" t="s">
        <v>325</v>
      </c>
    </row>
    <row r="5068">
      <c r="H5068" s="273" t="s">
        <v>325</v>
      </c>
    </row>
    <row r="5069">
      <c r="H5069" s="273" t="s">
        <v>325</v>
      </c>
    </row>
    <row r="5070">
      <c r="H5070" s="273" t="s">
        <v>325</v>
      </c>
    </row>
    <row r="5071">
      <c r="H5071" s="273" t="s">
        <v>325</v>
      </c>
    </row>
    <row r="5072">
      <c r="H5072" s="273" t="s">
        <v>325</v>
      </c>
    </row>
    <row r="5073">
      <c r="H5073" s="273" t="s">
        <v>325</v>
      </c>
    </row>
    <row r="5074">
      <c r="H5074" s="273" t="s">
        <v>325</v>
      </c>
    </row>
    <row r="5075">
      <c r="H5075" s="273" t="s">
        <v>325</v>
      </c>
    </row>
    <row r="5076">
      <c r="H5076" s="273" t="s">
        <v>325</v>
      </c>
    </row>
    <row r="5077">
      <c r="H5077" s="273" t="s">
        <v>325</v>
      </c>
    </row>
    <row r="5078">
      <c r="H5078" s="273" t="s">
        <v>325</v>
      </c>
    </row>
    <row r="5079">
      <c r="H5079" s="273" t="s">
        <v>325</v>
      </c>
    </row>
    <row r="5080">
      <c r="H5080" s="273" t="s">
        <v>325</v>
      </c>
    </row>
    <row r="5081">
      <c r="H5081" s="273" t="s">
        <v>325</v>
      </c>
    </row>
    <row r="5082">
      <c r="H5082" s="273" t="s">
        <v>325</v>
      </c>
    </row>
    <row r="5083">
      <c r="H5083" s="273" t="s">
        <v>325</v>
      </c>
    </row>
    <row r="5084">
      <c r="H5084" s="273" t="s">
        <v>325</v>
      </c>
    </row>
    <row r="5085">
      <c r="H5085" s="273" t="s">
        <v>325</v>
      </c>
    </row>
    <row r="5086">
      <c r="H5086" s="273" t="s">
        <v>325</v>
      </c>
    </row>
    <row r="5087">
      <c r="H5087" s="273" t="s">
        <v>325</v>
      </c>
    </row>
    <row r="5088">
      <c r="H5088" s="273" t="s">
        <v>325</v>
      </c>
    </row>
    <row r="5089">
      <c r="H5089" s="273" t="s">
        <v>325</v>
      </c>
    </row>
    <row r="5090">
      <c r="H5090" s="273" t="s">
        <v>325</v>
      </c>
    </row>
    <row r="5091">
      <c r="H5091" s="273" t="s">
        <v>325</v>
      </c>
    </row>
    <row r="5092">
      <c r="H5092" s="273" t="s">
        <v>325</v>
      </c>
    </row>
    <row r="5093">
      <c r="H5093" s="273" t="s">
        <v>325</v>
      </c>
    </row>
    <row r="5094">
      <c r="H5094" s="273" t="s">
        <v>325</v>
      </c>
    </row>
    <row r="5095">
      <c r="H5095" s="273" t="s">
        <v>325</v>
      </c>
    </row>
    <row r="5096">
      <c r="H5096" s="273" t="s">
        <v>325</v>
      </c>
    </row>
    <row r="5097">
      <c r="H5097" s="273" t="s">
        <v>325</v>
      </c>
    </row>
    <row r="5098">
      <c r="H5098" s="273" t="s">
        <v>325</v>
      </c>
    </row>
    <row r="5099">
      <c r="H5099" s="273" t="s">
        <v>325</v>
      </c>
    </row>
    <row r="5100">
      <c r="H5100" s="273" t="s">
        <v>325</v>
      </c>
    </row>
    <row r="5101">
      <c r="H5101" s="273" t="s">
        <v>325</v>
      </c>
    </row>
    <row r="5102">
      <c r="H5102" s="273" t="s">
        <v>325</v>
      </c>
    </row>
    <row r="5103">
      <c r="H5103" s="273" t="s">
        <v>325</v>
      </c>
    </row>
    <row r="5104">
      <c r="H5104" s="273" t="s">
        <v>325</v>
      </c>
    </row>
    <row r="5105">
      <c r="H5105" s="273" t="s">
        <v>325</v>
      </c>
    </row>
    <row r="5106">
      <c r="H5106" s="273" t="s">
        <v>325</v>
      </c>
    </row>
    <row r="5107">
      <c r="H5107" s="273" t="s">
        <v>325</v>
      </c>
    </row>
    <row r="5108">
      <c r="H5108" s="273" t="s">
        <v>325</v>
      </c>
    </row>
    <row r="5109">
      <c r="H5109" s="273" t="s">
        <v>325</v>
      </c>
    </row>
    <row r="5110">
      <c r="H5110" s="273" t="s">
        <v>325</v>
      </c>
    </row>
    <row r="5111">
      <c r="H5111" s="273" t="s">
        <v>325</v>
      </c>
    </row>
    <row r="5112">
      <c r="H5112" s="273" t="s">
        <v>325</v>
      </c>
    </row>
    <row r="5113">
      <c r="H5113" s="273" t="s">
        <v>325</v>
      </c>
    </row>
    <row r="5114">
      <c r="H5114" s="273" t="s">
        <v>325</v>
      </c>
    </row>
    <row r="5115">
      <c r="H5115" s="273" t="s">
        <v>325</v>
      </c>
    </row>
    <row r="5116">
      <c r="H5116" s="273" t="s">
        <v>325</v>
      </c>
    </row>
    <row r="5117">
      <c r="H5117" s="273" t="s">
        <v>325</v>
      </c>
    </row>
    <row r="5118">
      <c r="H5118" s="273" t="s">
        <v>325</v>
      </c>
    </row>
    <row r="5119">
      <c r="H5119" s="273" t="s">
        <v>325</v>
      </c>
    </row>
    <row r="5120">
      <c r="H5120" s="273" t="s">
        <v>325</v>
      </c>
    </row>
    <row r="5121">
      <c r="H5121" s="273" t="s">
        <v>325</v>
      </c>
    </row>
    <row r="5122">
      <c r="H5122" s="273" t="s">
        <v>325</v>
      </c>
    </row>
    <row r="5123">
      <c r="H5123" s="273" t="s">
        <v>325</v>
      </c>
    </row>
    <row r="5124">
      <c r="H5124" s="273" t="s">
        <v>325</v>
      </c>
    </row>
    <row r="5125">
      <c r="H5125" s="273" t="s">
        <v>325</v>
      </c>
    </row>
    <row r="5126">
      <c r="H5126" s="273" t="s">
        <v>325</v>
      </c>
    </row>
    <row r="5127">
      <c r="H5127" s="273" t="s">
        <v>325</v>
      </c>
    </row>
    <row r="5128">
      <c r="H5128" s="273" t="s">
        <v>325</v>
      </c>
    </row>
    <row r="5129">
      <c r="H5129" s="273" t="s">
        <v>325</v>
      </c>
    </row>
    <row r="5130">
      <c r="H5130" s="273" t="s">
        <v>325</v>
      </c>
    </row>
    <row r="5131">
      <c r="H5131" s="273" t="s">
        <v>325</v>
      </c>
    </row>
    <row r="5132">
      <c r="H5132" s="273" t="s">
        <v>325</v>
      </c>
    </row>
    <row r="5133">
      <c r="H5133" s="273" t="s">
        <v>325</v>
      </c>
    </row>
    <row r="5134">
      <c r="H5134" s="273" t="s">
        <v>325</v>
      </c>
    </row>
    <row r="5135">
      <c r="H5135" s="273" t="s">
        <v>325</v>
      </c>
    </row>
    <row r="5136">
      <c r="H5136" s="273" t="s">
        <v>325</v>
      </c>
    </row>
    <row r="5137">
      <c r="H5137" s="273" t="s">
        <v>325</v>
      </c>
    </row>
    <row r="5138">
      <c r="H5138" s="273" t="s">
        <v>325</v>
      </c>
    </row>
    <row r="5139">
      <c r="H5139" s="273" t="s">
        <v>325</v>
      </c>
    </row>
    <row r="5140">
      <c r="H5140" s="273" t="s">
        <v>325</v>
      </c>
    </row>
    <row r="5141">
      <c r="H5141" s="273" t="s">
        <v>325</v>
      </c>
    </row>
    <row r="5142">
      <c r="H5142" s="273" t="s">
        <v>325</v>
      </c>
    </row>
    <row r="5143">
      <c r="H5143" s="273" t="s">
        <v>325</v>
      </c>
    </row>
    <row r="5144">
      <c r="H5144" s="273" t="s">
        <v>325</v>
      </c>
    </row>
    <row r="5145">
      <c r="H5145" s="273" t="s">
        <v>325</v>
      </c>
    </row>
    <row r="5146">
      <c r="H5146" s="273" t="s">
        <v>325</v>
      </c>
    </row>
    <row r="5147">
      <c r="H5147" s="273" t="s">
        <v>325</v>
      </c>
    </row>
    <row r="5148">
      <c r="H5148" s="273" t="s">
        <v>325</v>
      </c>
    </row>
    <row r="5149">
      <c r="H5149" s="273" t="s">
        <v>325</v>
      </c>
    </row>
    <row r="5150">
      <c r="H5150" s="273" t="s">
        <v>325</v>
      </c>
    </row>
    <row r="5151">
      <c r="H5151" s="273" t="s">
        <v>325</v>
      </c>
    </row>
    <row r="5152">
      <c r="H5152" s="273" t="s">
        <v>325</v>
      </c>
    </row>
    <row r="5153">
      <c r="H5153" s="273" t="s">
        <v>325</v>
      </c>
    </row>
    <row r="5154">
      <c r="H5154" s="273" t="s">
        <v>325</v>
      </c>
    </row>
    <row r="5155">
      <c r="H5155" s="273" t="s">
        <v>325</v>
      </c>
    </row>
    <row r="5156">
      <c r="H5156" s="273" t="s">
        <v>325</v>
      </c>
    </row>
    <row r="5157">
      <c r="H5157" s="273" t="s">
        <v>325</v>
      </c>
    </row>
    <row r="5158">
      <c r="H5158" s="273" t="s">
        <v>325</v>
      </c>
    </row>
    <row r="5159">
      <c r="H5159" s="273" t="s">
        <v>325</v>
      </c>
    </row>
    <row r="5160">
      <c r="H5160" s="273" t="s">
        <v>325</v>
      </c>
    </row>
    <row r="5161">
      <c r="H5161" s="273" t="s">
        <v>325</v>
      </c>
    </row>
    <row r="5162">
      <c r="H5162" s="273" t="s">
        <v>325</v>
      </c>
    </row>
    <row r="5163">
      <c r="H5163" s="273" t="s">
        <v>325</v>
      </c>
    </row>
    <row r="5164">
      <c r="H5164" s="273" t="s">
        <v>325</v>
      </c>
    </row>
    <row r="5165">
      <c r="H5165" s="273" t="s">
        <v>325</v>
      </c>
    </row>
    <row r="5166">
      <c r="H5166" s="273" t="s">
        <v>325</v>
      </c>
    </row>
    <row r="5167">
      <c r="H5167" s="273" t="s">
        <v>325</v>
      </c>
    </row>
    <row r="5168">
      <c r="H5168" s="273" t="s">
        <v>325</v>
      </c>
    </row>
    <row r="5169">
      <c r="H5169" s="273" t="s">
        <v>325</v>
      </c>
    </row>
    <row r="5170">
      <c r="H5170" s="273" t="s">
        <v>325</v>
      </c>
    </row>
    <row r="5171">
      <c r="H5171" s="273" t="s">
        <v>325</v>
      </c>
    </row>
    <row r="5172">
      <c r="H5172" s="273" t="s">
        <v>325</v>
      </c>
    </row>
    <row r="5173">
      <c r="H5173" s="273" t="s">
        <v>325</v>
      </c>
    </row>
    <row r="5174">
      <c r="H5174" s="273" t="s">
        <v>325</v>
      </c>
    </row>
    <row r="5175">
      <c r="H5175" s="273" t="s">
        <v>325</v>
      </c>
    </row>
    <row r="5176">
      <c r="H5176" s="273" t="s">
        <v>325</v>
      </c>
    </row>
    <row r="5177">
      <c r="H5177" s="273" t="s">
        <v>325</v>
      </c>
    </row>
    <row r="5178">
      <c r="H5178" s="273" t="s">
        <v>325</v>
      </c>
    </row>
    <row r="5179">
      <c r="H5179" s="273" t="s">
        <v>325</v>
      </c>
    </row>
    <row r="5180">
      <c r="H5180" s="273" t="s">
        <v>325</v>
      </c>
    </row>
    <row r="5181">
      <c r="H5181" s="273" t="s">
        <v>325</v>
      </c>
    </row>
    <row r="5182">
      <c r="H5182" s="273" t="s">
        <v>325</v>
      </c>
    </row>
    <row r="5183">
      <c r="H5183" s="273" t="s">
        <v>325</v>
      </c>
    </row>
    <row r="5184">
      <c r="H5184" s="273" t="s">
        <v>325</v>
      </c>
    </row>
    <row r="5185">
      <c r="H5185" s="273" t="s">
        <v>325</v>
      </c>
    </row>
    <row r="5186">
      <c r="H5186" s="273" t="s">
        <v>325</v>
      </c>
    </row>
    <row r="5187">
      <c r="H5187" s="273" t="s">
        <v>325</v>
      </c>
    </row>
    <row r="5188">
      <c r="H5188" s="273" t="s">
        <v>325</v>
      </c>
    </row>
    <row r="5189">
      <c r="H5189" s="273" t="s">
        <v>325</v>
      </c>
    </row>
    <row r="5190">
      <c r="H5190" s="273" t="s">
        <v>325</v>
      </c>
    </row>
    <row r="5191">
      <c r="H5191" s="273" t="s">
        <v>325</v>
      </c>
    </row>
    <row r="5192">
      <c r="H5192" s="273" t="s">
        <v>325</v>
      </c>
    </row>
    <row r="5193">
      <c r="H5193" s="273" t="s">
        <v>325</v>
      </c>
    </row>
    <row r="5194">
      <c r="H5194" s="273" t="s">
        <v>325</v>
      </c>
    </row>
    <row r="5195">
      <c r="H5195" s="273" t="s">
        <v>325</v>
      </c>
    </row>
    <row r="5196">
      <c r="H5196" s="273" t="s">
        <v>325</v>
      </c>
    </row>
    <row r="5197">
      <c r="H5197" s="273" t="s">
        <v>325</v>
      </c>
    </row>
    <row r="5198">
      <c r="H5198" s="273" t="s">
        <v>325</v>
      </c>
    </row>
    <row r="5199">
      <c r="H5199" s="273" t="s">
        <v>325</v>
      </c>
    </row>
    <row r="5200">
      <c r="H5200" s="273" t="s">
        <v>325</v>
      </c>
    </row>
    <row r="5201">
      <c r="H5201" s="273" t="s">
        <v>325</v>
      </c>
    </row>
    <row r="5202">
      <c r="H5202" s="273" t="s">
        <v>325</v>
      </c>
    </row>
    <row r="5203">
      <c r="H5203" s="273" t="s">
        <v>325</v>
      </c>
    </row>
    <row r="5204">
      <c r="H5204" s="273" t="s">
        <v>325</v>
      </c>
    </row>
    <row r="5205">
      <c r="H5205" s="273" t="s">
        <v>325</v>
      </c>
    </row>
    <row r="5206">
      <c r="H5206" s="273" t="s">
        <v>325</v>
      </c>
    </row>
    <row r="5207">
      <c r="H5207" s="273" t="s">
        <v>325</v>
      </c>
    </row>
    <row r="5208">
      <c r="H5208" s="273" t="s">
        <v>325</v>
      </c>
    </row>
    <row r="5209">
      <c r="H5209" s="273" t="s">
        <v>325</v>
      </c>
    </row>
    <row r="5210">
      <c r="H5210" s="273" t="s">
        <v>325</v>
      </c>
    </row>
    <row r="5211">
      <c r="H5211" s="273" t="s">
        <v>325</v>
      </c>
    </row>
    <row r="5212">
      <c r="H5212" s="273" t="s">
        <v>325</v>
      </c>
    </row>
    <row r="5213">
      <c r="H5213" s="273" t="s">
        <v>325</v>
      </c>
    </row>
    <row r="5214">
      <c r="H5214" s="273" t="s">
        <v>325</v>
      </c>
    </row>
    <row r="5215">
      <c r="H5215" s="273" t="s">
        <v>325</v>
      </c>
    </row>
    <row r="5216">
      <c r="H5216" s="273" t="s">
        <v>325</v>
      </c>
    </row>
    <row r="5217">
      <c r="H5217" s="273" t="s">
        <v>325</v>
      </c>
    </row>
    <row r="5218">
      <c r="H5218" s="273" t="s">
        <v>325</v>
      </c>
    </row>
    <row r="5219">
      <c r="H5219" s="273" t="s">
        <v>325</v>
      </c>
    </row>
    <row r="5220">
      <c r="H5220" s="273" t="s">
        <v>325</v>
      </c>
    </row>
    <row r="5221">
      <c r="H5221" s="273" t="s">
        <v>325</v>
      </c>
    </row>
    <row r="5222">
      <c r="H5222" s="273" t="s">
        <v>325</v>
      </c>
    </row>
    <row r="5223">
      <c r="H5223" s="273" t="s">
        <v>325</v>
      </c>
    </row>
    <row r="5224">
      <c r="H5224" s="273" t="s">
        <v>325</v>
      </c>
    </row>
    <row r="5225">
      <c r="H5225" s="273" t="s">
        <v>325</v>
      </c>
    </row>
    <row r="5226">
      <c r="H5226" s="273" t="s">
        <v>325</v>
      </c>
    </row>
    <row r="5227">
      <c r="H5227" s="273" t="s">
        <v>325</v>
      </c>
    </row>
    <row r="5228">
      <c r="H5228" s="273" t="s">
        <v>325</v>
      </c>
    </row>
    <row r="5229">
      <c r="H5229" s="273" t="s">
        <v>325</v>
      </c>
    </row>
    <row r="5230">
      <c r="H5230" s="273" t="s">
        <v>325</v>
      </c>
    </row>
    <row r="5231">
      <c r="H5231" s="273" t="s">
        <v>325</v>
      </c>
    </row>
    <row r="5232">
      <c r="H5232" s="273" t="s">
        <v>325</v>
      </c>
    </row>
    <row r="5233">
      <c r="H5233" s="273" t="s">
        <v>325</v>
      </c>
    </row>
    <row r="5234">
      <c r="H5234" s="273" t="s">
        <v>325</v>
      </c>
    </row>
    <row r="5235">
      <c r="H5235" s="273" t="s">
        <v>325</v>
      </c>
    </row>
    <row r="5236">
      <c r="H5236" s="273" t="s">
        <v>325</v>
      </c>
    </row>
    <row r="5237">
      <c r="H5237" s="273" t="s">
        <v>325</v>
      </c>
    </row>
    <row r="5238">
      <c r="H5238" s="273" t="s">
        <v>325</v>
      </c>
    </row>
    <row r="5239">
      <c r="H5239" s="273" t="s">
        <v>325</v>
      </c>
    </row>
    <row r="5240">
      <c r="H5240" s="273" t="s">
        <v>325</v>
      </c>
    </row>
    <row r="5241">
      <c r="H5241" s="273" t="s">
        <v>325</v>
      </c>
    </row>
    <row r="5242">
      <c r="H5242" s="273" t="s">
        <v>325</v>
      </c>
    </row>
    <row r="5243">
      <c r="H5243" s="273" t="s">
        <v>325</v>
      </c>
    </row>
    <row r="5244">
      <c r="H5244" s="273" t="s">
        <v>325</v>
      </c>
    </row>
    <row r="5245">
      <c r="H5245" s="273" t="s">
        <v>325</v>
      </c>
    </row>
    <row r="5246">
      <c r="H5246" s="273" t="s">
        <v>325</v>
      </c>
    </row>
    <row r="5247">
      <c r="H5247" s="273" t="s">
        <v>325</v>
      </c>
    </row>
    <row r="5248">
      <c r="H5248" s="273" t="s">
        <v>325</v>
      </c>
    </row>
    <row r="5249">
      <c r="H5249" s="273" t="s">
        <v>325</v>
      </c>
    </row>
    <row r="5250">
      <c r="H5250" s="273" t="s">
        <v>325</v>
      </c>
    </row>
    <row r="5251">
      <c r="H5251" s="273" t="s">
        <v>325</v>
      </c>
    </row>
    <row r="5252">
      <c r="H5252" s="273" t="s">
        <v>325</v>
      </c>
    </row>
    <row r="5253">
      <c r="H5253" s="273" t="s">
        <v>325</v>
      </c>
    </row>
    <row r="5254">
      <c r="H5254" s="273" t="s">
        <v>325</v>
      </c>
    </row>
    <row r="5255">
      <c r="H5255" s="273" t="s">
        <v>325</v>
      </c>
    </row>
    <row r="5256">
      <c r="H5256" s="273" t="s">
        <v>325</v>
      </c>
    </row>
    <row r="5257">
      <c r="H5257" s="273" t="s">
        <v>325</v>
      </c>
    </row>
    <row r="5258">
      <c r="H5258" s="273" t="s">
        <v>325</v>
      </c>
    </row>
    <row r="5259">
      <c r="H5259" s="273" t="s">
        <v>325</v>
      </c>
    </row>
    <row r="5260">
      <c r="H5260" s="273" t="s">
        <v>325</v>
      </c>
    </row>
    <row r="5261">
      <c r="H5261" s="273" t="s">
        <v>325</v>
      </c>
    </row>
    <row r="5262">
      <c r="H5262" s="273" t="s">
        <v>325</v>
      </c>
    </row>
    <row r="5263">
      <c r="H5263" s="273" t="s">
        <v>325</v>
      </c>
    </row>
    <row r="5264">
      <c r="H5264" s="273" t="s">
        <v>325</v>
      </c>
    </row>
    <row r="5265">
      <c r="H5265" s="273" t="s">
        <v>325</v>
      </c>
    </row>
    <row r="5266">
      <c r="H5266" s="273" t="s">
        <v>325</v>
      </c>
    </row>
    <row r="5267">
      <c r="H5267" s="273" t="s">
        <v>325</v>
      </c>
    </row>
    <row r="5268">
      <c r="H5268" s="273" t="s">
        <v>325</v>
      </c>
    </row>
    <row r="5269">
      <c r="H5269" s="273" t="s">
        <v>325</v>
      </c>
    </row>
    <row r="5270">
      <c r="H5270" s="273" t="s">
        <v>325</v>
      </c>
    </row>
    <row r="5271">
      <c r="H5271" s="273" t="s">
        <v>325</v>
      </c>
    </row>
    <row r="5272">
      <c r="H5272" s="273" t="s">
        <v>325</v>
      </c>
    </row>
    <row r="5273">
      <c r="H5273" s="273" t="s">
        <v>325</v>
      </c>
    </row>
    <row r="5274">
      <c r="H5274" s="273" t="s">
        <v>325</v>
      </c>
    </row>
    <row r="5275">
      <c r="H5275" s="273" t="s">
        <v>325</v>
      </c>
    </row>
    <row r="5276">
      <c r="H5276" s="273" t="s">
        <v>325</v>
      </c>
    </row>
    <row r="5277">
      <c r="H5277" s="273" t="s">
        <v>325</v>
      </c>
    </row>
    <row r="5278">
      <c r="H5278" s="273" t="s">
        <v>325</v>
      </c>
    </row>
    <row r="5279">
      <c r="H5279" s="273" t="s">
        <v>325</v>
      </c>
    </row>
    <row r="5280">
      <c r="H5280" s="273" t="s">
        <v>325</v>
      </c>
    </row>
    <row r="5281">
      <c r="H5281" s="273" t="s">
        <v>325</v>
      </c>
    </row>
    <row r="5282">
      <c r="H5282" s="273" t="s">
        <v>325</v>
      </c>
    </row>
    <row r="5283">
      <c r="H5283" s="273" t="s">
        <v>325</v>
      </c>
    </row>
    <row r="5284">
      <c r="H5284" s="273" t="s">
        <v>325</v>
      </c>
    </row>
    <row r="5285">
      <c r="H5285" s="273" t="s">
        <v>325</v>
      </c>
    </row>
    <row r="5286">
      <c r="H5286" s="273" t="s">
        <v>325</v>
      </c>
    </row>
    <row r="5287">
      <c r="H5287" s="273" t="s">
        <v>325</v>
      </c>
    </row>
    <row r="5288">
      <c r="H5288" s="273" t="s">
        <v>325</v>
      </c>
    </row>
    <row r="5289">
      <c r="H5289" s="273" t="s">
        <v>325</v>
      </c>
    </row>
    <row r="5290">
      <c r="H5290" s="273" t="s">
        <v>325</v>
      </c>
    </row>
    <row r="5291">
      <c r="H5291" s="273" t="s">
        <v>325</v>
      </c>
    </row>
    <row r="5292">
      <c r="H5292" s="273" t="s">
        <v>325</v>
      </c>
    </row>
    <row r="5293">
      <c r="H5293" s="273" t="s">
        <v>325</v>
      </c>
    </row>
    <row r="5294">
      <c r="H5294" s="273" t="s">
        <v>325</v>
      </c>
    </row>
    <row r="5295">
      <c r="H5295" s="273" t="s">
        <v>325</v>
      </c>
    </row>
    <row r="5296">
      <c r="H5296" s="273" t="s">
        <v>325</v>
      </c>
    </row>
    <row r="5297">
      <c r="H5297" s="273" t="s">
        <v>325</v>
      </c>
    </row>
    <row r="5298">
      <c r="H5298" s="273" t="s">
        <v>325</v>
      </c>
    </row>
    <row r="5299">
      <c r="H5299" s="273" t="s">
        <v>325</v>
      </c>
    </row>
    <row r="5300">
      <c r="H5300" s="273" t="s">
        <v>325</v>
      </c>
    </row>
    <row r="5301">
      <c r="H5301" s="273" t="s">
        <v>325</v>
      </c>
    </row>
    <row r="5302">
      <c r="H5302" s="273" t="s">
        <v>325</v>
      </c>
    </row>
    <row r="5303">
      <c r="H5303" s="273" t="s">
        <v>325</v>
      </c>
    </row>
    <row r="5304">
      <c r="H5304" s="273" t="s">
        <v>325</v>
      </c>
    </row>
    <row r="5305">
      <c r="H5305" s="273" t="s">
        <v>325</v>
      </c>
    </row>
    <row r="5306">
      <c r="H5306" s="273" t="s">
        <v>325</v>
      </c>
    </row>
    <row r="5307">
      <c r="H5307" s="273" t="s">
        <v>325</v>
      </c>
    </row>
    <row r="5308">
      <c r="H5308" s="273" t="s">
        <v>325</v>
      </c>
    </row>
    <row r="5309">
      <c r="H5309" s="273" t="s">
        <v>325</v>
      </c>
    </row>
    <row r="5310">
      <c r="H5310" s="273" t="s">
        <v>325</v>
      </c>
    </row>
    <row r="5311">
      <c r="H5311" s="273" t="s">
        <v>325</v>
      </c>
    </row>
    <row r="5312">
      <c r="H5312" s="273" t="s">
        <v>325</v>
      </c>
    </row>
    <row r="5313">
      <c r="H5313" s="273" t="s">
        <v>325</v>
      </c>
    </row>
    <row r="5314">
      <c r="H5314" s="273" t="s">
        <v>325</v>
      </c>
    </row>
    <row r="5315">
      <c r="H5315" s="273" t="s">
        <v>325</v>
      </c>
    </row>
    <row r="5316">
      <c r="H5316" s="273" t="s">
        <v>325</v>
      </c>
    </row>
    <row r="5317">
      <c r="H5317" s="273" t="s">
        <v>325</v>
      </c>
    </row>
    <row r="5318">
      <c r="H5318" s="273" t="s">
        <v>325</v>
      </c>
    </row>
    <row r="5319">
      <c r="H5319" s="273" t="s">
        <v>325</v>
      </c>
    </row>
    <row r="5320">
      <c r="H5320" s="273" t="s">
        <v>325</v>
      </c>
    </row>
    <row r="5321">
      <c r="H5321" s="273" t="s">
        <v>325</v>
      </c>
    </row>
    <row r="5322">
      <c r="H5322" s="273" t="s">
        <v>325</v>
      </c>
    </row>
    <row r="5323">
      <c r="H5323" s="273" t="s">
        <v>325</v>
      </c>
    </row>
    <row r="5324">
      <c r="H5324" s="273" t="s">
        <v>325</v>
      </c>
    </row>
    <row r="5325">
      <c r="H5325" s="273" t="s">
        <v>325</v>
      </c>
    </row>
    <row r="5326">
      <c r="H5326" s="273" t="s">
        <v>325</v>
      </c>
    </row>
    <row r="5327">
      <c r="H5327" s="273" t="s">
        <v>325</v>
      </c>
    </row>
    <row r="5328">
      <c r="H5328" s="273" t="s">
        <v>325</v>
      </c>
    </row>
    <row r="5329">
      <c r="H5329" s="273" t="s">
        <v>325</v>
      </c>
    </row>
    <row r="5330">
      <c r="H5330" s="273" t="s">
        <v>325</v>
      </c>
    </row>
    <row r="5331">
      <c r="H5331" s="273" t="s">
        <v>325</v>
      </c>
    </row>
    <row r="5332">
      <c r="H5332" s="273" t="s">
        <v>325</v>
      </c>
    </row>
    <row r="5333">
      <c r="H5333" s="273" t="s">
        <v>325</v>
      </c>
    </row>
    <row r="5334">
      <c r="H5334" s="273" t="s">
        <v>325</v>
      </c>
    </row>
    <row r="5335">
      <c r="H5335" s="273" t="s">
        <v>325</v>
      </c>
    </row>
    <row r="5336">
      <c r="H5336" s="273" t="s">
        <v>325</v>
      </c>
    </row>
    <row r="5337">
      <c r="H5337" s="273" t="s">
        <v>325</v>
      </c>
    </row>
    <row r="5338">
      <c r="H5338" s="273" t="s">
        <v>325</v>
      </c>
    </row>
    <row r="5339">
      <c r="H5339" s="273" t="s">
        <v>325</v>
      </c>
    </row>
    <row r="5340">
      <c r="H5340" s="273" t="s">
        <v>325</v>
      </c>
    </row>
    <row r="5341">
      <c r="H5341" s="273" t="s">
        <v>325</v>
      </c>
    </row>
    <row r="5342">
      <c r="H5342" s="273" t="s">
        <v>325</v>
      </c>
    </row>
    <row r="5343">
      <c r="H5343" s="273" t="s">
        <v>325</v>
      </c>
    </row>
    <row r="5344">
      <c r="H5344" s="273" t="s">
        <v>325</v>
      </c>
    </row>
    <row r="5345">
      <c r="H5345" s="273" t="s">
        <v>325</v>
      </c>
    </row>
    <row r="5346">
      <c r="H5346" s="273" t="s">
        <v>325</v>
      </c>
    </row>
    <row r="5347">
      <c r="H5347" s="273" t="s">
        <v>325</v>
      </c>
    </row>
    <row r="5348">
      <c r="H5348" s="273" t="s">
        <v>325</v>
      </c>
    </row>
    <row r="5349">
      <c r="H5349" s="273" t="s">
        <v>325</v>
      </c>
    </row>
    <row r="5350">
      <c r="H5350" s="273" t="s">
        <v>325</v>
      </c>
    </row>
    <row r="5351">
      <c r="H5351" s="273" t="s">
        <v>325</v>
      </c>
    </row>
    <row r="5352">
      <c r="H5352" s="273" t="s">
        <v>325</v>
      </c>
    </row>
    <row r="5353">
      <c r="H5353" s="273" t="s">
        <v>325</v>
      </c>
    </row>
    <row r="5354">
      <c r="H5354" s="273" t="s">
        <v>325</v>
      </c>
    </row>
    <row r="5355">
      <c r="H5355" s="273" t="s">
        <v>325</v>
      </c>
    </row>
    <row r="5356">
      <c r="H5356" s="273" t="s">
        <v>325</v>
      </c>
    </row>
    <row r="5357">
      <c r="H5357" s="273" t="s">
        <v>325</v>
      </c>
    </row>
    <row r="5358">
      <c r="H5358" s="273" t="s">
        <v>325</v>
      </c>
    </row>
    <row r="5359">
      <c r="H5359" s="273" t="s">
        <v>325</v>
      </c>
    </row>
    <row r="5360">
      <c r="H5360" s="273" t="s">
        <v>325</v>
      </c>
    </row>
    <row r="5361">
      <c r="H5361" s="273" t="s">
        <v>325</v>
      </c>
    </row>
    <row r="5362">
      <c r="H5362" s="273" t="s">
        <v>325</v>
      </c>
    </row>
    <row r="5363">
      <c r="H5363" s="273" t="s">
        <v>325</v>
      </c>
    </row>
    <row r="5364">
      <c r="H5364" s="273" t="s">
        <v>325</v>
      </c>
    </row>
    <row r="5365">
      <c r="H5365" s="273" t="s">
        <v>325</v>
      </c>
    </row>
    <row r="5366">
      <c r="H5366" s="273" t="s">
        <v>325</v>
      </c>
    </row>
    <row r="5367">
      <c r="H5367" s="273" t="s">
        <v>325</v>
      </c>
    </row>
    <row r="5368">
      <c r="H5368" s="273" t="s">
        <v>325</v>
      </c>
    </row>
    <row r="5369">
      <c r="H5369" s="273" t="s">
        <v>325</v>
      </c>
    </row>
    <row r="5370">
      <c r="H5370" s="273" t="s">
        <v>325</v>
      </c>
    </row>
    <row r="5371">
      <c r="H5371" s="273" t="s">
        <v>325</v>
      </c>
    </row>
    <row r="5372">
      <c r="H5372" s="273" t="s">
        <v>325</v>
      </c>
    </row>
    <row r="5373">
      <c r="H5373" s="273" t="s">
        <v>325</v>
      </c>
    </row>
    <row r="5374">
      <c r="H5374" s="273" t="s">
        <v>325</v>
      </c>
    </row>
    <row r="5375">
      <c r="H5375" s="273" t="s">
        <v>325</v>
      </c>
    </row>
    <row r="5376">
      <c r="H5376" s="273" t="s">
        <v>325</v>
      </c>
    </row>
    <row r="5377">
      <c r="H5377" s="273" t="s">
        <v>325</v>
      </c>
    </row>
    <row r="5378">
      <c r="H5378" s="273" t="s">
        <v>325</v>
      </c>
    </row>
    <row r="5379">
      <c r="H5379" s="273" t="s">
        <v>325</v>
      </c>
    </row>
    <row r="5380">
      <c r="H5380" s="273" t="s">
        <v>325</v>
      </c>
    </row>
    <row r="5381">
      <c r="H5381" s="273" t="s">
        <v>325</v>
      </c>
    </row>
    <row r="5382">
      <c r="H5382" s="273" t="s">
        <v>325</v>
      </c>
    </row>
    <row r="5383">
      <c r="H5383" s="273" t="s">
        <v>325</v>
      </c>
    </row>
    <row r="5384">
      <c r="H5384" s="273" t="s">
        <v>325</v>
      </c>
    </row>
    <row r="5385">
      <c r="H5385" s="273" t="s">
        <v>325</v>
      </c>
    </row>
    <row r="5386">
      <c r="H5386" s="273" t="s">
        <v>325</v>
      </c>
    </row>
    <row r="5387">
      <c r="H5387" s="273" t="s">
        <v>325</v>
      </c>
    </row>
    <row r="5388">
      <c r="H5388" s="273" t="s">
        <v>325</v>
      </c>
    </row>
    <row r="5389">
      <c r="H5389" s="273" t="s">
        <v>325</v>
      </c>
    </row>
    <row r="5390">
      <c r="H5390" s="273" t="s">
        <v>325</v>
      </c>
    </row>
    <row r="5391">
      <c r="H5391" s="273" t="s">
        <v>325</v>
      </c>
    </row>
    <row r="5392">
      <c r="H5392" s="273" t="s">
        <v>325</v>
      </c>
    </row>
    <row r="5393">
      <c r="H5393" s="273" t="s">
        <v>325</v>
      </c>
    </row>
    <row r="5394">
      <c r="H5394" s="273" t="s">
        <v>325</v>
      </c>
    </row>
    <row r="5395">
      <c r="H5395" s="273" t="s">
        <v>325</v>
      </c>
    </row>
    <row r="5396">
      <c r="H5396" s="273" t="s">
        <v>325</v>
      </c>
    </row>
    <row r="5397">
      <c r="H5397" s="273" t="s">
        <v>325</v>
      </c>
    </row>
    <row r="5398">
      <c r="H5398" s="273" t="s">
        <v>325</v>
      </c>
    </row>
    <row r="5399">
      <c r="H5399" s="273" t="s">
        <v>325</v>
      </c>
    </row>
    <row r="5400">
      <c r="H5400" s="273" t="s">
        <v>325</v>
      </c>
    </row>
    <row r="5401">
      <c r="H5401" s="273" t="s">
        <v>325</v>
      </c>
    </row>
    <row r="5402">
      <c r="H5402" s="273" t="s">
        <v>325</v>
      </c>
    </row>
    <row r="5403">
      <c r="H5403" s="273" t="s">
        <v>325</v>
      </c>
    </row>
    <row r="5404">
      <c r="H5404" s="273" t="s">
        <v>325</v>
      </c>
    </row>
    <row r="5405">
      <c r="H5405" s="273" t="s">
        <v>325</v>
      </c>
    </row>
    <row r="5406">
      <c r="H5406" s="273" t="s">
        <v>325</v>
      </c>
    </row>
    <row r="5407">
      <c r="H5407" s="273" t="s">
        <v>325</v>
      </c>
    </row>
    <row r="5408">
      <c r="H5408" s="273" t="s">
        <v>325</v>
      </c>
    </row>
    <row r="5409">
      <c r="H5409" s="273" t="s">
        <v>325</v>
      </c>
    </row>
    <row r="5410">
      <c r="H5410" s="273" t="s">
        <v>325</v>
      </c>
    </row>
    <row r="5411">
      <c r="H5411" s="273" t="s">
        <v>325</v>
      </c>
    </row>
    <row r="5412">
      <c r="H5412" s="273" t="s">
        <v>325</v>
      </c>
    </row>
    <row r="5413">
      <c r="H5413" s="273" t="s">
        <v>325</v>
      </c>
    </row>
    <row r="5414">
      <c r="H5414" s="273" t="s">
        <v>325</v>
      </c>
    </row>
    <row r="5415">
      <c r="H5415" s="273" t="s">
        <v>325</v>
      </c>
    </row>
    <row r="5416">
      <c r="H5416" s="273" t="s">
        <v>325</v>
      </c>
    </row>
    <row r="5417">
      <c r="H5417" s="273" t="s">
        <v>325</v>
      </c>
    </row>
    <row r="5418">
      <c r="H5418" s="273" t="s">
        <v>325</v>
      </c>
    </row>
    <row r="5419">
      <c r="H5419" s="273" t="s">
        <v>325</v>
      </c>
    </row>
    <row r="5420">
      <c r="H5420" s="273" t="s">
        <v>325</v>
      </c>
    </row>
    <row r="5421">
      <c r="H5421" s="273" t="s">
        <v>325</v>
      </c>
    </row>
    <row r="5422">
      <c r="H5422" s="273" t="s">
        <v>325</v>
      </c>
    </row>
    <row r="5423">
      <c r="H5423" s="273" t="s">
        <v>325</v>
      </c>
    </row>
    <row r="5424">
      <c r="H5424" s="273" t="s">
        <v>325</v>
      </c>
    </row>
    <row r="5425">
      <c r="H5425" s="273" t="s">
        <v>325</v>
      </c>
    </row>
    <row r="5426">
      <c r="H5426" s="273" t="s">
        <v>325</v>
      </c>
    </row>
    <row r="5427">
      <c r="H5427" s="273" t="s">
        <v>325</v>
      </c>
    </row>
    <row r="5428">
      <c r="H5428" s="273" t="s">
        <v>325</v>
      </c>
    </row>
    <row r="5429">
      <c r="H5429" s="273" t="s">
        <v>325</v>
      </c>
    </row>
    <row r="5430">
      <c r="H5430" s="273" t="s">
        <v>325</v>
      </c>
    </row>
    <row r="5431">
      <c r="H5431" s="273" t="s">
        <v>325</v>
      </c>
    </row>
    <row r="5432">
      <c r="H5432" s="273" t="s">
        <v>325</v>
      </c>
    </row>
    <row r="5433">
      <c r="H5433" s="273" t="s">
        <v>325</v>
      </c>
    </row>
    <row r="5434">
      <c r="H5434" s="273" t="s">
        <v>325</v>
      </c>
    </row>
    <row r="5435">
      <c r="H5435" s="273" t="s">
        <v>325</v>
      </c>
    </row>
    <row r="5436">
      <c r="H5436" s="273" t="s">
        <v>325</v>
      </c>
    </row>
    <row r="5437">
      <c r="H5437" s="273" t="s">
        <v>325</v>
      </c>
    </row>
    <row r="5438">
      <c r="H5438" s="273" t="s">
        <v>325</v>
      </c>
    </row>
    <row r="5439">
      <c r="H5439" s="273" t="s">
        <v>325</v>
      </c>
    </row>
    <row r="5440">
      <c r="H5440" s="273" t="s">
        <v>325</v>
      </c>
    </row>
    <row r="5441">
      <c r="H5441" s="273" t="s">
        <v>325</v>
      </c>
    </row>
    <row r="5442">
      <c r="H5442" s="273" t="s">
        <v>325</v>
      </c>
    </row>
    <row r="5443">
      <c r="H5443" s="273" t="s">
        <v>325</v>
      </c>
    </row>
    <row r="5444">
      <c r="H5444" s="273" t="s">
        <v>325</v>
      </c>
    </row>
    <row r="5445">
      <c r="H5445" s="273" t="s">
        <v>325</v>
      </c>
    </row>
    <row r="5446">
      <c r="H5446" s="273" t="s">
        <v>325</v>
      </c>
    </row>
    <row r="5447">
      <c r="H5447" s="273" t="s">
        <v>325</v>
      </c>
    </row>
    <row r="5448">
      <c r="H5448" s="273" t="s">
        <v>325</v>
      </c>
    </row>
    <row r="5449">
      <c r="H5449" s="273" t="s">
        <v>325</v>
      </c>
    </row>
    <row r="5450">
      <c r="H5450" s="273" t="s">
        <v>325</v>
      </c>
    </row>
    <row r="5451">
      <c r="H5451" s="273" t="s">
        <v>325</v>
      </c>
    </row>
    <row r="5452">
      <c r="H5452" s="273" t="s">
        <v>325</v>
      </c>
    </row>
    <row r="5453">
      <c r="H5453" s="273" t="s">
        <v>325</v>
      </c>
    </row>
    <row r="5454">
      <c r="H5454" s="273" t="s">
        <v>325</v>
      </c>
    </row>
    <row r="5455">
      <c r="H5455" s="273" t="s">
        <v>325</v>
      </c>
    </row>
    <row r="5456">
      <c r="H5456" s="273" t="s">
        <v>325</v>
      </c>
    </row>
    <row r="5457">
      <c r="H5457" s="273" t="s">
        <v>325</v>
      </c>
    </row>
    <row r="5458">
      <c r="H5458" s="273" t="s">
        <v>325</v>
      </c>
    </row>
    <row r="5459">
      <c r="H5459" s="273" t="s">
        <v>325</v>
      </c>
    </row>
    <row r="5460">
      <c r="H5460" s="273" t="s">
        <v>325</v>
      </c>
    </row>
    <row r="5461">
      <c r="H5461" s="273" t="s">
        <v>325</v>
      </c>
    </row>
    <row r="5462">
      <c r="H5462" s="273" t="s">
        <v>325</v>
      </c>
    </row>
    <row r="5463">
      <c r="H5463" s="273" t="s">
        <v>325</v>
      </c>
    </row>
    <row r="5464">
      <c r="H5464" s="273" t="s">
        <v>325</v>
      </c>
    </row>
    <row r="5465">
      <c r="H5465" s="273" t="s">
        <v>325</v>
      </c>
    </row>
    <row r="5466">
      <c r="H5466" s="273" t="s">
        <v>325</v>
      </c>
    </row>
    <row r="5467">
      <c r="H5467" s="273" t="s">
        <v>325</v>
      </c>
    </row>
    <row r="5468">
      <c r="H5468" s="273" t="s">
        <v>325</v>
      </c>
    </row>
    <row r="5469">
      <c r="H5469" s="273" t="s">
        <v>325</v>
      </c>
    </row>
    <row r="5470">
      <c r="H5470" s="273" t="s">
        <v>325</v>
      </c>
    </row>
    <row r="5471">
      <c r="H5471" s="273" t="s">
        <v>325</v>
      </c>
    </row>
    <row r="5472">
      <c r="H5472" s="273" t="s">
        <v>325</v>
      </c>
    </row>
    <row r="5473">
      <c r="H5473" s="273" t="s">
        <v>325</v>
      </c>
    </row>
    <row r="5474">
      <c r="H5474" s="273" t="s">
        <v>325</v>
      </c>
    </row>
    <row r="5475">
      <c r="H5475" s="273" t="s">
        <v>325</v>
      </c>
    </row>
    <row r="5476">
      <c r="H5476" s="273" t="s">
        <v>325</v>
      </c>
    </row>
    <row r="5477">
      <c r="H5477" s="273" t="s">
        <v>325</v>
      </c>
    </row>
    <row r="5478">
      <c r="H5478" s="273" t="s">
        <v>325</v>
      </c>
    </row>
    <row r="5479">
      <c r="H5479" s="273" t="s">
        <v>325</v>
      </c>
    </row>
    <row r="5480">
      <c r="H5480" s="273" t="s">
        <v>325</v>
      </c>
    </row>
    <row r="5481">
      <c r="H5481" s="273" t="s">
        <v>325</v>
      </c>
    </row>
    <row r="5482">
      <c r="H5482" s="273" t="s">
        <v>325</v>
      </c>
    </row>
    <row r="5483">
      <c r="H5483" s="273" t="s">
        <v>325</v>
      </c>
    </row>
    <row r="5484">
      <c r="H5484" s="273" t="s">
        <v>325</v>
      </c>
    </row>
    <row r="5485">
      <c r="H5485" s="273" t="s">
        <v>325</v>
      </c>
    </row>
    <row r="5486">
      <c r="H5486" s="273" t="s">
        <v>325</v>
      </c>
    </row>
    <row r="5487">
      <c r="H5487" s="273" t="s">
        <v>325</v>
      </c>
    </row>
    <row r="5488">
      <c r="H5488" s="273" t="s">
        <v>325</v>
      </c>
    </row>
    <row r="5489">
      <c r="H5489" s="273" t="s">
        <v>325</v>
      </c>
    </row>
    <row r="5490">
      <c r="H5490" s="273" t="s">
        <v>325</v>
      </c>
    </row>
    <row r="5491">
      <c r="H5491" s="273" t="s">
        <v>325</v>
      </c>
    </row>
    <row r="5492">
      <c r="H5492" s="273" t="s">
        <v>325</v>
      </c>
    </row>
    <row r="5493">
      <c r="H5493" s="273" t="s">
        <v>325</v>
      </c>
    </row>
    <row r="5494">
      <c r="H5494" s="273" t="s">
        <v>325</v>
      </c>
    </row>
    <row r="5495">
      <c r="H5495" s="273" t="s">
        <v>325</v>
      </c>
    </row>
    <row r="5496">
      <c r="H5496" s="273" t="s">
        <v>325</v>
      </c>
    </row>
    <row r="5497">
      <c r="H5497" s="273" t="s">
        <v>325</v>
      </c>
    </row>
    <row r="5498">
      <c r="H5498" s="273" t="s">
        <v>325</v>
      </c>
    </row>
    <row r="5499">
      <c r="H5499" s="273" t="s">
        <v>325</v>
      </c>
    </row>
    <row r="5500">
      <c r="H5500" s="273" t="s">
        <v>325</v>
      </c>
    </row>
    <row r="5501">
      <c r="H5501" s="273" t="s">
        <v>325</v>
      </c>
    </row>
    <row r="5502">
      <c r="H5502" s="273" t="s">
        <v>325</v>
      </c>
    </row>
    <row r="5503">
      <c r="H5503" s="273" t="s">
        <v>325</v>
      </c>
    </row>
    <row r="5504">
      <c r="H5504" s="273" t="s">
        <v>325</v>
      </c>
    </row>
    <row r="5505">
      <c r="H5505" s="273" t="s">
        <v>325</v>
      </c>
    </row>
    <row r="5506">
      <c r="H5506" s="273" t="s">
        <v>325</v>
      </c>
    </row>
    <row r="5507">
      <c r="H5507" s="273" t="s">
        <v>325</v>
      </c>
    </row>
    <row r="5508">
      <c r="H5508" s="273" t="s">
        <v>325</v>
      </c>
    </row>
    <row r="5509">
      <c r="H5509" s="273" t="s">
        <v>325</v>
      </c>
    </row>
    <row r="5510">
      <c r="H5510" s="273" t="s">
        <v>325</v>
      </c>
    </row>
    <row r="5511">
      <c r="H5511" s="273" t="s">
        <v>325</v>
      </c>
    </row>
    <row r="5512">
      <c r="H5512" s="273" t="s">
        <v>325</v>
      </c>
    </row>
    <row r="5513">
      <c r="H5513" s="273" t="s">
        <v>325</v>
      </c>
    </row>
    <row r="5514">
      <c r="H5514" s="273" t="s">
        <v>325</v>
      </c>
    </row>
    <row r="5515">
      <c r="H5515" s="273" t="s">
        <v>325</v>
      </c>
    </row>
    <row r="5516">
      <c r="H5516" s="273" t="s">
        <v>325</v>
      </c>
    </row>
    <row r="5517">
      <c r="H5517" s="273" t="s">
        <v>325</v>
      </c>
    </row>
    <row r="5518">
      <c r="H5518" s="273" t="s">
        <v>325</v>
      </c>
    </row>
    <row r="5519">
      <c r="H5519" s="273" t="s">
        <v>325</v>
      </c>
    </row>
    <row r="5520">
      <c r="H5520" s="273" t="s">
        <v>325</v>
      </c>
    </row>
    <row r="5521">
      <c r="H5521" s="273" t="s">
        <v>325</v>
      </c>
    </row>
    <row r="5522">
      <c r="H5522" s="273" t="s">
        <v>325</v>
      </c>
    </row>
    <row r="5523">
      <c r="H5523" s="273" t="s">
        <v>325</v>
      </c>
    </row>
    <row r="5524">
      <c r="H5524" s="273" t="s">
        <v>325</v>
      </c>
    </row>
    <row r="5525">
      <c r="H5525" s="273" t="s">
        <v>325</v>
      </c>
    </row>
    <row r="5526">
      <c r="H5526" s="273" t="s">
        <v>325</v>
      </c>
    </row>
    <row r="5527">
      <c r="H5527" s="273" t="s">
        <v>325</v>
      </c>
    </row>
    <row r="5528">
      <c r="H5528" s="273" t="s">
        <v>325</v>
      </c>
    </row>
    <row r="5529">
      <c r="H5529" s="273" t="s">
        <v>325</v>
      </c>
    </row>
    <row r="5530">
      <c r="H5530" s="273" t="s">
        <v>325</v>
      </c>
    </row>
    <row r="5531">
      <c r="H5531" s="273" t="s">
        <v>325</v>
      </c>
    </row>
    <row r="5532">
      <c r="H5532" s="273" t="s">
        <v>325</v>
      </c>
    </row>
    <row r="5533">
      <c r="H5533" s="273" t="s">
        <v>325</v>
      </c>
    </row>
    <row r="5534">
      <c r="H5534" s="273" t="s">
        <v>325</v>
      </c>
    </row>
    <row r="5535">
      <c r="H5535" s="273" t="s">
        <v>325</v>
      </c>
    </row>
    <row r="5536">
      <c r="H5536" s="273" t="s">
        <v>325</v>
      </c>
    </row>
    <row r="5537">
      <c r="H5537" s="273" t="s">
        <v>325</v>
      </c>
    </row>
    <row r="5538">
      <c r="H5538" s="273" t="s">
        <v>325</v>
      </c>
    </row>
    <row r="5539">
      <c r="H5539" s="273" t="s">
        <v>325</v>
      </c>
    </row>
    <row r="5540">
      <c r="H5540" s="273" t="s">
        <v>325</v>
      </c>
    </row>
    <row r="5541">
      <c r="H5541" s="273" t="s">
        <v>325</v>
      </c>
    </row>
    <row r="5542">
      <c r="H5542" s="273" t="s">
        <v>325</v>
      </c>
    </row>
    <row r="5543">
      <c r="H5543" s="273" t="s">
        <v>325</v>
      </c>
    </row>
    <row r="5544">
      <c r="H5544" s="273" t="s">
        <v>325</v>
      </c>
    </row>
    <row r="5545">
      <c r="H5545" s="273" t="s">
        <v>325</v>
      </c>
    </row>
    <row r="5546">
      <c r="H5546" s="273" t="s">
        <v>325</v>
      </c>
    </row>
    <row r="5547">
      <c r="H5547" s="273" t="s">
        <v>325</v>
      </c>
    </row>
    <row r="5548">
      <c r="H5548" s="273" t="s">
        <v>325</v>
      </c>
    </row>
    <row r="5549">
      <c r="H5549" s="273" t="s">
        <v>325</v>
      </c>
    </row>
    <row r="5550">
      <c r="H5550" s="273" t="s">
        <v>325</v>
      </c>
    </row>
    <row r="5551">
      <c r="H5551" s="273" t="s">
        <v>325</v>
      </c>
    </row>
    <row r="5552">
      <c r="H5552" s="273" t="s">
        <v>325</v>
      </c>
    </row>
    <row r="5553">
      <c r="H5553" s="273" t="s">
        <v>325</v>
      </c>
    </row>
    <row r="5554">
      <c r="H5554" s="273" t="s">
        <v>325</v>
      </c>
    </row>
    <row r="5555">
      <c r="H5555" s="273" t="s">
        <v>325</v>
      </c>
    </row>
    <row r="5556">
      <c r="H5556" s="273" t="s">
        <v>325</v>
      </c>
    </row>
    <row r="5557">
      <c r="H5557" s="273" t="s">
        <v>325</v>
      </c>
    </row>
    <row r="5558">
      <c r="H5558" s="273" t="s">
        <v>325</v>
      </c>
    </row>
    <row r="5559">
      <c r="H5559" s="273" t="s">
        <v>325</v>
      </c>
    </row>
    <row r="5560">
      <c r="H5560" s="273" t="s">
        <v>325</v>
      </c>
    </row>
    <row r="5561">
      <c r="H5561" s="273" t="s">
        <v>325</v>
      </c>
    </row>
    <row r="5562">
      <c r="H5562" s="273" t="s">
        <v>325</v>
      </c>
    </row>
    <row r="5563">
      <c r="H5563" s="273" t="s">
        <v>325</v>
      </c>
    </row>
    <row r="5564">
      <c r="H5564" s="273" t="s">
        <v>325</v>
      </c>
    </row>
    <row r="5565">
      <c r="H5565" s="273" t="s">
        <v>325</v>
      </c>
    </row>
    <row r="5566">
      <c r="H5566" s="273" t="s">
        <v>325</v>
      </c>
    </row>
    <row r="5567">
      <c r="H5567" s="273" t="s">
        <v>325</v>
      </c>
    </row>
    <row r="5568">
      <c r="H5568" s="273" t="s">
        <v>325</v>
      </c>
    </row>
    <row r="5569">
      <c r="H5569" s="273" t="s">
        <v>325</v>
      </c>
    </row>
    <row r="5570">
      <c r="H5570" s="273" t="s">
        <v>325</v>
      </c>
    </row>
    <row r="5571">
      <c r="H5571" s="273" t="s">
        <v>325</v>
      </c>
    </row>
    <row r="5572">
      <c r="H5572" s="273" t="s">
        <v>325</v>
      </c>
    </row>
    <row r="5573">
      <c r="H5573" s="273" t="s">
        <v>325</v>
      </c>
    </row>
    <row r="5574">
      <c r="H5574" s="273" t="s">
        <v>325</v>
      </c>
    </row>
    <row r="5575">
      <c r="H5575" s="273" t="s">
        <v>325</v>
      </c>
    </row>
    <row r="5576">
      <c r="H5576" s="273" t="s">
        <v>325</v>
      </c>
    </row>
    <row r="5577">
      <c r="H5577" s="273" t="s">
        <v>325</v>
      </c>
    </row>
    <row r="5578">
      <c r="H5578" s="273" t="s">
        <v>325</v>
      </c>
    </row>
    <row r="5579">
      <c r="H5579" s="273" t="s">
        <v>325</v>
      </c>
    </row>
    <row r="5580">
      <c r="H5580" s="273" t="s">
        <v>325</v>
      </c>
    </row>
    <row r="5581">
      <c r="H5581" s="273" t="s">
        <v>325</v>
      </c>
    </row>
    <row r="5582">
      <c r="H5582" s="273" t="s">
        <v>325</v>
      </c>
    </row>
    <row r="5583">
      <c r="H5583" s="273" t="s">
        <v>325</v>
      </c>
    </row>
    <row r="5584">
      <c r="H5584" s="273" t="s">
        <v>325</v>
      </c>
    </row>
    <row r="5585">
      <c r="H5585" s="273" t="s">
        <v>325</v>
      </c>
    </row>
    <row r="5586">
      <c r="H5586" s="273" t="s">
        <v>325</v>
      </c>
    </row>
    <row r="5587">
      <c r="H5587" s="273" t="s">
        <v>325</v>
      </c>
    </row>
    <row r="5588">
      <c r="H5588" s="273" t="s">
        <v>325</v>
      </c>
    </row>
    <row r="5589">
      <c r="H5589" s="273" t="s">
        <v>325</v>
      </c>
    </row>
    <row r="5590">
      <c r="H5590" s="273" t="s">
        <v>325</v>
      </c>
    </row>
    <row r="5591">
      <c r="H5591" s="273" t="s">
        <v>325</v>
      </c>
    </row>
    <row r="5592">
      <c r="H5592" s="273" t="s">
        <v>325</v>
      </c>
    </row>
    <row r="5593">
      <c r="H5593" s="273" t="s">
        <v>325</v>
      </c>
    </row>
    <row r="5594">
      <c r="H5594" s="273" t="s">
        <v>325</v>
      </c>
    </row>
    <row r="5595">
      <c r="H5595" s="273" t="s">
        <v>325</v>
      </c>
    </row>
    <row r="5596">
      <c r="H5596" s="273" t="s">
        <v>325</v>
      </c>
    </row>
    <row r="5597">
      <c r="H5597" s="273" t="s">
        <v>325</v>
      </c>
    </row>
    <row r="5598">
      <c r="H5598" s="273" t="s">
        <v>325</v>
      </c>
    </row>
    <row r="5599">
      <c r="H5599" s="273" t="s">
        <v>325</v>
      </c>
    </row>
    <row r="5600">
      <c r="H5600" s="273" t="s">
        <v>325</v>
      </c>
    </row>
    <row r="5601">
      <c r="H5601" s="273" t="s">
        <v>325</v>
      </c>
    </row>
    <row r="5602">
      <c r="H5602" s="273" t="s">
        <v>325</v>
      </c>
    </row>
    <row r="5603">
      <c r="H5603" s="273" t="s">
        <v>325</v>
      </c>
    </row>
    <row r="5604">
      <c r="H5604" s="273" t="s">
        <v>325</v>
      </c>
    </row>
    <row r="5605">
      <c r="H5605" s="273" t="s">
        <v>325</v>
      </c>
    </row>
    <row r="5606">
      <c r="H5606" s="273" t="s">
        <v>325</v>
      </c>
    </row>
    <row r="5607">
      <c r="H5607" s="273" t="s">
        <v>325</v>
      </c>
    </row>
    <row r="5608">
      <c r="H5608" s="273" t="s">
        <v>325</v>
      </c>
    </row>
    <row r="5609">
      <c r="H5609" s="273" t="s">
        <v>325</v>
      </c>
    </row>
    <row r="5610">
      <c r="H5610" s="273" t="s">
        <v>325</v>
      </c>
    </row>
    <row r="5611">
      <c r="H5611" s="273" t="s">
        <v>325</v>
      </c>
    </row>
    <row r="5612">
      <c r="H5612" s="273" t="s">
        <v>325</v>
      </c>
    </row>
    <row r="5613">
      <c r="H5613" s="273" t="s">
        <v>325</v>
      </c>
    </row>
    <row r="5614">
      <c r="H5614" s="273" t="s">
        <v>325</v>
      </c>
    </row>
    <row r="5615">
      <c r="H5615" s="273" t="s">
        <v>325</v>
      </c>
    </row>
    <row r="5616">
      <c r="H5616" s="273" t="s">
        <v>325</v>
      </c>
    </row>
    <row r="5617">
      <c r="H5617" s="273" t="s">
        <v>325</v>
      </c>
    </row>
    <row r="5618">
      <c r="H5618" s="273" t="s">
        <v>325</v>
      </c>
    </row>
    <row r="5619">
      <c r="H5619" s="273" t="s">
        <v>325</v>
      </c>
    </row>
    <row r="5620">
      <c r="H5620" s="273" t="s">
        <v>325</v>
      </c>
    </row>
    <row r="5621">
      <c r="H5621" s="273" t="s">
        <v>325</v>
      </c>
    </row>
    <row r="5622">
      <c r="H5622" s="273" t="s">
        <v>325</v>
      </c>
    </row>
    <row r="5623">
      <c r="H5623" s="273" t="s">
        <v>325</v>
      </c>
    </row>
    <row r="5624">
      <c r="H5624" s="273" t="s">
        <v>325</v>
      </c>
    </row>
    <row r="5625">
      <c r="H5625" s="273" t="s">
        <v>325</v>
      </c>
    </row>
    <row r="5626">
      <c r="H5626" s="273" t="s">
        <v>325</v>
      </c>
    </row>
    <row r="5627">
      <c r="H5627" s="273" t="s">
        <v>325</v>
      </c>
    </row>
    <row r="5628">
      <c r="H5628" s="273" t="s">
        <v>325</v>
      </c>
    </row>
    <row r="5629">
      <c r="H5629" s="273" t="s">
        <v>325</v>
      </c>
    </row>
    <row r="5630">
      <c r="H5630" s="273" t="s">
        <v>325</v>
      </c>
    </row>
    <row r="5631">
      <c r="H5631" s="273" t="s">
        <v>325</v>
      </c>
    </row>
    <row r="5632">
      <c r="H5632" s="273" t="s">
        <v>325</v>
      </c>
    </row>
    <row r="5633">
      <c r="H5633" s="273" t="s">
        <v>325</v>
      </c>
    </row>
    <row r="5634">
      <c r="H5634" s="273" t="s">
        <v>325</v>
      </c>
    </row>
    <row r="5635">
      <c r="H5635" s="273" t="s">
        <v>325</v>
      </c>
    </row>
    <row r="5636">
      <c r="H5636" s="273" t="s">
        <v>325</v>
      </c>
    </row>
    <row r="5637">
      <c r="H5637" s="273" t="s">
        <v>325</v>
      </c>
    </row>
    <row r="5638">
      <c r="H5638" s="273" t="s">
        <v>325</v>
      </c>
    </row>
    <row r="5639">
      <c r="H5639" s="273" t="s">
        <v>325</v>
      </c>
    </row>
    <row r="5640">
      <c r="H5640" s="273" t="s">
        <v>325</v>
      </c>
    </row>
    <row r="5641">
      <c r="H5641" s="273" t="s">
        <v>325</v>
      </c>
    </row>
    <row r="5642">
      <c r="H5642" s="273" t="s">
        <v>325</v>
      </c>
    </row>
    <row r="5643">
      <c r="H5643" s="273" t="s">
        <v>325</v>
      </c>
    </row>
    <row r="5644">
      <c r="H5644" s="273" t="s">
        <v>325</v>
      </c>
    </row>
    <row r="5645">
      <c r="H5645" s="273" t="s">
        <v>325</v>
      </c>
    </row>
    <row r="5646">
      <c r="H5646" s="273" t="s">
        <v>325</v>
      </c>
    </row>
    <row r="5647">
      <c r="H5647" s="273" t="s">
        <v>325</v>
      </c>
    </row>
    <row r="5648">
      <c r="H5648" s="273" t="s">
        <v>325</v>
      </c>
    </row>
    <row r="5649">
      <c r="H5649" s="273" t="s">
        <v>325</v>
      </c>
    </row>
    <row r="5650">
      <c r="H5650" s="273" t="s">
        <v>325</v>
      </c>
    </row>
    <row r="5651">
      <c r="H5651" s="273" t="s">
        <v>325</v>
      </c>
    </row>
    <row r="5652">
      <c r="H5652" s="273" t="s">
        <v>325</v>
      </c>
    </row>
    <row r="5653">
      <c r="H5653" s="273" t="s">
        <v>325</v>
      </c>
    </row>
    <row r="5654">
      <c r="H5654" s="273" t="s">
        <v>325</v>
      </c>
    </row>
    <row r="5655">
      <c r="H5655" s="273" t="s">
        <v>325</v>
      </c>
    </row>
    <row r="5656">
      <c r="H5656" s="273" t="s">
        <v>325</v>
      </c>
    </row>
    <row r="5657">
      <c r="H5657" s="273" t="s">
        <v>325</v>
      </c>
    </row>
    <row r="5658">
      <c r="H5658" s="273" t="s">
        <v>325</v>
      </c>
    </row>
    <row r="5659">
      <c r="H5659" s="273" t="s">
        <v>325</v>
      </c>
    </row>
    <row r="5660">
      <c r="H5660" s="273" t="s">
        <v>325</v>
      </c>
    </row>
    <row r="5661">
      <c r="H5661" s="273" t="s">
        <v>325</v>
      </c>
    </row>
    <row r="5662">
      <c r="H5662" s="273" t="s">
        <v>325</v>
      </c>
    </row>
    <row r="5663">
      <c r="H5663" s="273" t="s">
        <v>325</v>
      </c>
    </row>
    <row r="5664">
      <c r="H5664" s="273" t="s">
        <v>325</v>
      </c>
    </row>
    <row r="5665">
      <c r="H5665" s="273" t="s">
        <v>325</v>
      </c>
    </row>
    <row r="5666">
      <c r="H5666" s="273" t="s">
        <v>325</v>
      </c>
    </row>
    <row r="5667">
      <c r="H5667" s="273" t="s">
        <v>325</v>
      </c>
    </row>
    <row r="5668">
      <c r="H5668" s="273" t="s">
        <v>325</v>
      </c>
    </row>
    <row r="5669">
      <c r="H5669" s="273" t="s">
        <v>325</v>
      </c>
    </row>
    <row r="5670">
      <c r="H5670" s="273" t="s">
        <v>325</v>
      </c>
    </row>
    <row r="5671">
      <c r="H5671" s="273" t="s">
        <v>325</v>
      </c>
    </row>
    <row r="5672">
      <c r="H5672" s="273" t="s">
        <v>325</v>
      </c>
    </row>
    <row r="5673">
      <c r="H5673" s="273" t="s">
        <v>325</v>
      </c>
    </row>
    <row r="5674">
      <c r="H5674" s="273" t="s">
        <v>325</v>
      </c>
    </row>
    <row r="5675">
      <c r="H5675" s="273" t="s">
        <v>325</v>
      </c>
    </row>
    <row r="5676">
      <c r="H5676" s="273" t="s">
        <v>325</v>
      </c>
    </row>
    <row r="5677">
      <c r="H5677" s="273" t="s">
        <v>325</v>
      </c>
    </row>
    <row r="5678">
      <c r="H5678" s="273" t="s">
        <v>325</v>
      </c>
    </row>
    <row r="5679">
      <c r="H5679" s="273" t="s">
        <v>325</v>
      </c>
    </row>
    <row r="5680">
      <c r="H5680" s="273" t="s">
        <v>325</v>
      </c>
    </row>
    <row r="5681">
      <c r="H5681" s="273" t="s">
        <v>325</v>
      </c>
    </row>
    <row r="5682">
      <c r="H5682" s="273" t="s">
        <v>325</v>
      </c>
    </row>
    <row r="5683">
      <c r="H5683" s="273" t="s">
        <v>325</v>
      </c>
    </row>
    <row r="5684">
      <c r="H5684" s="273" t="s">
        <v>325</v>
      </c>
    </row>
    <row r="5685">
      <c r="H5685" s="273" t="s">
        <v>325</v>
      </c>
    </row>
    <row r="5686">
      <c r="H5686" s="273" t="s">
        <v>325</v>
      </c>
    </row>
    <row r="5687">
      <c r="H5687" s="273" t="s">
        <v>325</v>
      </c>
    </row>
    <row r="5688">
      <c r="H5688" s="273" t="s">
        <v>325</v>
      </c>
    </row>
    <row r="5689">
      <c r="H5689" s="273" t="s">
        <v>325</v>
      </c>
    </row>
    <row r="5690">
      <c r="H5690" s="273" t="s">
        <v>325</v>
      </c>
    </row>
    <row r="5691">
      <c r="H5691" s="273" t="s">
        <v>325</v>
      </c>
    </row>
    <row r="5692">
      <c r="H5692" s="273" t="s">
        <v>325</v>
      </c>
    </row>
    <row r="5693">
      <c r="H5693" s="273" t="s">
        <v>325</v>
      </c>
    </row>
    <row r="5694">
      <c r="H5694" s="273" t="s">
        <v>325</v>
      </c>
    </row>
    <row r="5695">
      <c r="H5695" s="273" t="s">
        <v>325</v>
      </c>
    </row>
    <row r="5696">
      <c r="H5696" s="273" t="s">
        <v>325</v>
      </c>
    </row>
    <row r="5697">
      <c r="H5697" s="273" t="s">
        <v>325</v>
      </c>
    </row>
    <row r="5698">
      <c r="H5698" s="273" t="s">
        <v>325</v>
      </c>
    </row>
    <row r="5699">
      <c r="H5699" s="273" t="s">
        <v>325</v>
      </c>
    </row>
    <row r="5700">
      <c r="H5700" s="273" t="s">
        <v>325</v>
      </c>
    </row>
    <row r="5701">
      <c r="H5701" s="273" t="s">
        <v>325</v>
      </c>
    </row>
    <row r="5702">
      <c r="H5702" s="273" t="s">
        <v>325</v>
      </c>
    </row>
    <row r="5703">
      <c r="H5703" s="273" t="s">
        <v>325</v>
      </c>
    </row>
    <row r="5704">
      <c r="H5704" s="273" t="s">
        <v>325</v>
      </c>
    </row>
    <row r="5705">
      <c r="H5705" s="273" t="s">
        <v>325</v>
      </c>
    </row>
    <row r="5706">
      <c r="H5706" s="273" t="s">
        <v>325</v>
      </c>
    </row>
    <row r="5707">
      <c r="H5707" s="273" t="s">
        <v>325</v>
      </c>
    </row>
    <row r="5708">
      <c r="H5708" s="273" t="s">
        <v>325</v>
      </c>
    </row>
    <row r="5709">
      <c r="H5709" s="273" t="s">
        <v>325</v>
      </c>
    </row>
    <row r="5710">
      <c r="H5710" s="273" t="s">
        <v>325</v>
      </c>
    </row>
    <row r="5711">
      <c r="H5711" s="273" t="s">
        <v>325</v>
      </c>
    </row>
    <row r="5712">
      <c r="H5712" s="273" t="s">
        <v>325</v>
      </c>
    </row>
    <row r="5713">
      <c r="H5713" s="273" t="s">
        <v>325</v>
      </c>
    </row>
    <row r="5714">
      <c r="H5714" s="273" t="s">
        <v>325</v>
      </c>
    </row>
    <row r="5715">
      <c r="H5715" s="273" t="s">
        <v>325</v>
      </c>
    </row>
    <row r="5716">
      <c r="H5716" s="273" t="s">
        <v>325</v>
      </c>
    </row>
    <row r="5717">
      <c r="H5717" s="273" t="s">
        <v>325</v>
      </c>
    </row>
    <row r="5718">
      <c r="H5718" s="273" t="s">
        <v>325</v>
      </c>
    </row>
    <row r="5719">
      <c r="H5719" s="273" t="s">
        <v>325</v>
      </c>
    </row>
    <row r="5720">
      <c r="H5720" s="273" t="s">
        <v>325</v>
      </c>
    </row>
    <row r="5721">
      <c r="H5721" s="273" t="s">
        <v>325</v>
      </c>
    </row>
    <row r="5722">
      <c r="H5722" s="273" t="s">
        <v>325</v>
      </c>
    </row>
    <row r="5723">
      <c r="H5723" s="273" t="s">
        <v>325</v>
      </c>
    </row>
    <row r="5724">
      <c r="H5724" s="273" t="s">
        <v>325</v>
      </c>
    </row>
    <row r="5725">
      <c r="H5725" s="273" t="s">
        <v>325</v>
      </c>
    </row>
    <row r="5726">
      <c r="H5726" s="273" t="s">
        <v>325</v>
      </c>
    </row>
    <row r="5727">
      <c r="H5727" s="273" t="s">
        <v>325</v>
      </c>
    </row>
    <row r="5728">
      <c r="H5728" s="273" t="s">
        <v>325</v>
      </c>
    </row>
    <row r="5729">
      <c r="H5729" s="273" t="s">
        <v>325</v>
      </c>
    </row>
    <row r="5730">
      <c r="H5730" s="273" t="s">
        <v>325</v>
      </c>
    </row>
    <row r="5731">
      <c r="H5731" s="273" t="s">
        <v>325</v>
      </c>
    </row>
    <row r="5732">
      <c r="H5732" s="273" t="s">
        <v>325</v>
      </c>
    </row>
    <row r="5733">
      <c r="H5733" s="273" t="s">
        <v>325</v>
      </c>
    </row>
    <row r="5734">
      <c r="H5734" s="273" t="s">
        <v>325</v>
      </c>
    </row>
    <row r="5735">
      <c r="H5735" s="273" t="s">
        <v>325</v>
      </c>
    </row>
    <row r="5736">
      <c r="H5736" s="273" t="s">
        <v>325</v>
      </c>
    </row>
    <row r="5737">
      <c r="H5737" s="273" t="s">
        <v>325</v>
      </c>
    </row>
    <row r="5738">
      <c r="H5738" s="273" t="s">
        <v>325</v>
      </c>
    </row>
    <row r="5739">
      <c r="H5739" s="273" t="s">
        <v>325</v>
      </c>
    </row>
    <row r="5740">
      <c r="H5740" s="273" t="s">
        <v>325</v>
      </c>
    </row>
    <row r="5741">
      <c r="H5741" s="273" t="s">
        <v>325</v>
      </c>
    </row>
    <row r="5742">
      <c r="H5742" s="273" t="s">
        <v>325</v>
      </c>
    </row>
    <row r="5743">
      <c r="H5743" s="273" t="s">
        <v>325</v>
      </c>
    </row>
    <row r="5744">
      <c r="H5744" s="273" t="s">
        <v>325</v>
      </c>
    </row>
    <row r="5745">
      <c r="H5745" s="273" t="s">
        <v>325</v>
      </c>
    </row>
    <row r="5746">
      <c r="H5746" s="273" t="s">
        <v>325</v>
      </c>
    </row>
    <row r="5747">
      <c r="H5747" s="273" t="s">
        <v>325</v>
      </c>
    </row>
    <row r="5748">
      <c r="H5748" s="273" t="s">
        <v>325</v>
      </c>
    </row>
    <row r="5749">
      <c r="H5749" s="273" t="s">
        <v>325</v>
      </c>
    </row>
    <row r="5750">
      <c r="H5750" s="273" t="s">
        <v>325</v>
      </c>
    </row>
    <row r="5751">
      <c r="H5751" s="273" t="s">
        <v>325</v>
      </c>
    </row>
    <row r="5752">
      <c r="H5752" s="273" t="s">
        <v>325</v>
      </c>
    </row>
    <row r="5753">
      <c r="H5753" s="273" t="s">
        <v>325</v>
      </c>
    </row>
    <row r="5754">
      <c r="H5754" s="273" t="s">
        <v>325</v>
      </c>
    </row>
    <row r="5755">
      <c r="H5755" s="273" t="s">
        <v>325</v>
      </c>
    </row>
    <row r="5756">
      <c r="H5756" s="273" t="s">
        <v>325</v>
      </c>
    </row>
    <row r="5757">
      <c r="H5757" s="273" t="s">
        <v>325</v>
      </c>
    </row>
    <row r="5758">
      <c r="H5758" s="273" t="s">
        <v>325</v>
      </c>
    </row>
    <row r="5759">
      <c r="H5759" s="273" t="s">
        <v>325</v>
      </c>
    </row>
    <row r="5760">
      <c r="H5760" s="273" t="s">
        <v>325</v>
      </c>
    </row>
    <row r="5761">
      <c r="H5761" s="273" t="s">
        <v>325</v>
      </c>
    </row>
    <row r="5762">
      <c r="H5762" s="273" t="s">
        <v>325</v>
      </c>
    </row>
    <row r="5763">
      <c r="H5763" s="273" t="s">
        <v>325</v>
      </c>
    </row>
    <row r="5764">
      <c r="H5764" s="273" t="s">
        <v>325</v>
      </c>
    </row>
    <row r="5765">
      <c r="H5765" s="273" t="s">
        <v>325</v>
      </c>
    </row>
    <row r="5766">
      <c r="H5766" s="273" t="s">
        <v>325</v>
      </c>
    </row>
    <row r="5767">
      <c r="H5767" s="273" t="s">
        <v>325</v>
      </c>
    </row>
    <row r="5768">
      <c r="H5768" s="273" t="s">
        <v>325</v>
      </c>
    </row>
    <row r="5769">
      <c r="H5769" s="273" t="s">
        <v>325</v>
      </c>
    </row>
    <row r="5770">
      <c r="H5770" s="273" t="s">
        <v>325</v>
      </c>
    </row>
    <row r="5771">
      <c r="H5771" s="273" t="s">
        <v>325</v>
      </c>
    </row>
    <row r="5772">
      <c r="H5772" s="273" t="s">
        <v>325</v>
      </c>
    </row>
    <row r="5773">
      <c r="H5773" s="273" t="s">
        <v>325</v>
      </c>
    </row>
    <row r="5774">
      <c r="H5774" s="273" t="s">
        <v>325</v>
      </c>
    </row>
    <row r="5775">
      <c r="H5775" s="273" t="s">
        <v>325</v>
      </c>
    </row>
    <row r="5776">
      <c r="H5776" s="273" t="s">
        <v>325</v>
      </c>
    </row>
    <row r="5777">
      <c r="H5777" s="273" t="s">
        <v>325</v>
      </c>
    </row>
    <row r="5778">
      <c r="H5778" s="273" t="s">
        <v>325</v>
      </c>
    </row>
    <row r="5779">
      <c r="H5779" s="273" t="s">
        <v>325</v>
      </c>
    </row>
    <row r="5780">
      <c r="H5780" s="273" t="s">
        <v>325</v>
      </c>
    </row>
    <row r="5781">
      <c r="H5781" s="273" t="s">
        <v>325</v>
      </c>
    </row>
    <row r="5782">
      <c r="H5782" s="273" t="s">
        <v>325</v>
      </c>
    </row>
    <row r="5783">
      <c r="H5783" s="273" t="s">
        <v>325</v>
      </c>
    </row>
    <row r="5784">
      <c r="H5784" s="273" t="s">
        <v>325</v>
      </c>
    </row>
    <row r="5785">
      <c r="H5785" s="273" t="s">
        <v>325</v>
      </c>
    </row>
    <row r="5786">
      <c r="H5786" s="273" t="s">
        <v>325</v>
      </c>
    </row>
    <row r="5787">
      <c r="H5787" s="273" t="s">
        <v>325</v>
      </c>
    </row>
    <row r="5788">
      <c r="H5788" s="273" t="s">
        <v>325</v>
      </c>
    </row>
    <row r="5789">
      <c r="H5789" s="273" t="s">
        <v>325</v>
      </c>
    </row>
    <row r="5790">
      <c r="H5790" s="273" t="s">
        <v>325</v>
      </c>
    </row>
    <row r="5791">
      <c r="H5791" s="273" t="s">
        <v>325</v>
      </c>
    </row>
    <row r="5792">
      <c r="H5792" s="273" t="s">
        <v>325</v>
      </c>
    </row>
    <row r="5793">
      <c r="H5793" s="273" t="s">
        <v>325</v>
      </c>
    </row>
    <row r="5794">
      <c r="H5794" s="273" t="s">
        <v>325</v>
      </c>
    </row>
    <row r="5795">
      <c r="H5795" s="273" t="s">
        <v>325</v>
      </c>
    </row>
    <row r="5796">
      <c r="H5796" s="273" t="s">
        <v>325</v>
      </c>
    </row>
    <row r="5797">
      <c r="H5797" s="273" t="s">
        <v>325</v>
      </c>
    </row>
    <row r="5798">
      <c r="H5798" s="273" t="s">
        <v>325</v>
      </c>
    </row>
    <row r="5799">
      <c r="H5799" s="273" t="s">
        <v>325</v>
      </c>
    </row>
    <row r="5800">
      <c r="H5800" s="273" t="s">
        <v>325</v>
      </c>
    </row>
    <row r="5801">
      <c r="H5801" s="273" t="s">
        <v>325</v>
      </c>
    </row>
    <row r="5802">
      <c r="H5802" s="273" t="s">
        <v>325</v>
      </c>
    </row>
    <row r="5803">
      <c r="H5803" s="273" t="s">
        <v>325</v>
      </c>
    </row>
    <row r="5804">
      <c r="H5804" s="273" t="s">
        <v>325</v>
      </c>
    </row>
    <row r="5805">
      <c r="H5805" s="273" t="s">
        <v>325</v>
      </c>
    </row>
    <row r="5806">
      <c r="H5806" s="273" t="s">
        <v>325</v>
      </c>
    </row>
    <row r="5807">
      <c r="H5807" s="273" t="s">
        <v>325</v>
      </c>
    </row>
    <row r="5808">
      <c r="H5808" s="273" t="s">
        <v>325</v>
      </c>
    </row>
    <row r="5809">
      <c r="H5809" s="273" t="s">
        <v>325</v>
      </c>
    </row>
    <row r="5810">
      <c r="H5810" s="273" t="s">
        <v>325</v>
      </c>
    </row>
    <row r="5811">
      <c r="H5811" s="273" t="s">
        <v>325</v>
      </c>
    </row>
    <row r="5812">
      <c r="H5812" s="273" t="s">
        <v>325</v>
      </c>
    </row>
    <row r="5813">
      <c r="H5813" s="273" t="s">
        <v>325</v>
      </c>
    </row>
    <row r="5814">
      <c r="H5814" s="273" t="s">
        <v>325</v>
      </c>
    </row>
    <row r="5815">
      <c r="H5815" s="273" t="s">
        <v>325</v>
      </c>
    </row>
    <row r="5816">
      <c r="H5816" s="273" t="s">
        <v>325</v>
      </c>
    </row>
    <row r="5817">
      <c r="H5817" s="273" t="s">
        <v>325</v>
      </c>
    </row>
    <row r="5818">
      <c r="H5818" s="273" t="s">
        <v>325</v>
      </c>
    </row>
    <row r="5819">
      <c r="H5819" s="273" t="s">
        <v>325</v>
      </c>
    </row>
    <row r="5820">
      <c r="H5820" s="273" t="s">
        <v>325</v>
      </c>
    </row>
    <row r="5821">
      <c r="H5821" s="273" t="s">
        <v>325</v>
      </c>
    </row>
    <row r="5822">
      <c r="H5822" s="273" t="s">
        <v>325</v>
      </c>
    </row>
    <row r="5823">
      <c r="H5823" s="273" t="s">
        <v>325</v>
      </c>
    </row>
    <row r="5824">
      <c r="H5824" s="273" t="s">
        <v>325</v>
      </c>
    </row>
    <row r="5825">
      <c r="H5825" s="273" t="s">
        <v>325</v>
      </c>
    </row>
    <row r="5826">
      <c r="H5826" s="273" t="s">
        <v>325</v>
      </c>
    </row>
    <row r="5827">
      <c r="H5827" s="273" t="s">
        <v>325</v>
      </c>
    </row>
    <row r="5828">
      <c r="H5828" s="273" t="s">
        <v>325</v>
      </c>
    </row>
    <row r="5829">
      <c r="H5829" s="273" t="s">
        <v>325</v>
      </c>
    </row>
    <row r="5830">
      <c r="H5830" s="273" t="s">
        <v>325</v>
      </c>
    </row>
    <row r="5831">
      <c r="H5831" s="273" t="s">
        <v>325</v>
      </c>
    </row>
    <row r="5832">
      <c r="H5832" s="273" t="s">
        <v>325</v>
      </c>
    </row>
    <row r="5833">
      <c r="H5833" s="273" t="s">
        <v>325</v>
      </c>
    </row>
    <row r="5834">
      <c r="H5834" s="273" t="s">
        <v>325</v>
      </c>
    </row>
    <row r="5835">
      <c r="H5835" s="273" t="s">
        <v>325</v>
      </c>
    </row>
    <row r="5836">
      <c r="H5836" s="273" t="s">
        <v>325</v>
      </c>
    </row>
    <row r="5837">
      <c r="H5837" s="273" t="s">
        <v>325</v>
      </c>
    </row>
    <row r="5838">
      <c r="H5838" s="273" t="s">
        <v>325</v>
      </c>
    </row>
    <row r="5839">
      <c r="H5839" s="273" t="s">
        <v>325</v>
      </c>
    </row>
    <row r="5840">
      <c r="H5840" s="273" t="s">
        <v>325</v>
      </c>
    </row>
    <row r="5841">
      <c r="H5841" s="273" t="s">
        <v>325</v>
      </c>
    </row>
    <row r="5842">
      <c r="H5842" s="273" t="s">
        <v>325</v>
      </c>
    </row>
    <row r="5843">
      <c r="H5843" s="273" t="s">
        <v>325</v>
      </c>
    </row>
    <row r="5844">
      <c r="H5844" s="273" t="s">
        <v>325</v>
      </c>
    </row>
    <row r="5845">
      <c r="H5845" s="273" t="s">
        <v>325</v>
      </c>
    </row>
    <row r="5846">
      <c r="H5846" s="273" t="s">
        <v>325</v>
      </c>
    </row>
    <row r="5847">
      <c r="H5847" s="273" t="s">
        <v>325</v>
      </c>
    </row>
    <row r="5848">
      <c r="H5848" s="273" t="s">
        <v>325</v>
      </c>
    </row>
    <row r="5849">
      <c r="H5849" s="273" t="s">
        <v>325</v>
      </c>
    </row>
    <row r="5850">
      <c r="H5850" s="273" t="s">
        <v>325</v>
      </c>
    </row>
    <row r="5851">
      <c r="H5851" s="273" t="s">
        <v>325</v>
      </c>
    </row>
    <row r="5852">
      <c r="H5852" s="273" t="s">
        <v>325</v>
      </c>
    </row>
    <row r="5853">
      <c r="H5853" s="273" t="s">
        <v>325</v>
      </c>
    </row>
    <row r="5854">
      <c r="H5854" s="273" t="s">
        <v>325</v>
      </c>
    </row>
    <row r="5855">
      <c r="H5855" s="273" t="s">
        <v>325</v>
      </c>
    </row>
    <row r="5856">
      <c r="H5856" s="273" t="s">
        <v>325</v>
      </c>
    </row>
    <row r="5857">
      <c r="H5857" s="273" t="s">
        <v>325</v>
      </c>
    </row>
    <row r="5858">
      <c r="H5858" s="273" t="s">
        <v>325</v>
      </c>
    </row>
    <row r="5859">
      <c r="H5859" s="273" t="s">
        <v>325</v>
      </c>
    </row>
    <row r="5860">
      <c r="H5860" s="273" t="s">
        <v>325</v>
      </c>
    </row>
    <row r="5861">
      <c r="H5861" s="273" t="s">
        <v>325</v>
      </c>
    </row>
    <row r="5862">
      <c r="H5862" s="273" t="s">
        <v>325</v>
      </c>
    </row>
    <row r="5863">
      <c r="H5863" s="273" t="s">
        <v>325</v>
      </c>
    </row>
    <row r="5864">
      <c r="H5864" s="273" t="s">
        <v>325</v>
      </c>
    </row>
    <row r="5865">
      <c r="H5865" s="273" t="s">
        <v>325</v>
      </c>
    </row>
    <row r="5866">
      <c r="H5866" s="273" t="s">
        <v>325</v>
      </c>
    </row>
    <row r="5867">
      <c r="H5867" s="273" t="s">
        <v>325</v>
      </c>
    </row>
    <row r="5868">
      <c r="H5868" s="273" t="s">
        <v>325</v>
      </c>
    </row>
    <row r="5869">
      <c r="H5869" s="273" t="s">
        <v>325</v>
      </c>
    </row>
    <row r="5870">
      <c r="H5870" s="273" t="s">
        <v>325</v>
      </c>
    </row>
    <row r="5871">
      <c r="H5871" s="273" t="s">
        <v>325</v>
      </c>
    </row>
    <row r="5872">
      <c r="H5872" s="273" t="s">
        <v>325</v>
      </c>
    </row>
    <row r="5873">
      <c r="H5873" s="273" t="s">
        <v>325</v>
      </c>
    </row>
    <row r="5874">
      <c r="H5874" s="273" t="s">
        <v>325</v>
      </c>
    </row>
    <row r="5875">
      <c r="H5875" s="273" t="s">
        <v>325</v>
      </c>
    </row>
    <row r="5876">
      <c r="H5876" s="273" t="s">
        <v>325</v>
      </c>
    </row>
    <row r="5877">
      <c r="H5877" s="273" t="s">
        <v>325</v>
      </c>
    </row>
    <row r="5878">
      <c r="H5878" s="273" t="s">
        <v>325</v>
      </c>
    </row>
    <row r="5879">
      <c r="H5879" s="273" t="s">
        <v>325</v>
      </c>
    </row>
    <row r="5880">
      <c r="H5880" s="273" t="s">
        <v>325</v>
      </c>
    </row>
    <row r="5881">
      <c r="H5881" s="273" t="s">
        <v>325</v>
      </c>
    </row>
    <row r="5882">
      <c r="H5882" s="273" t="s">
        <v>325</v>
      </c>
    </row>
    <row r="5883">
      <c r="H5883" s="273" t="s">
        <v>325</v>
      </c>
    </row>
    <row r="5884">
      <c r="H5884" s="273" t="s">
        <v>325</v>
      </c>
    </row>
    <row r="5885">
      <c r="H5885" s="273" t="s">
        <v>325</v>
      </c>
    </row>
    <row r="5886">
      <c r="H5886" s="273" t="s">
        <v>325</v>
      </c>
    </row>
    <row r="5887">
      <c r="H5887" s="273" t="s">
        <v>325</v>
      </c>
    </row>
    <row r="5888">
      <c r="H5888" s="273" t="s">
        <v>325</v>
      </c>
    </row>
    <row r="5889">
      <c r="H5889" s="273" t="s">
        <v>325</v>
      </c>
    </row>
    <row r="5890">
      <c r="H5890" s="273" t="s">
        <v>325</v>
      </c>
    </row>
    <row r="5891">
      <c r="H5891" s="273" t="s">
        <v>325</v>
      </c>
    </row>
    <row r="5892">
      <c r="H5892" s="273" t="s">
        <v>325</v>
      </c>
    </row>
    <row r="5893">
      <c r="H5893" s="273" t="s">
        <v>325</v>
      </c>
    </row>
    <row r="5894">
      <c r="H5894" s="273" t="s">
        <v>325</v>
      </c>
    </row>
    <row r="5895">
      <c r="H5895" s="273" t="s">
        <v>325</v>
      </c>
    </row>
    <row r="5896">
      <c r="H5896" s="273" t="s">
        <v>325</v>
      </c>
    </row>
    <row r="5897">
      <c r="H5897" s="273" t="s">
        <v>325</v>
      </c>
    </row>
    <row r="5898">
      <c r="H5898" s="273" t="s">
        <v>325</v>
      </c>
    </row>
    <row r="5899">
      <c r="H5899" s="273" t="s">
        <v>325</v>
      </c>
    </row>
    <row r="5900">
      <c r="H5900" s="273" t="s">
        <v>325</v>
      </c>
    </row>
    <row r="5901">
      <c r="H5901" s="273" t="s">
        <v>325</v>
      </c>
    </row>
    <row r="5902">
      <c r="H5902" s="273" t="s">
        <v>325</v>
      </c>
    </row>
    <row r="5903">
      <c r="H5903" s="273" t="s">
        <v>325</v>
      </c>
    </row>
    <row r="5904">
      <c r="H5904" s="273" t="s">
        <v>325</v>
      </c>
    </row>
    <row r="5905">
      <c r="H5905" s="273" t="s">
        <v>325</v>
      </c>
    </row>
    <row r="5906">
      <c r="H5906" s="273" t="s">
        <v>325</v>
      </c>
    </row>
    <row r="5907">
      <c r="H5907" s="273" t="s">
        <v>325</v>
      </c>
    </row>
    <row r="5908">
      <c r="H5908" s="273" t="s">
        <v>325</v>
      </c>
    </row>
    <row r="5909">
      <c r="H5909" s="273" t="s">
        <v>325</v>
      </c>
    </row>
    <row r="5910">
      <c r="H5910" s="273" t="s">
        <v>325</v>
      </c>
    </row>
    <row r="5911">
      <c r="H5911" s="273" t="s">
        <v>325</v>
      </c>
    </row>
    <row r="5912">
      <c r="H5912" s="273" t="s">
        <v>325</v>
      </c>
    </row>
    <row r="5913">
      <c r="H5913" s="273" t="s">
        <v>325</v>
      </c>
    </row>
    <row r="5914">
      <c r="H5914" s="273" t="s">
        <v>325</v>
      </c>
    </row>
    <row r="5915">
      <c r="H5915" s="273" t="s">
        <v>325</v>
      </c>
    </row>
    <row r="5916">
      <c r="H5916" s="273" t="s">
        <v>325</v>
      </c>
    </row>
    <row r="5917">
      <c r="H5917" s="273" t="s">
        <v>325</v>
      </c>
    </row>
    <row r="5918">
      <c r="H5918" s="273" t="s">
        <v>325</v>
      </c>
    </row>
    <row r="5919">
      <c r="H5919" s="273" t="s">
        <v>325</v>
      </c>
    </row>
    <row r="5920">
      <c r="H5920" s="273" t="s">
        <v>325</v>
      </c>
    </row>
    <row r="5921">
      <c r="H5921" s="273" t="s">
        <v>325</v>
      </c>
    </row>
    <row r="5922">
      <c r="H5922" s="273" t="s">
        <v>325</v>
      </c>
    </row>
    <row r="5923">
      <c r="H5923" s="273" t="s">
        <v>325</v>
      </c>
    </row>
    <row r="5924">
      <c r="H5924" s="273" t="s">
        <v>325</v>
      </c>
    </row>
    <row r="5925">
      <c r="H5925" s="273" t="s">
        <v>325</v>
      </c>
    </row>
    <row r="5926">
      <c r="H5926" s="273" t="s">
        <v>325</v>
      </c>
    </row>
    <row r="5927">
      <c r="H5927" s="273" t="s">
        <v>325</v>
      </c>
    </row>
    <row r="5928">
      <c r="H5928" s="273" t="s">
        <v>325</v>
      </c>
    </row>
    <row r="5929">
      <c r="H5929" s="273" t="s">
        <v>325</v>
      </c>
    </row>
    <row r="5930">
      <c r="H5930" s="273" t="s">
        <v>325</v>
      </c>
    </row>
    <row r="5931">
      <c r="H5931" s="273" t="s">
        <v>325</v>
      </c>
    </row>
    <row r="5932">
      <c r="H5932" s="273" t="s">
        <v>325</v>
      </c>
    </row>
    <row r="5933">
      <c r="H5933" s="273" t="s">
        <v>325</v>
      </c>
    </row>
    <row r="5934">
      <c r="H5934" s="273" t="s">
        <v>325</v>
      </c>
    </row>
    <row r="5935">
      <c r="H5935" s="273" t="s">
        <v>325</v>
      </c>
    </row>
    <row r="5936">
      <c r="H5936" s="273" t="s">
        <v>325</v>
      </c>
    </row>
    <row r="5937">
      <c r="H5937" s="273" t="s">
        <v>325</v>
      </c>
    </row>
    <row r="5938">
      <c r="H5938" s="273" t="s">
        <v>325</v>
      </c>
    </row>
    <row r="5939">
      <c r="H5939" s="273" t="s">
        <v>325</v>
      </c>
    </row>
    <row r="5940">
      <c r="H5940" s="273" t="s">
        <v>325</v>
      </c>
    </row>
    <row r="5941">
      <c r="H5941" s="273" t="s">
        <v>325</v>
      </c>
    </row>
    <row r="5942">
      <c r="H5942" s="273" t="s">
        <v>325</v>
      </c>
    </row>
    <row r="5943">
      <c r="H5943" s="273" t="s">
        <v>325</v>
      </c>
    </row>
    <row r="5944">
      <c r="H5944" s="273" t="s">
        <v>325</v>
      </c>
    </row>
    <row r="5945">
      <c r="H5945" s="273" t="s">
        <v>325</v>
      </c>
    </row>
    <row r="5946">
      <c r="H5946" s="273" t="s">
        <v>325</v>
      </c>
    </row>
    <row r="5947">
      <c r="H5947" s="273" t="s">
        <v>325</v>
      </c>
    </row>
    <row r="5948">
      <c r="H5948" s="273" t="s">
        <v>325</v>
      </c>
    </row>
    <row r="5949">
      <c r="H5949" s="273" t="s">
        <v>325</v>
      </c>
    </row>
    <row r="5950">
      <c r="H5950" s="273" t="s">
        <v>325</v>
      </c>
    </row>
    <row r="5951">
      <c r="H5951" s="273" t="s">
        <v>325</v>
      </c>
    </row>
    <row r="5952">
      <c r="H5952" s="273" t="s">
        <v>325</v>
      </c>
    </row>
    <row r="5953">
      <c r="H5953" s="273" t="s">
        <v>325</v>
      </c>
    </row>
    <row r="5954">
      <c r="H5954" s="273" t="s">
        <v>325</v>
      </c>
    </row>
    <row r="5955">
      <c r="H5955" s="273" t="s">
        <v>325</v>
      </c>
    </row>
    <row r="5956">
      <c r="H5956" s="273" t="s">
        <v>325</v>
      </c>
    </row>
    <row r="5957">
      <c r="H5957" s="273" t="s">
        <v>325</v>
      </c>
    </row>
    <row r="5958">
      <c r="H5958" s="273" t="s">
        <v>325</v>
      </c>
    </row>
    <row r="5959">
      <c r="H5959" s="273" t="s">
        <v>325</v>
      </c>
    </row>
    <row r="5960">
      <c r="H5960" s="273" t="s">
        <v>325</v>
      </c>
    </row>
    <row r="5961">
      <c r="H5961" s="273" t="s">
        <v>325</v>
      </c>
    </row>
    <row r="5962">
      <c r="H5962" s="273" t="s">
        <v>325</v>
      </c>
    </row>
    <row r="5963">
      <c r="H5963" s="273" t="s">
        <v>325</v>
      </c>
    </row>
    <row r="5964">
      <c r="H5964" s="273" t="s">
        <v>325</v>
      </c>
    </row>
    <row r="5965">
      <c r="H5965" s="273" t="s">
        <v>325</v>
      </c>
    </row>
    <row r="5966">
      <c r="H5966" s="273" t="s">
        <v>325</v>
      </c>
    </row>
    <row r="5967">
      <c r="H5967" s="273" t="s">
        <v>325</v>
      </c>
    </row>
    <row r="5968">
      <c r="H5968" s="273" t="s">
        <v>325</v>
      </c>
    </row>
    <row r="5969">
      <c r="H5969" s="273" t="s">
        <v>325</v>
      </c>
    </row>
    <row r="5970">
      <c r="H5970" s="273" t="s">
        <v>325</v>
      </c>
    </row>
    <row r="5971">
      <c r="H5971" s="273" t="s">
        <v>325</v>
      </c>
    </row>
    <row r="5972">
      <c r="H5972" s="273" t="s">
        <v>325</v>
      </c>
    </row>
    <row r="5973">
      <c r="H5973" s="273" t="s">
        <v>325</v>
      </c>
    </row>
    <row r="5974">
      <c r="H5974" s="273" t="s">
        <v>325</v>
      </c>
    </row>
    <row r="5975">
      <c r="H5975" s="273" t="s">
        <v>325</v>
      </c>
    </row>
    <row r="5976">
      <c r="H5976" s="273" t="s">
        <v>325</v>
      </c>
    </row>
    <row r="5977">
      <c r="H5977" s="273" t="s">
        <v>325</v>
      </c>
    </row>
    <row r="5978">
      <c r="H5978" s="273" t="s">
        <v>325</v>
      </c>
    </row>
    <row r="5979">
      <c r="H5979" s="273" t="s">
        <v>325</v>
      </c>
    </row>
    <row r="5980">
      <c r="H5980" s="273" t="s">
        <v>325</v>
      </c>
    </row>
    <row r="5981">
      <c r="H5981" s="273" t="s">
        <v>325</v>
      </c>
    </row>
    <row r="5982">
      <c r="H5982" s="273" t="s">
        <v>325</v>
      </c>
    </row>
    <row r="5983">
      <c r="H5983" s="273" t="s">
        <v>325</v>
      </c>
    </row>
    <row r="5984">
      <c r="H5984" s="273" t="s">
        <v>325</v>
      </c>
    </row>
    <row r="5985">
      <c r="H5985" s="273" t="s">
        <v>325</v>
      </c>
    </row>
    <row r="5986">
      <c r="H5986" s="273" t="s">
        <v>325</v>
      </c>
    </row>
    <row r="5987">
      <c r="H5987" s="273" t="s">
        <v>325</v>
      </c>
    </row>
    <row r="5988">
      <c r="H5988" s="273" t="s">
        <v>325</v>
      </c>
    </row>
    <row r="5989">
      <c r="H5989" s="273" t="s">
        <v>325</v>
      </c>
    </row>
    <row r="5990">
      <c r="H5990" s="273" t="s">
        <v>325</v>
      </c>
    </row>
    <row r="5991">
      <c r="H5991" s="273" t="s">
        <v>325</v>
      </c>
    </row>
    <row r="5992">
      <c r="H5992" s="273" t="s">
        <v>325</v>
      </c>
    </row>
    <row r="5993">
      <c r="H5993" s="273" t="s">
        <v>325</v>
      </c>
    </row>
    <row r="5994">
      <c r="H5994" s="273" t="s">
        <v>325</v>
      </c>
    </row>
    <row r="5995">
      <c r="H5995" s="273" t="s">
        <v>325</v>
      </c>
    </row>
    <row r="5996">
      <c r="H5996" s="273" t="s">
        <v>325</v>
      </c>
    </row>
    <row r="5997">
      <c r="H5997" s="273" t="s">
        <v>325</v>
      </c>
    </row>
    <row r="5998">
      <c r="H5998" s="273" t="s">
        <v>325</v>
      </c>
    </row>
    <row r="5999">
      <c r="H5999" s="273" t="s">
        <v>325</v>
      </c>
    </row>
    <row r="6000">
      <c r="H6000" s="273" t="s">
        <v>325</v>
      </c>
    </row>
    <row r="6001">
      <c r="H6001" s="273" t="s">
        <v>325</v>
      </c>
    </row>
    <row r="6002">
      <c r="H6002" s="273" t="s">
        <v>325</v>
      </c>
    </row>
    <row r="6003">
      <c r="H6003" s="273" t="s">
        <v>325</v>
      </c>
    </row>
    <row r="6004">
      <c r="H6004" s="273" t="s">
        <v>325</v>
      </c>
    </row>
    <row r="6005">
      <c r="H6005" s="273" t="s">
        <v>325</v>
      </c>
    </row>
    <row r="6006">
      <c r="H6006" s="273" t="s">
        <v>325</v>
      </c>
    </row>
    <row r="6007">
      <c r="H6007" s="273" t="s">
        <v>325</v>
      </c>
    </row>
    <row r="6008">
      <c r="H6008" s="273" t="s">
        <v>325</v>
      </c>
    </row>
    <row r="6009">
      <c r="H6009" s="273" t="s">
        <v>325</v>
      </c>
    </row>
    <row r="6010">
      <c r="H6010" s="273" t="s">
        <v>325</v>
      </c>
    </row>
    <row r="6011">
      <c r="H6011" s="273" t="s">
        <v>325</v>
      </c>
    </row>
    <row r="6012">
      <c r="H6012" s="273" t="s">
        <v>325</v>
      </c>
    </row>
    <row r="6013">
      <c r="H6013" s="273" t="s">
        <v>325</v>
      </c>
    </row>
    <row r="6014">
      <c r="H6014" s="273" t="s">
        <v>325</v>
      </c>
    </row>
    <row r="6015">
      <c r="H6015" s="273" t="s">
        <v>325</v>
      </c>
    </row>
    <row r="6016">
      <c r="H6016" s="273" t="s">
        <v>325</v>
      </c>
    </row>
    <row r="6017">
      <c r="H6017" s="273" t="s">
        <v>325</v>
      </c>
    </row>
    <row r="6018">
      <c r="H6018" s="273" t="s">
        <v>325</v>
      </c>
    </row>
    <row r="6019">
      <c r="H6019" s="273" t="s">
        <v>325</v>
      </c>
    </row>
    <row r="6020">
      <c r="H6020" s="273" t="s">
        <v>325</v>
      </c>
    </row>
    <row r="6021">
      <c r="H6021" s="273" t="s">
        <v>325</v>
      </c>
    </row>
    <row r="6022">
      <c r="H6022" s="273" t="s">
        <v>325</v>
      </c>
    </row>
    <row r="6023">
      <c r="H6023" s="273" t="s">
        <v>325</v>
      </c>
    </row>
    <row r="6024">
      <c r="H6024" s="273" t="s">
        <v>325</v>
      </c>
    </row>
    <row r="6025">
      <c r="H6025" s="273" t="s">
        <v>325</v>
      </c>
    </row>
    <row r="6026">
      <c r="H6026" s="273" t="s">
        <v>325</v>
      </c>
    </row>
    <row r="6027">
      <c r="H6027" s="273" t="s">
        <v>325</v>
      </c>
    </row>
    <row r="6028">
      <c r="H6028" s="273" t="s">
        <v>325</v>
      </c>
    </row>
    <row r="6029">
      <c r="H6029" s="273" t="s">
        <v>325</v>
      </c>
    </row>
    <row r="6030">
      <c r="H6030" s="273" t="s">
        <v>325</v>
      </c>
    </row>
    <row r="6031">
      <c r="H6031" s="273" t="s">
        <v>325</v>
      </c>
    </row>
    <row r="6032">
      <c r="H6032" s="273" t="s">
        <v>325</v>
      </c>
    </row>
    <row r="6033">
      <c r="H6033" s="273" t="s">
        <v>325</v>
      </c>
    </row>
    <row r="6034">
      <c r="H6034" s="273" t="s">
        <v>325</v>
      </c>
    </row>
    <row r="6035">
      <c r="H6035" s="273" t="s">
        <v>325</v>
      </c>
    </row>
    <row r="6036">
      <c r="H6036" s="273" t="s">
        <v>325</v>
      </c>
    </row>
    <row r="6037">
      <c r="H6037" s="273" t="s">
        <v>325</v>
      </c>
    </row>
    <row r="6038">
      <c r="H6038" s="273" t="s">
        <v>325</v>
      </c>
    </row>
    <row r="6039">
      <c r="H6039" s="273" t="s">
        <v>325</v>
      </c>
    </row>
    <row r="6040">
      <c r="H6040" s="273" t="s">
        <v>325</v>
      </c>
    </row>
    <row r="6041">
      <c r="H6041" s="273" t="s">
        <v>325</v>
      </c>
    </row>
    <row r="6042">
      <c r="H6042" s="273" t="s">
        <v>325</v>
      </c>
    </row>
    <row r="6043">
      <c r="H6043" s="273" t="s">
        <v>325</v>
      </c>
    </row>
    <row r="6044">
      <c r="H6044" s="273" t="s">
        <v>325</v>
      </c>
    </row>
    <row r="6045">
      <c r="H6045" s="273" t="s">
        <v>325</v>
      </c>
    </row>
    <row r="6046">
      <c r="H6046" s="273" t="s">
        <v>325</v>
      </c>
    </row>
    <row r="6047">
      <c r="H6047" s="273" t="s">
        <v>325</v>
      </c>
    </row>
    <row r="6048">
      <c r="H6048" s="273" t="s">
        <v>325</v>
      </c>
    </row>
    <row r="6049">
      <c r="H6049" s="273" t="s">
        <v>325</v>
      </c>
    </row>
    <row r="6050">
      <c r="H6050" s="273" t="s">
        <v>325</v>
      </c>
    </row>
    <row r="6051">
      <c r="H6051" s="273" t="s">
        <v>325</v>
      </c>
    </row>
    <row r="6052">
      <c r="H6052" s="273" t="s">
        <v>325</v>
      </c>
    </row>
    <row r="6053">
      <c r="H6053" s="273" t="s">
        <v>325</v>
      </c>
    </row>
    <row r="6054">
      <c r="H6054" s="273" t="s">
        <v>325</v>
      </c>
    </row>
    <row r="6055">
      <c r="H6055" s="273" t="s">
        <v>325</v>
      </c>
    </row>
    <row r="6056">
      <c r="H6056" s="273" t="s">
        <v>325</v>
      </c>
    </row>
    <row r="6057">
      <c r="H6057" s="273" t="s">
        <v>325</v>
      </c>
    </row>
    <row r="6058">
      <c r="H6058" s="273" t="s">
        <v>325</v>
      </c>
    </row>
    <row r="6059">
      <c r="H6059" s="273" t="s">
        <v>325</v>
      </c>
    </row>
    <row r="6060">
      <c r="H6060" s="273" t="s">
        <v>325</v>
      </c>
    </row>
    <row r="6061">
      <c r="H6061" s="273" t="s">
        <v>325</v>
      </c>
    </row>
    <row r="6062">
      <c r="H6062" s="273" t="s">
        <v>325</v>
      </c>
    </row>
    <row r="6063">
      <c r="H6063" s="273" t="s">
        <v>325</v>
      </c>
    </row>
    <row r="6064">
      <c r="H6064" s="273" t="s">
        <v>325</v>
      </c>
    </row>
    <row r="6065">
      <c r="H6065" s="273" t="s">
        <v>325</v>
      </c>
    </row>
    <row r="6066">
      <c r="H6066" s="273" t="s">
        <v>325</v>
      </c>
    </row>
    <row r="6067">
      <c r="H6067" s="273" t="s">
        <v>325</v>
      </c>
    </row>
    <row r="6068">
      <c r="H6068" s="273" t="s">
        <v>325</v>
      </c>
    </row>
    <row r="6069">
      <c r="H6069" s="273" t="s">
        <v>325</v>
      </c>
    </row>
    <row r="6070">
      <c r="H6070" s="273" t="s">
        <v>325</v>
      </c>
    </row>
    <row r="6071">
      <c r="H6071" s="273" t="s">
        <v>325</v>
      </c>
    </row>
    <row r="6072">
      <c r="H6072" s="273" t="s">
        <v>325</v>
      </c>
    </row>
    <row r="6073">
      <c r="H6073" s="273" t="s">
        <v>325</v>
      </c>
    </row>
    <row r="6074">
      <c r="H6074" s="273" t="s">
        <v>325</v>
      </c>
    </row>
    <row r="6075">
      <c r="H6075" s="273" t="s">
        <v>325</v>
      </c>
    </row>
    <row r="6076">
      <c r="H6076" s="273" t="s">
        <v>325</v>
      </c>
    </row>
    <row r="6077">
      <c r="H6077" s="273" t="s">
        <v>325</v>
      </c>
    </row>
    <row r="6078">
      <c r="H6078" s="273" t="s">
        <v>325</v>
      </c>
    </row>
    <row r="6079">
      <c r="H6079" s="273" t="s">
        <v>325</v>
      </c>
    </row>
    <row r="6080">
      <c r="H6080" s="273" t="s">
        <v>325</v>
      </c>
    </row>
    <row r="6081">
      <c r="H6081" s="273" t="s">
        <v>325</v>
      </c>
    </row>
    <row r="6082">
      <c r="H6082" s="273" t="s">
        <v>325</v>
      </c>
    </row>
    <row r="6083">
      <c r="H6083" s="273" t="s">
        <v>325</v>
      </c>
    </row>
    <row r="6084">
      <c r="H6084" s="273" t="s">
        <v>325</v>
      </c>
    </row>
    <row r="6085">
      <c r="H6085" s="273" t="s">
        <v>325</v>
      </c>
    </row>
    <row r="6086">
      <c r="H6086" s="273" t="s">
        <v>325</v>
      </c>
    </row>
    <row r="6087">
      <c r="H6087" s="273" t="s">
        <v>325</v>
      </c>
    </row>
    <row r="6088">
      <c r="H6088" s="273" t="s">
        <v>325</v>
      </c>
    </row>
    <row r="6089">
      <c r="H6089" s="273" t="s">
        <v>325</v>
      </c>
    </row>
    <row r="6090">
      <c r="H6090" s="273" t="s">
        <v>325</v>
      </c>
    </row>
    <row r="6091">
      <c r="H6091" s="273" t="s">
        <v>325</v>
      </c>
    </row>
    <row r="6092">
      <c r="H6092" s="273" t="s">
        <v>325</v>
      </c>
    </row>
    <row r="6093">
      <c r="H6093" s="273" t="s">
        <v>325</v>
      </c>
    </row>
    <row r="6094">
      <c r="H6094" s="273" t="s">
        <v>325</v>
      </c>
    </row>
    <row r="6095">
      <c r="H6095" s="273" t="s">
        <v>325</v>
      </c>
    </row>
    <row r="6096">
      <c r="H6096" s="273" t="s">
        <v>325</v>
      </c>
    </row>
    <row r="6097">
      <c r="H6097" s="273" t="s">
        <v>325</v>
      </c>
    </row>
    <row r="6098">
      <c r="H6098" s="273" t="s">
        <v>325</v>
      </c>
    </row>
    <row r="6099">
      <c r="H6099" s="273" t="s">
        <v>325</v>
      </c>
    </row>
    <row r="6100">
      <c r="H6100" s="273" t="s">
        <v>325</v>
      </c>
    </row>
    <row r="6101">
      <c r="H6101" s="273" t="s">
        <v>325</v>
      </c>
    </row>
    <row r="6102">
      <c r="H6102" s="273" t="s">
        <v>325</v>
      </c>
    </row>
    <row r="6103">
      <c r="H6103" s="273" t="s">
        <v>325</v>
      </c>
    </row>
    <row r="6104">
      <c r="H6104" s="273" t="s">
        <v>325</v>
      </c>
    </row>
    <row r="6105">
      <c r="H6105" s="273" t="s">
        <v>325</v>
      </c>
    </row>
    <row r="6106">
      <c r="H6106" s="273" t="s">
        <v>325</v>
      </c>
    </row>
    <row r="6107">
      <c r="H6107" s="273" t="s">
        <v>325</v>
      </c>
    </row>
    <row r="6108">
      <c r="H6108" s="273" t="s">
        <v>325</v>
      </c>
    </row>
    <row r="6109">
      <c r="H6109" s="273" t="s">
        <v>325</v>
      </c>
    </row>
    <row r="6110">
      <c r="H6110" s="273" t="s">
        <v>325</v>
      </c>
    </row>
    <row r="6111">
      <c r="H6111" s="273" t="s">
        <v>325</v>
      </c>
    </row>
    <row r="6112">
      <c r="H6112" s="273" t="s">
        <v>325</v>
      </c>
    </row>
    <row r="6113">
      <c r="H6113" s="273" t="s">
        <v>325</v>
      </c>
    </row>
    <row r="6114">
      <c r="H6114" s="273" t="s">
        <v>325</v>
      </c>
    </row>
    <row r="6115">
      <c r="H6115" s="273" t="s">
        <v>325</v>
      </c>
    </row>
    <row r="6116">
      <c r="H6116" s="273" t="s">
        <v>325</v>
      </c>
    </row>
    <row r="6117">
      <c r="H6117" s="273" t="s">
        <v>325</v>
      </c>
    </row>
    <row r="6118">
      <c r="H6118" s="273" t="s">
        <v>325</v>
      </c>
    </row>
    <row r="6119">
      <c r="H6119" s="273" t="s">
        <v>325</v>
      </c>
    </row>
    <row r="6120">
      <c r="H6120" s="273" t="s">
        <v>325</v>
      </c>
    </row>
    <row r="6121">
      <c r="H6121" s="273" t="s">
        <v>325</v>
      </c>
    </row>
    <row r="6122">
      <c r="H6122" s="273" t="s">
        <v>325</v>
      </c>
    </row>
    <row r="6123">
      <c r="H6123" s="273" t="s">
        <v>325</v>
      </c>
    </row>
    <row r="6124">
      <c r="H6124" s="273" t="s">
        <v>325</v>
      </c>
    </row>
    <row r="6125">
      <c r="H6125" s="273" t="s">
        <v>325</v>
      </c>
    </row>
    <row r="6126">
      <c r="H6126" s="273" t="s">
        <v>325</v>
      </c>
    </row>
    <row r="6127">
      <c r="H6127" s="273" t="s">
        <v>325</v>
      </c>
    </row>
    <row r="6128">
      <c r="H6128" s="273" t="s">
        <v>325</v>
      </c>
    </row>
    <row r="6129">
      <c r="H6129" s="273" t="s">
        <v>325</v>
      </c>
    </row>
    <row r="6130">
      <c r="H6130" s="273" t="s">
        <v>325</v>
      </c>
    </row>
    <row r="6131">
      <c r="H6131" s="273" t="s">
        <v>325</v>
      </c>
    </row>
    <row r="6132">
      <c r="H6132" s="273" t="s">
        <v>325</v>
      </c>
    </row>
    <row r="6133">
      <c r="H6133" s="273" t="s">
        <v>325</v>
      </c>
    </row>
    <row r="6134">
      <c r="H6134" s="273" t="s">
        <v>325</v>
      </c>
    </row>
    <row r="6135">
      <c r="H6135" s="273" t="s">
        <v>325</v>
      </c>
    </row>
    <row r="6136">
      <c r="H6136" s="273" t="s">
        <v>325</v>
      </c>
    </row>
    <row r="6137">
      <c r="H6137" s="273" t="s">
        <v>325</v>
      </c>
    </row>
    <row r="6138">
      <c r="H6138" s="273" t="s">
        <v>325</v>
      </c>
    </row>
    <row r="6139">
      <c r="H6139" s="273" t="s">
        <v>325</v>
      </c>
    </row>
    <row r="6140">
      <c r="H6140" s="273" t="s">
        <v>325</v>
      </c>
    </row>
    <row r="6141">
      <c r="H6141" s="273" t="s">
        <v>325</v>
      </c>
    </row>
    <row r="6142">
      <c r="H6142" s="273" t="s">
        <v>325</v>
      </c>
    </row>
    <row r="6143">
      <c r="H6143" s="273" t="s">
        <v>325</v>
      </c>
    </row>
    <row r="6144">
      <c r="H6144" s="273" t="s">
        <v>325</v>
      </c>
    </row>
    <row r="6145">
      <c r="H6145" s="273" t="s">
        <v>325</v>
      </c>
    </row>
    <row r="6146">
      <c r="H6146" s="273" t="s">
        <v>325</v>
      </c>
    </row>
    <row r="6147">
      <c r="H6147" s="273" t="s">
        <v>325</v>
      </c>
    </row>
    <row r="6148">
      <c r="H6148" s="273" t="s">
        <v>325</v>
      </c>
    </row>
    <row r="6149">
      <c r="H6149" s="273" t="s">
        <v>325</v>
      </c>
    </row>
    <row r="6150">
      <c r="H6150" s="273" t="s">
        <v>325</v>
      </c>
    </row>
    <row r="6151">
      <c r="H6151" s="273" t="s">
        <v>325</v>
      </c>
    </row>
    <row r="6152">
      <c r="H6152" s="273" t="s">
        <v>325</v>
      </c>
    </row>
    <row r="6153">
      <c r="H6153" s="273" t="s">
        <v>325</v>
      </c>
    </row>
    <row r="6154">
      <c r="H6154" s="273" t="s">
        <v>325</v>
      </c>
    </row>
    <row r="6155">
      <c r="H6155" s="273" t="s">
        <v>325</v>
      </c>
    </row>
    <row r="6156">
      <c r="H6156" s="273" t="s">
        <v>325</v>
      </c>
    </row>
    <row r="6157">
      <c r="H6157" s="273" t="s">
        <v>325</v>
      </c>
    </row>
    <row r="6158">
      <c r="H6158" s="273" t="s">
        <v>325</v>
      </c>
    </row>
    <row r="6159">
      <c r="H6159" s="273" t="s">
        <v>325</v>
      </c>
    </row>
    <row r="6160">
      <c r="H6160" s="273" t="s">
        <v>325</v>
      </c>
    </row>
    <row r="6161">
      <c r="H6161" s="273" t="s">
        <v>325</v>
      </c>
    </row>
    <row r="6162">
      <c r="H6162" s="273" t="s">
        <v>325</v>
      </c>
    </row>
    <row r="6163">
      <c r="H6163" s="273" t="s">
        <v>325</v>
      </c>
    </row>
    <row r="6164">
      <c r="H6164" s="273" t="s">
        <v>325</v>
      </c>
    </row>
    <row r="6165">
      <c r="H6165" s="273" t="s">
        <v>325</v>
      </c>
    </row>
    <row r="6166">
      <c r="H6166" s="273" t="s">
        <v>325</v>
      </c>
    </row>
    <row r="6167">
      <c r="H6167" s="273" t="s">
        <v>325</v>
      </c>
    </row>
    <row r="6168">
      <c r="H6168" s="273" t="s">
        <v>325</v>
      </c>
    </row>
    <row r="6169">
      <c r="H6169" s="273" t="s">
        <v>325</v>
      </c>
    </row>
    <row r="6170">
      <c r="H6170" s="273" t="s">
        <v>325</v>
      </c>
    </row>
    <row r="6171">
      <c r="H6171" s="273" t="s">
        <v>325</v>
      </c>
    </row>
    <row r="6172">
      <c r="H6172" s="273" t="s">
        <v>325</v>
      </c>
    </row>
    <row r="6173">
      <c r="H6173" s="273" t="s">
        <v>325</v>
      </c>
    </row>
    <row r="6174">
      <c r="H6174" s="273" t="s">
        <v>325</v>
      </c>
    </row>
    <row r="6175">
      <c r="H6175" s="273" t="s">
        <v>325</v>
      </c>
    </row>
    <row r="6176">
      <c r="H6176" s="273" t="s">
        <v>325</v>
      </c>
    </row>
    <row r="6177">
      <c r="H6177" s="273" t="s">
        <v>325</v>
      </c>
    </row>
    <row r="6178">
      <c r="H6178" s="273" t="s">
        <v>325</v>
      </c>
    </row>
    <row r="6179">
      <c r="H6179" s="273" t="s">
        <v>325</v>
      </c>
    </row>
    <row r="6180">
      <c r="H6180" s="273" t="s">
        <v>325</v>
      </c>
    </row>
    <row r="6181">
      <c r="H6181" s="273" t="s">
        <v>325</v>
      </c>
    </row>
    <row r="6182">
      <c r="H6182" s="273" t="s">
        <v>325</v>
      </c>
    </row>
    <row r="6183">
      <c r="H6183" s="273" t="s">
        <v>325</v>
      </c>
    </row>
    <row r="6184">
      <c r="H6184" s="273" t="s">
        <v>325</v>
      </c>
    </row>
    <row r="6185">
      <c r="H6185" s="273" t="s">
        <v>325</v>
      </c>
    </row>
    <row r="6186">
      <c r="H6186" s="273" t="s">
        <v>325</v>
      </c>
    </row>
    <row r="6187">
      <c r="H6187" s="273" t="s">
        <v>325</v>
      </c>
    </row>
    <row r="6188">
      <c r="H6188" s="273" t="s">
        <v>325</v>
      </c>
    </row>
    <row r="6189">
      <c r="H6189" s="273" t="s">
        <v>325</v>
      </c>
    </row>
    <row r="6190">
      <c r="H6190" s="273" t="s">
        <v>325</v>
      </c>
    </row>
    <row r="6191">
      <c r="H6191" s="273" t="s">
        <v>325</v>
      </c>
    </row>
    <row r="6192">
      <c r="H6192" s="273" t="s">
        <v>325</v>
      </c>
    </row>
    <row r="6193">
      <c r="H6193" s="273" t="s">
        <v>325</v>
      </c>
    </row>
    <row r="6194">
      <c r="H6194" s="273" t="s">
        <v>325</v>
      </c>
    </row>
    <row r="6195">
      <c r="H6195" s="273" t="s">
        <v>325</v>
      </c>
    </row>
    <row r="6196">
      <c r="H6196" s="273" t="s">
        <v>325</v>
      </c>
    </row>
    <row r="6197">
      <c r="H6197" s="273" t="s">
        <v>325</v>
      </c>
    </row>
    <row r="6198">
      <c r="H6198" s="273" t="s">
        <v>325</v>
      </c>
    </row>
    <row r="6199">
      <c r="H6199" s="273" t="s">
        <v>325</v>
      </c>
    </row>
    <row r="6200">
      <c r="H6200" s="273" t="s">
        <v>325</v>
      </c>
    </row>
    <row r="6201">
      <c r="H6201" s="273" t="s">
        <v>325</v>
      </c>
    </row>
    <row r="6202">
      <c r="H6202" s="273" t="s">
        <v>325</v>
      </c>
    </row>
    <row r="6203">
      <c r="H6203" s="273" t="s">
        <v>325</v>
      </c>
    </row>
    <row r="6204">
      <c r="H6204" s="273" t="s">
        <v>325</v>
      </c>
    </row>
    <row r="6205">
      <c r="H6205" s="273" t="s">
        <v>325</v>
      </c>
    </row>
    <row r="6206">
      <c r="H6206" s="273" t="s">
        <v>325</v>
      </c>
    </row>
    <row r="6207">
      <c r="H6207" s="273" t="s">
        <v>325</v>
      </c>
    </row>
    <row r="6208">
      <c r="H6208" s="273" t="s">
        <v>325</v>
      </c>
    </row>
    <row r="6209">
      <c r="H6209" s="273" t="s">
        <v>325</v>
      </c>
    </row>
    <row r="6210">
      <c r="H6210" s="273" t="s">
        <v>325</v>
      </c>
    </row>
    <row r="6211">
      <c r="H6211" s="273" t="s">
        <v>325</v>
      </c>
    </row>
    <row r="6212">
      <c r="H6212" s="273" t="s">
        <v>325</v>
      </c>
    </row>
    <row r="6213">
      <c r="H6213" s="273" t="s">
        <v>325</v>
      </c>
    </row>
    <row r="6214">
      <c r="H6214" s="273" t="s">
        <v>325</v>
      </c>
    </row>
    <row r="6215">
      <c r="H6215" s="273" t="s">
        <v>325</v>
      </c>
    </row>
    <row r="6216">
      <c r="H6216" s="273" t="s">
        <v>325</v>
      </c>
    </row>
    <row r="6217">
      <c r="H6217" s="273" t="s">
        <v>325</v>
      </c>
    </row>
    <row r="6218">
      <c r="H6218" s="273" t="s">
        <v>325</v>
      </c>
    </row>
    <row r="6219">
      <c r="H6219" s="273" t="s">
        <v>325</v>
      </c>
    </row>
    <row r="6220">
      <c r="H6220" s="273" t="s">
        <v>325</v>
      </c>
    </row>
    <row r="6221">
      <c r="H6221" s="273" t="s">
        <v>325</v>
      </c>
    </row>
    <row r="6222">
      <c r="H6222" s="273" t="s">
        <v>325</v>
      </c>
    </row>
    <row r="6223">
      <c r="H6223" s="273" t="s">
        <v>325</v>
      </c>
    </row>
    <row r="6224">
      <c r="H6224" s="273" t="s">
        <v>325</v>
      </c>
    </row>
    <row r="6225">
      <c r="H6225" s="273" t="s">
        <v>325</v>
      </c>
    </row>
    <row r="6226">
      <c r="H6226" s="273" t="s">
        <v>325</v>
      </c>
    </row>
    <row r="6227">
      <c r="H6227" s="273" t="s">
        <v>325</v>
      </c>
    </row>
    <row r="6228">
      <c r="H6228" s="273" t="s">
        <v>325</v>
      </c>
    </row>
    <row r="6229">
      <c r="H6229" s="273" t="s">
        <v>325</v>
      </c>
    </row>
    <row r="6230">
      <c r="H6230" s="273" t="s">
        <v>325</v>
      </c>
    </row>
    <row r="6231">
      <c r="H6231" s="273" t="s">
        <v>325</v>
      </c>
    </row>
    <row r="6232">
      <c r="H6232" s="273" t="s">
        <v>325</v>
      </c>
    </row>
    <row r="6233">
      <c r="H6233" s="273" t="s">
        <v>325</v>
      </c>
    </row>
    <row r="6234">
      <c r="H6234" s="273" t="s">
        <v>325</v>
      </c>
    </row>
    <row r="6235">
      <c r="H6235" s="273" t="s">
        <v>325</v>
      </c>
    </row>
    <row r="6236">
      <c r="H6236" s="273" t="s">
        <v>325</v>
      </c>
    </row>
    <row r="6237">
      <c r="H6237" s="273" t="s">
        <v>325</v>
      </c>
    </row>
    <row r="6238">
      <c r="H6238" s="273" t="s">
        <v>325</v>
      </c>
    </row>
    <row r="6239">
      <c r="H6239" s="273" t="s">
        <v>325</v>
      </c>
    </row>
    <row r="6240">
      <c r="H6240" s="273" t="s">
        <v>325</v>
      </c>
    </row>
    <row r="6241">
      <c r="H6241" s="273" t="s">
        <v>325</v>
      </c>
    </row>
    <row r="6242">
      <c r="H6242" s="273" t="s">
        <v>325</v>
      </c>
    </row>
    <row r="6243">
      <c r="H6243" s="273" t="s">
        <v>325</v>
      </c>
    </row>
    <row r="6244">
      <c r="H6244" s="273" t="s">
        <v>325</v>
      </c>
    </row>
    <row r="6245">
      <c r="H6245" s="273" t="s">
        <v>325</v>
      </c>
    </row>
    <row r="6246">
      <c r="H6246" s="273" t="s">
        <v>325</v>
      </c>
    </row>
    <row r="6247">
      <c r="H6247" s="273" t="s">
        <v>325</v>
      </c>
    </row>
    <row r="6248">
      <c r="H6248" s="273" t="s">
        <v>325</v>
      </c>
    </row>
    <row r="6249">
      <c r="H6249" s="273" t="s">
        <v>325</v>
      </c>
    </row>
    <row r="6250">
      <c r="H6250" s="273" t="s">
        <v>325</v>
      </c>
    </row>
    <row r="6251">
      <c r="H6251" s="273" t="s">
        <v>325</v>
      </c>
    </row>
    <row r="6252">
      <c r="H6252" s="273" t="s">
        <v>325</v>
      </c>
    </row>
    <row r="6253">
      <c r="H6253" s="273" t="s">
        <v>325</v>
      </c>
    </row>
    <row r="6254">
      <c r="H6254" s="273" t="s">
        <v>325</v>
      </c>
    </row>
    <row r="6255">
      <c r="H6255" s="273" t="s">
        <v>325</v>
      </c>
    </row>
    <row r="6256">
      <c r="H6256" s="273" t="s">
        <v>325</v>
      </c>
    </row>
    <row r="6257">
      <c r="H6257" s="273" t="s">
        <v>325</v>
      </c>
    </row>
    <row r="6258">
      <c r="H6258" s="273" t="s">
        <v>325</v>
      </c>
    </row>
    <row r="6259">
      <c r="H6259" s="273" t="s">
        <v>325</v>
      </c>
    </row>
    <row r="6260">
      <c r="H6260" s="273" t="s">
        <v>325</v>
      </c>
    </row>
    <row r="6261">
      <c r="H6261" s="273" t="s">
        <v>325</v>
      </c>
    </row>
    <row r="6262">
      <c r="H6262" s="273" t="s">
        <v>325</v>
      </c>
    </row>
    <row r="6263">
      <c r="H6263" s="273" t="s">
        <v>325</v>
      </c>
    </row>
    <row r="6264">
      <c r="H6264" s="273" t="s">
        <v>325</v>
      </c>
    </row>
    <row r="6265">
      <c r="H6265" s="273" t="s">
        <v>325</v>
      </c>
    </row>
    <row r="6266">
      <c r="H6266" s="273" t="s">
        <v>325</v>
      </c>
    </row>
    <row r="6267">
      <c r="H6267" s="273" t="s">
        <v>325</v>
      </c>
    </row>
    <row r="6268">
      <c r="H6268" s="273" t="s">
        <v>325</v>
      </c>
    </row>
    <row r="6269">
      <c r="H6269" s="273" t="s">
        <v>325</v>
      </c>
    </row>
    <row r="6270">
      <c r="H6270" s="273" t="s">
        <v>325</v>
      </c>
    </row>
    <row r="6271">
      <c r="H6271" s="273" t="s">
        <v>325</v>
      </c>
    </row>
    <row r="6272">
      <c r="H6272" s="273" t="s">
        <v>325</v>
      </c>
    </row>
    <row r="6273">
      <c r="H6273" s="273" t="s">
        <v>325</v>
      </c>
    </row>
    <row r="6274">
      <c r="H6274" s="273" t="s">
        <v>325</v>
      </c>
    </row>
    <row r="6275">
      <c r="H6275" s="273" t="s">
        <v>325</v>
      </c>
    </row>
    <row r="6276">
      <c r="H6276" s="273" t="s">
        <v>325</v>
      </c>
    </row>
    <row r="6277">
      <c r="H6277" s="273" t="s">
        <v>325</v>
      </c>
    </row>
    <row r="6278">
      <c r="H6278" s="273" t="s">
        <v>325</v>
      </c>
    </row>
    <row r="6279">
      <c r="H6279" s="273" t="s">
        <v>325</v>
      </c>
    </row>
    <row r="6280">
      <c r="H6280" s="273" t="s">
        <v>325</v>
      </c>
    </row>
    <row r="6281">
      <c r="H6281" s="273" t="s">
        <v>325</v>
      </c>
    </row>
    <row r="6282">
      <c r="H6282" s="273" t="s">
        <v>325</v>
      </c>
    </row>
    <row r="6283">
      <c r="H6283" s="273" t="s">
        <v>325</v>
      </c>
    </row>
    <row r="6284">
      <c r="H6284" s="273" t="s">
        <v>325</v>
      </c>
    </row>
    <row r="6285">
      <c r="H6285" s="273" t="s">
        <v>325</v>
      </c>
    </row>
    <row r="6286">
      <c r="H6286" s="273" t="s">
        <v>325</v>
      </c>
    </row>
    <row r="6287">
      <c r="H6287" s="273" t="s">
        <v>325</v>
      </c>
    </row>
    <row r="6288">
      <c r="H6288" s="273" t="s">
        <v>325</v>
      </c>
    </row>
    <row r="6289">
      <c r="H6289" s="273" t="s">
        <v>325</v>
      </c>
    </row>
    <row r="6290">
      <c r="H6290" s="273" t="s">
        <v>325</v>
      </c>
    </row>
    <row r="6291">
      <c r="H6291" s="273" t="s">
        <v>325</v>
      </c>
    </row>
    <row r="6292">
      <c r="H6292" s="273" t="s">
        <v>325</v>
      </c>
    </row>
    <row r="6293">
      <c r="H6293" s="273" t="s">
        <v>325</v>
      </c>
    </row>
    <row r="6294">
      <c r="H6294" s="273" t="s">
        <v>325</v>
      </c>
    </row>
    <row r="6295">
      <c r="H6295" s="273" t="s">
        <v>325</v>
      </c>
    </row>
    <row r="6296">
      <c r="H6296" s="273" t="s">
        <v>325</v>
      </c>
    </row>
    <row r="6297">
      <c r="H6297" s="273" t="s">
        <v>325</v>
      </c>
    </row>
    <row r="6298">
      <c r="H6298" s="273" t="s">
        <v>325</v>
      </c>
    </row>
    <row r="6299">
      <c r="H6299" s="273" t="s">
        <v>325</v>
      </c>
    </row>
    <row r="6300">
      <c r="H6300" s="273" t="s">
        <v>325</v>
      </c>
    </row>
    <row r="6301">
      <c r="H6301" s="273" t="s">
        <v>325</v>
      </c>
    </row>
    <row r="6302">
      <c r="H6302" s="273" t="s">
        <v>325</v>
      </c>
    </row>
    <row r="6303">
      <c r="H6303" s="273" t="s">
        <v>325</v>
      </c>
    </row>
    <row r="6304">
      <c r="H6304" s="273" t="s">
        <v>325</v>
      </c>
    </row>
    <row r="6305">
      <c r="H6305" s="273" t="s">
        <v>325</v>
      </c>
    </row>
    <row r="6306">
      <c r="H6306" s="273" t="s">
        <v>325</v>
      </c>
    </row>
    <row r="6307">
      <c r="H6307" s="273" t="s">
        <v>325</v>
      </c>
    </row>
    <row r="6308">
      <c r="H6308" s="273" t="s">
        <v>325</v>
      </c>
    </row>
    <row r="6309">
      <c r="H6309" s="273" t="s">
        <v>325</v>
      </c>
    </row>
    <row r="6310">
      <c r="H6310" s="273" t="s">
        <v>325</v>
      </c>
    </row>
    <row r="6311">
      <c r="H6311" s="273" t="s">
        <v>325</v>
      </c>
    </row>
    <row r="6312">
      <c r="H6312" s="273" t="s">
        <v>325</v>
      </c>
    </row>
    <row r="6313">
      <c r="H6313" s="273" t="s">
        <v>325</v>
      </c>
    </row>
    <row r="6314">
      <c r="H6314" s="273" t="s">
        <v>325</v>
      </c>
    </row>
    <row r="6315">
      <c r="H6315" s="273" t="s">
        <v>325</v>
      </c>
    </row>
    <row r="6316">
      <c r="H6316" s="273" t="s">
        <v>325</v>
      </c>
    </row>
    <row r="6317">
      <c r="H6317" s="273" t="s">
        <v>325</v>
      </c>
    </row>
    <row r="6318">
      <c r="H6318" s="273" t="s">
        <v>325</v>
      </c>
    </row>
    <row r="6319">
      <c r="H6319" s="273" t="s">
        <v>325</v>
      </c>
    </row>
    <row r="6320">
      <c r="H6320" s="273" t="s">
        <v>325</v>
      </c>
    </row>
    <row r="6321">
      <c r="H6321" s="273" t="s">
        <v>325</v>
      </c>
    </row>
    <row r="6322">
      <c r="H6322" s="273" t="s">
        <v>325</v>
      </c>
    </row>
    <row r="6323">
      <c r="H6323" s="273" t="s">
        <v>325</v>
      </c>
    </row>
    <row r="6324">
      <c r="H6324" s="273" t="s">
        <v>325</v>
      </c>
    </row>
    <row r="6325">
      <c r="H6325" s="273" t="s">
        <v>325</v>
      </c>
    </row>
    <row r="6326">
      <c r="H6326" s="273" t="s">
        <v>325</v>
      </c>
    </row>
    <row r="6327">
      <c r="H6327" s="273" t="s">
        <v>325</v>
      </c>
    </row>
    <row r="6328">
      <c r="H6328" s="273" t="s">
        <v>325</v>
      </c>
    </row>
    <row r="6329">
      <c r="H6329" s="273" t="s">
        <v>325</v>
      </c>
    </row>
    <row r="6330">
      <c r="H6330" s="273" t="s">
        <v>325</v>
      </c>
    </row>
    <row r="6331">
      <c r="H6331" s="273" t="s">
        <v>325</v>
      </c>
    </row>
    <row r="6332">
      <c r="H6332" s="273" t="s">
        <v>325</v>
      </c>
    </row>
    <row r="6333">
      <c r="H6333" s="273" t="s">
        <v>325</v>
      </c>
    </row>
    <row r="6334">
      <c r="H6334" s="273" t="s">
        <v>325</v>
      </c>
    </row>
    <row r="6335">
      <c r="H6335" s="273" t="s">
        <v>325</v>
      </c>
    </row>
    <row r="6336">
      <c r="H6336" s="273" t="s">
        <v>325</v>
      </c>
    </row>
    <row r="6337">
      <c r="H6337" s="273" t="s">
        <v>325</v>
      </c>
    </row>
    <row r="6338">
      <c r="H6338" s="273" t="s">
        <v>325</v>
      </c>
    </row>
    <row r="6339">
      <c r="H6339" s="273" t="s">
        <v>325</v>
      </c>
    </row>
    <row r="6340">
      <c r="H6340" s="273" t="s">
        <v>325</v>
      </c>
    </row>
    <row r="6341">
      <c r="H6341" s="273" t="s">
        <v>325</v>
      </c>
    </row>
    <row r="6342">
      <c r="H6342" s="273" t="s">
        <v>325</v>
      </c>
    </row>
    <row r="6343">
      <c r="H6343" s="273" t="s">
        <v>325</v>
      </c>
    </row>
    <row r="6344">
      <c r="H6344" s="273" t="s">
        <v>325</v>
      </c>
    </row>
    <row r="6345">
      <c r="H6345" s="273" t="s">
        <v>325</v>
      </c>
    </row>
    <row r="6346">
      <c r="H6346" s="273" t="s">
        <v>325</v>
      </c>
    </row>
    <row r="6347">
      <c r="H6347" s="273" t="s">
        <v>325</v>
      </c>
    </row>
    <row r="6348">
      <c r="H6348" s="273" t="s">
        <v>325</v>
      </c>
    </row>
    <row r="6349">
      <c r="H6349" s="273" t="s">
        <v>325</v>
      </c>
    </row>
    <row r="6350">
      <c r="H6350" s="273" t="s">
        <v>325</v>
      </c>
    </row>
    <row r="6351">
      <c r="H6351" s="273" t="s">
        <v>325</v>
      </c>
    </row>
    <row r="6352">
      <c r="H6352" s="273" t="s">
        <v>325</v>
      </c>
    </row>
    <row r="6353">
      <c r="H6353" s="273" t="s">
        <v>325</v>
      </c>
    </row>
    <row r="6354">
      <c r="H6354" s="273" t="s">
        <v>325</v>
      </c>
    </row>
    <row r="6355">
      <c r="H6355" s="273" t="s">
        <v>325</v>
      </c>
    </row>
    <row r="6356">
      <c r="H6356" s="273" t="s">
        <v>325</v>
      </c>
    </row>
    <row r="6357">
      <c r="H6357" s="273" t="s">
        <v>325</v>
      </c>
    </row>
    <row r="6358">
      <c r="H6358" s="273" t="s">
        <v>325</v>
      </c>
    </row>
    <row r="6359">
      <c r="H6359" s="273" t="s">
        <v>325</v>
      </c>
    </row>
    <row r="6360">
      <c r="H6360" s="273" t="s">
        <v>325</v>
      </c>
    </row>
    <row r="6361">
      <c r="H6361" s="273" t="s">
        <v>325</v>
      </c>
    </row>
    <row r="6362">
      <c r="H6362" s="273" t="s">
        <v>325</v>
      </c>
    </row>
    <row r="6363">
      <c r="H6363" s="273" t="s">
        <v>325</v>
      </c>
    </row>
    <row r="6364">
      <c r="H6364" s="273" t="s">
        <v>325</v>
      </c>
    </row>
    <row r="6365">
      <c r="H6365" s="273" t="s">
        <v>325</v>
      </c>
    </row>
    <row r="6366">
      <c r="H6366" s="273" t="s">
        <v>325</v>
      </c>
    </row>
    <row r="6367">
      <c r="H6367" s="273" t="s">
        <v>325</v>
      </c>
    </row>
    <row r="6368">
      <c r="H6368" s="273" t="s">
        <v>325</v>
      </c>
    </row>
    <row r="6369">
      <c r="H6369" s="273" t="s">
        <v>325</v>
      </c>
    </row>
    <row r="6370">
      <c r="H6370" s="273" t="s">
        <v>325</v>
      </c>
    </row>
    <row r="6371">
      <c r="H6371" s="273" t="s">
        <v>325</v>
      </c>
    </row>
    <row r="6372">
      <c r="H6372" s="273" t="s">
        <v>325</v>
      </c>
    </row>
    <row r="6373">
      <c r="H6373" s="273" t="s">
        <v>325</v>
      </c>
    </row>
    <row r="6374">
      <c r="H6374" s="273" t="s">
        <v>325</v>
      </c>
    </row>
    <row r="6375">
      <c r="H6375" s="273" t="s">
        <v>325</v>
      </c>
    </row>
    <row r="6376">
      <c r="H6376" s="273" t="s">
        <v>325</v>
      </c>
    </row>
    <row r="6377">
      <c r="H6377" s="273" t="s">
        <v>325</v>
      </c>
    </row>
    <row r="6378">
      <c r="H6378" s="273" t="s">
        <v>325</v>
      </c>
    </row>
    <row r="6379">
      <c r="H6379" s="273" t="s">
        <v>325</v>
      </c>
    </row>
    <row r="6380">
      <c r="H6380" s="273" t="s">
        <v>325</v>
      </c>
    </row>
    <row r="6381">
      <c r="H6381" s="273" t="s">
        <v>325</v>
      </c>
    </row>
    <row r="6382">
      <c r="H6382" s="273" t="s">
        <v>325</v>
      </c>
    </row>
    <row r="6383">
      <c r="H6383" s="273" t="s">
        <v>325</v>
      </c>
    </row>
    <row r="6384">
      <c r="H6384" s="273" t="s">
        <v>325</v>
      </c>
    </row>
    <row r="6385">
      <c r="H6385" s="273" t="s">
        <v>325</v>
      </c>
    </row>
    <row r="6386">
      <c r="H6386" s="273" t="s">
        <v>325</v>
      </c>
    </row>
    <row r="6387">
      <c r="H6387" s="273" t="s">
        <v>325</v>
      </c>
    </row>
    <row r="6388">
      <c r="H6388" s="273" t="s">
        <v>325</v>
      </c>
    </row>
    <row r="6389">
      <c r="H6389" s="273" t="s">
        <v>325</v>
      </c>
    </row>
    <row r="6390">
      <c r="H6390" s="273" t="s">
        <v>325</v>
      </c>
    </row>
    <row r="6391">
      <c r="H6391" s="273" t="s">
        <v>325</v>
      </c>
    </row>
    <row r="6392">
      <c r="H6392" s="273" t="s">
        <v>325</v>
      </c>
    </row>
    <row r="6393">
      <c r="H6393" s="273" t="s">
        <v>325</v>
      </c>
    </row>
  </sheetData>
  <autoFilter ref="$A$9:$BW$5883"/>
  <mergeCells count="2">
    <mergeCell ref="A4:C4"/>
    <mergeCell ref="A7:C7"/>
  </mergeCells>
  <conditionalFormatting sqref="D4 D7">
    <cfRule type="containsBlanks" dxfId="0" priority="1">
      <formula>LEN(TRIM(D4))=0</formula>
    </cfRule>
  </conditionalFormatting>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5.75"/>
    <col customWidth="1" min="2" max="2" width="22.63"/>
    <col customWidth="1" min="3" max="3" width="23.88"/>
    <col customWidth="1" min="4" max="4" width="25.75"/>
    <col customWidth="1" min="5" max="5" width="48.75"/>
    <col customWidth="1" min="6" max="6" width="66.88"/>
  </cols>
  <sheetData>
    <row r="1">
      <c r="A1" s="332"/>
      <c r="B1" s="839"/>
      <c r="C1" s="839"/>
      <c r="D1" s="839"/>
      <c r="E1" s="839"/>
      <c r="F1" s="839"/>
      <c r="G1" s="332"/>
    </row>
    <row r="2" ht="36.75" customHeight="1">
      <c r="A2" s="840"/>
      <c r="B2" s="841" t="s">
        <v>330</v>
      </c>
      <c r="C2" s="841" t="s">
        <v>308</v>
      </c>
      <c r="D2" s="841" t="s">
        <v>331</v>
      </c>
      <c r="E2" s="842" t="s">
        <v>332</v>
      </c>
      <c r="F2" s="842" t="s">
        <v>333</v>
      </c>
      <c r="G2" s="806"/>
    </row>
    <row r="3" ht="68.25" customHeight="1">
      <c r="A3" s="840"/>
      <c r="B3" s="843" t="s">
        <v>334</v>
      </c>
      <c r="C3" s="844" t="s">
        <v>335</v>
      </c>
      <c r="D3" s="845" t="s">
        <v>336</v>
      </c>
      <c r="E3" s="844" t="s">
        <v>337</v>
      </c>
      <c r="F3" s="846" t="s">
        <v>338</v>
      </c>
      <c r="G3" s="806"/>
    </row>
    <row r="4" ht="68.25" customHeight="1">
      <c r="A4" s="840"/>
      <c r="B4" s="847"/>
      <c r="C4" s="844" t="s">
        <v>339</v>
      </c>
      <c r="D4" s="848" t="s">
        <v>340</v>
      </c>
      <c r="E4" s="844" t="s">
        <v>337</v>
      </c>
      <c r="F4" s="849" t="s">
        <v>341</v>
      </c>
      <c r="G4" s="806"/>
    </row>
    <row r="5" ht="68.25" customHeight="1">
      <c r="A5" s="840"/>
      <c r="B5" s="847"/>
      <c r="C5" s="844" t="s">
        <v>342</v>
      </c>
      <c r="D5" s="844" t="s">
        <v>343</v>
      </c>
      <c r="E5" s="844" t="s">
        <v>337</v>
      </c>
      <c r="F5" s="850" t="s">
        <v>344</v>
      </c>
      <c r="G5" s="806"/>
    </row>
    <row r="6" ht="68.25" customHeight="1">
      <c r="A6" s="840"/>
      <c r="B6" s="847"/>
      <c r="C6" s="844" t="s">
        <v>62</v>
      </c>
      <c r="D6" s="845" t="s">
        <v>345</v>
      </c>
      <c r="E6" s="844" t="s">
        <v>346</v>
      </c>
      <c r="F6" s="846" t="s">
        <v>347</v>
      </c>
      <c r="G6" s="332"/>
    </row>
    <row r="7" ht="68.25" customHeight="1">
      <c r="A7" s="840"/>
      <c r="B7" s="847"/>
      <c r="C7" s="844" t="s">
        <v>55</v>
      </c>
      <c r="D7" s="851" t="s">
        <v>348</v>
      </c>
      <c r="E7" s="844" t="s">
        <v>346</v>
      </c>
      <c r="F7" s="852" t="s">
        <v>349</v>
      </c>
      <c r="G7" s="853" t="s">
        <v>350</v>
      </c>
    </row>
    <row r="8" ht="68.25" customHeight="1">
      <c r="A8" s="840"/>
      <c r="B8" s="847"/>
      <c r="C8" s="844" t="s">
        <v>57</v>
      </c>
      <c r="D8" s="851" t="s">
        <v>351</v>
      </c>
      <c r="E8" s="844" t="s">
        <v>346</v>
      </c>
      <c r="F8" s="852" t="s">
        <v>352</v>
      </c>
      <c r="G8" s="853" t="s">
        <v>350</v>
      </c>
    </row>
    <row r="9" ht="68.25" customHeight="1">
      <c r="A9" s="840"/>
      <c r="B9" s="847"/>
      <c r="C9" s="844" t="s">
        <v>298</v>
      </c>
      <c r="D9" s="851" t="s">
        <v>353</v>
      </c>
      <c r="E9" s="844" t="s">
        <v>346</v>
      </c>
      <c r="F9" s="852" t="s">
        <v>354</v>
      </c>
      <c r="G9" s="806"/>
    </row>
    <row r="10" ht="68.25" customHeight="1">
      <c r="A10" s="840"/>
      <c r="B10" s="854"/>
      <c r="C10" s="855" t="s">
        <v>53</v>
      </c>
      <c r="D10" s="856" t="s">
        <v>355</v>
      </c>
      <c r="E10" s="855" t="s">
        <v>337</v>
      </c>
      <c r="F10" s="857" t="s">
        <v>356</v>
      </c>
      <c r="G10" s="806"/>
    </row>
    <row r="11" ht="68.25" customHeight="1">
      <c r="A11" s="840"/>
      <c r="B11" s="858" t="s">
        <v>306</v>
      </c>
      <c r="C11" s="859" t="s">
        <v>71</v>
      </c>
      <c r="D11" s="860" t="s">
        <v>357</v>
      </c>
      <c r="E11" s="859" t="s">
        <v>337</v>
      </c>
      <c r="F11" s="861" t="s">
        <v>358</v>
      </c>
      <c r="G11" s="806"/>
    </row>
    <row r="12" ht="68.25" customHeight="1">
      <c r="A12" s="840"/>
      <c r="B12" s="847"/>
      <c r="C12" s="859" t="s">
        <v>62</v>
      </c>
      <c r="D12" s="862" t="s">
        <v>359</v>
      </c>
      <c r="E12" s="863" t="s">
        <v>360</v>
      </c>
      <c r="F12" s="861" t="s">
        <v>361</v>
      </c>
      <c r="G12" s="806"/>
    </row>
    <row r="13" ht="68.25" customHeight="1">
      <c r="A13" s="840"/>
      <c r="B13" s="847"/>
      <c r="C13" s="859" t="s">
        <v>57</v>
      </c>
      <c r="D13" s="862" t="s">
        <v>362</v>
      </c>
      <c r="E13" s="864" t="s">
        <v>346</v>
      </c>
      <c r="F13" s="865" t="s">
        <v>363</v>
      </c>
      <c r="G13" s="866" t="s">
        <v>364</v>
      </c>
    </row>
    <row r="14" ht="68.25" customHeight="1">
      <c r="A14" s="840"/>
      <c r="B14" s="847"/>
      <c r="C14" s="859" t="s">
        <v>55</v>
      </c>
      <c r="D14" s="862" t="s">
        <v>365</v>
      </c>
      <c r="E14" s="864" t="s">
        <v>366</v>
      </c>
      <c r="F14" s="865" t="s">
        <v>367</v>
      </c>
      <c r="G14" s="866" t="s">
        <v>364</v>
      </c>
    </row>
    <row r="15" ht="68.25" customHeight="1">
      <c r="A15" s="840"/>
      <c r="B15" s="854"/>
      <c r="C15" s="867" t="s">
        <v>53</v>
      </c>
      <c r="D15" s="868" t="s">
        <v>368</v>
      </c>
      <c r="E15" s="869" t="s">
        <v>337</v>
      </c>
      <c r="F15" s="870" t="s">
        <v>369</v>
      </c>
      <c r="G15" s="806"/>
    </row>
    <row r="16" ht="68.25" customHeight="1">
      <c r="A16" s="840"/>
      <c r="B16" s="871" t="s">
        <v>307</v>
      </c>
      <c r="C16" s="872" t="s">
        <v>174</v>
      </c>
      <c r="D16" s="873" t="s">
        <v>370</v>
      </c>
      <c r="E16" s="874" t="s">
        <v>371</v>
      </c>
      <c r="F16" s="875" t="s">
        <v>372</v>
      </c>
      <c r="G16" s="806"/>
    </row>
    <row r="17" ht="68.25" customHeight="1">
      <c r="A17" s="840"/>
      <c r="B17" s="847"/>
      <c r="C17" s="872" t="s">
        <v>56</v>
      </c>
      <c r="D17" s="876" t="s">
        <v>373</v>
      </c>
      <c r="E17" s="874" t="s">
        <v>371</v>
      </c>
      <c r="F17" s="877"/>
      <c r="G17" s="806"/>
    </row>
    <row r="18" ht="68.25" customHeight="1">
      <c r="A18" s="840"/>
      <c r="B18" s="847"/>
      <c r="C18" s="872" t="s">
        <v>57</v>
      </c>
      <c r="D18" s="878" t="s">
        <v>374</v>
      </c>
      <c r="E18" s="872" t="s">
        <v>375</v>
      </c>
      <c r="F18" s="879" t="s">
        <v>376</v>
      </c>
      <c r="G18" s="806"/>
    </row>
    <row r="19">
      <c r="A19" s="840"/>
      <c r="B19" s="847"/>
      <c r="C19" s="880" t="s">
        <v>377</v>
      </c>
      <c r="D19" s="880" t="s">
        <v>378</v>
      </c>
      <c r="E19" s="880" t="s">
        <v>379</v>
      </c>
      <c r="F19" s="881"/>
      <c r="G19" s="332"/>
    </row>
    <row r="20">
      <c r="A20" s="840"/>
      <c r="B20" s="847"/>
      <c r="C20" s="880" t="s">
        <v>82</v>
      </c>
      <c r="D20" s="880" t="s">
        <v>380</v>
      </c>
      <c r="E20" s="880" t="s">
        <v>379</v>
      </c>
      <c r="F20" s="882" t="s">
        <v>381</v>
      </c>
      <c r="G20" s="332"/>
    </row>
    <row r="21">
      <c r="A21" s="840"/>
      <c r="B21" s="854"/>
      <c r="C21" s="883" t="s">
        <v>382</v>
      </c>
      <c r="D21" s="883" t="s">
        <v>380</v>
      </c>
      <c r="E21" s="883" t="s">
        <v>379</v>
      </c>
      <c r="F21" s="884" t="s">
        <v>383</v>
      </c>
      <c r="G21" s="332"/>
    </row>
    <row r="22">
      <c r="A22" s="840"/>
      <c r="B22" s="885" t="s">
        <v>384</v>
      </c>
      <c r="C22" s="886" t="s">
        <v>57</v>
      </c>
      <c r="D22" s="887" t="s">
        <v>385</v>
      </c>
      <c r="E22" s="888" t="s">
        <v>346</v>
      </c>
      <c r="F22" s="889" t="s">
        <v>386</v>
      </c>
      <c r="G22" s="332"/>
    </row>
    <row r="23">
      <c r="A23" s="840"/>
      <c r="B23" s="847"/>
      <c r="C23" s="886" t="s">
        <v>55</v>
      </c>
      <c r="D23" s="887" t="s">
        <v>387</v>
      </c>
      <c r="E23" s="888" t="s">
        <v>346</v>
      </c>
      <c r="F23" s="889" t="s">
        <v>388</v>
      </c>
      <c r="G23" s="332"/>
    </row>
    <row r="24">
      <c r="A24" s="840"/>
      <c r="B24" s="854"/>
      <c r="C24" s="890" t="s">
        <v>389</v>
      </c>
      <c r="D24" s="891" t="s">
        <v>390</v>
      </c>
      <c r="E24" s="890" t="s">
        <v>337</v>
      </c>
      <c r="F24" s="892" t="s">
        <v>391</v>
      </c>
      <c r="G24" s="332"/>
    </row>
    <row r="25">
      <c r="A25" s="332"/>
      <c r="B25" s="332"/>
      <c r="C25" s="332"/>
      <c r="D25" s="332"/>
      <c r="E25" s="332"/>
      <c r="F25" s="332"/>
      <c r="G25" s="332"/>
    </row>
    <row r="26">
      <c r="A26" s="332"/>
      <c r="B26" s="332"/>
      <c r="C26" s="332"/>
      <c r="D26" s="332"/>
      <c r="E26" s="332"/>
      <c r="F26" s="332"/>
      <c r="G26" s="332"/>
    </row>
    <row r="27">
      <c r="A27" s="332"/>
      <c r="B27" s="893" t="s">
        <v>392</v>
      </c>
      <c r="C27" s="332"/>
      <c r="D27" s="332"/>
      <c r="E27" s="894" t="s">
        <v>393</v>
      </c>
      <c r="F27" s="332"/>
      <c r="G27" s="332"/>
    </row>
  </sheetData>
  <mergeCells count="4">
    <mergeCell ref="B3:B10"/>
    <mergeCell ref="B11:B15"/>
    <mergeCell ref="B16:B21"/>
    <mergeCell ref="B22:B24"/>
  </mergeCells>
  <hyperlinks>
    <hyperlink r:id="rId1" ref="F4"/>
    <hyperlink r:id="rId2" location="gid=1753992585" ref="B27"/>
  </hyperlinks>
  <drawing r:id="rId3"/>
</worksheet>
</file>